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trlProps/ctrlProp1.xml" ContentType="application/vnd.ms-excel.controlproperti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6.xml" ContentType="application/vnd.ms-excel.slicer+xml"/>
  <Override PartName="/xl/drawings/drawing8.xml" ContentType="application/vnd.openxmlformats-officedocument.drawing+xml"/>
  <Override PartName="/xl/slicers/slicer7.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11EFD8B9-1E6C-4D9E-A058-2A7D2358BCB2}" xr6:coauthVersionLast="47" xr6:coauthVersionMax="47" xr10:uidLastSave="{00000000-0000-0000-0000-000000000000}"/>
  <bookViews>
    <workbookView xWindow="-108" yWindow="-108" windowWidth="23256" windowHeight="12456" firstSheet="15" activeTab="21" xr2:uid="{DAFC1BCA-4E20-426C-A123-DDD9F6FAAD63}"/>
  </bookViews>
  <sheets>
    <sheet name="Data" sheetId="1" r:id="rId1"/>
    <sheet name="Part A" sheetId="2" r:id="rId2"/>
    <sheet name="Standardised Dimension Table" sheetId="6" r:id="rId3"/>
    <sheet name="Analysis" sheetId="7" r:id="rId4"/>
    <sheet name="Pivot Cohort Analysis" sheetId="10" r:id="rId5"/>
    <sheet name="ABC Data" sheetId="11" r:id="rId6"/>
    <sheet name="Pivot ABC Data" sheetId="13" r:id="rId7"/>
    <sheet name="Salesperson Productivity" sheetId="14" r:id="rId8"/>
    <sheet name="Sales person Pivot" sheetId="15" r:id="rId9"/>
    <sheet name="Channel Mix Data" sheetId="16" r:id="rId10"/>
    <sheet name="Channel Mix Pivot" sheetId="19" r:id="rId11"/>
    <sheet name="Cannibalization" sheetId="20" r:id="rId12"/>
    <sheet name="Service Level Data" sheetId="21" r:id="rId13"/>
    <sheet name="Service Level Pivot" sheetId="22" r:id="rId14"/>
    <sheet name="Price Compliance Data" sheetId="23" r:id="rId15"/>
    <sheet name="Price Compliance Pivot" sheetId="25" r:id="rId16"/>
    <sheet name="What IF" sheetId="26" r:id="rId17"/>
    <sheet name="Insights" sheetId="28" r:id="rId18"/>
    <sheet name="Slicers" sheetId="30" r:id="rId19"/>
    <sheet name="Staging" sheetId="31" r:id="rId20"/>
    <sheet name="Scearios(What if)" sheetId="32" r:id="rId21"/>
    <sheet name="Dashboard" sheetId="27" r:id="rId22"/>
  </sheets>
  <externalReferences>
    <externalReference r:id="rId23"/>
  </externalReferences>
  <definedNames>
    <definedName name="CostInflation">'Scearios(What if)'!$C$6</definedName>
    <definedName name="DiscountCap">'Scearios(What if)'!$C$5</definedName>
    <definedName name="QtyUplift">'Scearios(What if)'!$C$7</definedName>
    <definedName name="Slicer_Channel">#N/A</definedName>
    <definedName name="Slicer_Country">#N/A</definedName>
    <definedName name="Slicer_DiscountPct">#N/A</definedName>
    <definedName name="Slicer_Gross_Profit">#N/A</definedName>
    <definedName name="Slicer_Gross_Revenue">#N/A</definedName>
    <definedName name="Slicer_Leadtime_days">#N/A</definedName>
    <definedName name="Slicer_Month">#N/A</definedName>
    <definedName name="Slicer_OrderID">#N/A</definedName>
    <definedName name="Slicer_ProductCategory">#N/A</definedName>
    <definedName name="Slicer_Region">#N/A</definedName>
    <definedName name="Slicer_Salesperson">#N/A</definedName>
    <definedName name="Slicer_SKU">#N/A</definedName>
  </definedNames>
  <calcPr calcId="191029"/>
  <pivotCaches>
    <pivotCache cacheId="0" r:id="rId24"/>
    <pivotCache cacheId="1" r:id="rId25"/>
    <pivotCache cacheId="2" r:id="rId26"/>
    <pivotCache cacheId="3" r:id="rId27"/>
    <pivotCache cacheId="4" r:id="rId28"/>
    <pivotCache cacheId="5" r:id="rId29"/>
    <pivotCache cacheId="6" r:id="rId30"/>
  </pivotCaches>
  <extLst>
    <ext xmlns:x14="http://schemas.microsoft.com/office/spreadsheetml/2009/9/main" uri="{BBE1A952-AA13-448e-AADC-164F8A28A991}">
      <x14:slicerCaches>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32" l="1"/>
  <c r="H7" i="32"/>
  <c r="H6" i="32"/>
  <c r="H5" i="32"/>
  <c r="J12" i="32"/>
  <c r="J13" i="32"/>
  <c r="J14" i="32"/>
  <c r="J15" i="32"/>
  <c r="J16" i="32"/>
  <c r="J17" i="32"/>
  <c r="J18" i="32"/>
  <c r="J19" i="32"/>
  <c r="J20"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64" i="32"/>
  <c r="J65" i="32"/>
  <c r="J66" i="32"/>
  <c r="J67" i="32"/>
  <c r="J68" i="32"/>
  <c r="J69" i="32"/>
  <c r="J70" i="32"/>
  <c r="J71" i="32"/>
  <c r="J72" i="32"/>
  <c r="J73" i="32"/>
  <c r="J74" i="32"/>
  <c r="J75" i="32"/>
  <c r="J76" i="32"/>
  <c r="J77" i="32"/>
  <c r="J78" i="32"/>
  <c r="J79" i="32"/>
  <c r="J80" i="32"/>
  <c r="J81" i="32"/>
  <c r="J82" i="32"/>
  <c r="J83" i="32"/>
  <c r="J84" i="32"/>
  <c r="J85" i="32"/>
  <c r="J86" i="32"/>
  <c r="J87" i="32"/>
  <c r="J88" i="32"/>
  <c r="J89" i="32"/>
  <c r="J90" i="32"/>
  <c r="J91" i="32"/>
  <c r="J92" i="32"/>
  <c r="J93" i="32"/>
  <c r="J94" i="32"/>
  <c r="J95" i="32"/>
  <c r="J96" i="32"/>
  <c r="J97" i="32"/>
  <c r="J98" i="32"/>
  <c r="J99" i="32"/>
  <c r="J100" i="32"/>
  <c r="J101" i="32"/>
  <c r="J102" i="32"/>
  <c r="J103" i="32"/>
  <c r="J104" i="32"/>
  <c r="J105" i="32"/>
  <c r="J106" i="32"/>
  <c r="J107" i="32"/>
  <c r="J108" i="32"/>
  <c r="J109" i="32"/>
  <c r="J110" i="32"/>
  <c r="J111" i="32"/>
  <c r="J112" i="32"/>
  <c r="J113" i="32"/>
  <c r="J114" i="32"/>
  <c r="J115" i="32"/>
  <c r="J116" i="32"/>
  <c r="J117" i="32"/>
  <c r="J118" i="32"/>
  <c r="J119" i="32"/>
  <c r="J120" i="32"/>
  <c r="J121" i="32"/>
  <c r="J122" i="32"/>
  <c r="J123" i="32"/>
  <c r="J124" i="32"/>
  <c r="J125" i="32"/>
  <c r="J126" i="32"/>
  <c r="J127" i="32"/>
  <c r="J128" i="32"/>
  <c r="J129" i="32"/>
  <c r="J130" i="32"/>
  <c r="J131" i="32"/>
  <c r="J132" i="32"/>
  <c r="J133" i="32"/>
  <c r="J134" i="32"/>
  <c r="J135" i="32"/>
  <c r="J136" i="32"/>
  <c r="J137" i="32"/>
  <c r="J138" i="32"/>
  <c r="J139" i="32"/>
  <c r="J140" i="32"/>
  <c r="J141" i="32"/>
  <c r="J142" i="32"/>
  <c r="J143" i="32"/>
  <c r="J144" i="32"/>
  <c r="J145" i="32"/>
  <c r="J146" i="32"/>
  <c r="J147" i="32"/>
  <c r="J148" i="32"/>
  <c r="J149" i="32"/>
  <c r="J150" i="32"/>
  <c r="J151" i="32"/>
  <c r="J152" i="32"/>
  <c r="J153" i="32"/>
  <c r="J154" i="32"/>
  <c r="J155" i="32"/>
  <c r="J156" i="32"/>
  <c r="J157" i="32"/>
  <c r="J158" i="32"/>
  <c r="J159" i="32"/>
  <c r="J160" i="32"/>
  <c r="J161" i="32"/>
  <c r="J162" i="32"/>
  <c r="J163" i="32"/>
  <c r="J164" i="32"/>
  <c r="J165" i="32"/>
  <c r="J166" i="32"/>
  <c r="J167" i="32"/>
  <c r="J168" i="32"/>
  <c r="J169" i="32"/>
  <c r="J170" i="32"/>
  <c r="J171" i="32"/>
  <c r="J172" i="32"/>
  <c r="J173" i="32"/>
  <c r="J174" i="32"/>
  <c r="J175" i="32"/>
  <c r="J176" i="32"/>
  <c r="J177" i="32"/>
  <c r="J178" i="32"/>
  <c r="J179" i="32"/>
  <c r="J180" i="32"/>
  <c r="J181" i="32"/>
  <c r="J182" i="32"/>
  <c r="J183" i="32"/>
  <c r="J184" i="32"/>
  <c r="J185" i="32"/>
  <c r="J186" i="32"/>
  <c r="J187" i="32"/>
  <c r="J188" i="32"/>
  <c r="J189" i="32"/>
  <c r="J190" i="32"/>
  <c r="J191" i="32"/>
  <c r="J192" i="32"/>
  <c r="J193" i="32"/>
  <c r="J194" i="32"/>
  <c r="J195" i="32"/>
  <c r="J196" i="32"/>
  <c r="J197" i="32"/>
  <c r="J198" i="32"/>
  <c r="J199" i="32"/>
  <c r="J200" i="32"/>
  <c r="J201" i="32"/>
  <c r="J202" i="32"/>
  <c r="J203" i="32"/>
  <c r="J204" i="32"/>
  <c r="J205" i="32"/>
  <c r="J206" i="32"/>
  <c r="J207" i="32"/>
  <c r="J208" i="32"/>
  <c r="J209" i="32"/>
  <c r="J210" i="32"/>
  <c r="J211" i="32"/>
  <c r="J212" i="32"/>
  <c r="J213" i="32"/>
  <c r="J214" i="32"/>
  <c r="J215" i="32"/>
  <c r="J216" i="32"/>
  <c r="J217" i="32"/>
  <c r="J218" i="32"/>
  <c r="J219" i="32"/>
  <c r="J220" i="32"/>
  <c r="J221" i="32"/>
  <c r="J222" i="32"/>
  <c r="J223" i="32"/>
  <c r="J224" i="32"/>
  <c r="J225" i="32"/>
  <c r="J226" i="32"/>
  <c r="J227" i="32"/>
  <c r="J228" i="32"/>
  <c r="J229" i="32"/>
  <c r="J230" i="32"/>
  <c r="J231" i="32"/>
  <c r="J232" i="32"/>
  <c r="J233" i="32"/>
  <c r="J234" i="32"/>
  <c r="J235" i="32"/>
  <c r="J236" i="32"/>
  <c r="J237" i="32"/>
  <c r="J238" i="32"/>
  <c r="J239" i="32"/>
  <c r="J240" i="32"/>
  <c r="J241" i="32"/>
  <c r="J242" i="32"/>
  <c r="J243" i="32"/>
  <c r="J244" i="32"/>
  <c r="J245" i="32"/>
  <c r="J246" i="32"/>
  <c r="J247" i="32"/>
  <c r="J248" i="32"/>
  <c r="J249" i="32"/>
  <c r="J250" i="32"/>
  <c r="J251" i="32"/>
  <c r="J252" i="32"/>
  <c r="J253" i="32"/>
  <c r="J254" i="32"/>
  <c r="J255" i="32"/>
  <c r="J256" i="32"/>
  <c r="J257" i="32"/>
  <c r="J258" i="32"/>
  <c r="J259" i="32"/>
  <c r="J260" i="32"/>
  <c r="J261" i="32"/>
  <c r="J262" i="32"/>
  <c r="J263" i="32"/>
  <c r="J264" i="32"/>
  <c r="J265" i="32"/>
  <c r="J266" i="32"/>
  <c r="J267" i="32"/>
  <c r="J268" i="32"/>
  <c r="J269" i="32"/>
  <c r="J270" i="32"/>
  <c r="J271" i="32"/>
  <c r="J272" i="32"/>
  <c r="J273" i="32"/>
  <c r="J274" i="32"/>
  <c r="J275" i="32"/>
  <c r="J276" i="32"/>
  <c r="J277" i="32"/>
  <c r="J278" i="32"/>
  <c r="J279" i="32"/>
  <c r="J280" i="32"/>
  <c r="J281" i="32"/>
  <c r="J282" i="32"/>
  <c r="J283" i="32"/>
  <c r="J284" i="32"/>
  <c r="J285" i="32"/>
  <c r="J286" i="32"/>
  <c r="J287" i="32"/>
  <c r="J288" i="32"/>
  <c r="J289" i="32"/>
  <c r="J290" i="32"/>
  <c r="J291" i="32"/>
  <c r="J292" i="32"/>
  <c r="J293" i="32"/>
  <c r="J294" i="32"/>
  <c r="J295" i="32"/>
  <c r="J296" i="32"/>
  <c r="J297" i="32"/>
  <c r="J298" i="32"/>
  <c r="J299" i="32"/>
  <c r="J300" i="32"/>
  <c r="J301" i="32"/>
  <c r="J302" i="32"/>
  <c r="J303" i="32"/>
  <c r="J304" i="32"/>
  <c r="J305" i="32"/>
  <c r="J306" i="32"/>
  <c r="J307" i="32"/>
  <c r="J308" i="32"/>
  <c r="J309" i="32"/>
  <c r="J310" i="32"/>
  <c r="J311" i="32"/>
  <c r="J312" i="32"/>
  <c r="J313" i="32"/>
  <c r="J314" i="32"/>
  <c r="J315" i="32"/>
  <c r="J316" i="32"/>
  <c r="J317" i="32"/>
  <c r="J318" i="32"/>
  <c r="J319" i="32"/>
  <c r="J320" i="32"/>
  <c r="J321" i="32"/>
  <c r="J322" i="32"/>
  <c r="J323" i="32"/>
  <c r="J324" i="32"/>
  <c r="J325" i="32"/>
  <c r="J326" i="32"/>
  <c r="J327" i="32"/>
  <c r="J328" i="32"/>
  <c r="J329" i="32"/>
  <c r="J330" i="32"/>
  <c r="J331" i="32"/>
  <c r="J332" i="32"/>
  <c r="J333" i="32"/>
  <c r="J334" i="32"/>
  <c r="J335" i="32"/>
  <c r="J336" i="32"/>
  <c r="J337" i="32"/>
  <c r="J338" i="32"/>
  <c r="J339" i="32"/>
  <c r="J340" i="32"/>
  <c r="J341" i="32"/>
  <c r="J342" i="32"/>
  <c r="J343" i="32"/>
  <c r="J344" i="32"/>
  <c r="J345" i="32"/>
  <c r="J346" i="32"/>
  <c r="J347" i="32"/>
  <c r="J348" i="32"/>
  <c r="J349" i="32"/>
  <c r="J350" i="32"/>
  <c r="J351" i="32"/>
  <c r="J352" i="32"/>
  <c r="J353" i="32"/>
  <c r="J354" i="32"/>
  <c r="J355" i="32"/>
  <c r="J356" i="32"/>
  <c r="J357" i="32"/>
  <c r="J358" i="32"/>
  <c r="J359" i="32"/>
  <c r="J360" i="32"/>
  <c r="J361" i="32"/>
  <c r="J362" i="32"/>
  <c r="J363" i="32"/>
  <c r="J364" i="32"/>
  <c r="J365" i="32"/>
  <c r="J366" i="32"/>
  <c r="J367" i="32"/>
  <c r="J368" i="32"/>
  <c r="J369" i="32"/>
  <c r="J370" i="32"/>
  <c r="J371" i="32"/>
  <c r="J372" i="32"/>
  <c r="J373" i="32"/>
  <c r="J374" i="32"/>
  <c r="J375" i="32"/>
  <c r="J376" i="32"/>
  <c r="J377" i="32"/>
  <c r="J378" i="32"/>
  <c r="J379" i="32"/>
  <c r="J380" i="32"/>
  <c r="J381" i="32"/>
  <c r="J382" i="32"/>
  <c r="J383" i="32"/>
  <c r="J384" i="32"/>
  <c r="J385" i="32"/>
  <c r="J386" i="32"/>
  <c r="J387" i="32"/>
  <c r="J388" i="32"/>
  <c r="J389" i="32"/>
  <c r="J390" i="32"/>
  <c r="J391" i="32"/>
  <c r="J392" i="32"/>
  <c r="J393" i="32"/>
  <c r="J394" i="32"/>
  <c r="J395" i="32"/>
  <c r="J396" i="32"/>
  <c r="J397" i="32"/>
  <c r="J398" i="32"/>
  <c r="J399" i="32"/>
  <c r="J400" i="32"/>
  <c r="J401" i="32"/>
  <c r="J402" i="32"/>
  <c r="J403" i="32"/>
  <c r="J404" i="32"/>
  <c r="J405" i="32"/>
  <c r="J406" i="32"/>
  <c r="J407" i="32"/>
  <c r="J408" i="32"/>
  <c r="J409" i="32"/>
  <c r="J410" i="32"/>
  <c r="J411" i="32"/>
  <c r="J412" i="32"/>
  <c r="J413" i="32"/>
  <c r="J414" i="32"/>
  <c r="J415" i="32"/>
  <c r="J416" i="32"/>
  <c r="J417" i="32"/>
  <c r="J418" i="32"/>
  <c r="J419" i="32"/>
  <c r="J420" i="32"/>
  <c r="J421" i="32"/>
  <c r="J422" i="32"/>
  <c r="J423" i="32"/>
  <c r="J424" i="32"/>
  <c r="J425" i="32"/>
  <c r="J426" i="32"/>
  <c r="J427" i="32"/>
  <c r="J428" i="32"/>
  <c r="J429" i="32"/>
  <c r="J430" i="32"/>
  <c r="J431" i="32"/>
  <c r="J432" i="32"/>
  <c r="J433" i="32"/>
  <c r="J434" i="32"/>
  <c r="J435" i="32"/>
  <c r="J436" i="32"/>
  <c r="J437" i="32"/>
  <c r="J438" i="32"/>
  <c r="J439" i="32"/>
  <c r="J440" i="32"/>
  <c r="J441" i="32"/>
  <c r="J442" i="32"/>
  <c r="J443" i="32"/>
  <c r="J444" i="32"/>
  <c r="J445" i="32"/>
  <c r="J446" i="32"/>
  <c r="J447" i="32"/>
  <c r="J448" i="32"/>
  <c r="J449" i="32"/>
  <c r="J450" i="32"/>
  <c r="J451" i="32"/>
  <c r="J452" i="32"/>
  <c r="J453" i="32"/>
  <c r="J454" i="32"/>
  <c r="J455" i="32"/>
  <c r="J456" i="32"/>
  <c r="J457" i="32"/>
  <c r="J458" i="32"/>
  <c r="J459" i="32"/>
  <c r="J460" i="32"/>
  <c r="J461" i="32"/>
  <c r="J462" i="32"/>
  <c r="J463" i="32"/>
  <c r="J464" i="32"/>
  <c r="J465" i="32"/>
  <c r="J466" i="32"/>
  <c r="J467" i="32"/>
  <c r="J468" i="32"/>
  <c r="J469" i="32"/>
  <c r="J470" i="32"/>
  <c r="J471" i="32"/>
  <c r="J472" i="32"/>
  <c r="J473" i="32"/>
  <c r="J474" i="32"/>
  <c r="J475" i="32"/>
  <c r="J476" i="32"/>
  <c r="J477" i="32"/>
  <c r="J478" i="32"/>
  <c r="J479" i="32"/>
  <c r="J480" i="32"/>
  <c r="J481" i="32"/>
  <c r="J482" i="32"/>
  <c r="J483" i="32"/>
  <c r="J484" i="32"/>
  <c r="J485" i="32"/>
  <c r="J486" i="32"/>
  <c r="J487" i="32"/>
  <c r="J488" i="32"/>
  <c r="J489" i="32"/>
  <c r="J490" i="32"/>
  <c r="J491" i="32"/>
  <c r="J492" i="32"/>
  <c r="J493" i="32"/>
  <c r="J494" i="32"/>
  <c r="J495" i="32"/>
  <c r="J496" i="32"/>
  <c r="J497" i="32"/>
  <c r="J498" i="32"/>
  <c r="J499" i="32"/>
  <c r="J500" i="32"/>
  <c r="J501" i="32"/>
  <c r="J502" i="32"/>
  <c r="J503" i="32"/>
  <c r="J504" i="32"/>
  <c r="J505" i="32"/>
  <c r="J506" i="32"/>
  <c r="J507" i="32"/>
  <c r="J508" i="32"/>
  <c r="J509" i="32"/>
  <c r="J510" i="32"/>
  <c r="J511" i="32"/>
  <c r="J512" i="32"/>
  <c r="J513" i="32"/>
  <c r="J514" i="32"/>
  <c r="J515" i="32"/>
  <c r="J516" i="32"/>
  <c r="J517" i="32"/>
  <c r="J518" i="32"/>
  <c r="J519" i="32"/>
  <c r="J520" i="32"/>
  <c r="J521" i="32"/>
  <c r="J522" i="32"/>
  <c r="J523" i="32"/>
  <c r="J524" i="32"/>
  <c r="J525" i="32"/>
  <c r="J526" i="32"/>
  <c r="J527" i="32"/>
  <c r="J528" i="32"/>
  <c r="J529" i="32"/>
  <c r="J530" i="32"/>
  <c r="J531" i="32"/>
  <c r="J532" i="32"/>
  <c r="J533" i="32"/>
  <c r="J534" i="32"/>
  <c r="J535" i="32"/>
  <c r="J536" i="32"/>
  <c r="J537" i="32"/>
  <c r="J538" i="32"/>
  <c r="J539" i="32"/>
  <c r="J540" i="32"/>
  <c r="J541" i="32"/>
  <c r="J542" i="32"/>
  <c r="J543" i="32"/>
  <c r="J544" i="32"/>
  <c r="J545" i="32"/>
  <c r="J546" i="32"/>
  <c r="J547" i="32"/>
  <c r="J548" i="32"/>
  <c r="J549" i="32"/>
  <c r="J550" i="32"/>
  <c r="J551" i="32"/>
  <c r="J552" i="32"/>
  <c r="J553" i="32"/>
  <c r="J554" i="32"/>
  <c r="J555" i="32"/>
  <c r="J556" i="32"/>
  <c r="J557" i="32"/>
  <c r="J558" i="32"/>
  <c r="J559" i="32"/>
  <c r="J560" i="32"/>
  <c r="J561" i="32"/>
  <c r="J562" i="32"/>
  <c r="J563" i="32"/>
  <c r="J564" i="32"/>
  <c r="J565" i="32"/>
  <c r="J566" i="32"/>
  <c r="J567" i="32"/>
  <c r="J568" i="32"/>
  <c r="J569" i="32"/>
  <c r="J570" i="32"/>
  <c r="J571" i="32"/>
  <c r="J572" i="32"/>
  <c r="J573" i="32"/>
  <c r="J574" i="32"/>
  <c r="J575" i="32"/>
  <c r="J576" i="32"/>
  <c r="J577" i="32"/>
  <c r="J578" i="32"/>
  <c r="J579" i="32"/>
  <c r="J580" i="32"/>
  <c r="J581" i="32"/>
  <c r="J582" i="32"/>
  <c r="J583" i="32"/>
  <c r="J584" i="32"/>
  <c r="J585" i="32"/>
  <c r="J586" i="32"/>
  <c r="J587" i="32"/>
  <c r="J588" i="32"/>
  <c r="J589" i="32"/>
  <c r="J590" i="32"/>
  <c r="J591" i="32"/>
  <c r="J592" i="32"/>
  <c r="J593" i="32"/>
  <c r="J594" i="32"/>
  <c r="J595" i="32"/>
  <c r="J596" i="32"/>
  <c r="J597" i="32"/>
  <c r="J598" i="32"/>
  <c r="J599" i="32"/>
  <c r="J600" i="32"/>
  <c r="J601" i="32"/>
  <c r="J602" i="32"/>
  <c r="J603" i="32"/>
  <c r="J604" i="32"/>
  <c r="J605" i="32"/>
  <c r="J606" i="32"/>
  <c r="J607" i="32"/>
  <c r="J608" i="32"/>
  <c r="J609" i="32"/>
  <c r="J610" i="32"/>
  <c r="J611" i="32"/>
  <c r="J612" i="32"/>
  <c r="J613" i="32"/>
  <c r="J614" i="32"/>
  <c r="J615" i="32"/>
  <c r="J616" i="32"/>
  <c r="J617" i="32"/>
  <c r="J618" i="32"/>
  <c r="J619" i="32"/>
  <c r="J620" i="32"/>
  <c r="J621" i="32"/>
  <c r="J622" i="32"/>
  <c r="J623" i="32"/>
  <c r="J624" i="32"/>
  <c r="J625" i="32"/>
  <c r="J626" i="32"/>
  <c r="J627" i="32"/>
  <c r="J628" i="32"/>
  <c r="J629" i="32"/>
  <c r="J630" i="32"/>
  <c r="J631" i="32"/>
  <c r="J632" i="32"/>
  <c r="J633" i="32"/>
  <c r="J634" i="32"/>
  <c r="J635" i="32"/>
  <c r="J636" i="32"/>
  <c r="J637" i="32"/>
  <c r="J638" i="32"/>
  <c r="J639" i="32"/>
  <c r="J640" i="32"/>
  <c r="J641" i="32"/>
  <c r="J642" i="32"/>
  <c r="J11" i="32"/>
  <c r="I6" i="32" s="1"/>
  <c r="J6" i="32" s="1"/>
  <c r="I11" i="32"/>
  <c r="I12" i="32"/>
  <c r="I13" i="32"/>
  <c r="K13" i="32" s="1"/>
  <c r="M13" i="32" s="1"/>
  <c r="I14" i="32"/>
  <c r="I15" i="32"/>
  <c r="I16" i="32"/>
  <c r="I17" i="32"/>
  <c r="I18" i="32"/>
  <c r="K18" i="32" s="1"/>
  <c r="M18" i="32" s="1"/>
  <c r="I19" i="32"/>
  <c r="I20" i="32"/>
  <c r="I21" i="32"/>
  <c r="I22" i="32"/>
  <c r="I23" i="32"/>
  <c r="I24" i="32"/>
  <c r="I25" i="32"/>
  <c r="I26" i="32"/>
  <c r="K26" i="32" s="1"/>
  <c r="M26" i="32" s="1"/>
  <c r="I27" i="32"/>
  <c r="K27" i="32" s="1"/>
  <c r="M27" i="32" s="1"/>
  <c r="I28" i="32"/>
  <c r="I29" i="32"/>
  <c r="I30" i="32"/>
  <c r="I31" i="32"/>
  <c r="I32" i="32"/>
  <c r="I33" i="32"/>
  <c r="I34" i="32"/>
  <c r="I35" i="32"/>
  <c r="I36" i="32"/>
  <c r="I37" i="32"/>
  <c r="I38" i="32"/>
  <c r="I39" i="32"/>
  <c r="I40" i="32"/>
  <c r="I41" i="32"/>
  <c r="I42" i="32"/>
  <c r="I43" i="32"/>
  <c r="K43" i="32" s="1"/>
  <c r="M43" i="32" s="1"/>
  <c r="I44" i="32"/>
  <c r="I45" i="32"/>
  <c r="I46" i="32"/>
  <c r="I47" i="32"/>
  <c r="I48" i="32"/>
  <c r="I49" i="32"/>
  <c r="I50" i="32"/>
  <c r="I51" i="32"/>
  <c r="I52" i="32"/>
  <c r="I53" i="32"/>
  <c r="I54" i="32"/>
  <c r="I55" i="32"/>
  <c r="I56" i="32"/>
  <c r="I57" i="32"/>
  <c r="I58" i="32"/>
  <c r="I59" i="32"/>
  <c r="K59" i="32" s="1"/>
  <c r="M59" i="32" s="1"/>
  <c r="I60" i="32"/>
  <c r="I61" i="32"/>
  <c r="I62" i="32"/>
  <c r="I63" i="32"/>
  <c r="I64" i="32"/>
  <c r="I65" i="32"/>
  <c r="I66" i="32"/>
  <c r="I67" i="32"/>
  <c r="I68" i="32"/>
  <c r="I69" i="32"/>
  <c r="I70" i="32"/>
  <c r="I71" i="32"/>
  <c r="I72" i="32"/>
  <c r="I73" i="32"/>
  <c r="I74" i="32"/>
  <c r="I75" i="32"/>
  <c r="K75" i="32" s="1"/>
  <c r="M75" i="32" s="1"/>
  <c r="I76" i="32"/>
  <c r="I77" i="32"/>
  <c r="I78" i="32"/>
  <c r="I79" i="32"/>
  <c r="I80" i="32"/>
  <c r="I81" i="32"/>
  <c r="K81" i="32" s="1"/>
  <c r="M81" i="32" s="1"/>
  <c r="I82" i="32"/>
  <c r="I83" i="32"/>
  <c r="I84" i="32"/>
  <c r="I85" i="32"/>
  <c r="K85" i="32" s="1"/>
  <c r="M85" i="32" s="1"/>
  <c r="I86" i="32"/>
  <c r="I87" i="32"/>
  <c r="I88" i="32"/>
  <c r="I89" i="32"/>
  <c r="K89" i="32" s="1"/>
  <c r="M89" i="32" s="1"/>
  <c r="I90" i="32"/>
  <c r="K90" i="32" s="1"/>
  <c r="M90" i="32" s="1"/>
  <c r="I91" i="32"/>
  <c r="K91" i="32" s="1"/>
  <c r="M91" i="32" s="1"/>
  <c r="I92" i="32"/>
  <c r="I93" i="32"/>
  <c r="I94" i="32"/>
  <c r="I95" i="32"/>
  <c r="I96" i="32"/>
  <c r="I97" i="32"/>
  <c r="K97" i="32" s="1"/>
  <c r="M97" i="32" s="1"/>
  <c r="I98" i="32"/>
  <c r="I99" i="32"/>
  <c r="I100" i="32"/>
  <c r="I101" i="32"/>
  <c r="K101" i="32" s="1"/>
  <c r="M101" i="32" s="1"/>
  <c r="I102" i="32"/>
  <c r="I103" i="32"/>
  <c r="I104" i="32"/>
  <c r="I105" i="32"/>
  <c r="K105" i="32" s="1"/>
  <c r="M105" i="32" s="1"/>
  <c r="I106" i="32"/>
  <c r="I107" i="32"/>
  <c r="K107" i="32" s="1"/>
  <c r="M107" i="32" s="1"/>
  <c r="I108" i="32"/>
  <c r="I109" i="32"/>
  <c r="I110" i="32"/>
  <c r="I111" i="32"/>
  <c r="I112" i="32"/>
  <c r="I113" i="32"/>
  <c r="K113" i="32" s="1"/>
  <c r="M113" i="32" s="1"/>
  <c r="I114" i="32"/>
  <c r="I115" i="32"/>
  <c r="I116" i="32"/>
  <c r="I117" i="32"/>
  <c r="K117" i="32" s="1"/>
  <c r="M117" i="32" s="1"/>
  <c r="I118" i="32"/>
  <c r="I119" i="32"/>
  <c r="I120" i="32"/>
  <c r="I121" i="32"/>
  <c r="K121" i="32" s="1"/>
  <c r="M121" i="32" s="1"/>
  <c r="I122" i="32"/>
  <c r="I123" i="32"/>
  <c r="K123" i="32" s="1"/>
  <c r="M123" i="32" s="1"/>
  <c r="I124" i="32"/>
  <c r="I125" i="32"/>
  <c r="I126" i="32"/>
  <c r="I127" i="32"/>
  <c r="I128" i="32"/>
  <c r="I129" i="32"/>
  <c r="K129" i="32" s="1"/>
  <c r="M129" i="32" s="1"/>
  <c r="I130" i="32"/>
  <c r="I131" i="32"/>
  <c r="I132" i="32"/>
  <c r="I133" i="32"/>
  <c r="K133" i="32" s="1"/>
  <c r="M133" i="32" s="1"/>
  <c r="I134" i="32"/>
  <c r="I135" i="32"/>
  <c r="I136" i="32"/>
  <c r="I137" i="32"/>
  <c r="K137" i="32" s="1"/>
  <c r="M137" i="32" s="1"/>
  <c r="I138" i="32"/>
  <c r="I139" i="32"/>
  <c r="K139" i="32" s="1"/>
  <c r="M139" i="32" s="1"/>
  <c r="I140" i="32"/>
  <c r="I141" i="32"/>
  <c r="I142" i="32"/>
  <c r="I143" i="32"/>
  <c r="I144" i="32"/>
  <c r="I145" i="32"/>
  <c r="K145" i="32" s="1"/>
  <c r="M145" i="32" s="1"/>
  <c r="I146" i="32"/>
  <c r="I147" i="32"/>
  <c r="I148" i="32"/>
  <c r="I149" i="32"/>
  <c r="K149" i="32" s="1"/>
  <c r="M149" i="32" s="1"/>
  <c r="I150" i="32"/>
  <c r="I151" i="32"/>
  <c r="I152" i="32"/>
  <c r="I153" i="32"/>
  <c r="K153" i="32" s="1"/>
  <c r="M153" i="32" s="1"/>
  <c r="I154" i="32"/>
  <c r="I155" i="32"/>
  <c r="K155" i="32" s="1"/>
  <c r="M155" i="32" s="1"/>
  <c r="I156" i="32"/>
  <c r="I157" i="32"/>
  <c r="K157" i="32" s="1"/>
  <c r="M157" i="32" s="1"/>
  <c r="I158" i="32"/>
  <c r="I159" i="32"/>
  <c r="I160" i="32"/>
  <c r="I161" i="32"/>
  <c r="K161" i="32" s="1"/>
  <c r="M161" i="32" s="1"/>
  <c r="I162" i="32"/>
  <c r="I163" i="32"/>
  <c r="I164" i="32"/>
  <c r="I165" i="32"/>
  <c r="K165" i="32" s="1"/>
  <c r="M165" i="32" s="1"/>
  <c r="I166" i="32"/>
  <c r="I167" i="32"/>
  <c r="I168" i="32"/>
  <c r="I169" i="32"/>
  <c r="K169" i="32" s="1"/>
  <c r="M169" i="32" s="1"/>
  <c r="I170" i="32"/>
  <c r="I171" i="32"/>
  <c r="K171" i="32" s="1"/>
  <c r="M171" i="32" s="1"/>
  <c r="I172" i="32"/>
  <c r="I173" i="32"/>
  <c r="I174" i="32"/>
  <c r="I175" i="32"/>
  <c r="I176" i="32"/>
  <c r="I177" i="32"/>
  <c r="K177" i="32" s="1"/>
  <c r="M177" i="32" s="1"/>
  <c r="I178" i="32"/>
  <c r="I179" i="32"/>
  <c r="I180" i="32"/>
  <c r="I181" i="32"/>
  <c r="K181" i="32" s="1"/>
  <c r="M181" i="32" s="1"/>
  <c r="I182" i="32"/>
  <c r="I183" i="32"/>
  <c r="I184" i="32"/>
  <c r="I185" i="32"/>
  <c r="K185" i="32" s="1"/>
  <c r="M185" i="32" s="1"/>
  <c r="I186" i="32"/>
  <c r="I187" i="32"/>
  <c r="K187" i="32" s="1"/>
  <c r="M187" i="32" s="1"/>
  <c r="I188" i="32"/>
  <c r="I189" i="32"/>
  <c r="I190" i="32"/>
  <c r="I191" i="32"/>
  <c r="I192" i="32"/>
  <c r="I193" i="32"/>
  <c r="K193" i="32" s="1"/>
  <c r="M193" i="32" s="1"/>
  <c r="I194" i="32"/>
  <c r="I195" i="32"/>
  <c r="I196" i="32"/>
  <c r="I197" i="32"/>
  <c r="K197" i="32" s="1"/>
  <c r="M197" i="32" s="1"/>
  <c r="I198" i="32"/>
  <c r="I199" i="32"/>
  <c r="I200" i="32"/>
  <c r="I201" i="32"/>
  <c r="K201" i="32" s="1"/>
  <c r="M201" i="32" s="1"/>
  <c r="I202" i="32"/>
  <c r="I203" i="32"/>
  <c r="K203" i="32" s="1"/>
  <c r="M203" i="32" s="1"/>
  <c r="I204" i="32"/>
  <c r="I205" i="32"/>
  <c r="I206" i="32"/>
  <c r="I207" i="32"/>
  <c r="I208" i="32"/>
  <c r="I209" i="32"/>
  <c r="K209" i="32" s="1"/>
  <c r="M209" i="32" s="1"/>
  <c r="I210" i="32"/>
  <c r="I211" i="32"/>
  <c r="I212" i="32"/>
  <c r="I213" i="32"/>
  <c r="K213" i="32" s="1"/>
  <c r="M213" i="32" s="1"/>
  <c r="I214" i="32"/>
  <c r="I215" i="32"/>
  <c r="I216" i="32"/>
  <c r="I217" i="32"/>
  <c r="K217" i="32" s="1"/>
  <c r="M217" i="32" s="1"/>
  <c r="I218" i="32"/>
  <c r="I219" i="32"/>
  <c r="K219" i="32" s="1"/>
  <c r="M219" i="32" s="1"/>
  <c r="I220" i="32"/>
  <c r="I221" i="32"/>
  <c r="I222" i="32"/>
  <c r="I223" i="32"/>
  <c r="I224" i="32"/>
  <c r="I225" i="32"/>
  <c r="K225" i="32" s="1"/>
  <c r="M225" i="32" s="1"/>
  <c r="I226" i="32"/>
  <c r="I227" i="32"/>
  <c r="I228" i="32"/>
  <c r="I229" i="32"/>
  <c r="K229" i="32" s="1"/>
  <c r="M229" i="32" s="1"/>
  <c r="I230" i="32"/>
  <c r="I231" i="32"/>
  <c r="I232" i="32"/>
  <c r="I233" i="32"/>
  <c r="K233" i="32" s="1"/>
  <c r="M233" i="32" s="1"/>
  <c r="I234" i="32"/>
  <c r="I235" i="32"/>
  <c r="K235" i="32" s="1"/>
  <c r="M235" i="32" s="1"/>
  <c r="I236" i="32"/>
  <c r="I237" i="32"/>
  <c r="I238" i="32"/>
  <c r="I239" i="32"/>
  <c r="I240" i="32"/>
  <c r="I241" i="32"/>
  <c r="K241" i="32" s="1"/>
  <c r="M241" i="32" s="1"/>
  <c r="I242" i="32"/>
  <c r="I243" i="32"/>
  <c r="I244" i="32"/>
  <c r="I245" i="32"/>
  <c r="K245" i="32" s="1"/>
  <c r="M245" i="32" s="1"/>
  <c r="I246" i="32"/>
  <c r="I247" i="32"/>
  <c r="I248" i="32"/>
  <c r="I249" i="32"/>
  <c r="K249" i="32" s="1"/>
  <c r="M249" i="32" s="1"/>
  <c r="I250" i="32"/>
  <c r="I251" i="32"/>
  <c r="K251" i="32" s="1"/>
  <c r="M251" i="32" s="1"/>
  <c r="I252" i="32"/>
  <c r="I253" i="32"/>
  <c r="I254" i="32"/>
  <c r="I255" i="32"/>
  <c r="I256" i="32"/>
  <c r="I257" i="32"/>
  <c r="K257" i="32" s="1"/>
  <c r="M257" i="32" s="1"/>
  <c r="I258" i="32"/>
  <c r="I259" i="32"/>
  <c r="I260" i="32"/>
  <c r="I261" i="32"/>
  <c r="K261" i="32" s="1"/>
  <c r="M261" i="32" s="1"/>
  <c r="I262" i="32"/>
  <c r="I263" i="32"/>
  <c r="I264" i="32"/>
  <c r="I265" i="32"/>
  <c r="K265" i="32" s="1"/>
  <c r="M265" i="32" s="1"/>
  <c r="I266" i="32"/>
  <c r="I267" i="32"/>
  <c r="K267" i="32" s="1"/>
  <c r="M267" i="32" s="1"/>
  <c r="I268" i="32"/>
  <c r="I269" i="32"/>
  <c r="I270" i="32"/>
  <c r="I271" i="32"/>
  <c r="I272" i="32"/>
  <c r="I273" i="32"/>
  <c r="K273" i="32" s="1"/>
  <c r="M273" i="32" s="1"/>
  <c r="I274" i="32"/>
  <c r="I275" i="32"/>
  <c r="I276" i="32"/>
  <c r="I277" i="32"/>
  <c r="K277" i="32" s="1"/>
  <c r="M277" i="32" s="1"/>
  <c r="I278" i="32"/>
  <c r="I279" i="32"/>
  <c r="I280" i="32"/>
  <c r="I281" i="32"/>
  <c r="K281" i="32" s="1"/>
  <c r="M281" i="32" s="1"/>
  <c r="I282" i="32"/>
  <c r="I283" i="32"/>
  <c r="K283" i="32" s="1"/>
  <c r="M283" i="32" s="1"/>
  <c r="I284" i="32"/>
  <c r="I285" i="32"/>
  <c r="I286" i="32"/>
  <c r="I287" i="32"/>
  <c r="I288" i="32"/>
  <c r="I289" i="32"/>
  <c r="K289" i="32" s="1"/>
  <c r="M289" i="32" s="1"/>
  <c r="I290" i="32"/>
  <c r="I291" i="32"/>
  <c r="I292" i="32"/>
  <c r="I293" i="32"/>
  <c r="K293" i="32" s="1"/>
  <c r="M293" i="32" s="1"/>
  <c r="I294" i="32"/>
  <c r="I295" i="32"/>
  <c r="I296" i="32"/>
  <c r="I297" i="32"/>
  <c r="K297" i="32" s="1"/>
  <c r="M297" i="32" s="1"/>
  <c r="I298" i="32"/>
  <c r="I299" i="32"/>
  <c r="K299" i="32" s="1"/>
  <c r="M299" i="32" s="1"/>
  <c r="I300" i="32"/>
  <c r="I301" i="32"/>
  <c r="I302" i="32"/>
  <c r="I303" i="32"/>
  <c r="I304" i="32"/>
  <c r="I305" i="32"/>
  <c r="K305" i="32" s="1"/>
  <c r="M305" i="32" s="1"/>
  <c r="I306" i="32"/>
  <c r="I307" i="32"/>
  <c r="I308" i="32"/>
  <c r="I309" i="32"/>
  <c r="K309" i="32" s="1"/>
  <c r="M309" i="32" s="1"/>
  <c r="I310" i="32"/>
  <c r="I311" i="32"/>
  <c r="I312" i="32"/>
  <c r="I313" i="32"/>
  <c r="K313" i="32" s="1"/>
  <c r="M313" i="32" s="1"/>
  <c r="I314" i="32"/>
  <c r="I315" i="32"/>
  <c r="K315" i="32" s="1"/>
  <c r="M315" i="32" s="1"/>
  <c r="I316" i="32"/>
  <c r="I317" i="32"/>
  <c r="I318" i="32"/>
  <c r="I319" i="32"/>
  <c r="I320" i="32"/>
  <c r="I321" i="32"/>
  <c r="K321" i="32" s="1"/>
  <c r="M321" i="32" s="1"/>
  <c r="I322" i="32"/>
  <c r="I323" i="32"/>
  <c r="I324" i="32"/>
  <c r="I325" i="32"/>
  <c r="K325" i="32" s="1"/>
  <c r="M325" i="32" s="1"/>
  <c r="I326" i="32"/>
  <c r="I327" i="32"/>
  <c r="I328" i="32"/>
  <c r="I329" i="32"/>
  <c r="K329" i="32" s="1"/>
  <c r="M329" i="32" s="1"/>
  <c r="I330" i="32"/>
  <c r="I331" i="32"/>
  <c r="K331" i="32" s="1"/>
  <c r="M331" i="32" s="1"/>
  <c r="I332" i="32"/>
  <c r="I333" i="32"/>
  <c r="I334" i="32"/>
  <c r="I335" i="32"/>
  <c r="I336" i="32"/>
  <c r="I337" i="32"/>
  <c r="K337" i="32" s="1"/>
  <c r="M337" i="32" s="1"/>
  <c r="I338" i="32"/>
  <c r="I339" i="32"/>
  <c r="I340" i="32"/>
  <c r="I341" i="32"/>
  <c r="K341" i="32" s="1"/>
  <c r="M341" i="32" s="1"/>
  <c r="I342" i="32"/>
  <c r="I343" i="32"/>
  <c r="I344" i="32"/>
  <c r="I345" i="32"/>
  <c r="K345" i="32" s="1"/>
  <c r="M345" i="32" s="1"/>
  <c r="I346" i="32"/>
  <c r="I347" i="32"/>
  <c r="I348" i="32"/>
  <c r="I349" i="32"/>
  <c r="I350" i="32"/>
  <c r="I351" i="32"/>
  <c r="I352" i="32"/>
  <c r="I353" i="32"/>
  <c r="K353" i="32" s="1"/>
  <c r="M353" i="32" s="1"/>
  <c r="I354" i="32"/>
  <c r="I355" i="32"/>
  <c r="I356" i="32"/>
  <c r="I357" i="32"/>
  <c r="K357" i="32" s="1"/>
  <c r="M357" i="32" s="1"/>
  <c r="I358" i="32"/>
  <c r="I359" i="32"/>
  <c r="I360" i="32"/>
  <c r="I361" i="32"/>
  <c r="K361" i="32" s="1"/>
  <c r="M361" i="32" s="1"/>
  <c r="I362" i="32"/>
  <c r="I363" i="32"/>
  <c r="K363" i="32" s="1"/>
  <c r="M363" i="32" s="1"/>
  <c r="I364" i="32"/>
  <c r="I365" i="32"/>
  <c r="I366" i="32"/>
  <c r="I367" i="32"/>
  <c r="I368" i="32"/>
  <c r="I369" i="32"/>
  <c r="K369" i="32" s="1"/>
  <c r="M369" i="32" s="1"/>
  <c r="I370" i="32"/>
  <c r="I371" i="32"/>
  <c r="I372" i="32"/>
  <c r="I373" i="32"/>
  <c r="K373" i="32" s="1"/>
  <c r="M373" i="32" s="1"/>
  <c r="I374" i="32"/>
  <c r="I375" i="32"/>
  <c r="I376" i="32"/>
  <c r="I377" i="32"/>
  <c r="K377" i="32" s="1"/>
  <c r="M377" i="32" s="1"/>
  <c r="I378" i="32"/>
  <c r="I379" i="32"/>
  <c r="I380" i="32"/>
  <c r="I381" i="32"/>
  <c r="K381" i="32" s="1"/>
  <c r="M381" i="32" s="1"/>
  <c r="I382" i="32"/>
  <c r="I383" i="32"/>
  <c r="I384" i="32"/>
  <c r="I385" i="32"/>
  <c r="K385" i="32" s="1"/>
  <c r="M385" i="32" s="1"/>
  <c r="I386" i="32"/>
  <c r="I387" i="32"/>
  <c r="I388" i="32"/>
  <c r="I389" i="32"/>
  <c r="K389" i="32" s="1"/>
  <c r="M389" i="32" s="1"/>
  <c r="I390" i="32"/>
  <c r="I391" i="32"/>
  <c r="I392" i="32"/>
  <c r="I393" i="32"/>
  <c r="K393" i="32" s="1"/>
  <c r="M393" i="32" s="1"/>
  <c r="I394" i="32"/>
  <c r="I395" i="32"/>
  <c r="K395" i="32" s="1"/>
  <c r="M395" i="32" s="1"/>
  <c r="I396" i="32"/>
  <c r="I397" i="32"/>
  <c r="I398" i="32"/>
  <c r="I399" i="32"/>
  <c r="I400" i="32"/>
  <c r="I401" i="32"/>
  <c r="K401" i="32" s="1"/>
  <c r="M401" i="32" s="1"/>
  <c r="I402" i="32"/>
  <c r="I403" i="32"/>
  <c r="I404" i="32"/>
  <c r="I405" i="32"/>
  <c r="K405" i="32" s="1"/>
  <c r="M405" i="32" s="1"/>
  <c r="I406" i="32"/>
  <c r="I407" i="32"/>
  <c r="I408" i="32"/>
  <c r="I409" i="32"/>
  <c r="K409" i="32" s="1"/>
  <c r="M409" i="32" s="1"/>
  <c r="I410" i="32"/>
  <c r="I411" i="32"/>
  <c r="I412" i="32"/>
  <c r="I413" i="32"/>
  <c r="I414" i="32"/>
  <c r="I415" i="32"/>
  <c r="I416" i="32"/>
  <c r="I417" i="32"/>
  <c r="K417" i="32" s="1"/>
  <c r="M417" i="32" s="1"/>
  <c r="I418" i="32"/>
  <c r="I419" i="32"/>
  <c r="I420" i="32"/>
  <c r="I421" i="32"/>
  <c r="K421" i="32" s="1"/>
  <c r="M421" i="32" s="1"/>
  <c r="I422" i="32"/>
  <c r="I423" i="32"/>
  <c r="I424" i="32"/>
  <c r="I425" i="32"/>
  <c r="K425" i="32" s="1"/>
  <c r="M425" i="32" s="1"/>
  <c r="I426" i="32"/>
  <c r="I427" i="32"/>
  <c r="I428" i="32"/>
  <c r="I429" i="32"/>
  <c r="I430" i="32"/>
  <c r="I431" i="32"/>
  <c r="I432" i="32"/>
  <c r="I433" i="32"/>
  <c r="K433" i="32" s="1"/>
  <c r="M433" i="32" s="1"/>
  <c r="I434" i="32"/>
  <c r="I435" i="32"/>
  <c r="I436" i="32"/>
  <c r="I437" i="32"/>
  <c r="K437" i="32" s="1"/>
  <c r="M437" i="32" s="1"/>
  <c r="I438" i="32"/>
  <c r="I439" i="32"/>
  <c r="I440" i="32"/>
  <c r="I441" i="32"/>
  <c r="K441" i="32" s="1"/>
  <c r="M441" i="32" s="1"/>
  <c r="I442" i="32"/>
  <c r="I443" i="32"/>
  <c r="I444" i="32"/>
  <c r="I445" i="32"/>
  <c r="I446" i="32"/>
  <c r="I447" i="32"/>
  <c r="I448" i="32"/>
  <c r="I449" i="32"/>
  <c r="K449" i="32" s="1"/>
  <c r="M449" i="32" s="1"/>
  <c r="I450" i="32"/>
  <c r="I451" i="32"/>
  <c r="I452" i="32"/>
  <c r="I453" i="32"/>
  <c r="K453" i="32" s="1"/>
  <c r="M453" i="32" s="1"/>
  <c r="I454" i="32"/>
  <c r="I455" i="32"/>
  <c r="I456" i="32"/>
  <c r="I457" i="32"/>
  <c r="K457" i="32" s="1"/>
  <c r="M457" i="32" s="1"/>
  <c r="I458" i="32"/>
  <c r="I459" i="32"/>
  <c r="I460" i="32"/>
  <c r="I461" i="32"/>
  <c r="I462" i="32"/>
  <c r="I463" i="32"/>
  <c r="I464" i="32"/>
  <c r="I465" i="32"/>
  <c r="K465" i="32" s="1"/>
  <c r="M465" i="32" s="1"/>
  <c r="I466" i="32"/>
  <c r="I467" i="32"/>
  <c r="I468" i="32"/>
  <c r="I469" i="32"/>
  <c r="K469" i="32" s="1"/>
  <c r="M469" i="32" s="1"/>
  <c r="I470" i="32"/>
  <c r="I471" i="32"/>
  <c r="I472" i="32"/>
  <c r="I473" i="32"/>
  <c r="K473" i="32" s="1"/>
  <c r="M473" i="32" s="1"/>
  <c r="I474" i="32"/>
  <c r="I475" i="32"/>
  <c r="I476" i="32"/>
  <c r="I477" i="32"/>
  <c r="I478" i="32"/>
  <c r="I479" i="32"/>
  <c r="I480" i="32"/>
  <c r="I481" i="32"/>
  <c r="K481" i="32" s="1"/>
  <c r="M481" i="32" s="1"/>
  <c r="I482" i="32"/>
  <c r="I483" i="32"/>
  <c r="I484" i="32"/>
  <c r="I485" i="32"/>
  <c r="K485" i="32" s="1"/>
  <c r="M485" i="32" s="1"/>
  <c r="I486" i="32"/>
  <c r="I487" i="32"/>
  <c r="I488" i="32"/>
  <c r="I489" i="32"/>
  <c r="K489" i="32" s="1"/>
  <c r="M489" i="32" s="1"/>
  <c r="I490" i="32"/>
  <c r="I491" i="32"/>
  <c r="I492" i="32"/>
  <c r="I493" i="32"/>
  <c r="I494" i="32"/>
  <c r="I495" i="32"/>
  <c r="I496" i="32"/>
  <c r="I497" i="32"/>
  <c r="K497" i="32" s="1"/>
  <c r="M497" i="32" s="1"/>
  <c r="I498" i="32"/>
  <c r="I499" i="32"/>
  <c r="I500" i="32"/>
  <c r="I501" i="32"/>
  <c r="K501" i="32" s="1"/>
  <c r="M501" i="32" s="1"/>
  <c r="I502" i="32"/>
  <c r="I503" i="32"/>
  <c r="I504" i="32"/>
  <c r="I505" i="32"/>
  <c r="K505" i="32" s="1"/>
  <c r="M505" i="32" s="1"/>
  <c r="I506" i="32"/>
  <c r="I507" i="32"/>
  <c r="I508" i="32"/>
  <c r="I509" i="32"/>
  <c r="I510" i="32"/>
  <c r="I511" i="32"/>
  <c r="I512" i="32"/>
  <c r="I513" i="32"/>
  <c r="K513" i="32" s="1"/>
  <c r="M513" i="32" s="1"/>
  <c r="I514" i="32"/>
  <c r="I515" i="32"/>
  <c r="I516" i="32"/>
  <c r="I517" i="32"/>
  <c r="K517" i="32" s="1"/>
  <c r="M517" i="32" s="1"/>
  <c r="I518" i="32"/>
  <c r="I519" i="32"/>
  <c r="I520" i="32"/>
  <c r="I521" i="32"/>
  <c r="K521" i="32" s="1"/>
  <c r="M521" i="32" s="1"/>
  <c r="I522" i="32"/>
  <c r="I523" i="32"/>
  <c r="I524" i="32"/>
  <c r="I525" i="32"/>
  <c r="I526" i="32"/>
  <c r="I527" i="32"/>
  <c r="I528" i="32"/>
  <c r="I529" i="32"/>
  <c r="K529" i="32" s="1"/>
  <c r="M529" i="32" s="1"/>
  <c r="I530" i="32"/>
  <c r="I531" i="32"/>
  <c r="I532" i="32"/>
  <c r="I533" i="32"/>
  <c r="K533" i="32" s="1"/>
  <c r="M533" i="32" s="1"/>
  <c r="I534" i="32"/>
  <c r="I535" i="32"/>
  <c r="I536" i="32"/>
  <c r="I537" i="32"/>
  <c r="K537" i="32" s="1"/>
  <c r="M537" i="32" s="1"/>
  <c r="I538" i="32"/>
  <c r="I539" i="32"/>
  <c r="I540" i="32"/>
  <c r="I541" i="32"/>
  <c r="I542" i="32"/>
  <c r="I543" i="32"/>
  <c r="I544" i="32"/>
  <c r="I545" i="32"/>
  <c r="K545" i="32" s="1"/>
  <c r="M545" i="32" s="1"/>
  <c r="I546" i="32"/>
  <c r="I547" i="32"/>
  <c r="I548" i="32"/>
  <c r="I549" i="32"/>
  <c r="K549" i="32" s="1"/>
  <c r="M549" i="32" s="1"/>
  <c r="I550" i="32"/>
  <c r="I551" i="32"/>
  <c r="I552" i="32"/>
  <c r="I553" i="32"/>
  <c r="K553" i="32" s="1"/>
  <c r="M553" i="32" s="1"/>
  <c r="I554" i="32"/>
  <c r="I555" i="32"/>
  <c r="I556" i="32"/>
  <c r="I557" i="32"/>
  <c r="I558" i="32"/>
  <c r="I559" i="32"/>
  <c r="I560" i="32"/>
  <c r="I561" i="32"/>
  <c r="K561" i="32" s="1"/>
  <c r="M561" i="32" s="1"/>
  <c r="I562" i="32"/>
  <c r="I563" i="32"/>
  <c r="I564" i="32"/>
  <c r="I565" i="32"/>
  <c r="K565" i="32" s="1"/>
  <c r="M565" i="32" s="1"/>
  <c r="I566" i="32"/>
  <c r="I567" i="32"/>
  <c r="I568" i="32"/>
  <c r="I569" i="32"/>
  <c r="K569" i="32" s="1"/>
  <c r="M569" i="32" s="1"/>
  <c r="I570" i="32"/>
  <c r="I571" i="32"/>
  <c r="I572" i="32"/>
  <c r="I573" i="32"/>
  <c r="I574" i="32"/>
  <c r="I575" i="32"/>
  <c r="I576" i="32"/>
  <c r="I577" i="32"/>
  <c r="K577" i="32" s="1"/>
  <c r="M577" i="32" s="1"/>
  <c r="I578" i="32"/>
  <c r="I579" i="32"/>
  <c r="I580" i="32"/>
  <c r="I581" i="32"/>
  <c r="K581" i="32" s="1"/>
  <c r="M581" i="32" s="1"/>
  <c r="I582" i="32"/>
  <c r="I583" i="32"/>
  <c r="I584" i="32"/>
  <c r="I585" i="32"/>
  <c r="K585" i="32" s="1"/>
  <c r="M585" i="32" s="1"/>
  <c r="I586" i="32"/>
  <c r="I587" i="32"/>
  <c r="I588" i="32"/>
  <c r="I589" i="32"/>
  <c r="I590" i="32"/>
  <c r="I591" i="32"/>
  <c r="I592" i="32"/>
  <c r="I593" i="32"/>
  <c r="K593" i="32" s="1"/>
  <c r="M593" i="32" s="1"/>
  <c r="I594" i="32"/>
  <c r="I595" i="32"/>
  <c r="I596" i="32"/>
  <c r="I597" i="32"/>
  <c r="K597" i="32" s="1"/>
  <c r="M597" i="32" s="1"/>
  <c r="I598" i="32"/>
  <c r="I599" i="32"/>
  <c r="I600" i="32"/>
  <c r="I601" i="32"/>
  <c r="K601" i="32" s="1"/>
  <c r="M601" i="32" s="1"/>
  <c r="I602" i="32"/>
  <c r="I603" i="32"/>
  <c r="I604" i="32"/>
  <c r="I605" i="32"/>
  <c r="I606" i="32"/>
  <c r="I607" i="32"/>
  <c r="I608" i="32"/>
  <c r="I609" i="32"/>
  <c r="K609" i="32" s="1"/>
  <c r="M609" i="32" s="1"/>
  <c r="I610" i="32"/>
  <c r="I611" i="32"/>
  <c r="I612" i="32"/>
  <c r="I613" i="32"/>
  <c r="K613" i="32" s="1"/>
  <c r="M613" i="32" s="1"/>
  <c r="I614" i="32"/>
  <c r="I615" i="32"/>
  <c r="I616" i="32"/>
  <c r="I617" i="32"/>
  <c r="K617" i="32" s="1"/>
  <c r="M617" i="32" s="1"/>
  <c r="I618" i="32"/>
  <c r="I619" i="32"/>
  <c r="I620" i="32"/>
  <c r="I621" i="32"/>
  <c r="I622" i="32"/>
  <c r="I623" i="32"/>
  <c r="I624" i="32"/>
  <c r="I625" i="32"/>
  <c r="K625" i="32" s="1"/>
  <c r="M625" i="32" s="1"/>
  <c r="I626" i="32"/>
  <c r="I627" i="32"/>
  <c r="I628" i="32"/>
  <c r="I629" i="32"/>
  <c r="K629" i="32" s="1"/>
  <c r="M629" i="32" s="1"/>
  <c r="I630" i="32"/>
  <c r="I631" i="32"/>
  <c r="I632" i="32"/>
  <c r="I633" i="32"/>
  <c r="K633" i="32" s="1"/>
  <c r="M633" i="32" s="1"/>
  <c r="I634" i="32"/>
  <c r="I635" i="32"/>
  <c r="I636" i="32"/>
  <c r="I637" i="32"/>
  <c r="I638" i="32"/>
  <c r="I639" i="32"/>
  <c r="I640" i="32"/>
  <c r="I641" i="32"/>
  <c r="K641" i="32" s="1"/>
  <c r="M641" i="32" s="1"/>
  <c r="I642" i="32"/>
  <c r="K12" i="32"/>
  <c r="M12" i="32" s="1"/>
  <c r="K14" i="32"/>
  <c r="M14" i="32" s="1"/>
  <c r="K16" i="32"/>
  <c r="M16" i="32" s="1"/>
  <c r="K17" i="32"/>
  <c r="M17" i="32" s="1"/>
  <c r="K20" i="32"/>
  <c r="M20" i="32" s="1"/>
  <c r="K21" i="32"/>
  <c r="M21" i="32" s="1"/>
  <c r="K22" i="32"/>
  <c r="M22" i="32" s="1"/>
  <c r="K24" i="32"/>
  <c r="M24" i="32" s="1"/>
  <c r="K25" i="32"/>
  <c r="M25" i="32" s="1"/>
  <c r="K28" i="32"/>
  <c r="M28" i="32" s="1"/>
  <c r="K29" i="32"/>
  <c r="M29" i="32" s="1"/>
  <c r="K30" i="32"/>
  <c r="M30" i="32" s="1"/>
  <c r="K32" i="32"/>
  <c r="M32" i="32" s="1"/>
  <c r="K33" i="32"/>
  <c r="M33" i="32" s="1"/>
  <c r="K34" i="32"/>
  <c r="M34" i="32" s="1"/>
  <c r="K36" i="32"/>
  <c r="M36" i="32" s="1"/>
  <c r="K37" i="32"/>
  <c r="M37" i="32" s="1"/>
  <c r="K38" i="32"/>
  <c r="M38" i="32" s="1"/>
  <c r="K40" i="32"/>
  <c r="M40" i="32" s="1"/>
  <c r="K41" i="32"/>
  <c r="M41" i="32" s="1"/>
  <c r="K42" i="32"/>
  <c r="M42" i="32" s="1"/>
  <c r="K44" i="32"/>
  <c r="M44" i="32" s="1"/>
  <c r="K45" i="32"/>
  <c r="M45" i="32" s="1"/>
  <c r="K46" i="32"/>
  <c r="M46" i="32" s="1"/>
  <c r="K48" i="32"/>
  <c r="M48" i="32" s="1"/>
  <c r="K49" i="32"/>
  <c r="M49" i="32" s="1"/>
  <c r="K50" i="32"/>
  <c r="M50" i="32" s="1"/>
  <c r="K52" i="32"/>
  <c r="M52" i="32" s="1"/>
  <c r="K53" i="32"/>
  <c r="M53" i="32" s="1"/>
  <c r="K54" i="32"/>
  <c r="M54" i="32" s="1"/>
  <c r="K56" i="32"/>
  <c r="M56" i="32" s="1"/>
  <c r="K57" i="32"/>
  <c r="M57" i="32" s="1"/>
  <c r="K58" i="32"/>
  <c r="M58" i="32" s="1"/>
  <c r="K60" i="32"/>
  <c r="M60" i="32" s="1"/>
  <c r="K61" i="32"/>
  <c r="M61" i="32" s="1"/>
  <c r="K62" i="32"/>
  <c r="M62" i="32" s="1"/>
  <c r="K64" i="32"/>
  <c r="M64" i="32" s="1"/>
  <c r="K65" i="32"/>
  <c r="M65" i="32" s="1"/>
  <c r="K66" i="32"/>
  <c r="M66" i="32" s="1"/>
  <c r="K68" i="32"/>
  <c r="M68" i="32" s="1"/>
  <c r="K69" i="32"/>
  <c r="M69" i="32" s="1"/>
  <c r="K70" i="32"/>
  <c r="M70" i="32" s="1"/>
  <c r="K72" i="32"/>
  <c r="M72" i="32" s="1"/>
  <c r="K73" i="32"/>
  <c r="M73" i="32" s="1"/>
  <c r="K74" i="32"/>
  <c r="M74" i="32" s="1"/>
  <c r="K76" i="32"/>
  <c r="M76" i="32" s="1"/>
  <c r="K77" i="32"/>
  <c r="M77" i="32" s="1"/>
  <c r="K78" i="32"/>
  <c r="M78" i="32" s="1"/>
  <c r="K80" i="32"/>
  <c r="M80" i="32" s="1"/>
  <c r="K82" i="32"/>
  <c r="M82" i="32" s="1"/>
  <c r="K84" i="32"/>
  <c r="M84" i="32" s="1"/>
  <c r="K86" i="32"/>
  <c r="M86" i="32" s="1"/>
  <c r="K88" i="32"/>
  <c r="M88" i="32" s="1"/>
  <c r="K92" i="32"/>
  <c r="M92" i="32" s="1"/>
  <c r="K93" i="32"/>
  <c r="M93" i="32" s="1"/>
  <c r="K94" i="32"/>
  <c r="M94" i="32" s="1"/>
  <c r="K96" i="32"/>
  <c r="M96" i="32" s="1"/>
  <c r="K98" i="32"/>
  <c r="M98" i="32" s="1"/>
  <c r="K100" i="32"/>
  <c r="M100" i="32" s="1"/>
  <c r="K102" i="32"/>
  <c r="M102" i="32" s="1"/>
  <c r="K104" i="32"/>
  <c r="M104" i="32" s="1"/>
  <c r="K106" i="32"/>
  <c r="M106" i="32" s="1"/>
  <c r="K108" i="32"/>
  <c r="M108" i="32" s="1"/>
  <c r="K109" i="32"/>
  <c r="M109" i="32" s="1"/>
  <c r="K110" i="32"/>
  <c r="M110" i="32" s="1"/>
  <c r="K112" i="32"/>
  <c r="M112" i="32" s="1"/>
  <c r="K114" i="32"/>
  <c r="M114" i="32" s="1"/>
  <c r="K116" i="32"/>
  <c r="M116" i="32" s="1"/>
  <c r="K118" i="32"/>
  <c r="M118" i="32" s="1"/>
  <c r="K120" i="32"/>
  <c r="M120" i="32" s="1"/>
  <c r="K122" i="32"/>
  <c r="M122" i="32" s="1"/>
  <c r="K124" i="32"/>
  <c r="M124" i="32" s="1"/>
  <c r="K125" i="32"/>
  <c r="M125" i="32" s="1"/>
  <c r="K126" i="32"/>
  <c r="M126" i="32" s="1"/>
  <c r="K128" i="32"/>
  <c r="M128" i="32" s="1"/>
  <c r="K130" i="32"/>
  <c r="M130" i="32" s="1"/>
  <c r="K132" i="32"/>
  <c r="M132" i="32" s="1"/>
  <c r="K134" i="32"/>
  <c r="M134" i="32" s="1"/>
  <c r="K136" i="32"/>
  <c r="M136" i="32" s="1"/>
  <c r="K138" i="32"/>
  <c r="M138" i="32" s="1"/>
  <c r="K140" i="32"/>
  <c r="M140" i="32" s="1"/>
  <c r="K141" i="32"/>
  <c r="M141" i="32" s="1"/>
  <c r="K142" i="32"/>
  <c r="M142" i="32" s="1"/>
  <c r="K144" i="32"/>
  <c r="M144" i="32" s="1"/>
  <c r="K146" i="32"/>
  <c r="M146" i="32" s="1"/>
  <c r="K148" i="32"/>
  <c r="M148" i="32" s="1"/>
  <c r="K150" i="32"/>
  <c r="M150" i="32" s="1"/>
  <c r="K152" i="32"/>
  <c r="M152" i="32" s="1"/>
  <c r="K154" i="32"/>
  <c r="M154" i="32" s="1"/>
  <c r="K156" i="32"/>
  <c r="M156" i="32" s="1"/>
  <c r="K158" i="32"/>
  <c r="M158" i="32" s="1"/>
  <c r="K160" i="32"/>
  <c r="M160" i="32" s="1"/>
  <c r="K162" i="32"/>
  <c r="M162" i="32" s="1"/>
  <c r="K164" i="32"/>
  <c r="M164" i="32" s="1"/>
  <c r="K166" i="32"/>
  <c r="M166" i="32" s="1"/>
  <c r="K168" i="32"/>
  <c r="M168" i="32" s="1"/>
  <c r="K170" i="32"/>
  <c r="M170" i="32" s="1"/>
  <c r="K172" i="32"/>
  <c r="M172" i="32" s="1"/>
  <c r="K173" i="32"/>
  <c r="M173" i="32" s="1"/>
  <c r="K174" i="32"/>
  <c r="M174" i="32" s="1"/>
  <c r="K176" i="32"/>
  <c r="M176" i="32" s="1"/>
  <c r="K178" i="32"/>
  <c r="M178" i="32" s="1"/>
  <c r="K180" i="32"/>
  <c r="M180" i="32" s="1"/>
  <c r="K182" i="32"/>
  <c r="M182" i="32" s="1"/>
  <c r="K184" i="32"/>
  <c r="M184" i="32" s="1"/>
  <c r="K186" i="32"/>
  <c r="M186" i="32" s="1"/>
  <c r="K188" i="32"/>
  <c r="M188" i="32" s="1"/>
  <c r="K189" i="32"/>
  <c r="M189" i="32" s="1"/>
  <c r="K190" i="32"/>
  <c r="M190" i="32" s="1"/>
  <c r="K192" i="32"/>
  <c r="M192" i="32" s="1"/>
  <c r="K194" i="32"/>
  <c r="M194" i="32" s="1"/>
  <c r="K196" i="32"/>
  <c r="M196" i="32" s="1"/>
  <c r="K198" i="32"/>
  <c r="M198" i="32" s="1"/>
  <c r="K200" i="32"/>
  <c r="M200" i="32" s="1"/>
  <c r="K202" i="32"/>
  <c r="M202" i="32" s="1"/>
  <c r="K204" i="32"/>
  <c r="M204" i="32" s="1"/>
  <c r="K205" i="32"/>
  <c r="M205" i="32" s="1"/>
  <c r="K206" i="32"/>
  <c r="M206" i="32" s="1"/>
  <c r="K208" i="32"/>
  <c r="M208" i="32" s="1"/>
  <c r="K210" i="32"/>
  <c r="M210" i="32" s="1"/>
  <c r="K212" i="32"/>
  <c r="M212" i="32" s="1"/>
  <c r="K214" i="32"/>
  <c r="M214" i="32" s="1"/>
  <c r="K216" i="32"/>
  <c r="M216" i="32" s="1"/>
  <c r="K218" i="32"/>
  <c r="M218" i="32" s="1"/>
  <c r="K220" i="32"/>
  <c r="M220" i="32" s="1"/>
  <c r="K221" i="32"/>
  <c r="M221" i="32" s="1"/>
  <c r="K222" i="32"/>
  <c r="M222" i="32" s="1"/>
  <c r="K224" i="32"/>
  <c r="M224" i="32" s="1"/>
  <c r="K226" i="32"/>
  <c r="M226" i="32" s="1"/>
  <c r="K228" i="32"/>
  <c r="M228" i="32" s="1"/>
  <c r="K230" i="32"/>
  <c r="M230" i="32" s="1"/>
  <c r="K232" i="32"/>
  <c r="M232" i="32" s="1"/>
  <c r="K234" i="32"/>
  <c r="M234" i="32" s="1"/>
  <c r="K236" i="32"/>
  <c r="M236" i="32" s="1"/>
  <c r="K237" i="32"/>
  <c r="M237" i="32" s="1"/>
  <c r="K238" i="32"/>
  <c r="M238" i="32" s="1"/>
  <c r="K240" i="32"/>
  <c r="M240" i="32" s="1"/>
  <c r="K242" i="32"/>
  <c r="M242" i="32" s="1"/>
  <c r="K244" i="32"/>
  <c r="M244" i="32" s="1"/>
  <c r="K246" i="32"/>
  <c r="M246" i="32" s="1"/>
  <c r="K248" i="32"/>
  <c r="M248" i="32" s="1"/>
  <c r="K250" i="32"/>
  <c r="M250" i="32" s="1"/>
  <c r="K252" i="32"/>
  <c r="M252" i="32" s="1"/>
  <c r="K253" i="32"/>
  <c r="M253" i="32" s="1"/>
  <c r="K254" i="32"/>
  <c r="M254" i="32" s="1"/>
  <c r="K256" i="32"/>
  <c r="M256" i="32" s="1"/>
  <c r="K258" i="32"/>
  <c r="M258" i="32" s="1"/>
  <c r="K260" i="32"/>
  <c r="M260" i="32" s="1"/>
  <c r="K262" i="32"/>
  <c r="M262" i="32" s="1"/>
  <c r="K264" i="32"/>
  <c r="M264" i="32" s="1"/>
  <c r="K266" i="32"/>
  <c r="M266" i="32" s="1"/>
  <c r="K268" i="32"/>
  <c r="M268" i="32" s="1"/>
  <c r="K269" i="32"/>
  <c r="M269" i="32" s="1"/>
  <c r="K270" i="32"/>
  <c r="M270" i="32" s="1"/>
  <c r="K272" i="32"/>
  <c r="M272" i="32" s="1"/>
  <c r="K274" i="32"/>
  <c r="M274" i="32" s="1"/>
  <c r="K276" i="32"/>
  <c r="M276" i="32" s="1"/>
  <c r="K278" i="32"/>
  <c r="M278" i="32" s="1"/>
  <c r="K280" i="32"/>
  <c r="M280" i="32" s="1"/>
  <c r="K282" i="32"/>
  <c r="M282" i="32" s="1"/>
  <c r="K284" i="32"/>
  <c r="M284" i="32" s="1"/>
  <c r="K285" i="32"/>
  <c r="M285" i="32" s="1"/>
  <c r="K286" i="32"/>
  <c r="M286" i="32" s="1"/>
  <c r="K288" i="32"/>
  <c r="M288" i="32" s="1"/>
  <c r="K290" i="32"/>
  <c r="M290" i="32" s="1"/>
  <c r="K292" i="32"/>
  <c r="M292" i="32" s="1"/>
  <c r="K294" i="32"/>
  <c r="M294" i="32" s="1"/>
  <c r="K296" i="32"/>
  <c r="M296" i="32" s="1"/>
  <c r="K298" i="32"/>
  <c r="M298" i="32" s="1"/>
  <c r="K300" i="32"/>
  <c r="M300" i="32" s="1"/>
  <c r="K301" i="32"/>
  <c r="M301" i="32" s="1"/>
  <c r="K302" i="32"/>
  <c r="M302" i="32" s="1"/>
  <c r="K304" i="32"/>
  <c r="M304" i="32" s="1"/>
  <c r="K306" i="32"/>
  <c r="M306" i="32" s="1"/>
  <c r="K308" i="32"/>
  <c r="M308" i="32" s="1"/>
  <c r="K310" i="32"/>
  <c r="M310" i="32" s="1"/>
  <c r="K312" i="32"/>
  <c r="M312" i="32" s="1"/>
  <c r="K314" i="32"/>
  <c r="M314" i="32" s="1"/>
  <c r="K316" i="32"/>
  <c r="M316" i="32" s="1"/>
  <c r="K317" i="32"/>
  <c r="M317" i="32" s="1"/>
  <c r="K318" i="32"/>
  <c r="M318" i="32" s="1"/>
  <c r="K320" i="32"/>
  <c r="M320" i="32" s="1"/>
  <c r="K322" i="32"/>
  <c r="M322" i="32" s="1"/>
  <c r="K324" i="32"/>
  <c r="M324" i="32" s="1"/>
  <c r="K326" i="32"/>
  <c r="M326" i="32" s="1"/>
  <c r="K328" i="32"/>
  <c r="M328" i="32" s="1"/>
  <c r="K330" i="32"/>
  <c r="M330" i="32" s="1"/>
  <c r="K332" i="32"/>
  <c r="M332" i="32" s="1"/>
  <c r="K333" i="32"/>
  <c r="M333" i="32" s="1"/>
  <c r="K334" i="32"/>
  <c r="M334" i="32" s="1"/>
  <c r="K336" i="32"/>
  <c r="M336" i="32" s="1"/>
  <c r="K338" i="32"/>
  <c r="M338" i="32" s="1"/>
  <c r="K340" i="32"/>
  <c r="M340" i="32" s="1"/>
  <c r="K342" i="32"/>
  <c r="M342" i="32" s="1"/>
  <c r="K344" i="32"/>
  <c r="M344" i="32" s="1"/>
  <c r="K346" i="32"/>
  <c r="M346" i="32" s="1"/>
  <c r="K348" i="32"/>
  <c r="M348" i="32" s="1"/>
  <c r="K349" i="32"/>
  <c r="M349" i="32" s="1"/>
  <c r="K350" i="32"/>
  <c r="M350" i="32" s="1"/>
  <c r="K352" i="32"/>
  <c r="M352" i="32" s="1"/>
  <c r="K354" i="32"/>
  <c r="M354" i="32" s="1"/>
  <c r="K356" i="32"/>
  <c r="M356" i="32" s="1"/>
  <c r="K358" i="32"/>
  <c r="M358" i="32" s="1"/>
  <c r="K360" i="32"/>
  <c r="M360" i="32" s="1"/>
  <c r="K362" i="32"/>
  <c r="M362" i="32" s="1"/>
  <c r="K364" i="32"/>
  <c r="M364" i="32" s="1"/>
  <c r="K365" i="32"/>
  <c r="M365" i="32" s="1"/>
  <c r="K366" i="32"/>
  <c r="M366" i="32" s="1"/>
  <c r="K368" i="32"/>
  <c r="M368" i="32" s="1"/>
  <c r="K370" i="32"/>
  <c r="M370" i="32" s="1"/>
  <c r="K372" i="32"/>
  <c r="M372" i="32" s="1"/>
  <c r="K374" i="32"/>
  <c r="M374" i="32" s="1"/>
  <c r="K376" i="32"/>
  <c r="M376" i="32" s="1"/>
  <c r="K378" i="32"/>
  <c r="M378" i="32" s="1"/>
  <c r="K380" i="32"/>
  <c r="M380" i="32" s="1"/>
  <c r="K382" i="32"/>
  <c r="M382" i="32" s="1"/>
  <c r="K384" i="32"/>
  <c r="M384" i="32" s="1"/>
  <c r="K386" i="32"/>
  <c r="M386" i="32" s="1"/>
  <c r="K388" i="32"/>
  <c r="M388" i="32" s="1"/>
  <c r="K390" i="32"/>
  <c r="M390" i="32" s="1"/>
  <c r="K392" i="32"/>
  <c r="M392" i="32" s="1"/>
  <c r="K394" i="32"/>
  <c r="M394" i="32" s="1"/>
  <c r="K396" i="32"/>
  <c r="M396" i="32" s="1"/>
  <c r="K397" i="32"/>
  <c r="M397" i="32" s="1"/>
  <c r="K398" i="32"/>
  <c r="M398" i="32" s="1"/>
  <c r="K400" i="32"/>
  <c r="M400" i="32" s="1"/>
  <c r="K402" i="32"/>
  <c r="M402" i="32" s="1"/>
  <c r="K404" i="32"/>
  <c r="M404" i="32" s="1"/>
  <c r="K406" i="32"/>
  <c r="M406" i="32" s="1"/>
  <c r="K408" i="32"/>
  <c r="M408" i="32" s="1"/>
  <c r="K410" i="32"/>
  <c r="M410" i="32" s="1"/>
  <c r="K412" i="32"/>
  <c r="M412" i="32" s="1"/>
  <c r="K413" i="32"/>
  <c r="M413" i="32" s="1"/>
  <c r="K414" i="32"/>
  <c r="M414" i="32" s="1"/>
  <c r="K416" i="32"/>
  <c r="M416" i="32" s="1"/>
  <c r="K418" i="32"/>
  <c r="M418" i="32" s="1"/>
  <c r="K420" i="32"/>
  <c r="M420" i="32" s="1"/>
  <c r="K422" i="32"/>
  <c r="M422" i="32" s="1"/>
  <c r="K424" i="32"/>
  <c r="M424" i="32" s="1"/>
  <c r="K426" i="32"/>
  <c r="M426" i="32" s="1"/>
  <c r="K428" i="32"/>
  <c r="M428" i="32" s="1"/>
  <c r="K429" i="32"/>
  <c r="M429" i="32" s="1"/>
  <c r="K430" i="32"/>
  <c r="M430" i="32" s="1"/>
  <c r="K432" i="32"/>
  <c r="M432" i="32" s="1"/>
  <c r="K434" i="32"/>
  <c r="M434" i="32" s="1"/>
  <c r="K436" i="32"/>
  <c r="M436" i="32" s="1"/>
  <c r="K438" i="32"/>
  <c r="M438" i="32" s="1"/>
  <c r="K440" i="32"/>
  <c r="M440" i="32" s="1"/>
  <c r="K442" i="32"/>
  <c r="M442" i="32" s="1"/>
  <c r="K444" i="32"/>
  <c r="M444" i="32" s="1"/>
  <c r="K445" i="32"/>
  <c r="M445" i="32" s="1"/>
  <c r="K446" i="32"/>
  <c r="M446" i="32" s="1"/>
  <c r="K448" i="32"/>
  <c r="M448" i="32" s="1"/>
  <c r="K450" i="32"/>
  <c r="M450" i="32" s="1"/>
  <c r="K452" i="32"/>
  <c r="M452" i="32" s="1"/>
  <c r="K454" i="32"/>
  <c r="M454" i="32" s="1"/>
  <c r="K456" i="32"/>
  <c r="M456" i="32" s="1"/>
  <c r="K458" i="32"/>
  <c r="M458" i="32" s="1"/>
  <c r="K460" i="32"/>
  <c r="M460" i="32" s="1"/>
  <c r="K461" i="32"/>
  <c r="M461" i="32" s="1"/>
  <c r="K462" i="32"/>
  <c r="M462" i="32" s="1"/>
  <c r="K464" i="32"/>
  <c r="M464" i="32" s="1"/>
  <c r="K466" i="32"/>
  <c r="M466" i="32" s="1"/>
  <c r="K468" i="32"/>
  <c r="M468" i="32" s="1"/>
  <c r="K470" i="32"/>
  <c r="M470" i="32" s="1"/>
  <c r="K472" i="32"/>
  <c r="M472" i="32" s="1"/>
  <c r="K474" i="32"/>
  <c r="M474" i="32" s="1"/>
  <c r="K476" i="32"/>
  <c r="M476" i="32" s="1"/>
  <c r="K477" i="32"/>
  <c r="M477" i="32" s="1"/>
  <c r="K478" i="32"/>
  <c r="M478" i="32" s="1"/>
  <c r="K480" i="32"/>
  <c r="M480" i="32" s="1"/>
  <c r="K482" i="32"/>
  <c r="M482" i="32" s="1"/>
  <c r="K484" i="32"/>
  <c r="M484" i="32" s="1"/>
  <c r="K486" i="32"/>
  <c r="M486" i="32" s="1"/>
  <c r="K488" i="32"/>
  <c r="M488" i="32" s="1"/>
  <c r="K490" i="32"/>
  <c r="M490" i="32" s="1"/>
  <c r="K492" i="32"/>
  <c r="M492" i="32" s="1"/>
  <c r="K493" i="32"/>
  <c r="M493" i="32" s="1"/>
  <c r="K494" i="32"/>
  <c r="M494" i="32" s="1"/>
  <c r="K496" i="32"/>
  <c r="M496" i="32" s="1"/>
  <c r="K498" i="32"/>
  <c r="M498" i="32" s="1"/>
  <c r="K500" i="32"/>
  <c r="M500" i="32" s="1"/>
  <c r="K502" i="32"/>
  <c r="M502" i="32" s="1"/>
  <c r="K504" i="32"/>
  <c r="M504" i="32" s="1"/>
  <c r="K506" i="32"/>
  <c r="M506" i="32" s="1"/>
  <c r="K508" i="32"/>
  <c r="M508" i="32" s="1"/>
  <c r="K509" i="32"/>
  <c r="M509" i="32" s="1"/>
  <c r="K510" i="32"/>
  <c r="M510" i="32" s="1"/>
  <c r="K512" i="32"/>
  <c r="M512" i="32" s="1"/>
  <c r="K514" i="32"/>
  <c r="M514" i="32" s="1"/>
  <c r="K516" i="32"/>
  <c r="M516" i="32" s="1"/>
  <c r="K518" i="32"/>
  <c r="M518" i="32" s="1"/>
  <c r="K520" i="32"/>
  <c r="M520" i="32" s="1"/>
  <c r="K522" i="32"/>
  <c r="M522" i="32" s="1"/>
  <c r="K524" i="32"/>
  <c r="M524" i="32" s="1"/>
  <c r="K525" i="32"/>
  <c r="M525" i="32" s="1"/>
  <c r="K526" i="32"/>
  <c r="M526" i="32" s="1"/>
  <c r="K528" i="32"/>
  <c r="M528" i="32" s="1"/>
  <c r="K530" i="32"/>
  <c r="M530" i="32" s="1"/>
  <c r="K532" i="32"/>
  <c r="M532" i="32" s="1"/>
  <c r="K534" i="32"/>
  <c r="M534" i="32" s="1"/>
  <c r="K536" i="32"/>
  <c r="M536" i="32" s="1"/>
  <c r="K538" i="32"/>
  <c r="M538" i="32" s="1"/>
  <c r="K540" i="32"/>
  <c r="M540" i="32" s="1"/>
  <c r="K541" i="32"/>
  <c r="M541" i="32" s="1"/>
  <c r="K542" i="32"/>
  <c r="M542" i="32" s="1"/>
  <c r="K544" i="32"/>
  <c r="M544" i="32" s="1"/>
  <c r="K546" i="32"/>
  <c r="M546" i="32" s="1"/>
  <c r="K548" i="32"/>
  <c r="M548" i="32" s="1"/>
  <c r="K550" i="32"/>
  <c r="M550" i="32" s="1"/>
  <c r="K552" i="32"/>
  <c r="M552" i="32" s="1"/>
  <c r="K554" i="32"/>
  <c r="M554" i="32" s="1"/>
  <c r="K556" i="32"/>
  <c r="M556" i="32" s="1"/>
  <c r="K557" i="32"/>
  <c r="M557" i="32" s="1"/>
  <c r="K558" i="32"/>
  <c r="M558" i="32" s="1"/>
  <c r="K560" i="32"/>
  <c r="M560" i="32" s="1"/>
  <c r="K562" i="32"/>
  <c r="M562" i="32" s="1"/>
  <c r="K564" i="32"/>
  <c r="M564" i="32" s="1"/>
  <c r="K566" i="32"/>
  <c r="M566" i="32" s="1"/>
  <c r="K568" i="32"/>
  <c r="M568" i="32" s="1"/>
  <c r="K570" i="32"/>
  <c r="M570" i="32" s="1"/>
  <c r="K572" i="32"/>
  <c r="M572" i="32" s="1"/>
  <c r="K573" i="32"/>
  <c r="M573" i="32" s="1"/>
  <c r="K574" i="32"/>
  <c r="M574" i="32" s="1"/>
  <c r="K576" i="32"/>
  <c r="M576" i="32" s="1"/>
  <c r="K578" i="32"/>
  <c r="M578" i="32" s="1"/>
  <c r="K580" i="32"/>
  <c r="M580" i="32" s="1"/>
  <c r="K582" i="32"/>
  <c r="M582" i="32" s="1"/>
  <c r="K584" i="32"/>
  <c r="M584" i="32" s="1"/>
  <c r="K586" i="32"/>
  <c r="M586" i="32" s="1"/>
  <c r="K588" i="32"/>
  <c r="M588" i="32" s="1"/>
  <c r="K589" i="32"/>
  <c r="M589" i="32" s="1"/>
  <c r="K590" i="32"/>
  <c r="M590" i="32" s="1"/>
  <c r="K592" i="32"/>
  <c r="M592" i="32" s="1"/>
  <c r="K594" i="32"/>
  <c r="M594" i="32" s="1"/>
  <c r="K596" i="32"/>
  <c r="M596" i="32" s="1"/>
  <c r="K598" i="32"/>
  <c r="M598" i="32" s="1"/>
  <c r="K600" i="32"/>
  <c r="M600" i="32" s="1"/>
  <c r="K602" i="32"/>
  <c r="M602" i="32" s="1"/>
  <c r="K604" i="32"/>
  <c r="M604" i="32" s="1"/>
  <c r="K605" i="32"/>
  <c r="M605" i="32" s="1"/>
  <c r="K606" i="32"/>
  <c r="M606" i="32" s="1"/>
  <c r="K608" i="32"/>
  <c r="M608" i="32" s="1"/>
  <c r="K610" i="32"/>
  <c r="M610" i="32" s="1"/>
  <c r="K612" i="32"/>
  <c r="M612" i="32" s="1"/>
  <c r="K614" i="32"/>
  <c r="M614" i="32" s="1"/>
  <c r="K616" i="32"/>
  <c r="M616" i="32" s="1"/>
  <c r="K618" i="32"/>
  <c r="M618" i="32" s="1"/>
  <c r="K620" i="32"/>
  <c r="M620" i="32" s="1"/>
  <c r="K621" i="32"/>
  <c r="M621" i="32" s="1"/>
  <c r="K622" i="32"/>
  <c r="M622" i="32" s="1"/>
  <c r="K624" i="32"/>
  <c r="M624" i="32" s="1"/>
  <c r="K626" i="32"/>
  <c r="M626" i="32" s="1"/>
  <c r="K628" i="32"/>
  <c r="M628" i="32" s="1"/>
  <c r="K630" i="32"/>
  <c r="M630" i="32" s="1"/>
  <c r="K632" i="32"/>
  <c r="M632" i="32" s="1"/>
  <c r="K634" i="32"/>
  <c r="M634" i="32" s="1"/>
  <c r="K636" i="32"/>
  <c r="M636" i="32" s="1"/>
  <c r="K637" i="32"/>
  <c r="M637" i="32" s="1"/>
  <c r="K638" i="32"/>
  <c r="M638" i="32" s="1"/>
  <c r="K640" i="32"/>
  <c r="M640" i="32" s="1"/>
  <c r="K642" i="32"/>
  <c r="M642" i="32" s="1"/>
  <c r="K11" i="32"/>
  <c r="M11" i="32" s="1"/>
  <c r="K431" i="32" l="1"/>
  <c r="M431" i="32" s="1"/>
  <c r="I5" i="32"/>
  <c r="J5" i="32" s="1"/>
  <c r="K427" i="32"/>
  <c r="M427" i="32" s="1"/>
  <c r="K423" i="32"/>
  <c r="M423" i="32" s="1"/>
  <c r="K419" i="32"/>
  <c r="M419" i="32" s="1"/>
  <c r="K415" i="32"/>
  <c r="M415" i="32" s="1"/>
  <c r="K411" i="32"/>
  <c r="M411" i="32" s="1"/>
  <c r="K407" i="32"/>
  <c r="M407" i="32" s="1"/>
  <c r="K403" i="32"/>
  <c r="M403" i="32" s="1"/>
  <c r="K399" i="32"/>
  <c r="M399" i="32" s="1"/>
  <c r="K391" i="32"/>
  <c r="M391" i="32" s="1"/>
  <c r="K387" i="32"/>
  <c r="M387" i="32" s="1"/>
  <c r="K383" i="32"/>
  <c r="M383" i="32" s="1"/>
  <c r="K379" i="32"/>
  <c r="M379" i="32" s="1"/>
  <c r="K375" i="32"/>
  <c r="M375" i="32" s="1"/>
  <c r="K371" i="32"/>
  <c r="M371" i="32" s="1"/>
  <c r="K367" i="32"/>
  <c r="M367" i="32" s="1"/>
  <c r="K359" i="32"/>
  <c r="M359" i="32" s="1"/>
  <c r="K355" i="32"/>
  <c r="M355" i="32" s="1"/>
  <c r="K351" i="32"/>
  <c r="M351" i="32" s="1"/>
  <c r="K347" i="32"/>
  <c r="M347" i="32" s="1"/>
  <c r="K343" i="32"/>
  <c r="M343" i="32" s="1"/>
  <c r="K339" i="32"/>
  <c r="M339" i="32" s="1"/>
  <c r="K335" i="32"/>
  <c r="M335" i="32" s="1"/>
  <c r="K327" i="32"/>
  <c r="M327" i="32" s="1"/>
  <c r="K323" i="32"/>
  <c r="M323" i="32" s="1"/>
  <c r="K319" i="32"/>
  <c r="M319" i="32" s="1"/>
  <c r="K311" i="32"/>
  <c r="M311" i="32" s="1"/>
  <c r="K307" i="32"/>
  <c r="M307" i="32" s="1"/>
  <c r="K303" i="32"/>
  <c r="M303" i="32" s="1"/>
  <c r="K295" i="32"/>
  <c r="M295" i="32" s="1"/>
  <c r="K291" i="32"/>
  <c r="M291" i="32" s="1"/>
  <c r="K287" i="32"/>
  <c r="M287" i="32" s="1"/>
  <c r="K279" i="32"/>
  <c r="M279" i="32" s="1"/>
  <c r="K275" i="32"/>
  <c r="M275" i="32" s="1"/>
  <c r="K271" i="32"/>
  <c r="M271" i="32" s="1"/>
  <c r="K263" i="32"/>
  <c r="M263" i="32" s="1"/>
  <c r="K259" i="32"/>
  <c r="M259" i="32" s="1"/>
  <c r="K255" i="32"/>
  <c r="M255" i="32" s="1"/>
  <c r="K247" i="32"/>
  <c r="M247" i="32" s="1"/>
  <c r="K243" i="32"/>
  <c r="M243" i="32" s="1"/>
  <c r="K239" i="32"/>
  <c r="M239" i="32" s="1"/>
  <c r="K231" i="32"/>
  <c r="M231" i="32" s="1"/>
  <c r="K227" i="32"/>
  <c r="M227" i="32" s="1"/>
  <c r="K223" i="32"/>
  <c r="M223" i="32" s="1"/>
  <c r="K215" i="32"/>
  <c r="M215" i="32" s="1"/>
  <c r="K211" i="32"/>
  <c r="M211" i="32" s="1"/>
  <c r="K207" i="32"/>
  <c r="M207" i="32" s="1"/>
  <c r="K199" i="32"/>
  <c r="M199" i="32" s="1"/>
  <c r="K195" i="32"/>
  <c r="M195" i="32" s="1"/>
  <c r="K191" i="32"/>
  <c r="M191" i="32" s="1"/>
  <c r="K183" i="32"/>
  <c r="M183" i="32" s="1"/>
  <c r="K179" i="32"/>
  <c r="M179" i="32" s="1"/>
  <c r="K175" i="32"/>
  <c r="M175" i="32" s="1"/>
  <c r="K167" i="32"/>
  <c r="M167" i="32" s="1"/>
  <c r="K163" i="32"/>
  <c r="M163" i="32" s="1"/>
  <c r="K159" i="32"/>
  <c r="M159" i="32" s="1"/>
  <c r="K151" i="32"/>
  <c r="M151" i="32" s="1"/>
  <c r="K147" i="32"/>
  <c r="M147" i="32" s="1"/>
  <c r="K143" i="32"/>
  <c r="M143" i="32" s="1"/>
  <c r="K135" i="32"/>
  <c r="M135" i="32" s="1"/>
  <c r="K131" i="32"/>
  <c r="M131" i="32" s="1"/>
  <c r="K127" i="32"/>
  <c r="M127" i="32" s="1"/>
  <c r="K119" i="32"/>
  <c r="M119" i="32" s="1"/>
  <c r="K115" i="32"/>
  <c r="M115" i="32" s="1"/>
  <c r="K111" i="32"/>
  <c r="M111" i="32" s="1"/>
  <c r="K103" i="32"/>
  <c r="M103" i="32" s="1"/>
  <c r="K99" i="32"/>
  <c r="M99" i="32" s="1"/>
  <c r="K95" i="32"/>
  <c r="M95" i="32" s="1"/>
  <c r="K87" i="32"/>
  <c r="M87" i="32" s="1"/>
  <c r="K83" i="32"/>
  <c r="M83" i="32" s="1"/>
  <c r="K79" i="32"/>
  <c r="M79" i="32" s="1"/>
  <c r="K71" i="32"/>
  <c r="M71" i="32" s="1"/>
  <c r="K67" i="32"/>
  <c r="M67" i="32" s="1"/>
  <c r="K63" i="32"/>
  <c r="M63" i="32" s="1"/>
  <c r="K55" i="32"/>
  <c r="M55" i="32" s="1"/>
  <c r="K51" i="32"/>
  <c r="M51" i="32" s="1"/>
  <c r="K47" i="32"/>
  <c r="M47" i="32" s="1"/>
  <c r="K39" i="32"/>
  <c r="M39" i="32" s="1"/>
  <c r="K35" i="32"/>
  <c r="M35" i="32" s="1"/>
  <c r="K31" i="32"/>
  <c r="M31" i="32" s="1"/>
  <c r="K23" i="32"/>
  <c r="M23" i="32" s="1"/>
  <c r="K19" i="32"/>
  <c r="M19" i="32" s="1"/>
  <c r="K15" i="32"/>
  <c r="M15" i="32" s="1"/>
  <c r="L11" i="32"/>
  <c r="K639" i="32"/>
  <c r="M639" i="32" s="1"/>
  <c r="K635" i="32"/>
  <c r="M635" i="32" s="1"/>
  <c r="K631" i="32"/>
  <c r="M631" i="32" s="1"/>
  <c r="K627" i="32"/>
  <c r="M627" i="32" s="1"/>
  <c r="K623" i="32"/>
  <c r="M623" i="32" s="1"/>
  <c r="K619" i="32"/>
  <c r="M619" i="32" s="1"/>
  <c r="K615" i="32"/>
  <c r="M615" i="32" s="1"/>
  <c r="K611" i="32"/>
  <c r="M611" i="32" s="1"/>
  <c r="K607" i="32"/>
  <c r="M607" i="32" s="1"/>
  <c r="K603" i="32"/>
  <c r="M603" i="32" s="1"/>
  <c r="K599" i="32"/>
  <c r="M599" i="32" s="1"/>
  <c r="K595" i="32"/>
  <c r="M595" i="32" s="1"/>
  <c r="K591" i="32"/>
  <c r="M591" i="32" s="1"/>
  <c r="K587" i="32"/>
  <c r="M587" i="32" s="1"/>
  <c r="K583" i="32"/>
  <c r="M583" i="32" s="1"/>
  <c r="K579" i="32"/>
  <c r="M579" i="32" s="1"/>
  <c r="K575" i="32"/>
  <c r="M575" i="32" s="1"/>
  <c r="K571" i="32"/>
  <c r="M571" i="32" s="1"/>
  <c r="K567" i="32"/>
  <c r="M567" i="32" s="1"/>
  <c r="K563" i="32"/>
  <c r="M563" i="32" s="1"/>
  <c r="K559" i="32"/>
  <c r="M559" i="32" s="1"/>
  <c r="K555" i="32"/>
  <c r="M555" i="32" s="1"/>
  <c r="K551" i="32"/>
  <c r="M551" i="32" s="1"/>
  <c r="K547" i="32"/>
  <c r="M547" i="32" s="1"/>
  <c r="K543" i="32"/>
  <c r="M543" i="32" s="1"/>
  <c r="K539" i="32"/>
  <c r="M539" i="32" s="1"/>
  <c r="K535" i="32"/>
  <c r="M535" i="32" s="1"/>
  <c r="K531" i="32"/>
  <c r="M531" i="32" s="1"/>
  <c r="K527" i="32"/>
  <c r="M527" i="32" s="1"/>
  <c r="K523" i="32"/>
  <c r="M523" i="32" s="1"/>
  <c r="K519" i="32"/>
  <c r="M519" i="32" s="1"/>
  <c r="K515" i="32"/>
  <c r="M515" i="32" s="1"/>
  <c r="K511" i="32"/>
  <c r="M511" i="32" s="1"/>
  <c r="K507" i="32"/>
  <c r="M507" i="32" s="1"/>
  <c r="K503" i="32"/>
  <c r="M503" i="32" s="1"/>
  <c r="K499" i="32"/>
  <c r="M499" i="32" s="1"/>
  <c r="K495" i="32"/>
  <c r="M495" i="32" s="1"/>
  <c r="K491" i="32"/>
  <c r="M491" i="32" s="1"/>
  <c r="K487" i="32"/>
  <c r="M487" i="32" s="1"/>
  <c r="K483" i="32"/>
  <c r="M483" i="32" s="1"/>
  <c r="K479" i="32"/>
  <c r="M479" i="32" s="1"/>
  <c r="K475" i="32"/>
  <c r="M475" i="32" s="1"/>
  <c r="K471" i="32"/>
  <c r="M471" i="32" s="1"/>
  <c r="K467" i="32"/>
  <c r="M467" i="32" s="1"/>
  <c r="K463" i="32"/>
  <c r="M463" i="32" s="1"/>
  <c r="K459" i="32"/>
  <c r="M459" i="32" s="1"/>
  <c r="K455" i="32"/>
  <c r="M455" i="32" s="1"/>
  <c r="K451" i="32"/>
  <c r="M451" i="32" s="1"/>
  <c r="K447" i="32"/>
  <c r="M447" i="32" s="1"/>
  <c r="K443" i="32"/>
  <c r="M443" i="32" s="1"/>
  <c r="K439" i="32"/>
  <c r="M439" i="32" s="1"/>
  <c r="K435" i="32"/>
  <c r="M435" i="32" s="1"/>
  <c r="T2" i="21"/>
  <c r="U632" i="1"/>
  <c r="T632" i="1"/>
  <c r="P632" i="1"/>
  <c r="F632" i="1"/>
  <c r="E632" i="1"/>
  <c r="D632" i="1"/>
  <c r="U631" i="1"/>
  <c r="T631" i="1"/>
  <c r="P631" i="1"/>
  <c r="F631" i="1"/>
  <c r="E631" i="1"/>
  <c r="D631" i="1"/>
  <c r="U630" i="1"/>
  <c r="T630" i="1"/>
  <c r="P630" i="1"/>
  <c r="F630" i="1"/>
  <c r="E630" i="1"/>
  <c r="D630" i="1"/>
  <c r="U629" i="1"/>
  <c r="T629" i="1"/>
  <c r="P629" i="1"/>
  <c r="F629" i="1"/>
  <c r="E629" i="1"/>
  <c r="D629" i="1"/>
  <c r="U628" i="1"/>
  <c r="T628" i="1"/>
  <c r="W628" i="1" s="1"/>
  <c r="P628" i="1"/>
  <c r="F628" i="1"/>
  <c r="E628" i="1"/>
  <c r="D628" i="1"/>
  <c r="U627" i="1"/>
  <c r="T627" i="1"/>
  <c r="P627" i="1"/>
  <c r="F627" i="1"/>
  <c r="E627" i="1"/>
  <c r="D627" i="1"/>
  <c r="U626" i="1"/>
  <c r="T626" i="1"/>
  <c r="P626" i="1"/>
  <c r="F626" i="1"/>
  <c r="E626" i="1"/>
  <c r="D626" i="1"/>
  <c r="U625" i="1"/>
  <c r="T625" i="1"/>
  <c r="P625" i="1"/>
  <c r="F625" i="1"/>
  <c r="E625" i="1"/>
  <c r="D625" i="1"/>
  <c r="U624" i="1"/>
  <c r="T624" i="1"/>
  <c r="P624" i="1"/>
  <c r="F624" i="1"/>
  <c r="E624" i="1"/>
  <c r="D624" i="1"/>
  <c r="U623" i="1"/>
  <c r="T623" i="1"/>
  <c r="P623" i="1"/>
  <c r="F623" i="1"/>
  <c r="E623" i="1"/>
  <c r="D623" i="1"/>
  <c r="U622" i="1"/>
  <c r="T622" i="1"/>
  <c r="P622" i="1"/>
  <c r="F622" i="1"/>
  <c r="E622" i="1"/>
  <c r="D622" i="1"/>
  <c r="U621" i="1"/>
  <c r="T621" i="1"/>
  <c r="W621" i="1" s="1"/>
  <c r="P621" i="1"/>
  <c r="F621" i="1"/>
  <c r="E621" i="1"/>
  <c r="D621" i="1"/>
  <c r="U620" i="1"/>
  <c r="T620" i="1"/>
  <c r="P620" i="1"/>
  <c r="F620" i="1"/>
  <c r="E620" i="1"/>
  <c r="D620" i="1"/>
  <c r="U619" i="1"/>
  <c r="T619" i="1"/>
  <c r="W619" i="1" s="1"/>
  <c r="P619" i="1"/>
  <c r="F619" i="1"/>
  <c r="E619" i="1"/>
  <c r="D619" i="1"/>
  <c r="U618" i="1"/>
  <c r="T618" i="1"/>
  <c r="P618" i="1"/>
  <c r="F618" i="1"/>
  <c r="E618" i="1"/>
  <c r="D618" i="1"/>
  <c r="U617" i="1"/>
  <c r="T617" i="1"/>
  <c r="P617" i="1"/>
  <c r="F617" i="1"/>
  <c r="E617" i="1"/>
  <c r="D617" i="1"/>
  <c r="U616" i="1"/>
  <c r="T616" i="1"/>
  <c r="W616" i="1" s="1"/>
  <c r="P616" i="1"/>
  <c r="F616" i="1"/>
  <c r="E616" i="1"/>
  <c r="D616" i="1"/>
  <c r="V615" i="1"/>
  <c r="U615" i="1"/>
  <c r="T615" i="1"/>
  <c r="W615" i="1" s="1"/>
  <c r="P615" i="1"/>
  <c r="F615" i="1"/>
  <c r="E615" i="1"/>
  <c r="D615" i="1"/>
  <c r="U614" i="1"/>
  <c r="T614" i="1"/>
  <c r="P614" i="1"/>
  <c r="F614" i="1"/>
  <c r="E614" i="1"/>
  <c r="D614" i="1"/>
  <c r="U613" i="1"/>
  <c r="T613" i="1"/>
  <c r="W613" i="1" s="1"/>
  <c r="P613" i="1"/>
  <c r="F613" i="1"/>
  <c r="E613" i="1"/>
  <c r="D613" i="1"/>
  <c r="U612" i="1"/>
  <c r="T612" i="1"/>
  <c r="W612" i="1" s="1"/>
  <c r="P612" i="1"/>
  <c r="F612" i="1"/>
  <c r="E612" i="1"/>
  <c r="D612" i="1"/>
  <c r="U611" i="1"/>
  <c r="T611" i="1"/>
  <c r="P611" i="1"/>
  <c r="F611" i="1"/>
  <c r="E611" i="1"/>
  <c r="D611" i="1"/>
  <c r="V610" i="1"/>
  <c r="U610" i="1"/>
  <c r="T610" i="1"/>
  <c r="W610" i="1" s="1"/>
  <c r="P610" i="1"/>
  <c r="F610" i="1"/>
  <c r="E610" i="1"/>
  <c r="D610" i="1"/>
  <c r="U609" i="1"/>
  <c r="T609" i="1"/>
  <c r="P609" i="1"/>
  <c r="F609" i="1"/>
  <c r="E609" i="1"/>
  <c r="D609" i="1"/>
  <c r="U608" i="1"/>
  <c r="T608" i="1"/>
  <c r="P608" i="1"/>
  <c r="F608" i="1"/>
  <c r="E608" i="1"/>
  <c r="D608" i="1"/>
  <c r="U607" i="1"/>
  <c r="T607" i="1"/>
  <c r="V607" i="1" s="1"/>
  <c r="W607" i="1" s="1"/>
  <c r="P607" i="1"/>
  <c r="F607" i="1"/>
  <c r="E607" i="1"/>
  <c r="D607" i="1"/>
  <c r="U606" i="1"/>
  <c r="T606" i="1"/>
  <c r="P606" i="1"/>
  <c r="F606" i="1"/>
  <c r="E606" i="1"/>
  <c r="D606" i="1"/>
  <c r="U605" i="1"/>
  <c r="T605" i="1"/>
  <c r="P605" i="1"/>
  <c r="F605" i="1"/>
  <c r="E605" i="1"/>
  <c r="D605" i="1"/>
  <c r="U604" i="1"/>
  <c r="T604" i="1"/>
  <c r="P604" i="1"/>
  <c r="F604" i="1"/>
  <c r="E604" i="1"/>
  <c r="D604" i="1"/>
  <c r="U603" i="1"/>
  <c r="T603" i="1"/>
  <c r="V603" i="1" s="1"/>
  <c r="W603" i="1" s="1"/>
  <c r="P603" i="1"/>
  <c r="F603" i="1"/>
  <c r="E603" i="1"/>
  <c r="D603" i="1"/>
  <c r="U602" i="1"/>
  <c r="T602" i="1"/>
  <c r="P602" i="1"/>
  <c r="F602" i="1"/>
  <c r="E602" i="1"/>
  <c r="D602" i="1"/>
  <c r="U601" i="1"/>
  <c r="T601" i="1"/>
  <c r="V601" i="1" s="1"/>
  <c r="W601" i="1" s="1"/>
  <c r="P601" i="1"/>
  <c r="F601" i="1"/>
  <c r="E601" i="1"/>
  <c r="D601" i="1"/>
  <c r="U600" i="1"/>
  <c r="T600" i="1"/>
  <c r="P600" i="1"/>
  <c r="F600" i="1"/>
  <c r="E600" i="1"/>
  <c r="D600" i="1"/>
  <c r="U599" i="1"/>
  <c r="T599" i="1"/>
  <c r="P599" i="1"/>
  <c r="F599" i="1"/>
  <c r="E599" i="1"/>
  <c r="D599" i="1"/>
  <c r="U598" i="1"/>
  <c r="T598" i="1"/>
  <c r="P598" i="1"/>
  <c r="F598" i="1"/>
  <c r="E598" i="1"/>
  <c r="D598" i="1"/>
  <c r="U597" i="1"/>
  <c r="T597" i="1"/>
  <c r="P597" i="1"/>
  <c r="F597" i="1"/>
  <c r="E597" i="1"/>
  <c r="D597" i="1"/>
  <c r="U596" i="1"/>
  <c r="T596" i="1"/>
  <c r="P596" i="1"/>
  <c r="F596" i="1"/>
  <c r="E596" i="1"/>
  <c r="D596" i="1"/>
  <c r="U595" i="1"/>
  <c r="T595" i="1"/>
  <c r="P595" i="1"/>
  <c r="F595" i="1"/>
  <c r="E595" i="1"/>
  <c r="D595" i="1"/>
  <c r="U594" i="1"/>
  <c r="T594" i="1"/>
  <c r="P594" i="1"/>
  <c r="F594" i="1"/>
  <c r="E594" i="1"/>
  <c r="D594" i="1"/>
  <c r="U593" i="1"/>
  <c r="T593" i="1"/>
  <c r="P593" i="1"/>
  <c r="F593" i="1"/>
  <c r="E593" i="1"/>
  <c r="D593" i="1"/>
  <c r="U592" i="1"/>
  <c r="T592" i="1"/>
  <c r="P592" i="1"/>
  <c r="F592" i="1"/>
  <c r="E592" i="1"/>
  <c r="D592" i="1"/>
  <c r="U591" i="1"/>
  <c r="T591" i="1"/>
  <c r="P591" i="1"/>
  <c r="F591" i="1"/>
  <c r="E591" i="1"/>
  <c r="D591" i="1"/>
  <c r="U590" i="1"/>
  <c r="T590" i="1"/>
  <c r="P590" i="1"/>
  <c r="F590" i="1"/>
  <c r="E590" i="1"/>
  <c r="D590" i="1"/>
  <c r="U589" i="1"/>
  <c r="T589" i="1"/>
  <c r="P589" i="1"/>
  <c r="F589" i="1"/>
  <c r="E589" i="1"/>
  <c r="D589" i="1"/>
  <c r="U588" i="1"/>
  <c r="V588" i="1" s="1"/>
  <c r="W588" i="1" s="1"/>
  <c r="T588" i="1"/>
  <c r="P588" i="1"/>
  <c r="F588" i="1"/>
  <c r="E588" i="1"/>
  <c r="D588" i="1"/>
  <c r="U587" i="1"/>
  <c r="T587" i="1"/>
  <c r="P587" i="1"/>
  <c r="F587" i="1"/>
  <c r="E587" i="1"/>
  <c r="D587" i="1"/>
  <c r="U586" i="1"/>
  <c r="T586" i="1"/>
  <c r="P586" i="1"/>
  <c r="F586" i="1"/>
  <c r="E586" i="1"/>
  <c r="D586" i="1"/>
  <c r="U585" i="1"/>
  <c r="T585" i="1"/>
  <c r="P585" i="1"/>
  <c r="F585" i="1"/>
  <c r="E585" i="1"/>
  <c r="D585" i="1"/>
  <c r="U584" i="1"/>
  <c r="T584" i="1"/>
  <c r="P584" i="1"/>
  <c r="F584" i="1"/>
  <c r="E584" i="1"/>
  <c r="D584" i="1"/>
  <c r="U583" i="1"/>
  <c r="T583" i="1"/>
  <c r="V583" i="1" s="1"/>
  <c r="W583" i="1" s="1"/>
  <c r="P583" i="1"/>
  <c r="F583" i="1"/>
  <c r="E583" i="1"/>
  <c r="D583" i="1"/>
  <c r="U582" i="1"/>
  <c r="T582" i="1"/>
  <c r="P582" i="1"/>
  <c r="F582" i="1"/>
  <c r="E582" i="1"/>
  <c r="D582" i="1"/>
  <c r="U581" i="1"/>
  <c r="T581" i="1"/>
  <c r="P581" i="1"/>
  <c r="F581" i="1"/>
  <c r="E581" i="1"/>
  <c r="D581" i="1"/>
  <c r="U580" i="1"/>
  <c r="T580" i="1"/>
  <c r="V580" i="1" s="1"/>
  <c r="P580" i="1"/>
  <c r="F580" i="1"/>
  <c r="E580" i="1"/>
  <c r="D580" i="1"/>
  <c r="U579" i="1"/>
  <c r="T579" i="1"/>
  <c r="V579" i="1" s="1"/>
  <c r="W579" i="1" s="1"/>
  <c r="P579" i="1"/>
  <c r="F579" i="1"/>
  <c r="E579" i="1"/>
  <c r="D579" i="1"/>
  <c r="U578" i="1"/>
  <c r="T578" i="1"/>
  <c r="P578" i="1"/>
  <c r="F578" i="1"/>
  <c r="E578" i="1"/>
  <c r="D578" i="1"/>
  <c r="U577" i="1"/>
  <c r="T577" i="1"/>
  <c r="P577" i="1"/>
  <c r="F577" i="1"/>
  <c r="E577" i="1"/>
  <c r="D577" i="1"/>
  <c r="U576" i="1"/>
  <c r="T576" i="1"/>
  <c r="P576" i="1"/>
  <c r="F576" i="1"/>
  <c r="E576" i="1"/>
  <c r="D576" i="1"/>
  <c r="U575" i="1"/>
  <c r="T575" i="1"/>
  <c r="P575" i="1"/>
  <c r="F575" i="1"/>
  <c r="E575" i="1"/>
  <c r="D575" i="1"/>
  <c r="V574" i="1"/>
  <c r="W574" i="1" s="1"/>
  <c r="U574" i="1"/>
  <c r="T574" i="1"/>
  <c r="P574" i="1"/>
  <c r="F574" i="1"/>
  <c r="E574" i="1"/>
  <c r="D574" i="1"/>
  <c r="U573" i="1"/>
  <c r="T573" i="1"/>
  <c r="P573" i="1"/>
  <c r="F573" i="1"/>
  <c r="E573" i="1"/>
  <c r="D573" i="1"/>
  <c r="U572" i="1"/>
  <c r="T572" i="1"/>
  <c r="P572" i="1"/>
  <c r="F572" i="1"/>
  <c r="E572" i="1"/>
  <c r="D572" i="1"/>
  <c r="U571" i="1"/>
  <c r="T571" i="1"/>
  <c r="P571" i="1"/>
  <c r="F571" i="1"/>
  <c r="E571" i="1"/>
  <c r="D571" i="1"/>
  <c r="U570" i="1"/>
  <c r="T570" i="1"/>
  <c r="P570" i="1"/>
  <c r="F570" i="1"/>
  <c r="E570" i="1"/>
  <c r="D570" i="1"/>
  <c r="U569" i="1"/>
  <c r="T569" i="1"/>
  <c r="P569" i="1"/>
  <c r="F569" i="1"/>
  <c r="E569" i="1"/>
  <c r="D569" i="1"/>
  <c r="U568" i="1"/>
  <c r="T568" i="1"/>
  <c r="P568" i="1"/>
  <c r="F568" i="1"/>
  <c r="E568" i="1"/>
  <c r="D568" i="1"/>
  <c r="U567" i="1"/>
  <c r="T567" i="1"/>
  <c r="P567" i="1"/>
  <c r="F567" i="1"/>
  <c r="E567" i="1"/>
  <c r="D567" i="1"/>
  <c r="U566" i="1"/>
  <c r="T566" i="1"/>
  <c r="P566" i="1"/>
  <c r="F566" i="1"/>
  <c r="E566" i="1"/>
  <c r="D566" i="1"/>
  <c r="U565" i="1"/>
  <c r="T565" i="1"/>
  <c r="P565" i="1"/>
  <c r="F565" i="1"/>
  <c r="E565" i="1"/>
  <c r="D565" i="1"/>
  <c r="U564" i="1"/>
  <c r="T564" i="1"/>
  <c r="P564" i="1"/>
  <c r="F564" i="1"/>
  <c r="E564" i="1"/>
  <c r="D564" i="1"/>
  <c r="U563" i="1"/>
  <c r="T563" i="1"/>
  <c r="P563" i="1"/>
  <c r="F563" i="1"/>
  <c r="E563" i="1"/>
  <c r="D563" i="1"/>
  <c r="U562" i="1"/>
  <c r="T562" i="1"/>
  <c r="P562" i="1"/>
  <c r="F562" i="1"/>
  <c r="E562" i="1"/>
  <c r="D562" i="1"/>
  <c r="U561" i="1"/>
  <c r="T561" i="1"/>
  <c r="P561" i="1"/>
  <c r="F561" i="1"/>
  <c r="E561" i="1"/>
  <c r="D561" i="1"/>
  <c r="U560" i="1"/>
  <c r="T560" i="1"/>
  <c r="P560" i="1"/>
  <c r="F560" i="1"/>
  <c r="E560" i="1"/>
  <c r="D560" i="1"/>
  <c r="U559" i="1"/>
  <c r="T559" i="1"/>
  <c r="P559" i="1"/>
  <c r="F559" i="1"/>
  <c r="E559" i="1"/>
  <c r="D559" i="1"/>
  <c r="U558" i="1"/>
  <c r="T558" i="1"/>
  <c r="P558" i="1"/>
  <c r="F558" i="1"/>
  <c r="E558" i="1"/>
  <c r="D558" i="1"/>
  <c r="U557" i="1"/>
  <c r="T557" i="1"/>
  <c r="P557" i="1"/>
  <c r="F557" i="1"/>
  <c r="E557" i="1"/>
  <c r="D557" i="1"/>
  <c r="U556" i="1"/>
  <c r="T556" i="1"/>
  <c r="P556" i="1"/>
  <c r="F556" i="1"/>
  <c r="E556" i="1"/>
  <c r="D556" i="1"/>
  <c r="U555" i="1"/>
  <c r="T555" i="1"/>
  <c r="P555" i="1"/>
  <c r="F555" i="1"/>
  <c r="E555" i="1"/>
  <c r="D555" i="1"/>
  <c r="U554" i="1"/>
  <c r="T554" i="1"/>
  <c r="P554" i="1"/>
  <c r="F554" i="1"/>
  <c r="E554" i="1"/>
  <c r="D554" i="1"/>
  <c r="U553" i="1"/>
  <c r="T553" i="1"/>
  <c r="P553" i="1"/>
  <c r="F553" i="1"/>
  <c r="E553" i="1"/>
  <c r="D553" i="1"/>
  <c r="U552" i="1"/>
  <c r="T552" i="1"/>
  <c r="V552" i="1" s="1"/>
  <c r="W552" i="1" s="1"/>
  <c r="P552" i="1"/>
  <c r="F552" i="1"/>
  <c r="E552" i="1"/>
  <c r="D552" i="1"/>
  <c r="U551" i="1"/>
  <c r="T551" i="1"/>
  <c r="P551" i="1"/>
  <c r="F551" i="1"/>
  <c r="E551" i="1"/>
  <c r="D551" i="1"/>
  <c r="U550" i="1"/>
  <c r="T550" i="1"/>
  <c r="P550" i="1"/>
  <c r="F550" i="1"/>
  <c r="E550" i="1"/>
  <c r="D550" i="1"/>
  <c r="U549" i="1"/>
  <c r="T549" i="1"/>
  <c r="P549" i="1"/>
  <c r="F549" i="1"/>
  <c r="E549" i="1"/>
  <c r="D549" i="1"/>
  <c r="U548" i="1"/>
  <c r="T548" i="1"/>
  <c r="P548" i="1"/>
  <c r="F548" i="1"/>
  <c r="E548" i="1"/>
  <c r="D548" i="1"/>
  <c r="U547" i="1"/>
  <c r="T547" i="1"/>
  <c r="V547" i="1" s="1"/>
  <c r="W547" i="1" s="1"/>
  <c r="P547" i="1"/>
  <c r="F547" i="1"/>
  <c r="E547" i="1"/>
  <c r="D547" i="1"/>
  <c r="U546" i="1"/>
  <c r="T546" i="1"/>
  <c r="P546" i="1"/>
  <c r="F546" i="1"/>
  <c r="E546" i="1"/>
  <c r="D546" i="1"/>
  <c r="U545" i="1"/>
  <c r="T545" i="1"/>
  <c r="P545" i="1"/>
  <c r="F545" i="1"/>
  <c r="E545" i="1"/>
  <c r="D545" i="1"/>
  <c r="U544" i="1"/>
  <c r="V544" i="1" s="1"/>
  <c r="T544" i="1"/>
  <c r="P544" i="1"/>
  <c r="F544" i="1"/>
  <c r="E544" i="1"/>
  <c r="D544" i="1"/>
  <c r="U543" i="1"/>
  <c r="T543" i="1"/>
  <c r="P543" i="1"/>
  <c r="F543" i="1"/>
  <c r="E543" i="1"/>
  <c r="D543" i="1"/>
  <c r="U542" i="1"/>
  <c r="T542" i="1"/>
  <c r="P542" i="1"/>
  <c r="F542" i="1"/>
  <c r="E542" i="1"/>
  <c r="D542" i="1"/>
  <c r="U541" i="1"/>
  <c r="T541" i="1"/>
  <c r="P541" i="1"/>
  <c r="F541" i="1"/>
  <c r="E541" i="1"/>
  <c r="D541" i="1"/>
  <c r="U540" i="1"/>
  <c r="T540" i="1"/>
  <c r="P540" i="1"/>
  <c r="F540" i="1"/>
  <c r="E540" i="1"/>
  <c r="D540" i="1"/>
  <c r="U539" i="1"/>
  <c r="T539" i="1"/>
  <c r="P539" i="1"/>
  <c r="F539" i="1"/>
  <c r="E539" i="1"/>
  <c r="D539" i="1"/>
  <c r="U538" i="1"/>
  <c r="T538" i="1"/>
  <c r="P538" i="1"/>
  <c r="F538" i="1"/>
  <c r="E538" i="1"/>
  <c r="D538" i="1"/>
  <c r="U537" i="1"/>
  <c r="T537" i="1"/>
  <c r="P537" i="1"/>
  <c r="F537" i="1"/>
  <c r="E537" i="1"/>
  <c r="D537" i="1"/>
  <c r="U536" i="1"/>
  <c r="T536" i="1"/>
  <c r="P536" i="1"/>
  <c r="F536" i="1"/>
  <c r="E536" i="1"/>
  <c r="D536" i="1"/>
  <c r="U535" i="1"/>
  <c r="T535" i="1"/>
  <c r="P535" i="1"/>
  <c r="F535" i="1"/>
  <c r="E535" i="1"/>
  <c r="D535" i="1"/>
  <c r="U534" i="1"/>
  <c r="T534" i="1"/>
  <c r="P534" i="1"/>
  <c r="F534" i="1"/>
  <c r="E534" i="1"/>
  <c r="D534" i="1"/>
  <c r="U533" i="1"/>
  <c r="T533" i="1"/>
  <c r="P533" i="1"/>
  <c r="F533" i="1"/>
  <c r="E533" i="1"/>
  <c r="D533" i="1"/>
  <c r="U532" i="1"/>
  <c r="T532" i="1"/>
  <c r="P532" i="1"/>
  <c r="F532" i="1"/>
  <c r="E532" i="1"/>
  <c r="D532" i="1"/>
  <c r="U531" i="1"/>
  <c r="T531" i="1"/>
  <c r="P531" i="1"/>
  <c r="F531" i="1"/>
  <c r="E531" i="1"/>
  <c r="D531" i="1"/>
  <c r="U530" i="1"/>
  <c r="T530" i="1"/>
  <c r="P530" i="1"/>
  <c r="F530" i="1"/>
  <c r="E530" i="1"/>
  <c r="D530" i="1"/>
  <c r="U529" i="1"/>
  <c r="T529" i="1"/>
  <c r="P529" i="1"/>
  <c r="F529" i="1"/>
  <c r="E529" i="1"/>
  <c r="D529" i="1"/>
  <c r="U528" i="1"/>
  <c r="T528" i="1"/>
  <c r="P528" i="1"/>
  <c r="F528" i="1"/>
  <c r="E528" i="1"/>
  <c r="D528" i="1"/>
  <c r="U527" i="1"/>
  <c r="T527" i="1"/>
  <c r="P527" i="1"/>
  <c r="F527" i="1"/>
  <c r="E527" i="1"/>
  <c r="D527" i="1"/>
  <c r="U526" i="1"/>
  <c r="T526" i="1"/>
  <c r="P526" i="1"/>
  <c r="F526" i="1"/>
  <c r="E526" i="1"/>
  <c r="D526" i="1"/>
  <c r="V525" i="1"/>
  <c r="W525" i="1" s="1"/>
  <c r="U525" i="1"/>
  <c r="T525" i="1"/>
  <c r="P525" i="1"/>
  <c r="F525" i="1"/>
  <c r="E525" i="1"/>
  <c r="D525" i="1"/>
  <c r="U524" i="1"/>
  <c r="T524" i="1"/>
  <c r="P524" i="1"/>
  <c r="F524" i="1"/>
  <c r="E524" i="1"/>
  <c r="D524" i="1"/>
  <c r="U523" i="1"/>
  <c r="T523" i="1"/>
  <c r="P523" i="1"/>
  <c r="F523" i="1"/>
  <c r="E523" i="1"/>
  <c r="D523" i="1"/>
  <c r="U522" i="1"/>
  <c r="T522" i="1"/>
  <c r="P522" i="1"/>
  <c r="F522" i="1"/>
  <c r="E522" i="1"/>
  <c r="D522" i="1"/>
  <c r="U521" i="1"/>
  <c r="T521" i="1"/>
  <c r="P521" i="1"/>
  <c r="F521" i="1"/>
  <c r="E521" i="1"/>
  <c r="D521" i="1"/>
  <c r="U520" i="1"/>
  <c r="T520" i="1"/>
  <c r="P520" i="1"/>
  <c r="F520" i="1"/>
  <c r="E520" i="1"/>
  <c r="D520" i="1"/>
  <c r="U519" i="1"/>
  <c r="T519" i="1"/>
  <c r="P519" i="1"/>
  <c r="F519" i="1"/>
  <c r="E519" i="1"/>
  <c r="D519" i="1"/>
  <c r="U518" i="1"/>
  <c r="T518" i="1"/>
  <c r="P518" i="1"/>
  <c r="F518" i="1"/>
  <c r="E518" i="1"/>
  <c r="D518" i="1"/>
  <c r="U517" i="1"/>
  <c r="T517" i="1"/>
  <c r="P517" i="1"/>
  <c r="F517" i="1"/>
  <c r="E517" i="1"/>
  <c r="D517" i="1"/>
  <c r="V516" i="1"/>
  <c r="W516" i="1" s="1"/>
  <c r="U516" i="1"/>
  <c r="T516" i="1"/>
  <c r="P516" i="1"/>
  <c r="F516" i="1"/>
  <c r="E516" i="1"/>
  <c r="D516" i="1"/>
  <c r="U515" i="1"/>
  <c r="T515" i="1"/>
  <c r="P515" i="1"/>
  <c r="F515" i="1"/>
  <c r="E515" i="1"/>
  <c r="D515" i="1"/>
  <c r="U514" i="1"/>
  <c r="T514" i="1"/>
  <c r="P514" i="1"/>
  <c r="F514" i="1"/>
  <c r="E514" i="1"/>
  <c r="D514" i="1"/>
  <c r="U513" i="1"/>
  <c r="T513" i="1"/>
  <c r="V513" i="1" s="1"/>
  <c r="P513" i="1"/>
  <c r="F513" i="1"/>
  <c r="E513" i="1"/>
  <c r="D513" i="1"/>
  <c r="U512" i="1"/>
  <c r="T512" i="1"/>
  <c r="P512" i="1"/>
  <c r="F512" i="1"/>
  <c r="E512" i="1"/>
  <c r="D512" i="1"/>
  <c r="U511" i="1"/>
  <c r="T511" i="1"/>
  <c r="P511" i="1"/>
  <c r="F511" i="1"/>
  <c r="E511" i="1"/>
  <c r="D511" i="1"/>
  <c r="U510" i="1"/>
  <c r="T510" i="1"/>
  <c r="P510" i="1"/>
  <c r="F510" i="1"/>
  <c r="E510" i="1"/>
  <c r="D510" i="1"/>
  <c r="U509" i="1"/>
  <c r="T509" i="1"/>
  <c r="P509" i="1"/>
  <c r="F509" i="1"/>
  <c r="E509" i="1"/>
  <c r="D509" i="1"/>
  <c r="U508" i="1"/>
  <c r="T508" i="1"/>
  <c r="P508" i="1"/>
  <c r="F508" i="1"/>
  <c r="E508" i="1"/>
  <c r="D508" i="1"/>
  <c r="U507" i="1"/>
  <c r="T507" i="1"/>
  <c r="P507" i="1"/>
  <c r="F507" i="1"/>
  <c r="E507" i="1"/>
  <c r="D507" i="1"/>
  <c r="U506" i="1"/>
  <c r="T506" i="1"/>
  <c r="P506" i="1"/>
  <c r="F506" i="1"/>
  <c r="E506" i="1"/>
  <c r="D506" i="1"/>
  <c r="U505" i="1"/>
  <c r="T505" i="1"/>
  <c r="P505" i="1"/>
  <c r="F505" i="1"/>
  <c r="E505" i="1"/>
  <c r="D505" i="1"/>
  <c r="U504" i="1"/>
  <c r="T504" i="1"/>
  <c r="P504" i="1"/>
  <c r="F504" i="1"/>
  <c r="E504" i="1"/>
  <c r="D504" i="1"/>
  <c r="U503" i="1"/>
  <c r="T503" i="1"/>
  <c r="P503" i="1"/>
  <c r="F503" i="1"/>
  <c r="E503" i="1"/>
  <c r="D503" i="1"/>
  <c r="W502" i="1"/>
  <c r="U502" i="1"/>
  <c r="T502" i="1"/>
  <c r="V502" i="1" s="1"/>
  <c r="P502" i="1"/>
  <c r="F502" i="1"/>
  <c r="E502" i="1"/>
  <c r="D502" i="1"/>
  <c r="U501" i="1"/>
  <c r="T501" i="1"/>
  <c r="P501" i="1"/>
  <c r="F501" i="1"/>
  <c r="E501" i="1"/>
  <c r="D501" i="1"/>
  <c r="U500" i="1"/>
  <c r="T500" i="1"/>
  <c r="P500" i="1"/>
  <c r="F500" i="1"/>
  <c r="E500" i="1"/>
  <c r="D500" i="1"/>
  <c r="U499" i="1"/>
  <c r="T499" i="1"/>
  <c r="P499" i="1"/>
  <c r="F499" i="1"/>
  <c r="E499" i="1"/>
  <c r="D499" i="1"/>
  <c r="U498" i="1"/>
  <c r="T498" i="1"/>
  <c r="P498" i="1"/>
  <c r="F498" i="1"/>
  <c r="E498" i="1"/>
  <c r="D498" i="1"/>
  <c r="U497" i="1"/>
  <c r="T497" i="1"/>
  <c r="P497" i="1"/>
  <c r="F497" i="1"/>
  <c r="E497" i="1"/>
  <c r="D497" i="1"/>
  <c r="U496" i="1"/>
  <c r="T496" i="1"/>
  <c r="P496" i="1"/>
  <c r="F496" i="1"/>
  <c r="E496" i="1"/>
  <c r="D496" i="1"/>
  <c r="U495" i="1"/>
  <c r="T495" i="1"/>
  <c r="P495" i="1"/>
  <c r="F495" i="1"/>
  <c r="E495" i="1"/>
  <c r="D495" i="1"/>
  <c r="U494" i="1"/>
  <c r="T494" i="1"/>
  <c r="P494" i="1"/>
  <c r="F494" i="1"/>
  <c r="E494" i="1"/>
  <c r="D494" i="1"/>
  <c r="U493" i="1"/>
  <c r="T493" i="1"/>
  <c r="P493" i="1"/>
  <c r="F493" i="1"/>
  <c r="E493" i="1"/>
  <c r="D493" i="1"/>
  <c r="U492" i="1"/>
  <c r="T492" i="1"/>
  <c r="P492" i="1"/>
  <c r="F492" i="1"/>
  <c r="E492" i="1"/>
  <c r="D492" i="1"/>
  <c r="U491" i="1"/>
  <c r="T491" i="1"/>
  <c r="P491" i="1"/>
  <c r="F491" i="1"/>
  <c r="E491" i="1"/>
  <c r="D491" i="1"/>
  <c r="U490" i="1"/>
  <c r="T490" i="1"/>
  <c r="P490" i="1"/>
  <c r="F490" i="1"/>
  <c r="E490" i="1"/>
  <c r="D490" i="1"/>
  <c r="U489" i="1"/>
  <c r="T489" i="1"/>
  <c r="P489" i="1"/>
  <c r="F489" i="1"/>
  <c r="E489" i="1"/>
  <c r="D489" i="1"/>
  <c r="U488" i="1"/>
  <c r="T488" i="1"/>
  <c r="P488" i="1"/>
  <c r="F488" i="1"/>
  <c r="E488" i="1"/>
  <c r="D488" i="1"/>
  <c r="U487" i="1"/>
  <c r="T487" i="1"/>
  <c r="V487" i="1" s="1"/>
  <c r="W487" i="1" s="1"/>
  <c r="P487" i="1"/>
  <c r="F487" i="1"/>
  <c r="E487" i="1"/>
  <c r="D487" i="1"/>
  <c r="U486" i="1"/>
  <c r="T486" i="1"/>
  <c r="P486" i="1"/>
  <c r="F486" i="1"/>
  <c r="E486" i="1"/>
  <c r="D486" i="1"/>
  <c r="U485" i="1"/>
  <c r="T485" i="1"/>
  <c r="P485" i="1"/>
  <c r="F485" i="1"/>
  <c r="E485" i="1"/>
  <c r="D485" i="1"/>
  <c r="W484" i="1"/>
  <c r="U484" i="1"/>
  <c r="T484" i="1"/>
  <c r="V484" i="1" s="1"/>
  <c r="P484" i="1"/>
  <c r="F484" i="1"/>
  <c r="E484" i="1"/>
  <c r="D484" i="1"/>
  <c r="V483" i="1"/>
  <c r="W483" i="1" s="1"/>
  <c r="U483" i="1"/>
  <c r="T483" i="1"/>
  <c r="P483" i="1"/>
  <c r="F483" i="1"/>
  <c r="E483" i="1"/>
  <c r="D483" i="1"/>
  <c r="U482" i="1"/>
  <c r="T482" i="1"/>
  <c r="P482" i="1"/>
  <c r="F482" i="1"/>
  <c r="E482" i="1"/>
  <c r="D482" i="1"/>
  <c r="U481" i="1"/>
  <c r="T481" i="1"/>
  <c r="V481" i="1" s="1"/>
  <c r="P481" i="1"/>
  <c r="F481" i="1"/>
  <c r="E481" i="1"/>
  <c r="D481" i="1"/>
  <c r="U480" i="1"/>
  <c r="T480" i="1"/>
  <c r="V480" i="1" s="1"/>
  <c r="W480" i="1" s="1"/>
  <c r="P480" i="1"/>
  <c r="F480" i="1"/>
  <c r="E480" i="1"/>
  <c r="D480" i="1"/>
  <c r="U479" i="1"/>
  <c r="T479" i="1"/>
  <c r="P479" i="1"/>
  <c r="F479" i="1"/>
  <c r="E479" i="1"/>
  <c r="D479" i="1"/>
  <c r="U478" i="1"/>
  <c r="T478" i="1"/>
  <c r="P478" i="1"/>
  <c r="F478" i="1"/>
  <c r="E478" i="1"/>
  <c r="D478" i="1"/>
  <c r="U477" i="1"/>
  <c r="T477" i="1"/>
  <c r="P477" i="1"/>
  <c r="F477" i="1"/>
  <c r="E477" i="1"/>
  <c r="D477" i="1"/>
  <c r="U476" i="1"/>
  <c r="T476" i="1"/>
  <c r="P476" i="1"/>
  <c r="F476" i="1"/>
  <c r="E476" i="1"/>
  <c r="D476" i="1"/>
  <c r="U475" i="1"/>
  <c r="T475" i="1"/>
  <c r="V475" i="1" s="1"/>
  <c r="P475" i="1"/>
  <c r="F475" i="1"/>
  <c r="E475" i="1"/>
  <c r="D475" i="1"/>
  <c r="U474" i="1"/>
  <c r="T474" i="1"/>
  <c r="P474" i="1"/>
  <c r="F474" i="1"/>
  <c r="E474" i="1"/>
  <c r="D474" i="1"/>
  <c r="U473" i="1"/>
  <c r="T473" i="1"/>
  <c r="P473" i="1"/>
  <c r="F473" i="1"/>
  <c r="E473" i="1"/>
  <c r="D473" i="1"/>
  <c r="U472" i="1"/>
  <c r="V472" i="1" s="1"/>
  <c r="W472" i="1" s="1"/>
  <c r="T472" i="1"/>
  <c r="P472" i="1"/>
  <c r="F472" i="1"/>
  <c r="E472" i="1"/>
  <c r="D472" i="1"/>
  <c r="U471" i="1"/>
  <c r="T471" i="1"/>
  <c r="P471" i="1"/>
  <c r="F471" i="1"/>
  <c r="E471" i="1"/>
  <c r="D471" i="1"/>
  <c r="U470" i="1"/>
  <c r="T470" i="1"/>
  <c r="V470" i="1" s="1"/>
  <c r="P470" i="1"/>
  <c r="F470" i="1"/>
  <c r="E470" i="1"/>
  <c r="D470" i="1"/>
  <c r="U469" i="1"/>
  <c r="V469" i="1" s="1"/>
  <c r="W469" i="1" s="1"/>
  <c r="T469" i="1"/>
  <c r="P469" i="1"/>
  <c r="F469" i="1"/>
  <c r="E469" i="1"/>
  <c r="D469" i="1"/>
  <c r="U468" i="1"/>
  <c r="T468" i="1"/>
  <c r="P468" i="1"/>
  <c r="F468" i="1"/>
  <c r="E468" i="1"/>
  <c r="D468" i="1"/>
  <c r="U467" i="1"/>
  <c r="T467" i="1"/>
  <c r="P467" i="1"/>
  <c r="F467" i="1"/>
  <c r="E467" i="1"/>
  <c r="D467" i="1"/>
  <c r="U466" i="1"/>
  <c r="T466" i="1"/>
  <c r="P466" i="1"/>
  <c r="F466" i="1"/>
  <c r="E466" i="1"/>
  <c r="D466" i="1"/>
  <c r="U465" i="1"/>
  <c r="T465" i="1"/>
  <c r="P465" i="1"/>
  <c r="F465" i="1"/>
  <c r="E465" i="1"/>
  <c r="D465" i="1"/>
  <c r="U464" i="1"/>
  <c r="T464" i="1"/>
  <c r="P464" i="1"/>
  <c r="F464" i="1"/>
  <c r="E464" i="1"/>
  <c r="D464" i="1"/>
  <c r="U463" i="1"/>
  <c r="T463" i="1"/>
  <c r="V463" i="1" s="1"/>
  <c r="W463" i="1" s="1"/>
  <c r="P463" i="1"/>
  <c r="F463" i="1"/>
  <c r="E463" i="1"/>
  <c r="D463" i="1"/>
  <c r="U462" i="1"/>
  <c r="V462" i="1" s="1"/>
  <c r="W462" i="1" s="1"/>
  <c r="T462" i="1"/>
  <c r="P462" i="1"/>
  <c r="F462" i="1"/>
  <c r="E462" i="1"/>
  <c r="D462" i="1"/>
  <c r="U461" i="1"/>
  <c r="T461" i="1"/>
  <c r="P461" i="1"/>
  <c r="F461" i="1"/>
  <c r="E461" i="1"/>
  <c r="D461" i="1"/>
  <c r="U460" i="1"/>
  <c r="T460" i="1"/>
  <c r="V460" i="1" s="1"/>
  <c r="P460" i="1"/>
  <c r="F460" i="1"/>
  <c r="E460" i="1"/>
  <c r="D460" i="1"/>
  <c r="U459" i="1"/>
  <c r="T459" i="1"/>
  <c r="P459" i="1"/>
  <c r="F459" i="1"/>
  <c r="E459" i="1"/>
  <c r="D459" i="1"/>
  <c r="U458" i="1"/>
  <c r="T458" i="1"/>
  <c r="P458" i="1"/>
  <c r="F458" i="1"/>
  <c r="E458" i="1"/>
  <c r="D458" i="1"/>
  <c r="U457" i="1"/>
  <c r="T457" i="1"/>
  <c r="P457" i="1"/>
  <c r="F457" i="1"/>
  <c r="E457" i="1"/>
  <c r="D457" i="1"/>
  <c r="U456" i="1"/>
  <c r="V456" i="1" s="1"/>
  <c r="T456" i="1"/>
  <c r="P456" i="1"/>
  <c r="F456" i="1"/>
  <c r="E456" i="1"/>
  <c r="D456" i="1"/>
  <c r="U455" i="1"/>
  <c r="T455" i="1"/>
  <c r="P455" i="1"/>
  <c r="F455" i="1"/>
  <c r="E455" i="1"/>
  <c r="D455" i="1"/>
  <c r="U454" i="1"/>
  <c r="T454" i="1"/>
  <c r="P454" i="1"/>
  <c r="F454" i="1"/>
  <c r="E454" i="1"/>
  <c r="D454" i="1"/>
  <c r="U453" i="1"/>
  <c r="T453" i="1"/>
  <c r="P453" i="1"/>
  <c r="F453" i="1"/>
  <c r="E453" i="1"/>
  <c r="D453" i="1"/>
  <c r="U452" i="1"/>
  <c r="T452" i="1"/>
  <c r="P452" i="1"/>
  <c r="F452" i="1"/>
  <c r="E452" i="1"/>
  <c r="D452" i="1"/>
  <c r="U451" i="1"/>
  <c r="T451" i="1"/>
  <c r="P451" i="1"/>
  <c r="F451" i="1"/>
  <c r="E451" i="1"/>
  <c r="D451" i="1"/>
  <c r="U450" i="1"/>
  <c r="T450" i="1"/>
  <c r="V450" i="1" s="1"/>
  <c r="P450" i="1"/>
  <c r="F450" i="1"/>
  <c r="E450" i="1"/>
  <c r="D450" i="1"/>
  <c r="U449" i="1"/>
  <c r="T449" i="1"/>
  <c r="P449" i="1"/>
  <c r="F449" i="1"/>
  <c r="E449" i="1"/>
  <c r="D449" i="1"/>
  <c r="U448" i="1"/>
  <c r="T448" i="1"/>
  <c r="P448" i="1"/>
  <c r="F448" i="1"/>
  <c r="E448" i="1"/>
  <c r="D448" i="1"/>
  <c r="U447" i="1"/>
  <c r="T447" i="1"/>
  <c r="V447" i="1" s="1"/>
  <c r="W447" i="1" s="1"/>
  <c r="P447" i="1"/>
  <c r="F447" i="1"/>
  <c r="E447" i="1"/>
  <c r="D447" i="1"/>
  <c r="U446" i="1"/>
  <c r="T446" i="1"/>
  <c r="P446" i="1"/>
  <c r="F446" i="1"/>
  <c r="E446" i="1"/>
  <c r="D446" i="1"/>
  <c r="U445" i="1"/>
  <c r="T445" i="1"/>
  <c r="P445" i="1"/>
  <c r="F445" i="1"/>
  <c r="E445" i="1"/>
  <c r="D445" i="1"/>
  <c r="U444" i="1"/>
  <c r="T444" i="1"/>
  <c r="V444" i="1" s="1"/>
  <c r="W444" i="1" s="1"/>
  <c r="P444" i="1"/>
  <c r="F444" i="1"/>
  <c r="E444" i="1"/>
  <c r="D444" i="1"/>
  <c r="W443" i="1"/>
  <c r="U443" i="1"/>
  <c r="T443" i="1"/>
  <c r="V443" i="1" s="1"/>
  <c r="P443" i="1"/>
  <c r="F443" i="1"/>
  <c r="E443" i="1"/>
  <c r="D443" i="1"/>
  <c r="U442" i="1"/>
  <c r="T442" i="1"/>
  <c r="P442" i="1"/>
  <c r="F442" i="1"/>
  <c r="E442" i="1"/>
  <c r="D442" i="1"/>
  <c r="U441" i="1"/>
  <c r="T441" i="1"/>
  <c r="P441" i="1"/>
  <c r="F441" i="1"/>
  <c r="E441" i="1"/>
  <c r="D441" i="1"/>
  <c r="U440" i="1"/>
  <c r="T440" i="1"/>
  <c r="P440" i="1"/>
  <c r="F440" i="1"/>
  <c r="E440" i="1"/>
  <c r="D440" i="1"/>
  <c r="U439" i="1"/>
  <c r="T439" i="1"/>
  <c r="P439" i="1"/>
  <c r="F439" i="1"/>
  <c r="E439" i="1"/>
  <c r="D439" i="1"/>
  <c r="U438" i="1"/>
  <c r="V438" i="1" s="1"/>
  <c r="T438" i="1"/>
  <c r="P438" i="1"/>
  <c r="F438" i="1"/>
  <c r="E438" i="1"/>
  <c r="D438" i="1"/>
  <c r="U437" i="1"/>
  <c r="T437" i="1"/>
  <c r="P437" i="1"/>
  <c r="F437" i="1"/>
  <c r="E437" i="1"/>
  <c r="D437" i="1"/>
  <c r="U436" i="1"/>
  <c r="T436" i="1"/>
  <c r="P436" i="1"/>
  <c r="F436" i="1"/>
  <c r="E436" i="1"/>
  <c r="D436" i="1"/>
  <c r="U435" i="1"/>
  <c r="T435" i="1"/>
  <c r="P435" i="1"/>
  <c r="F435" i="1"/>
  <c r="E435" i="1"/>
  <c r="D435" i="1"/>
  <c r="U434" i="1"/>
  <c r="T434" i="1"/>
  <c r="P434" i="1"/>
  <c r="F434" i="1"/>
  <c r="E434" i="1"/>
  <c r="D434" i="1"/>
  <c r="V433" i="1"/>
  <c r="W433" i="1" s="1"/>
  <c r="U433" i="1"/>
  <c r="T433" i="1"/>
  <c r="P433" i="1"/>
  <c r="F433" i="1"/>
  <c r="E433" i="1"/>
  <c r="D433" i="1"/>
  <c r="U432" i="1"/>
  <c r="T432" i="1"/>
  <c r="P432" i="1"/>
  <c r="F432" i="1"/>
  <c r="E432" i="1"/>
  <c r="D432" i="1"/>
  <c r="U431" i="1"/>
  <c r="T431" i="1"/>
  <c r="P431" i="1"/>
  <c r="F431" i="1"/>
  <c r="E431" i="1"/>
  <c r="D431" i="1"/>
  <c r="U430" i="1"/>
  <c r="T430" i="1"/>
  <c r="V430" i="1" s="1"/>
  <c r="W430" i="1" s="1"/>
  <c r="P430" i="1"/>
  <c r="F430" i="1"/>
  <c r="E430" i="1"/>
  <c r="D430" i="1"/>
  <c r="U429" i="1"/>
  <c r="T429" i="1"/>
  <c r="P429" i="1"/>
  <c r="F429" i="1"/>
  <c r="E429" i="1"/>
  <c r="D429" i="1"/>
  <c r="U428" i="1"/>
  <c r="T428" i="1"/>
  <c r="P428" i="1"/>
  <c r="F428" i="1"/>
  <c r="E428" i="1"/>
  <c r="D428" i="1"/>
  <c r="U427" i="1"/>
  <c r="T427" i="1"/>
  <c r="P427" i="1"/>
  <c r="F427" i="1"/>
  <c r="E427" i="1"/>
  <c r="D427" i="1"/>
  <c r="U426" i="1"/>
  <c r="T426" i="1"/>
  <c r="P426" i="1"/>
  <c r="F426" i="1"/>
  <c r="E426" i="1"/>
  <c r="D426" i="1"/>
  <c r="U425" i="1"/>
  <c r="T425" i="1"/>
  <c r="P425" i="1"/>
  <c r="F425" i="1"/>
  <c r="E425" i="1"/>
  <c r="D425" i="1"/>
  <c r="U424" i="1"/>
  <c r="T424" i="1"/>
  <c r="P424" i="1"/>
  <c r="F424" i="1"/>
  <c r="E424" i="1"/>
  <c r="D424" i="1"/>
  <c r="U423" i="1"/>
  <c r="V423" i="1" s="1"/>
  <c r="W423" i="1" s="1"/>
  <c r="T423" i="1"/>
  <c r="P423" i="1"/>
  <c r="F423" i="1"/>
  <c r="E423" i="1"/>
  <c r="D423" i="1"/>
  <c r="U422" i="1"/>
  <c r="T422" i="1"/>
  <c r="P422" i="1"/>
  <c r="F422" i="1"/>
  <c r="E422" i="1"/>
  <c r="D422" i="1"/>
  <c r="U421" i="1"/>
  <c r="T421" i="1"/>
  <c r="P421" i="1"/>
  <c r="F421" i="1"/>
  <c r="E421" i="1"/>
  <c r="D421" i="1"/>
  <c r="U420" i="1"/>
  <c r="T420" i="1"/>
  <c r="P420" i="1"/>
  <c r="F420" i="1"/>
  <c r="E420" i="1"/>
  <c r="D420" i="1"/>
  <c r="U419" i="1"/>
  <c r="T419" i="1"/>
  <c r="P419" i="1"/>
  <c r="F419" i="1"/>
  <c r="E419" i="1"/>
  <c r="D419" i="1"/>
  <c r="U418" i="1"/>
  <c r="T418" i="1"/>
  <c r="V418" i="1" s="1"/>
  <c r="W418" i="1" s="1"/>
  <c r="P418" i="1"/>
  <c r="F418" i="1"/>
  <c r="E418" i="1"/>
  <c r="D418" i="1"/>
  <c r="U417" i="1"/>
  <c r="T417" i="1"/>
  <c r="P417" i="1"/>
  <c r="F417" i="1"/>
  <c r="E417" i="1"/>
  <c r="D417" i="1"/>
  <c r="U416" i="1"/>
  <c r="T416" i="1"/>
  <c r="P416" i="1"/>
  <c r="F416" i="1"/>
  <c r="E416" i="1"/>
  <c r="D416" i="1"/>
  <c r="U415" i="1"/>
  <c r="V415" i="1" s="1"/>
  <c r="W415" i="1" s="1"/>
  <c r="T415" i="1"/>
  <c r="P415" i="1"/>
  <c r="F415" i="1"/>
  <c r="E415" i="1"/>
  <c r="D415" i="1"/>
  <c r="U414" i="1"/>
  <c r="T414" i="1"/>
  <c r="P414" i="1"/>
  <c r="F414" i="1"/>
  <c r="E414" i="1"/>
  <c r="D414" i="1"/>
  <c r="U413" i="1"/>
  <c r="T413" i="1"/>
  <c r="P413" i="1"/>
  <c r="F413" i="1"/>
  <c r="E413" i="1"/>
  <c r="D413" i="1"/>
  <c r="U412" i="1"/>
  <c r="T412" i="1"/>
  <c r="P412" i="1"/>
  <c r="F412" i="1"/>
  <c r="E412" i="1"/>
  <c r="D412" i="1"/>
  <c r="U411" i="1"/>
  <c r="V411" i="1" s="1"/>
  <c r="W411" i="1" s="1"/>
  <c r="T411" i="1"/>
  <c r="P411" i="1"/>
  <c r="F411" i="1"/>
  <c r="E411" i="1"/>
  <c r="D411" i="1"/>
  <c r="U410" i="1"/>
  <c r="T410" i="1"/>
  <c r="P410" i="1"/>
  <c r="F410" i="1"/>
  <c r="E410" i="1"/>
  <c r="D410" i="1"/>
  <c r="U409" i="1"/>
  <c r="T409" i="1"/>
  <c r="P409" i="1"/>
  <c r="F409" i="1"/>
  <c r="E409" i="1"/>
  <c r="D409" i="1"/>
  <c r="U408" i="1"/>
  <c r="T408" i="1"/>
  <c r="P408" i="1"/>
  <c r="F408" i="1"/>
  <c r="E408" i="1"/>
  <c r="D408" i="1"/>
  <c r="U407" i="1"/>
  <c r="T407" i="1"/>
  <c r="P407" i="1"/>
  <c r="F407" i="1"/>
  <c r="E407" i="1"/>
  <c r="D407" i="1"/>
  <c r="U406" i="1"/>
  <c r="T406" i="1"/>
  <c r="P406" i="1"/>
  <c r="F406" i="1"/>
  <c r="E406" i="1"/>
  <c r="D406" i="1"/>
  <c r="U405" i="1"/>
  <c r="T405" i="1"/>
  <c r="P405" i="1"/>
  <c r="F405" i="1"/>
  <c r="E405" i="1"/>
  <c r="D405" i="1"/>
  <c r="U404" i="1"/>
  <c r="T404" i="1"/>
  <c r="P404" i="1"/>
  <c r="F404" i="1"/>
  <c r="E404" i="1"/>
  <c r="D404" i="1"/>
  <c r="U403" i="1"/>
  <c r="T403" i="1"/>
  <c r="P403" i="1"/>
  <c r="F403" i="1"/>
  <c r="E403" i="1"/>
  <c r="D403" i="1"/>
  <c r="U402" i="1"/>
  <c r="T402" i="1"/>
  <c r="P402" i="1"/>
  <c r="F402" i="1"/>
  <c r="E402" i="1"/>
  <c r="D402" i="1"/>
  <c r="U401" i="1"/>
  <c r="T401" i="1"/>
  <c r="P401" i="1"/>
  <c r="F401" i="1"/>
  <c r="E401" i="1"/>
  <c r="D401" i="1"/>
  <c r="U400" i="1"/>
  <c r="T400" i="1"/>
  <c r="V400" i="1" s="1"/>
  <c r="W400" i="1" s="1"/>
  <c r="P400" i="1"/>
  <c r="F400" i="1"/>
  <c r="E400" i="1"/>
  <c r="D400" i="1"/>
  <c r="U399" i="1"/>
  <c r="T399" i="1"/>
  <c r="P399" i="1"/>
  <c r="F399" i="1"/>
  <c r="E399" i="1"/>
  <c r="D399" i="1"/>
  <c r="U398" i="1"/>
  <c r="T398" i="1"/>
  <c r="P398" i="1"/>
  <c r="F398" i="1"/>
  <c r="E398" i="1"/>
  <c r="D398" i="1"/>
  <c r="U397" i="1"/>
  <c r="T397" i="1"/>
  <c r="P397" i="1"/>
  <c r="F397" i="1"/>
  <c r="E397" i="1"/>
  <c r="D397" i="1"/>
  <c r="U396" i="1"/>
  <c r="T396" i="1"/>
  <c r="P396" i="1"/>
  <c r="F396" i="1"/>
  <c r="E396" i="1"/>
  <c r="D396" i="1"/>
  <c r="U395" i="1"/>
  <c r="T395" i="1"/>
  <c r="P395" i="1"/>
  <c r="F395" i="1"/>
  <c r="E395" i="1"/>
  <c r="D395" i="1"/>
  <c r="U394" i="1"/>
  <c r="T394" i="1"/>
  <c r="P394" i="1"/>
  <c r="F394" i="1"/>
  <c r="E394" i="1"/>
  <c r="D394" i="1"/>
  <c r="V393" i="1"/>
  <c r="W393" i="1" s="1"/>
  <c r="U393" i="1"/>
  <c r="T393" i="1"/>
  <c r="P393" i="1"/>
  <c r="F393" i="1"/>
  <c r="E393" i="1"/>
  <c r="D393" i="1"/>
  <c r="U392" i="1"/>
  <c r="T392" i="1"/>
  <c r="P392" i="1"/>
  <c r="F392" i="1"/>
  <c r="E392" i="1"/>
  <c r="D392" i="1"/>
  <c r="U391" i="1"/>
  <c r="T391" i="1"/>
  <c r="P391" i="1"/>
  <c r="F391" i="1"/>
  <c r="E391" i="1"/>
  <c r="D391" i="1"/>
  <c r="U390" i="1"/>
  <c r="T390" i="1"/>
  <c r="P390" i="1"/>
  <c r="F390" i="1"/>
  <c r="E390" i="1"/>
  <c r="D390" i="1"/>
  <c r="U389" i="1"/>
  <c r="T389" i="1"/>
  <c r="P389" i="1"/>
  <c r="F389" i="1"/>
  <c r="E389" i="1"/>
  <c r="D389" i="1"/>
  <c r="V388" i="1"/>
  <c r="U388" i="1"/>
  <c r="T388" i="1"/>
  <c r="P388" i="1"/>
  <c r="F388" i="1"/>
  <c r="E388" i="1"/>
  <c r="D388" i="1"/>
  <c r="U387" i="1"/>
  <c r="V387" i="1" s="1"/>
  <c r="W387" i="1" s="1"/>
  <c r="T387" i="1"/>
  <c r="P387" i="1"/>
  <c r="F387" i="1"/>
  <c r="E387" i="1"/>
  <c r="D387" i="1"/>
  <c r="U386" i="1"/>
  <c r="T386" i="1"/>
  <c r="P386" i="1"/>
  <c r="F386" i="1"/>
  <c r="E386" i="1"/>
  <c r="D386" i="1"/>
  <c r="U385" i="1"/>
  <c r="T385" i="1"/>
  <c r="P385" i="1"/>
  <c r="F385" i="1"/>
  <c r="E385" i="1"/>
  <c r="D385" i="1"/>
  <c r="U384" i="1"/>
  <c r="T384" i="1"/>
  <c r="P384" i="1"/>
  <c r="F384" i="1"/>
  <c r="E384" i="1"/>
  <c r="D384" i="1"/>
  <c r="W383" i="1"/>
  <c r="U383" i="1"/>
  <c r="T383" i="1"/>
  <c r="V383" i="1" s="1"/>
  <c r="P383" i="1"/>
  <c r="F383" i="1"/>
  <c r="E383" i="1"/>
  <c r="D383" i="1"/>
  <c r="U382" i="1"/>
  <c r="T382" i="1"/>
  <c r="P382" i="1"/>
  <c r="F382" i="1"/>
  <c r="E382" i="1"/>
  <c r="D382" i="1"/>
  <c r="U381" i="1"/>
  <c r="T381" i="1"/>
  <c r="P381" i="1"/>
  <c r="F381" i="1"/>
  <c r="E381" i="1"/>
  <c r="D381" i="1"/>
  <c r="U380" i="1"/>
  <c r="T380" i="1"/>
  <c r="P380" i="1"/>
  <c r="F380" i="1"/>
  <c r="E380" i="1"/>
  <c r="D380" i="1"/>
  <c r="U379" i="1"/>
  <c r="V379" i="1" s="1"/>
  <c r="W379" i="1" s="1"/>
  <c r="T379" i="1"/>
  <c r="P379" i="1"/>
  <c r="F379" i="1"/>
  <c r="E379" i="1"/>
  <c r="D379" i="1"/>
  <c r="U378" i="1"/>
  <c r="T378" i="1"/>
  <c r="P378" i="1"/>
  <c r="F378" i="1"/>
  <c r="E378" i="1"/>
  <c r="D378" i="1"/>
  <c r="U377" i="1"/>
  <c r="T377" i="1"/>
  <c r="P377" i="1"/>
  <c r="F377" i="1"/>
  <c r="E377" i="1"/>
  <c r="D377" i="1"/>
  <c r="U376" i="1"/>
  <c r="T376" i="1"/>
  <c r="P376" i="1"/>
  <c r="F376" i="1"/>
  <c r="E376" i="1"/>
  <c r="D376" i="1"/>
  <c r="U375" i="1"/>
  <c r="T375" i="1"/>
  <c r="V375" i="1" s="1"/>
  <c r="P375" i="1"/>
  <c r="F375" i="1"/>
  <c r="E375" i="1"/>
  <c r="D375" i="1"/>
  <c r="U374" i="1"/>
  <c r="T374" i="1"/>
  <c r="P374" i="1"/>
  <c r="F374" i="1"/>
  <c r="E374" i="1"/>
  <c r="D374" i="1"/>
  <c r="U373" i="1"/>
  <c r="T373" i="1"/>
  <c r="P373" i="1"/>
  <c r="F373" i="1"/>
  <c r="E373" i="1"/>
  <c r="D373" i="1"/>
  <c r="U372" i="1"/>
  <c r="T372" i="1"/>
  <c r="P372" i="1"/>
  <c r="F372" i="1"/>
  <c r="E372" i="1"/>
  <c r="D372" i="1"/>
  <c r="U371" i="1"/>
  <c r="T371" i="1"/>
  <c r="P371" i="1"/>
  <c r="F371" i="1"/>
  <c r="E371" i="1"/>
  <c r="D371" i="1"/>
  <c r="V370" i="1"/>
  <c r="W370" i="1" s="1"/>
  <c r="U370" i="1"/>
  <c r="T370" i="1"/>
  <c r="P370" i="1"/>
  <c r="F370" i="1"/>
  <c r="E370" i="1"/>
  <c r="D370" i="1"/>
  <c r="U369" i="1"/>
  <c r="T369" i="1"/>
  <c r="P369" i="1"/>
  <c r="F369" i="1"/>
  <c r="E369" i="1"/>
  <c r="D369" i="1"/>
  <c r="U368" i="1"/>
  <c r="T368" i="1"/>
  <c r="P368" i="1"/>
  <c r="F368" i="1"/>
  <c r="E368" i="1"/>
  <c r="D368" i="1"/>
  <c r="U367" i="1"/>
  <c r="T367" i="1"/>
  <c r="P367" i="1"/>
  <c r="F367" i="1"/>
  <c r="E367" i="1"/>
  <c r="D367" i="1"/>
  <c r="U366" i="1"/>
  <c r="T366" i="1"/>
  <c r="V366" i="1" s="1"/>
  <c r="P366" i="1"/>
  <c r="F366" i="1"/>
  <c r="E366" i="1"/>
  <c r="D366" i="1"/>
  <c r="V365" i="1"/>
  <c r="U365" i="1"/>
  <c r="T365" i="1"/>
  <c r="P365" i="1"/>
  <c r="F365" i="1"/>
  <c r="E365" i="1"/>
  <c r="D365" i="1"/>
  <c r="U364" i="1"/>
  <c r="V364" i="1" s="1"/>
  <c r="W364" i="1" s="1"/>
  <c r="T364" i="1"/>
  <c r="P364" i="1"/>
  <c r="F364" i="1"/>
  <c r="E364" i="1"/>
  <c r="D364" i="1"/>
  <c r="U363" i="1"/>
  <c r="T363" i="1"/>
  <c r="P363" i="1"/>
  <c r="F363" i="1"/>
  <c r="E363" i="1"/>
  <c r="D363" i="1"/>
  <c r="U362" i="1"/>
  <c r="T362" i="1"/>
  <c r="P362" i="1"/>
  <c r="F362" i="1"/>
  <c r="E362" i="1"/>
  <c r="D362" i="1"/>
  <c r="U361" i="1"/>
  <c r="T361" i="1"/>
  <c r="P361" i="1"/>
  <c r="F361" i="1"/>
  <c r="E361" i="1"/>
  <c r="D361" i="1"/>
  <c r="U360" i="1"/>
  <c r="T360" i="1"/>
  <c r="P360" i="1"/>
  <c r="F360" i="1"/>
  <c r="E360" i="1"/>
  <c r="D360" i="1"/>
  <c r="U359" i="1"/>
  <c r="T359" i="1"/>
  <c r="P359" i="1"/>
  <c r="F359" i="1"/>
  <c r="E359" i="1"/>
  <c r="D359" i="1"/>
  <c r="U358" i="1"/>
  <c r="T358" i="1"/>
  <c r="P358" i="1"/>
  <c r="F358" i="1"/>
  <c r="E358" i="1"/>
  <c r="D358" i="1"/>
  <c r="U357" i="1"/>
  <c r="T357" i="1"/>
  <c r="P357" i="1"/>
  <c r="F357" i="1"/>
  <c r="E357" i="1"/>
  <c r="D357" i="1"/>
  <c r="U356" i="1"/>
  <c r="T356" i="1"/>
  <c r="V356" i="1" s="1"/>
  <c r="P356" i="1"/>
  <c r="F356" i="1"/>
  <c r="E356" i="1"/>
  <c r="D356" i="1"/>
  <c r="U355" i="1"/>
  <c r="T355" i="1"/>
  <c r="V355" i="1" s="1"/>
  <c r="W355" i="1" s="1"/>
  <c r="P355" i="1"/>
  <c r="F355" i="1"/>
  <c r="E355" i="1"/>
  <c r="D355" i="1"/>
  <c r="U354" i="1"/>
  <c r="T354" i="1"/>
  <c r="P354" i="1"/>
  <c r="F354" i="1"/>
  <c r="E354" i="1"/>
  <c r="D354" i="1"/>
  <c r="V353" i="1"/>
  <c r="W353" i="1" s="1"/>
  <c r="U353" i="1"/>
  <c r="T353" i="1"/>
  <c r="P353" i="1"/>
  <c r="F353" i="1"/>
  <c r="E353" i="1"/>
  <c r="D353" i="1"/>
  <c r="U352" i="1"/>
  <c r="V352" i="1" s="1"/>
  <c r="W352" i="1" s="1"/>
  <c r="T352" i="1"/>
  <c r="P352" i="1"/>
  <c r="F352" i="1"/>
  <c r="E352" i="1"/>
  <c r="D352" i="1"/>
  <c r="U351" i="1"/>
  <c r="T351" i="1"/>
  <c r="P351" i="1"/>
  <c r="F351" i="1"/>
  <c r="E351" i="1"/>
  <c r="D351" i="1"/>
  <c r="U350" i="1"/>
  <c r="V350" i="1" s="1"/>
  <c r="W350" i="1" s="1"/>
  <c r="T350" i="1"/>
  <c r="P350" i="1"/>
  <c r="F350" i="1"/>
  <c r="E350" i="1"/>
  <c r="D350" i="1"/>
  <c r="U349" i="1"/>
  <c r="T349" i="1"/>
  <c r="V349" i="1" s="1"/>
  <c r="W349" i="1" s="1"/>
  <c r="P349" i="1"/>
  <c r="F349" i="1"/>
  <c r="E349" i="1"/>
  <c r="D349" i="1"/>
  <c r="U348" i="1"/>
  <c r="T348" i="1"/>
  <c r="P348" i="1"/>
  <c r="F348" i="1"/>
  <c r="E348" i="1"/>
  <c r="D348" i="1"/>
  <c r="U347" i="1"/>
  <c r="T347" i="1"/>
  <c r="V347" i="1" s="1"/>
  <c r="W347" i="1" s="1"/>
  <c r="P347" i="1"/>
  <c r="F347" i="1"/>
  <c r="E347" i="1"/>
  <c r="D347" i="1"/>
  <c r="U346" i="1"/>
  <c r="V346" i="1" s="1"/>
  <c r="W346" i="1" s="1"/>
  <c r="T346" i="1"/>
  <c r="P346" i="1"/>
  <c r="F346" i="1"/>
  <c r="E346" i="1"/>
  <c r="D346" i="1"/>
  <c r="U345" i="1"/>
  <c r="T345" i="1"/>
  <c r="P345" i="1"/>
  <c r="F345" i="1"/>
  <c r="E345" i="1"/>
  <c r="D345" i="1"/>
  <c r="V344" i="1"/>
  <c r="W344" i="1" s="1"/>
  <c r="U344" i="1"/>
  <c r="T344" i="1"/>
  <c r="P344" i="1"/>
  <c r="F344" i="1"/>
  <c r="E344" i="1"/>
  <c r="D344" i="1"/>
  <c r="V343" i="1"/>
  <c r="W343" i="1" s="1"/>
  <c r="U343" i="1"/>
  <c r="T343" i="1"/>
  <c r="P343" i="1"/>
  <c r="F343" i="1"/>
  <c r="E343" i="1"/>
  <c r="D343" i="1"/>
  <c r="U342" i="1"/>
  <c r="T342" i="1"/>
  <c r="P342" i="1"/>
  <c r="F342" i="1"/>
  <c r="E342" i="1"/>
  <c r="D342" i="1"/>
  <c r="U341" i="1"/>
  <c r="T341" i="1"/>
  <c r="P341" i="1"/>
  <c r="F341" i="1"/>
  <c r="E341" i="1"/>
  <c r="D341" i="1"/>
  <c r="U340" i="1"/>
  <c r="T340" i="1"/>
  <c r="P340" i="1"/>
  <c r="F340" i="1"/>
  <c r="E340" i="1"/>
  <c r="D340" i="1"/>
  <c r="U339" i="1"/>
  <c r="T339" i="1"/>
  <c r="P339" i="1"/>
  <c r="F339" i="1"/>
  <c r="E339" i="1"/>
  <c r="D339" i="1"/>
  <c r="U338" i="1"/>
  <c r="T338" i="1"/>
  <c r="P338" i="1"/>
  <c r="F338" i="1"/>
  <c r="E338" i="1"/>
  <c r="D338" i="1"/>
  <c r="U337" i="1"/>
  <c r="V337" i="1" s="1"/>
  <c r="W337" i="1" s="1"/>
  <c r="T337" i="1"/>
  <c r="P337" i="1"/>
  <c r="F337" i="1"/>
  <c r="E337" i="1"/>
  <c r="D337" i="1"/>
  <c r="U336" i="1"/>
  <c r="T336" i="1"/>
  <c r="P336" i="1"/>
  <c r="F336" i="1"/>
  <c r="E336" i="1"/>
  <c r="D336" i="1"/>
  <c r="U335" i="1"/>
  <c r="T335" i="1"/>
  <c r="P335" i="1"/>
  <c r="F335" i="1"/>
  <c r="E335" i="1"/>
  <c r="D335" i="1"/>
  <c r="V334" i="1"/>
  <c r="W334" i="1" s="1"/>
  <c r="U334" i="1"/>
  <c r="T334" i="1"/>
  <c r="P334" i="1"/>
  <c r="F334" i="1"/>
  <c r="E334" i="1"/>
  <c r="D334" i="1"/>
  <c r="U333" i="1"/>
  <c r="T333" i="1"/>
  <c r="P333" i="1"/>
  <c r="F333" i="1"/>
  <c r="E333" i="1"/>
  <c r="D333" i="1"/>
  <c r="U332" i="1"/>
  <c r="T332" i="1"/>
  <c r="P332" i="1"/>
  <c r="F332" i="1"/>
  <c r="E332" i="1"/>
  <c r="D332" i="1"/>
  <c r="U331" i="1"/>
  <c r="T331" i="1"/>
  <c r="P331" i="1"/>
  <c r="F331" i="1"/>
  <c r="E331" i="1"/>
  <c r="D331" i="1"/>
  <c r="U330" i="1"/>
  <c r="T330" i="1"/>
  <c r="P330" i="1"/>
  <c r="F330" i="1"/>
  <c r="E330" i="1"/>
  <c r="D330" i="1"/>
  <c r="V329" i="1"/>
  <c r="U329" i="1"/>
  <c r="T329" i="1"/>
  <c r="P329" i="1"/>
  <c r="F329" i="1"/>
  <c r="E329" i="1"/>
  <c r="D329" i="1"/>
  <c r="V328" i="1"/>
  <c r="W328" i="1" s="1"/>
  <c r="U328" i="1"/>
  <c r="T328" i="1"/>
  <c r="P328" i="1"/>
  <c r="F328" i="1"/>
  <c r="E328" i="1"/>
  <c r="D328" i="1"/>
  <c r="U327" i="1"/>
  <c r="T327" i="1"/>
  <c r="V327" i="1" s="1"/>
  <c r="P327" i="1"/>
  <c r="F327" i="1"/>
  <c r="E327" i="1"/>
  <c r="D327" i="1"/>
  <c r="U326" i="1"/>
  <c r="T326" i="1"/>
  <c r="P326" i="1"/>
  <c r="F326" i="1"/>
  <c r="E326" i="1"/>
  <c r="D326" i="1"/>
  <c r="U325" i="1"/>
  <c r="T325" i="1"/>
  <c r="P325" i="1"/>
  <c r="F325" i="1"/>
  <c r="E325" i="1"/>
  <c r="D325" i="1"/>
  <c r="U324" i="1"/>
  <c r="T324" i="1"/>
  <c r="P324" i="1"/>
  <c r="F324" i="1"/>
  <c r="E324" i="1"/>
  <c r="D324" i="1"/>
  <c r="U323" i="1"/>
  <c r="T323" i="1"/>
  <c r="P323" i="1"/>
  <c r="F323" i="1"/>
  <c r="E323" i="1"/>
  <c r="D323" i="1"/>
  <c r="U322" i="1"/>
  <c r="T322" i="1"/>
  <c r="V322" i="1" s="1"/>
  <c r="W322" i="1" s="1"/>
  <c r="P322" i="1"/>
  <c r="F322" i="1"/>
  <c r="E322" i="1"/>
  <c r="D322" i="1"/>
  <c r="U321" i="1"/>
  <c r="T321" i="1"/>
  <c r="P321" i="1"/>
  <c r="F321" i="1"/>
  <c r="E321" i="1"/>
  <c r="D321" i="1"/>
  <c r="U320" i="1"/>
  <c r="T320" i="1"/>
  <c r="P320" i="1"/>
  <c r="F320" i="1"/>
  <c r="E320" i="1"/>
  <c r="D320" i="1"/>
  <c r="U319" i="1"/>
  <c r="V319" i="1" s="1"/>
  <c r="W319" i="1" s="1"/>
  <c r="T319" i="1"/>
  <c r="P319" i="1"/>
  <c r="F319" i="1"/>
  <c r="E319" i="1"/>
  <c r="D319" i="1"/>
  <c r="U318" i="1"/>
  <c r="T318" i="1"/>
  <c r="P318" i="1"/>
  <c r="F318" i="1"/>
  <c r="E318" i="1"/>
  <c r="D318" i="1"/>
  <c r="U317" i="1"/>
  <c r="T317" i="1"/>
  <c r="P317" i="1"/>
  <c r="F317" i="1"/>
  <c r="E317" i="1"/>
  <c r="D317" i="1"/>
  <c r="U316" i="1"/>
  <c r="T316" i="1"/>
  <c r="P316" i="1"/>
  <c r="F316" i="1"/>
  <c r="E316" i="1"/>
  <c r="D316" i="1"/>
  <c r="U315" i="1"/>
  <c r="T315" i="1"/>
  <c r="P315" i="1"/>
  <c r="F315" i="1"/>
  <c r="E315" i="1"/>
  <c r="D315" i="1"/>
  <c r="V314" i="1"/>
  <c r="W314" i="1" s="1"/>
  <c r="U314" i="1"/>
  <c r="T314" i="1"/>
  <c r="P314" i="1"/>
  <c r="F314" i="1"/>
  <c r="E314" i="1"/>
  <c r="D314" i="1"/>
  <c r="U313" i="1"/>
  <c r="V313" i="1" s="1"/>
  <c r="W313" i="1" s="1"/>
  <c r="T313" i="1"/>
  <c r="P313" i="1"/>
  <c r="F313" i="1"/>
  <c r="E313" i="1"/>
  <c r="D313" i="1"/>
  <c r="U312" i="1"/>
  <c r="T312" i="1"/>
  <c r="P312" i="1"/>
  <c r="F312" i="1"/>
  <c r="E312" i="1"/>
  <c r="D312" i="1"/>
  <c r="U311" i="1"/>
  <c r="T311" i="1"/>
  <c r="V311" i="1" s="1"/>
  <c r="P311" i="1"/>
  <c r="F311" i="1"/>
  <c r="E311" i="1"/>
  <c r="D311" i="1"/>
  <c r="U310" i="1"/>
  <c r="T310" i="1"/>
  <c r="P310" i="1"/>
  <c r="F310" i="1"/>
  <c r="E310" i="1"/>
  <c r="D310" i="1"/>
  <c r="U309" i="1"/>
  <c r="T309" i="1"/>
  <c r="P309" i="1"/>
  <c r="F309" i="1"/>
  <c r="E309" i="1"/>
  <c r="D309" i="1"/>
  <c r="U308" i="1"/>
  <c r="T308" i="1"/>
  <c r="P308" i="1"/>
  <c r="F308" i="1"/>
  <c r="E308" i="1"/>
  <c r="D308" i="1"/>
  <c r="U307" i="1"/>
  <c r="V307" i="1" s="1"/>
  <c r="W307" i="1" s="1"/>
  <c r="T307" i="1"/>
  <c r="P307" i="1"/>
  <c r="F307" i="1"/>
  <c r="E307" i="1"/>
  <c r="D307" i="1"/>
  <c r="U306" i="1"/>
  <c r="T306" i="1"/>
  <c r="P306" i="1"/>
  <c r="F306" i="1"/>
  <c r="E306" i="1"/>
  <c r="D306" i="1"/>
  <c r="U305" i="1"/>
  <c r="T305" i="1"/>
  <c r="P305" i="1"/>
  <c r="F305" i="1"/>
  <c r="E305" i="1"/>
  <c r="D305" i="1"/>
  <c r="V304" i="1"/>
  <c r="W304" i="1" s="1"/>
  <c r="U304" i="1"/>
  <c r="T304" i="1"/>
  <c r="P304" i="1"/>
  <c r="F304" i="1"/>
  <c r="E304" i="1"/>
  <c r="D304" i="1"/>
  <c r="U303" i="1"/>
  <c r="T303" i="1"/>
  <c r="P303" i="1"/>
  <c r="F303" i="1"/>
  <c r="E303" i="1"/>
  <c r="D303" i="1"/>
  <c r="U302" i="1"/>
  <c r="V302" i="1" s="1"/>
  <c r="T302" i="1"/>
  <c r="P302" i="1"/>
  <c r="F302" i="1"/>
  <c r="E302" i="1"/>
  <c r="D302" i="1"/>
  <c r="U301" i="1"/>
  <c r="T301" i="1"/>
  <c r="P301" i="1"/>
  <c r="F301" i="1"/>
  <c r="E301" i="1"/>
  <c r="D301" i="1"/>
  <c r="U300" i="1"/>
  <c r="T300" i="1"/>
  <c r="P300" i="1"/>
  <c r="F300" i="1"/>
  <c r="E300" i="1"/>
  <c r="D300" i="1"/>
  <c r="U299" i="1"/>
  <c r="T299" i="1"/>
  <c r="P299" i="1"/>
  <c r="F299" i="1"/>
  <c r="E299" i="1"/>
  <c r="D299" i="1"/>
  <c r="V298" i="1"/>
  <c r="W298" i="1" s="1"/>
  <c r="U298" i="1"/>
  <c r="T298" i="1"/>
  <c r="P298" i="1"/>
  <c r="F298" i="1"/>
  <c r="E298" i="1"/>
  <c r="D298" i="1"/>
  <c r="U297" i="1"/>
  <c r="T297" i="1"/>
  <c r="P297" i="1"/>
  <c r="F297" i="1"/>
  <c r="E297" i="1"/>
  <c r="D297" i="1"/>
  <c r="U296" i="1"/>
  <c r="T296" i="1"/>
  <c r="P296" i="1"/>
  <c r="F296" i="1"/>
  <c r="E296" i="1"/>
  <c r="D296" i="1"/>
  <c r="U295" i="1"/>
  <c r="T295" i="1"/>
  <c r="P295" i="1"/>
  <c r="F295" i="1"/>
  <c r="E295" i="1"/>
  <c r="D295" i="1"/>
  <c r="U294" i="1"/>
  <c r="T294" i="1"/>
  <c r="V294" i="1" s="1"/>
  <c r="P294" i="1"/>
  <c r="F294" i="1"/>
  <c r="E294" i="1"/>
  <c r="D294" i="1"/>
  <c r="U293" i="1"/>
  <c r="T293" i="1"/>
  <c r="P293" i="1"/>
  <c r="F293" i="1"/>
  <c r="E293" i="1"/>
  <c r="D293" i="1"/>
  <c r="U292" i="1"/>
  <c r="V292" i="1" s="1"/>
  <c r="W292" i="1" s="1"/>
  <c r="T292" i="1"/>
  <c r="P292" i="1"/>
  <c r="F292" i="1"/>
  <c r="E292" i="1"/>
  <c r="D292" i="1"/>
  <c r="U291" i="1"/>
  <c r="T291" i="1"/>
  <c r="P291" i="1"/>
  <c r="F291" i="1"/>
  <c r="E291" i="1"/>
  <c r="D291" i="1"/>
  <c r="U290" i="1"/>
  <c r="T290" i="1"/>
  <c r="P290" i="1"/>
  <c r="F290" i="1"/>
  <c r="E290" i="1"/>
  <c r="D290" i="1"/>
  <c r="U289" i="1"/>
  <c r="T289" i="1"/>
  <c r="P289" i="1"/>
  <c r="F289" i="1"/>
  <c r="E289" i="1"/>
  <c r="D289" i="1"/>
  <c r="U288" i="1"/>
  <c r="T288" i="1"/>
  <c r="P288" i="1"/>
  <c r="F288" i="1"/>
  <c r="E288" i="1"/>
  <c r="D288" i="1"/>
  <c r="U287" i="1"/>
  <c r="T287" i="1"/>
  <c r="P287" i="1"/>
  <c r="F287" i="1"/>
  <c r="E287" i="1"/>
  <c r="D287" i="1"/>
  <c r="U286" i="1"/>
  <c r="T286" i="1"/>
  <c r="P286" i="1"/>
  <c r="F286" i="1"/>
  <c r="E286" i="1"/>
  <c r="D286" i="1"/>
  <c r="U285" i="1"/>
  <c r="T285" i="1"/>
  <c r="P285" i="1"/>
  <c r="F285" i="1"/>
  <c r="E285" i="1"/>
  <c r="D285" i="1"/>
  <c r="U284" i="1"/>
  <c r="T284" i="1"/>
  <c r="V284" i="1" s="1"/>
  <c r="P284" i="1"/>
  <c r="F284" i="1"/>
  <c r="E284" i="1"/>
  <c r="D284" i="1"/>
  <c r="V283" i="1"/>
  <c r="W283" i="1" s="1"/>
  <c r="U283" i="1"/>
  <c r="T283" i="1"/>
  <c r="P283" i="1"/>
  <c r="F283" i="1"/>
  <c r="E283" i="1"/>
  <c r="D283" i="1"/>
  <c r="U282" i="1"/>
  <c r="T282" i="1"/>
  <c r="P282" i="1"/>
  <c r="F282" i="1"/>
  <c r="E282" i="1"/>
  <c r="D282" i="1"/>
  <c r="U281" i="1"/>
  <c r="T281" i="1"/>
  <c r="V281" i="1" s="1"/>
  <c r="W281" i="1" s="1"/>
  <c r="P281" i="1"/>
  <c r="F281" i="1"/>
  <c r="E281" i="1"/>
  <c r="D281" i="1"/>
  <c r="U280" i="1"/>
  <c r="T280" i="1"/>
  <c r="P280" i="1"/>
  <c r="F280" i="1"/>
  <c r="E280" i="1"/>
  <c r="D280" i="1"/>
  <c r="U279" i="1"/>
  <c r="T279" i="1"/>
  <c r="P279" i="1"/>
  <c r="F279" i="1"/>
  <c r="E279" i="1"/>
  <c r="D279" i="1"/>
  <c r="U278" i="1"/>
  <c r="V278" i="1" s="1"/>
  <c r="W278" i="1" s="1"/>
  <c r="T278" i="1"/>
  <c r="P278" i="1"/>
  <c r="F278" i="1"/>
  <c r="E278" i="1"/>
  <c r="D278" i="1"/>
  <c r="U277" i="1"/>
  <c r="T277" i="1"/>
  <c r="P277" i="1"/>
  <c r="F277" i="1"/>
  <c r="E277" i="1"/>
  <c r="D277" i="1"/>
  <c r="U276" i="1"/>
  <c r="T276" i="1"/>
  <c r="P276" i="1"/>
  <c r="F276" i="1"/>
  <c r="E276" i="1"/>
  <c r="D276" i="1"/>
  <c r="U275" i="1"/>
  <c r="T275" i="1"/>
  <c r="P275" i="1"/>
  <c r="F275" i="1"/>
  <c r="E275" i="1"/>
  <c r="D275" i="1"/>
  <c r="U274" i="1"/>
  <c r="V274" i="1" s="1"/>
  <c r="W274" i="1" s="1"/>
  <c r="T274" i="1"/>
  <c r="P274" i="1"/>
  <c r="F274" i="1"/>
  <c r="E274" i="1"/>
  <c r="D274" i="1"/>
  <c r="U273" i="1"/>
  <c r="T273" i="1"/>
  <c r="P273" i="1"/>
  <c r="F273" i="1"/>
  <c r="E273" i="1"/>
  <c r="D273" i="1"/>
  <c r="U272" i="1"/>
  <c r="V272" i="1" s="1"/>
  <c r="T272" i="1"/>
  <c r="P272" i="1"/>
  <c r="F272" i="1"/>
  <c r="E272" i="1"/>
  <c r="D272" i="1"/>
  <c r="U271" i="1"/>
  <c r="T271" i="1"/>
  <c r="P271" i="1"/>
  <c r="F271" i="1"/>
  <c r="E271" i="1"/>
  <c r="D271" i="1"/>
  <c r="U270" i="1"/>
  <c r="T270" i="1"/>
  <c r="P270" i="1"/>
  <c r="F270" i="1"/>
  <c r="E270" i="1"/>
  <c r="D270" i="1"/>
  <c r="U269" i="1"/>
  <c r="T269" i="1"/>
  <c r="P269" i="1"/>
  <c r="F269" i="1"/>
  <c r="E269" i="1"/>
  <c r="D269" i="1"/>
  <c r="U268" i="1"/>
  <c r="V268" i="1" s="1"/>
  <c r="W268" i="1" s="1"/>
  <c r="T268" i="1"/>
  <c r="P268" i="1"/>
  <c r="F268" i="1"/>
  <c r="E268" i="1"/>
  <c r="D268" i="1"/>
  <c r="U267" i="1"/>
  <c r="T267" i="1"/>
  <c r="P267" i="1"/>
  <c r="F267" i="1"/>
  <c r="E267" i="1"/>
  <c r="D267" i="1"/>
  <c r="U266" i="1"/>
  <c r="T266" i="1"/>
  <c r="P266" i="1"/>
  <c r="F266" i="1"/>
  <c r="E266" i="1"/>
  <c r="D266" i="1"/>
  <c r="U265" i="1"/>
  <c r="T265" i="1"/>
  <c r="P265" i="1"/>
  <c r="F265" i="1"/>
  <c r="E265" i="1"/>
  <c r="D265" i="1"/>
  <c r="U264" i="1"/>
  <c r="T264" i="1"/>
  <c r="P264" i="1"/>
  <c r="F264" i="1"/>
  <c r="E264" i="1"/>
  <c r="D264" i="1"/>
  <c r="U263" i="1"/>
  <c r="V263" i="1" s="1"/>
  <c r="W263" i="1" s="1"/>
  <c r="T263" i="1"/>
  <c r="P263" i="1"/>
  <c r="F263" i="1"/>
  <c r="E263" i="1"/>
  <c r="D263" i="1"/>
  <c r="V262" i="1"/>
  <c r="W262" i="1" s="1"/>
  <c r="U262" i="1"/>
  <c r="T262" i="1"/>
  <c r="P262" i="1"/>
  <c r="F262" i="1"/>
  <c r="E262" i="1"/>
  <c r="D262" i="1"/>
  <c r="U261" i="1"/>
  <c r="T261" i="1"/>
  <c r="V261" i="1" s="1"/>
  <c r="P261" i="1"/>
  <c r="F261" i="1"/>
  <c r="E261" i="1"/>
  <c r="D261" i="1"/>
  <c r="U260" i="1"/>
  <c r="T260" i="1"/>
  <c r="P260" i="1"/>
  <c r="F260" i="1"/>
  <c r="E260" i="1"/>
  <c r="D260" i="1"/>
  <c r="W259" i="1"/>
  <c r="U259" i="1"/>
  <c r="V259" i="1" s="1"/>
  <c r="T259" i="1"/>
  <c r="P259" i="1"/>
  <c r="F259" i="1"/>
  <c r="E259" i="1"/>
  <c r="D259" i="1"/>
  <c r="U258" i="1"/>
  <c r="T258" i="1"/>
  <c r="P258" i="1"/>
  <c r="F258" i="1"/>
  <c r="E258" i="1"/>
  <c r="D258" i="1"/>
  <c r="U257" i="1"/>
  <c r="T257" i="1"/>
  <c r="P257" i="1"/>
  <c r="F257" i="1"/>
  <c r="E257" i="1"/>
  <c r="D257" i="1"/>
  <c r="U256" i="1"/>
  <c r="T256" i="1"/>
  <c r="P256" i="1"/>
  <c r="F256" i="1"/>
  <c r="E256" i="1"/>
  <c r="D256" i="1"/>
  <c r="U255" i="1"/>
  <c r="T255" i="1"/>
  <c r="V255" i="1" s="1"/>
  <c r="P255" i="1"/>
  <c r="F255" i="1"/>
  <c r="E255" i="1"/>
  <c r="D255" i="1"/>
  <c r="U254" i="1"/>
  <c r="T254" i="1"/>
  <c r="P254" i="1"/>
  <c r="F254" i="1"/>
  <c r="E254" i="1"/>
  <c r="D254" i="1"/>
  <c r="V253" i="1"/>
  <c r="W253" i="1" s="1"/>
  <c r="U253" i="1"/>
  <c r="T253" i="1"/>
  <c r="P253" i="1"/>
  <c r="F253" i="1"/>
  <c r="E253" i="1"/>
  <c r="D253" i="1"/>
  <c r="U252" i="1"/>
  <c r="T252" i="1"/>
  <c r="P252" i="1"/>
  <c r="F252" i="1"/>
  <c r="E252" i="1"/>
  <c r="D252" i="1"/>
  <c r="U251" i="1"/>
  <c r="T251" i="1"/>
  <c r="P251" i="1"/>
  <c r="F251" i="1"/>
  <c r="E251" i="1"/>
  <c r="D251" i="1"/>
  <c r="U250" i="1"/>
  <c r="T250" i="1"/>
  <c r="V250" i="1" s="1"/>
  <c r="W250" i="1" s="1"/>
  <c r="P250" i="1"/>
  <c r="F250" i="1"/>
  <c r="E250" i="1"/>
  <c r="D250" i="1"/>
  <c r="U249" i="1"/>
  <c r="T249" i="1"/>
  <c r="P249" i="1"/>
  <c r="F249" i="1"/>
  <c r="E249" i="1"/>
  <c r="D249" i="1"/>
  <c r="U248" i="1"/>
  <c r="T248" i="1"/>
  <c r="P248" i="1"/>
  <c r="F248" i="1"/>
  <c r="E248" i="1"/>
  <c r="D248" i="1"/>
  <c r="U247" i="1"/>
  <c r="V247" i="1" s="1"/>
  <c r="W247" i="1" s="1"/>
  <c r="T247" i="1"/>
  <c r="P247" i="1"/>
  <c r="F247" i="1"/>
  <c r="E247" i="1"/>
  <c r="D247" i="1"/>
  <c r="U246" i="1"/>
  <c r="T246" i="1"/>
  <c r="V246" i="1" s="1"/>
  <c r="P246" i="1"/>
  <c r="F246" i="1"/>
  <c r="E246" i="1"/>
  <c r="D246" i="1"/>
  <c r="U245" i="1"/>
  <c r="T245" i="1"/>
  <c r="V245" i="1" s="1"/>
  <c r="W245" i="1" s="1"/>
  <c r="P245" i="1"/>
  <c r="F245" i="1"/>
  <c r="E245" i="1"/>
  <c r="D245" i="1"/>
  <c r="U244" i="1"/>
  <c r="T244" i="1"/>
  <c r="P244" i="1"/>
  <c r="F244" i="1"/>
  <c r="E244" i="1"/>
  <c r="D244" i="1"/>
  <c r="U243" i="1"/>
  <c r="T243" i="1"/>
  <c r="P243" i="1"/>
  <c r="F243" i="1"/>
  <c r="E243" i="1"/>
  <c r="D243" i="1"/>
  <c r="U242" i="1"/>
  <c r="V242" i="1" s="1"/>
  <c r="W242" i="1" s="1"/>
  <c r="T242" i="1"/>
  <c r="P242" i="1"/>
  <c r="F242" i="1"/>
  <c r="E242" i="1"/>
  <c r="D242" i="1"/>
  <c r="U241" i="1"/>
  <c r="T241" i="1"/>
  <c r="P241" i="1"/>
  <c r="F241" i="1"/>
  <c r="E241" i="1"/>
  <c r="D241" i="1"/>
  <c r="U240" i="1"/>
  <c r="T240" i="1"/>
  <c r="P240" i="1"/>
  <c r="F240" i="1"/>
  <c r="E240" i="1"/>
  <c r="D240" i="1"/>
  <c r="U239" i="1"/>
  <c r="V239" i="1" s="1"/>
  <c r="W239" i="1" s="1"/>
  <c r="T239" i="1"/>
  <c r="P239" i="1"/>
  <c r="F239" i="1"/>
  <c r="E239" i="1"/>
  <c r="D239" i="1"/>
  <c r="W238" i="1"/>
  <c r="V238" i="1"/>
  <c r="U238" i="1"/>
  <c r="T238" i="1"/>
  <c r="P238" i="1"/>
  <c r="F238" i="1"/>
  <c r="E238" i="1"/>
  <c r="D238" i="1"/>
  <c r="U237" i="1"/>
  <c r="T237" i="1"/>
  <c r="P237" i="1"/>
  <c r="F237" i="1"/>
  <c r="E237" i="1"/>
  <c r="D237" i="1"/>
  <c r="U236" i="1"/>
  <c r="T236" i="1"/>
  <c r="P236" i="1"/>
  <c r="F236" i="1"/>
  <c r="E236" i="1"/>
  <c r="D236" i="1"/>
  <c r="U235" i="1"/>
  <c r="T235" i="1"/>
  <c r="V235" i="1" s="1"/>
  <c r="W235" i="1" s="1"/>
  <c r="P235" i="1"/>
  <c r="F235" i="1"/>
  <c r="E235" i="1"/>
  <c r="D235" i="1"/>
  <c r="U234" i="1"/>
  <c r="T234" i="1"/>
  <c r="V234" i="1" s="1"/>
  <c r="P234" i="1"/>
  <c r="F234" i="1"/>
  <c r="E234" i="1"/>
  <c r="D234" i="1"/>
  <c r="U233" i="1"/>
  <c r="T233" i="1"/>
  <c r="P233" i="1"/>
  <c r="F233" i="1"/>
  <c r="E233" i="1"/>
  <c r="D233" i="1"/>
  <c r="V232" i="1"/>
  <c r="W232" i="1" s="1"/>
  <c r="U232" i="1"/>
  <c r="T232" i="1"/>
  <c r="P232" i="1"/>
  <c r="F232" i="1"/>
  <c r="E232" i="1"/>
  <c r="D232" i="1"/>
  <c r="W231" i="1"/>
  <c r="V231" i="1"/>
  <c r="U231" i="1"/>
  <c r="T231" i="1"/>
  <c r="P231" i="1"/>
  <c r="F231" i="1"/>
  <c r="E231" i="1"/>
  <c r="D231" i="1"/>
  <c r="U230" i="1"/>
  <c r="T230" i="1"/>
  <c r="P230" i="1"/>
  <c r="F230" i="1"/>
  <c r="E230" i="1"/>
  <c r="D230" i="1"/>
  <c r="U229" i="1"/>
  <c r="T229" i="1"/>
  <c r="P229" i="1"/>
  <c r="F229" i="1"/>
  <c r="E229" i="1"/>
  <c r="D229" i="1"/>
  <c r="U228" i="1"/>
  <c r="T228" i="1"/>
  <c r="V228" i="1" s="1"/>
  <c r="W228" i="1" s="1"/>
  <c r="P228" i="1"/>
  <c r="F228" i="1"/>
  <c r="E228" i="1"/>
  <c r="D228" i="1"/>
  <c r="V227" i="1"/>
  <c r="W227" i="1" s="1"/>
  <c r="U227" i="1"/>
  <c r="T227" i="1"/>
  <c r="P227" i="1"/>
  <c r="F227" i="1"/>
  <c r="E227" i="1"/>
  <c r="D227" i="1"/>
  <c r="U226" i="1"/>
  <c r="V226" i="1" s="1"/>
  <c r="W226" i="1" s="1"/>
  <c r="T226" i="1"/>
  <c r="P226" i="1"/>
  <c r="F226" i="1"/>
  <c r="E226" i="1"/>
  <c r="D226" i="1"/>
  <c r="U225" i="1"/>
  <c r="V225" i="1" s="1"/>
  <c r="W225" i="1" s="1"/>
  <c r="T225" i="1"/>
  <c r="P225" i="1"/>
  <c r="F225" i="1"/>
  <c r="E225" i="1"/>
  <c r="D225" i="1"/>
  <c r="U224" i="1"/>
  <c r="V224" i="1" s="1"/>
  <c r="W224" i="1" s="1"/>
  <c r="T224" i="1"/>
  <c r="P224" i="1"/>
  <c r="F224" i="1"/>
  <c r="E224" i="1"/>
  <c r="D224" i="1"/>
  <c r="U223" i="1"/>
  <c r="T223" i="1"/>
  <c r="V223" i="1" s="1"/>
  <c r="W223" i="1" s="1"/>
  <c r="P223" i="1"/>
  <c r="F223" i="1"/>
  <c r="E223" i="1"/>
  <c r="D223" i="1"/>
  <c r="U222" i="1"/>
  <c r="T222" i="1"/>
  <c r="P222" i="1"/>
  <c r="F222" i="1"/>
  <c r="E222" i="1"/>
  <c r="D222" i="1"/>
  <c r="U221" i="1"/>
  <c r="T221" i="1"/>
  <c r="V221" i="1" s="1"/>
  <c r="P221" i="1"/>
  <c r="F221" i="1"/>
  <c r="E221" i="1"/>
  <c r="D221" i="1"/>
  <c r="U220" i="1"/>
  <c r="V220" i="1" s="1"/>
  <c r="W220" i="1" s="1"/>
  <c r="T220" i="1"/>
  <c r="P220" i="1"/>
  <c r="F220" i="1"/>
  <c r="E220" i="1"/>
  <c r="D220" i="1"/>
  <c r="V219" i="1"/>
  <c r="W219" i="1" s="1"/>
  <c r="U219" i="1"/>
  <c r="T219" i="1"/>
  <c r="P219" i="1"/>
  <c r="F219" i="1"/>
  <c r="E219" i="1"/>
  <c r="D219" i="1"/>
  <c r="U218" i="1"/>
  <c r="T218" i="1"/>
  <c r="P218" i="1"/>
  <c r="F218" i="1"/>
  <c r="E218" i="1"/>
  <c r="D218" i="1"/>
  <c r="U217" i="1"/>
  <c r="T217" i="1"/>
  <c r="P217" i="1"/>
  <c r="F217" i="1"/>
  <c r="E217" i="1"/>
  <c r="D217" i="1"/>
  <c r="U216" i="1"/>
  <c r="T216" i="1"/>
  <c r="V216" i="1" s="1"/>
  <c r="W216" i="1" s="1"/>
  <c r="P216" i="1"/>
  <c r="F216" i="1"/>
  <c r="E216" i="1"/>
  <c r="D216" i="1"/>
  <c r="U215" i="1"/>
  <c r="T215" i="1"/>
  <c r="P215" i="1"/>
  <c r="F215" i="1"/>
  <c r="E215" i="1"/>
  <c r="D215" i="1"/>
  <c r="U214" i="1"/>
  <c r="T214" i="1"/>
  <c r="P214" i="1"/>
  <c r="F214" i="1"/>
  <c r="E214" i="1"/>
  <c r="D214" i="1"/>
  <c r="V213" i="1"/>
  <c r="W213" i="1" s="1"/>
  <c r="U213" i="1"/>
  <c r="T213" i="1"/>
  <c r="P213" i="1"/>
  <c r="F213" i="1"/>
  <c r="E213" i="1"/>
  <c r="D213" i="1"/>
  <c r="U212" i="1"/>
  <c r="T212" i="1"/>
  <c r="P212" i="1"/>
  <c r="F212" i="1"/>
  <c r="E212" i="1"/>
  <c r="D212" i="1"/>
  <c r="U211" i="1"/>
  <c r="T211" i="1"/>
  <c r="P211" i="1"/>
  <c r="F211" i="1"/>
  <c r="E211" i="1"/>
  <c r="D211" i="1"/>
  <c r="V210" i="1"/>
  <c r="W210" i="1" s="1"/>
  <c r="U210" i="1"/>
  <c r="T210" i="1"/>
  <c r="P210" i="1"/>
  <c r="F210" i="1"/>
  <c r="E210" i="1"/>
  <c r="D210" i="1"/>
  <c r="U209" i="1"/>
  <c r="T209" i="1"/>
  <c r="P209" i="1"/>
  <c r="F209" i="1"/>
  <c r="E209" i="1"/>
  <c r="D209" i="1"/>
  <c r="U208" i="1"/>
  <c r="T208" i="1"/>
  <c r="P208" i="1"/>
  <c r="F208" i="1"/>
  <c r="E208" i="1"/>
  <c r="D208" i="1"/>
  <c r="U207" i="1"/>
  <c r="T207" i="1"/>
  <c r="P207" i="1"/>
  <c r="F207" i="1"/>
  <c r="E207" i="1"/>
  <c r="D207" i="1"/>
  <c r="U206" i="1"/>
  <c r="T206" i="1"/>
  <c r="P206" i="1"/>
  <c r="F206" i="1"/>
  <c r="E206" i="1"/>
  <c r="D206" i="1"/>
  <c r="V205" i="1"/>
  <c r="U205" i="1"/>
  <c r="T205" i="1"/>
  <c r="P205" i="1"/>
  <c r="F205" i="1"/>
  <c r="E205" i="1"/>
  <c r="D205" i="1"/>
  <c r="U204" i="1"/>
  <c r="V204" i="1" s="1"/>
  <c r="W204" i="1" s="1"/>
  <c r="T204" i="1"/>
  <c r="P204" i="1"/>
  <c r="F204" i="1"/>
  <c r="E204" i="1"/>
  <c r="D204" i="1"/>
  <c r="U203" i="1"/>
  <c r="V203" i="1" s="1"/>
  <c r="T203" i="1"/>
  <c r="P203" i="1"/>
  <c r="F203" i="1"/>
  <c r="E203" i="1"/>
  <c r="D203" i="1"/>
  <c r="U202" i="1"/>
  <c r="T202" i="1"/>
  <c r="P202" i="1"/>
  <c r="F202" i="1"/>
  <c r="E202" i="1"/>
  <c r="D202" i="1"/>
  <c r="U201" i="1"/>
  <c r="T201" i="1"/>
  <c r="P201" i="1"/>
  <c r="F201" i="1"/>
  <c r="E201" i="1"/>
  <c r="D201" i="1"/>
  <c r="U200" i="1"/>
  <c r="T200" i="1"/>
  <c r="P200" i="1"/>
  <c r="F200" i="1"/>
  <c r="E200" i="1"/>
  <c r="D200" i="1"/>
  <c r="V199" i="1"/>
  <c r="U199" i="1"/>
  <c r="T199" i="1"/>
  <c r="P199" i="1"/>
  <c r="F199" i="1"/>
  <c r="E199" i="1"/>
  <c r="D199" i="1"/>
  <c r="U198" i="1"/>
  <c r="V198" i="1" s="1"/>
  <c r="W198" i="1" s="1"/>
  <c r="T198" i="1"/>
  <c r="P198" i="1"/>
  <c r="F198" i="1"/>
  <c r="E198" i="1"/>
  <c r="D198" i="1"/>
  <c r="U197" i="1"/>
  <c r="T197" i="1"/>
  <c r="P197" i="1"/>
  <c r="F197" i="1"/>
  <c r="E197" i="1"/>
  <c r="D197" i="1"/>
  <c r="U196" i="1"/>
  <c r="T196" i="1"/>
  <c r="V196" i="1" s="1"/>
  <c r="P196" i="1"/>
  <c r="F196" i="1"/>
  <c r="E196" i="1"/>
  <c r="D196" i="1"/>
  <c r="U195" i="1"/>
  <c r="V195" i="1" s="1"/>
  <c r="W195" i="1" s="1"/>
  <c r="T195" i="1"/>
  <c r="P195" i="1"/>
  <c r="F195" i="1"/>
  <c r="E195" i="1"/>
  <c r="D195" i="1"/>
  <c r="U194" i="1"/>
  <c r="T194" i="1"/>
  <c r="P194" i="1"/>
  <c r="F194" i="1"/>
  <c r="E194" i="1"/>
  <c r="D194" i="1"/>
  <c r="U193" i="1"/>
  <c r="T193" i="1"/>
  <c r="P193" i="1"/>
  <c r="F193" i="1"/>
  <c r="E193" i="1"/>
  <c r="D193" i="1"/>
  <c r="U192" i="1"/>
  <c r="T192" i="1"/>
  <c r="V192" i="1" s="1"/>
  <c r="P192" i="1"/>
  <c r="F192" i="1"/>
  <c r="E192" i="1"/>
  <c r="D192" i="1"/>
  <c r="U191" i="1"/>
  <c r="T191" i="1"/>
  <c r="V191" i="1" s="1"/>
  <c r="W191" i="1" s="1"/>
  <c r="P191" i="1"/>
  <c r="F191" i="1"/>
  <c r="E191" i="1"/>
  <c r="D191" i="1"/>
  <c r="U190" i="1"/>
  <c r="T190" i="1"/>
  <c r="P190" i="1"/>
  <c r="F190" i="1"/>
  <c r="E190" i="1"/>
  <c r="D190" i="1"/>
  <c r="U189" i="1"/>
  <c r="T189" i="1"/>
  <c r="P189" i="1"/>
  <c r="F189" i="1"/>
  <c r="E189" i="1"/>
  <c r="D189" i="1"/>
  <c r="U188" i="1"/>
  <c r="V188" i="1" s="1"/>
  <c r="W188" i="1" s="1"/>
  <c r="T188" i="1"/>
  <c r="P188" i="1"/>
  <c r="F188" i="1"/>
  <c r="E188" i="1"/>
  <c r="D188" i="1"/>
  <c r="U187" i="1"/>
  <c r="T187" i="1"/>
  <c r="P187" i="1"/>
  <c r="F187" i="1"/>
  <c r="E187" i="1"/>
  <c r="D187" i="1"/>
  <c r="U186" i="1"/>
  <c r="T186" i="1"/>
  <c r="P186" i="1"/>
  <c r="F186" i="1"/>
  <c r="E186" i="1"/>
  <c r="D186" i="1"/>
  <c r="W185" i="1"/>
  <c r="V185" i="1"/>
  <c r="U185" i="1"/>
  <c r="T185" i="1"/>
  <c r="P185" i="1"/>
  <c r="F185" i="1"/>
  <c r="E185" i="1"/>
  <c r="D185" i="1"/>
  <c r="U184" i="1"/>
  <c r="V184" i="1" s="1"/>
  <c r="T184" i="1"/>
  <c r="P184" i="1"/>
  <c r="F184" i="1"/>
  <c r="E184" i="1"/>
  <c r="D184" i="1"/>
  <c r="U183" i="1"/>
  <c r="T183" i="1"/>
  <c r="P183" i="1"/>
  <c r="F183" i="1"/>
  <c r="E183" i="1"/>
  <c r="D183" i="1"/>
  <c r="U182" i="1"/>
  <c r="T182" i="1"/>
  <c r="P182" i="1"/>
  <c r="F182" i="1"/>
  <c r="E182" i="1"/>
  <c r="D182" i="1"/>
  <c r="U181" i="1"/>
  <c r="T181" i="1"/>
  <c r="V181" i="1" s="1"/>
  <c r="P181" i="1"/>
  <c r="F181" i="1"/>
  <c r="E181" i="1"/>
  <c r="D181" i="1"/>
  <c r="U180" i="1"/>
  <c r="T180" i="1"/>
  <c r="P180" i="1"/>
  <c r="F180" i="1"/>
  <c r="E180" i="1"/>
  <c r="D180" i="1"/>
  <c r="U179" i="1"/>
  <c r="T179" i="1"/>
  <c r="V179" i="1" s="1"/>
  <c r="P179" i="1"/>
  <c r="F179" i="1"/>
  <c r="E179" i="1"/>
  <c r="D179" i="1"/>
  <c r="U178" i="1"/>
  <c r="T178" i="1"/>
  <c r="P178" i="1"/>
  <c r="F178" i="1"/>
  <c r="E178" i="1"/>
  <c r="D178" i="1"/>
  <c r="U177" i="1"/>
  <c r="V177" i="1" s="1"/>
  <c r="W177" i="1" s="1"/>
  <c r="T177" i="1"/>
  <c r="P177" i="1"/>
  <c r="F177" i="1"/>
  <c r="E177" i="1"/>
  <c r="D177" i="1"/>
  <c r="U176" i="1"/>
  <c r="T176" i="1"/>
  <c r="P176" i="1"/>
  <c r="F176" i="1"/>
  <c r="E176" i="1"/>
  <c r="D176" i="1"/>
  <c r="U175" i="1"/>
  <c r="T175" i="1"/>
  <c r="P175" i="1"/>
  <c r="F175" i="1"/>
  <c r="E175" i="1"/>
  <c r="D175" i="1"/>
  <c r="U174" i="1"/>
  <c r="T174" i="1"/>
  <c r="P174" i="1"/>
  <c r="F174" i="1"/>
  <c r="E174" i="1"/>
  <c r="D174" i="1"/>
  <c r="U173" i="1"/>
  <c r="T173" i="1"/>
  <c r="P173" i="1"/>
  <c r="F173" i="1"/>
  <c r="E173" i="1"/>
  <c r="D173" i="1"/>
  <c r="U172" i="1"/>
  <c r="T172" i="1"/>
  <c r="P172" i="1"/>
  <c r="F172" i="1"/>
  <c r="E172" i="1"/>
  <c r="D172" i="1"/>
  <c r="U171" i="1"/>
  <c r="T171" i="1"/>
  <c r="P171" i="1"/>
  <c r="F171" i="1"/>
  <c r="E171" i="1"/>
  <c r="D171" i="1"/>
  <c r="W170" i="1"/>
  <c r="U170" i="1"/>
  <c r="V170" i="1" s="1"/>
  <c r="T170" i="1"/>
  <c r="P170" i="1"/>
  <c r="F170" i="1"/>
  <c r="E170" i="1"/>
  <c r="D170" i="1"/>
  <c r="V169" i="1"/>
  <c r="U169" i="1"/>
  <c r="T169" i="1"/>
  <c r="P169" i="1"/>
  <c r="F169" i="1"/>
  <c r="E169" i="1"/>
  <c r="D169" i="1"/>
  <c r="U168" i="1"/>
  <c r="T168" i="1"/>
  <c r="P168" i="1"/>
  <c r="F168" i="1"/>
  <c r="E168" i="1"/>
  <c r="D168" i="1"/>
  <c r="U167" i="1"/>
  <c r="T167" i="1"/>
  <c r="P167" i="1"/>
  <c r="F167" i="1"/>
  <c r="E167" i="1"/>
  <c r="D167" i="1"/>
  <c r="U166" i="1"/>
  <c r="T166" i="1"/>
  <c r="V166" i="1" s="1"/>
  <c r="P166" i="1"/>
  <c r="F166" i="1"/>
  <c r="E166" i="1"/>
  <c r="D166" i="1"/>
  <c r="U165" i="1"/>
  <c r="T165" i="1"/>
  <c r="P165" i="1"/>
  <c r="F165" i="1"/>
  <c r="E165" i="1"/>
  <c r="D165" i="1"/>
  <c r="U164" i="1"/>
  <c r="T164" i="1"/>
  <c r="P164" i="1"/>
  <c r="F164" i="1"/>
  <c r="E164" i="1"/>
  <c r="D164" i="1"/>
  <c r="U163" i="1"/>
  <c r="V163" i="1" s="1"/>
  <c r="T163" i="1"/>
  <c r="P163" i="1"/>
  <c r="F163" i="1"/>
  <c r="E163" i="1"/>
  <c r="D163" i="1"/>
  <c r="U162" i="1"/>
  <c r="T162" i="1"/>
  <c r="P162" i="1"/>
  <c r="F162" i="1"/>
  <c r="E162" i="1"/>
  <c r="D162" i="1"/>
  <c r="U161" i="1"/>
  <c r="T161" i="1"/>
  <c r="P161" i="1"/>
  <c r="F161" i="1"/>
  <c r="E161" i="1"/>
  <c r="D161" i="1"/>
  <c r="U160" i="1"/>
  <c r="T160" i="1"/>
  <c r="P160" i="1"/>
  <c r="F160" i="1"/>
  <c r="E160" i="1"/>
  <c r="D160" i="1"/>
  <c r="U159" i="1"/>
  <c r="V159" i="1" s="1"/>
  <c r="W159" i="1" s="1"/>
  <c r="T159" i="1"/>
  <c r="P159" i="1"/>
  <c r="F159" i="1"/>
  <c r="E159" i="1"/>
  <c r="D159" i="1"/>
  <c r="U158" i="1"/>
  <c r="T158" i="1"/>
  <c r="P158" i="1"/>
  <c r="F158" i="1"/>
  <c r="E158" i="1"/>
  <c r="D158" i="1"/>
  <c r="U157" i="1"/>
  <c r="T157" i="1"/>
  <c r="V157" i="1" s="1"/>
  <c r="P157" i="1"/>
  <c r="F157" i="1"/>
  <c r="E157" i="1"/>
  <c r="D157" i="1"/>
  <c r="U156" i="1"/>
  <c r="V156" i="1" s="1"/>
  <c r="T156" i="1"/>
  <c r="P156" i="1"/>
  <c r="F156" i="1"/>
  <c r="E156" i="1"/>
  <c r="D156" i="1"/>
  <c r="V155" i="1"/>
  <c r="W155" i="1" s="1"/>
  <c r="U155" i="1"/>
  <c r="T155" i="1"/>
  <c r="P155" i="1"/>
  <c r="F155" i="1"/>
  <c r="E155" i="1"/>
  <c r="D155" i="1"/>
  <c r="U154" i="1"/>
  <c r="T154" i="1"/>
  <c r="P154" i="1"/>
  <c r="F154" i="1"/>
  <c r="E154" i="1"/>
  <c r="D154" i="1"/>
  <c r="U153" i="1"/>
  <c r="T153" i="1"/>
  <c r="P153" i="1"/>
  <c r="F153" i="1"/>
  <c r="E153" i="1"/>
  <c r="D153" i="1"/>
  <c r="U152" i="1"/>
  <c r="T152" i="1"/>
  <c r="P152" i="1"/>
  <c r="F152" i="1"/>
  <c r="E152" i="1"/>
  <c r="D152" i="1"/>
  <c r="U151" i="1"/>
  <c r="T151" i="1"/>
  <c r="P151" i="1"/>
  <c r="F151" i="1"/>
  <c r="E151" i="1"/>
  <c r="D151" i="1"/>
  <c r="U150" i="1"/>
  <c r="T150" i="1"/>
  <c r="P150" i="1"/>
  <c r="F150" i="1"/>
  <c r="E150" i="1"/>
  <c r="D150" i="1"/>
  <c r="U149" i="1"/>
  <c r="T149" i="1"/>
  <c r="P149" i="1"/>
  <c r="F149" i="1"/>
  <c r="E149" i="1"/>
  <c r="D149" i="1"/>
  <c r="U148" i="1"/>
  <c r="T148" i="1"/>
  <c r="P148" i="1"/>
  <c r="F148" i="1"/>
  <c r="E148" i="1"/>
  <c r="D148" i="1"/>
  <c r="U147" i="1"/>
  <c r="T147" i="1"/>
  <c r="P147" i="1"/>
  <c r="F147" i="1"/>
  <c r="E147" i="1"/>
  <c r="D147" i="1"/>
  <c r="U146" i="1"/>
  <c r="T146" i="1"/>
  <c r="P146" i="1"/>
  <c r="F146" i="1"/>
  <c r="E146" i="1"/>
  <c r="D146" i="1"/>
  <c r="U145" i="1"/>
  <c r="V145" i="1" s="1"/>
  <c r="T145" i="1"/>
  <c r="P145" i="1"/>
  <c r="F145" i="1"/>
  <c r="E145" i="1"/>
  <c r="D145" i="1"/>
  <c r="U144" i="1"/>
  <c r="T144" i="1"/>
  <c r="V144" i="1" s="1"/>
  <c r="W144" i="1" s="1"/>
  <c r="P144" i="1"/>
  <c r="F144" i="1"/>
  <c r="E144" i="1"/>
  <c r="D144" i="1"/>
  <c r="U143" i="1"/>
  <c r="T143" i="1"/>
  <c r="P143" i="1"/>
  <c r="F143" i="1"/>
  <c r="E143" i="1"/>
  <c r="D143" i="1"/>
  <c r="U142" i="1"/>
  <c r="T142" i="1"/>
  <c r="P142" i="1"/>
  <c r="F142" i="1"/>
  <c r="E142" i="1"/>
  <c r="D142" i="1"/>
  <c r="U141" i="1"/>
  <c r="V141" i="1" s="1"/>
  <c r="W141" i="1" s="1"/>
  <c r="T141" i="1"/>
  <c r="P141" i="1"/>
  <c r="F141" i="1"/>
  <c r="E141" i="1"/>
  <c r="D141" i="1"/>
  <c r="U140" i="1"/>
  <c r="T140" i="1"/>
  <c r="P140" i="1"/>
  <c r="F140" i="1"/>
  <c r="E140" i="1"/>
  <c r="D140" i="1"/>
  <c r="U139" i="1"/>
  <c r="T139" i="1"/>
  <c r="P139" i="1"/>
  <c r="F139" i="1"/>
  <c r="E139" i="1"/>
  <c r="D139" i="1"/>
  <c r="U138" i="1"/>
  <c r="T138" i="1"/>
  <c r="P138" i="1"/>
  <c r="F138" i="1"/>
  <c r="E138" i="1"/>
  <c r="D138" i="1"/>
  <c r="U137" i="1"/>
  <c r="T137" i="1"/>
  <c r="P137" i="1"/>
  <c r="F137" i="1"/>
  <c r="E137" i="1"/>
  <c r="D137" i="1"/>
  <c r="U136" i="1"/>
  <c r="T136" i="1"/>
  <c r="P136" i="1"/>
  <c r="F136" i="1"/>
  <c r="E136" i="1"/>
  <c r="D136" i="1"/>
  <c r="U135" i="1"/>
  <c r="T135" i="1"/>
  <c r="P135" i="1"/>
  <c r="F135" i="1"/>
  <c r="E135" i="1"/>
  <c r="D135" i="1"/>
  <c r="U134" i="1"/>
  <c r="T134" i="1"/>
  <c r="P134" i="1"/>
  <c r="F134" i="1"/>
  <c r="E134" i="1"/>
  <c r="D134" i="1"/>
  <c r="U133" i="1"/>
  <c r="T133" i="1"/>
  <c r="V133" i="1" s="1"/>
  <c r="P133" i="1"/>
  <c r="F133" i="1"/>
  <c r="E133" i="1"/>
  <c r="D133" i="1"/>
  <c r="U132" i="1"/>
  <c r="T132" i="1"/>
  <c r="P132" i="1"/>
  <c r="F132" i="1"/>
  <c r="E132" i="1"/>
  <c r="D132" i="1"/>
  <c r="U131" i="1"/>
  <c r="V131" i="1" s="1"/>
  <c r="T131" i="1"/>
  <c r="P131" i="1"/>
  <c r="F131" i="1"/>
  <c r="E131" i="1"/>
  <c r="D131" i="1"/>
  <c r="U130" i="1"/>
  <c r="V130" i="1" s="1"/>
  <c r="T130" i="1"/>
  <c r="P130" i="1"/>
  <c r="F130" i="1"/>
  <c r="E130" i="1"/>
  <c r="D130" i="1"/>
  <c r="U129" i="1"/>
  <c r="T129" i="1"/>
  <c r="P129" i="1"/>
  <c r="F129" i="1"/>
  <c r="E129" i="1"/>
  <c r="D129" i="1"/>
  <c r="U128" i="1"/>
  <c r="T128" i="1"/>
  <c r="P128" i="1"/>
  <c r="F128" i="1"/>
  <c r="E128" i="1"/>
  <c r="D128" i="1"/>
  <c r="U127" i="1"/>
  <c r="T127" i="1"/>
  <c r="P127" i="1"/>
  <c r="F127" i="1"/>
  <c r="E127" i="1"/>
  <c r="D127" i="1"/>
  <c r="U126" i="1"/>
  <c r="T126" i="1"/>
  <c r="P126" i="1"/>
  <c r="F126" i="1"/>
  <c r="E126" i="1"/>
  <c r="D126" i="1"/>
  <c r="U125" i="1"/>
  <c r="T125" i="1"/>
  <c r="P125" i="1"/>
  <c r="F125" i="1"/>
  <c r="E125" i="1"/>
  <c r="D125" i="1"/>
  <c r="U124" i="1"/>
  <c r="T124" i="1"/>
  <c r="V124" i="1" s="1"/>
  <c r="P124" i="1"/>
  <c r="F124" i="1"/>
  <c r="E124" i="1"/>
  <c r="D124" i="1"/>
  <c r="U123" i="1"/>
  <c r="V123" i="1" s="1"/>
  <c r="W123" i="1" s="1"/>
  <c r="T123" i="1"/>
  <c r="P123" i="1"/>
  <c r="F123" i="1"/>
  <c r="E123" i="1"/>
  <c r="D123" i="1"/>
  <c r="U122" i="1"/>
  <c r="T122" i="1"/>
  <c r="P122" i="1"/>
  <c r="F122" i="1"/>
  <c r="E122" i="1"/>
  <c r="D122" i="1"/>
  <c r="U121" i="1"/>
  <c r="T121" i="1"/>
  <c r="P121" i="1"/>
  <c r="F121" i="1"/>
  <c r="E121" i="1"/>
  <c r="D121" i="1"/>
  <c r="U120" i="1"/>
  <c r="T120" i="1"/>
  <c r="P120" i="1"/>
  <c r="F120" i="1"/>
  <c r="E120" i="1"/>
  <c r="D120" i="1"/>
  <c r="W119" i="1"/>
  <c r="U119" i="1"/>
  <c r="T119" i="1"/>
  <c r="V119" i="1" s="1"/>
  <c r="P119" i="1"/>
  <c r="F119" i="1"/>
  <c r="E119" i="1"/>
  <c r="D119" i="1"/>
  <c r="U118" i="1"/>
  <c r="T118" i="1"/>
  <c r="P118" i="1"/>
  <c r="F118" i="1"/>
  <c r="E118" i="1"/>
  <c r="D118" i="1"/>
  <c r="U117" i="1"/>
  <c r="V117" i="1" s="1"/>
  <c r="W117" i="1" s="1"/>
  <c r="T117" i="1"/>
  <c r="P117" i="1"/>
  <c r="F117" i="1"/>
  <c r="E117" i="1"/>
  <c r="D117" i="1"/>
  <c r="W116" i="1"/>
  <c r="U116" i="1"/>
  <c r="T116" i="1"/>
  <c r="V116" i="1" s="1"/>
  <c r="P116" i="1"/>
  <c r="F116" i="1"/>
  <c r="E116" i="1"/>
  <c r="D116" i="1"/>
  <c r="U115" i="1"/>
  <c r="T115" i="1"/>
  <c r="P115" i="1"/>
  <c r="F115" i="1"/>
  <c r="E115" i="1"/>
  <c r="D115" i="1"/>
  <c r="U114" i="1"/>
  <c r="T114" i="1"/>
  <c r="P114" i="1"/>
  <c r="F114" i="1"/>
  <c r="E114" i="1"/>
  <c r="D114" i="1"/>
  <c r="U113" i="1"/>
  <c r="T113" i="1"/>
  <c r="P113" i="1"/>
  <c r="F113" i="1"/>
  <c r="E113" i="1"/>
  <c r="D113" i="1"/>
  <c r="V112" i="1"/>
  <c r="W112" i="1" s="1"/>
  <c r="U112" i="1"/>
  <c r="T112" i="1"/>
  <c r="P112" i="1"/>
  <c r="F112" i="1"/>
  <c r="E112" i="1"/>
  <c r="D112" i="1"/>
  <c r="U111" i="1"/>
  <c r="T111" i="1"/>
  <c r="P111" i="1"/>
  <c r="F111" i="1"/>
  <c r="E111" i="1"/>
  <c r="D111" i="1"/>
  <c r="U110" i="1"/>
  <c r="T110" i="1"/>
  <c r="V110" i="1" s="1"/>
  <c r="W110" i="1" s="1"/>
  <c r="P110" i="1"/>
  <c r="F110" i="1"/>
  <c r="E110" i="1"/>
  <c r="D110" i="1"/>
  <c r="U109" i="1"/>
  <c r="T109" i="1"/>
  <c r="P109" i="1"/>
  <c r="F109" i="1"/>
  <c r="E109" i="1"/>
  <c r="D109" i="1"/>
  <c r="U108" i="1"/>
  <c r="V108" i="1" s="1"/>
  <c r="W108" i="1" s="1"/>
  <c r="T108" i="1"/>
  <c r="P108" i="1"/>
  <c r="F108" i="1"/>
  <c r="E108" i="1"/>
  <c r="D108" i="1"/>
  <c r="U107" i="1"/>
  <c r="T107" i="1"/>
  <c r="P107" i="1"/>
  <c r="F107" i="1"/>
  <c r="E107" i="1"/>
  <c r="D107" i="1"/>
  <c r="V106" i="1"/>
  <c r="W106" i="1" s="1"/>
  <c r="U106" i="1"/>
  <c r="T106" i="1"/>
  <c r="P106" i="1"/>
  <c r="F106" i="1"/>
  <c r="E106" i="1"/>
  <c r="D106" i="1"/>
  <c r="U105" i="1"/>
  <c r="T105" i="1"/>
  <c r="P105" i="1"/>
  <c r="F105" i="1"/>
  <c r="E105" i="1"/>
  <c r="D105" i="1"/>
  <c r="U104" i="1"/>
  <c r="T104" i="1"/>
  <c r="V104" i="1" s="1"/>
  <c r="W104" i="1" s="1"/>
  <c r="P104" i="1"/>
  <c r="F104" i="1"/>
  <c r="E104" i="1"/>
  <c r="D104" i="1"/>
  <c r="V103" i="1"/>
  <c r="U103" i="1"/>
  <c r="T103" i="1"/>
  <c r="P103" i="1"/>
  <c r="F103" i="1"/>
  <c r="E103" i="1"/>
  <c r="D103" i="1"/>
  <c r="U102" i="1"/>
  <c r="V102" i="1" s="1"/>
  <c r="W102" i="1" s="1"/>
  <c r="T102" i="1"/>
  <c r="P102" i="1"/>
  <c r="F102" i="1"/>
  <c r="E102" i="1"/>
  <c r="D102" i="1"/>
  <c r="W101" i="1"/>
  <c r="U101" i="1"/>
  <c r="T101" i="1"/>
  <c r="V101" i="1" s="1"/>
  <c r="P101" i="1"/>
  <c r="F101" i="1"/>
  <c r="E101" i="1"/>
  <c r="D101" i="1"/>
  <c r="U100" i="1"/>
  <c r="T100" i="1"/>
  <c r="P100" i="1"/>
  <c r="F100" i="1"/>
  <c r="E100" i="1"/>
  <c r="D100" i="1"/>
  <c r="U99" i="1"/>
  <c r="T99" i="1"/>
  <c r="P99" i="1"/>
  <c r="F99" i="1"/>
  <c r="E99" i="1"/>
  <c r="D99" i="1"/>
  <c r="U98" i="1"/>
  <c r="T98" i="1"/>
  <c r="P98" i="1"/>
  <c r="F98" i="1"/>
  <c r="E98" i="1"/>
  <c r="D98" i="1"/>
  <c r="U97" i="1"/>
  <c r="T97" i="1"/>
  <c r="P97" i="1"/>
  <c r="F97" i="1"/>
  <c r="E97" i="1"/>
  <c r="D97" i="1"/>
  <c r="U96" i="1"/>
  <c r="T96" i="1"/>
  <c r="P96" i="1"/>
  <c r="F96" i="1"/>
  <c r="E96" i="1"/>
  <c r="D96" i="1"/>
  <c r="U95" i="1"/>
  <c r="T95" i="1"/>
  <c r="P95" i="1"/>
  <c r="F95" i="1"/>
  <c r="E95" i="1"/>
  <c r="D95" i="1"/>
  <c r="U94" i="1"/>
  <c r="T94" i="1"/>
  <c r="V94" i="1" s="1"/>
  <c r="W94" i="1" s="1"/>
  <c r="P94" i="1"/>
  <c r="F94" i="1"/>
  <c r="E94" i="1"/>
  <c r="D94" i="1"/>
  <c r="U93" i="1"/>
  <c r="T93" i="1"/>
  <c r="P93" i="1"/>
  <c r="F93" i="1"/>
  <c r="E93" i="1"/>
  <c r="D93" i="1"/>
  <c r="U92" i="1"/>
  <c r="T92" i="1"/>
  <c r="P92" i="1"/>
  <c r="F92" i="1"/>
  <c r="E92" i="1"/>
  <c r="D92" i="1"/>
  <c r="U91" i="1"/>
  <c r="T91" i="1"/>
  <c r="P91" i="1"/>
  <c r="F91" i="1"/>
  <c r="E91" i="1"/>
  <c r="D91" i="1"/>
  <c r="U90" i="1"/>
  <c r="T90" i="1"/>
  <c r="P90" i="1"/>
  <c r="F90" i="1"/>
  <c r="E90" i="1"/>
  <c r="D90" i="1"/>
  <c r="U89" i="1"/>
  <c r="T89" i="1"/>
  <c r="V89" i="1" s="1"/>
  <c r="P89" i="1"/>
  <c r="F89" i="1"/>
  <c r="E89" i="1"/>
  <c r="D89" i="1"/>
  <c r="V88" i="1"/>
  <c r="W88" i="1" s="1"/>
  <c r="U88" i="1"/>
  <c r="T88" i="1"/>
  <c r="P88" i="1"/>
  <c r="F88" i="1"/>
  <c r="E88" i="1"/>
  <c r="D88" i="1"/>
  <c r="U87" i="1"/>
  <c r="V87" i="1" s="1"/>
  <c r="W87" i="1" s="1"/>
  <c r="T87" i="1"/>
  <c r="P87" i="1"/>
  <c r="F87" i="1"/>
  <c r="E87" i="1"/>
  <c r="D87" i="1"/>
  <c r="U86" i="1"/>
  <c r="T86" i="1"/>
  <c r="V86" i="1" s="1"/>
  <c r="W86" i="1" s="1"/>
  <c r="P86" i="1"/>
  <c r="F86" i="1"/>
  <c r="E86" i="1"/>
  <c r="D86" i="1"/>
  <c r="U85" i="1"/>
  <c r="T85" i="1"/>
  <c r="V85" i="1" s="1"/>
  <c r="P85" i="1"/>
  <c r="F85" i="1"/>
  <c r="E85" i="1"/>
  <c r="D85" i="1"/>
  <c r="U84" i="1"/>
  <c r="T84" i="1"/>
  <c r="P84" i="1"/>
  <c r="F84" i="1"/>
  <c r="E84" i="1"/>
  <c r="D84" i="1"/>
  <c r="U83" i="1"/>
  <c r="T83" i="1"/>
  <c r="P83" i="1"/>
  <c r="F83" i="1"/>
  <c r="E83" i="1"/>
  <c r="D83" i="1"/>
  <c r="U82" i="1"/>
  <c r="T82" i="1"/>
  <c r="P82" i="1"/>
  <c r="F82" i="1"/>
  <c r="E82" i="1"/>
  <c r="D82" i="1"/>
  <c r="U81" i="1"/>
  <c r="T81" i="1"/>
  <c r="P81" i="1"/>
  <c r="F81" i="1"/>
  <c r="E81" i="1"/>
  <c r="D81" i="1"/>
  <c r="U80" i="1"/>
  <c r="T80" i="1"/>
  <c r="P80" i="1"/>
  <c r="F80" i="1"/>
  <c r="E80" i="1"/>
  <c r="D80" i="1"/>
  <c r="U79" i="1"/>
  <c r="T79" i="1"/>
  <c r="P79" i="1"/>
  <c r="F79" i="1"/>
  <c r="E79" i="1"/>
  <c r="D79" i="1"/>
  <c r="U78" i="1"/>
  <c r="V78" i="1" s="1"/>
  <c r="W78" i="1" s="1"/>
  <c r="T78" i="1"/>
  <c r="P78" i="1"/>
  <c r="F78" i="1"/>
  <c r="E78" i="1"/>
  <c r="D78" i="1"/>
  <c r="U77" i="1"/>
  <c r="T77" i="1"/>
  <c r="V77" i="1" s="1"/>
  <c r="W77" i="1" s="1"/>
  <c r="P77" i="1"/>
  <c r="F77" i="1"/>
  <c r="E77" i="1"/>
  <c r="D77" i="1"/>
  <c r="U76" i="1"/>
  <c r="T76" i="1"/>
  <c r="P76" i="1"/>
  <c r="F76" i="1"/>
  <c r="E76" i="1"/>
  <c r="D76" i="1"/>
  <c r="U75" i="1"/>
  <c r="V75" i="1" s="1"/>
  <c r="W75" i="1" s="1"/>
  <c r="T75" i="1"/>
  <c r="P75" i="1"/>
  <c r="F75" i="1"/>
  <c r="E75" i="1"/>
  <c r="D75" i="1"/>
  <c r="U74" i="1"/>
  <c r="T74" i="1"/>
  <c r="P74" i="1"/>
  <c r="F74" i="1"/>
  <c r="E74" i="1"/>
  <c r="D74" i="1"/>
  <c r="U73" i="1"/>
  <c r="T73" i="1"/>
  <c r="P73" i="1"/>
  <c r="F73" i="1"/>
  <c r="E73" i="1"/>
  <c r="D73" i="1"/>
  <c r="U72" i="1"/>
  <c r="T72" i="1"/>
  <c r="P72" i="1"/>
  <c r="F72" i="1"/>
  <c r="E72" i="1"/>
  <c r="D72" i="1"/>
  <c r="U71" i="1"/>
  <c r="T71" i="1"/>
  <c r="V71" i="1" s="1"/>
  <c r="P71" i="1"/>
  <c r="F71" i="1"/>
  <c r="E71" i="1"/>
  <c r="D71" i="1"/>
  <c r="U70" i="1"/>
  <c r="V70" i="1" s="1"/>
  <c r="T70" i="1"/>
  <c r="P70" i="1"/>
  <c r="F70" i="1"/>
  <c r="E70" i="1"/>
  <c r="D70" i="1"/>
  <c r="U69" i="1"/>
  <c r="T69" i="1"/>
  <c r="P69" i="1"/>
  <c r="F69" i="1"/>
  <c r="E69" i="1"/>
  <c r="D69" i="1"/>
  <c r="U68" i="1"/>
  <c r="T68" i="1"/>
  <c r="V68" i="1" s="1"/>
  <c r="W68" i="1" s="1"/>
  <c r="P68" i="1"/>
  <c r="F68" i="1"/>
  <c r="E68" i="1"/>
  <c r="D68" i="1"/>
  <c r="U67" i="1"/>
  <c r="T67" i="1"/>
  <c r="P67" i="1"/>
  <c r="F67" i="1"/>
  <c r="E67" i="1"/>
  <c r="D67" i="1"/>
  <c r="U66" i="1"/>
  <c r="V66" i="1" s="1"/>
  <c r="W66" i="1" s="1"/>
  <c r="T66" i="1"/>
  <c r="P66" i="1"/>
  <c r="F66" i="1"/>
  <c r="E66" i="1"/>
  <c r="D66" i="1"/>
  <c r="U65" i="1"/>
  <c r="T65" i="1"/>
  <c r="P65" i="1"/>
  <c r="F65" i="1"/>
  <c r="E65" i="1"/>
  <c r="D65" i="1"/>
  <c r="U64" i="1"/>
  <c r="T64" i="1"/>
  <c r="P64" i="1"/>
  <c r="F64" i="1"/>
  <c r="E64" i="1"/>
  <c r="D64" i="1"/>
  <c r="U63" i="1"/>
  <c r="T63" i="1"/>
  <c r="P63" i="1"/>
  <c r="F63" i="1"/>
  <c r="E63" i="1"/>
  <c r="D63" i="1"/>
  <c r="U62" i="1"/>
  <c r="T62" i="1"/>
  <c r="P62" i="1"/>
  <c r="F62" i="1"/>
  <c r="E62" i="1"/>
  <c r="D62" i="1"/>
  <c r="U61" i="1"/>
  <c r="T61" i="1"/>
  <c r="P61" i="1"/>
  <c r="F61" i="1"/>
  <c r="E61" i="1"/>
  <c r="D61" i="1"/>
  <c r="U60" i="1"/>
  <c r="T60" i="1"/>
  <c r="P60" i="1"/>
  <c r="F60" i="1"/>
  <c r="E60" i="1"/>
  <c r="D60" i="1"/>
  <c r="U59" i="1"/>
  <c r="T59" i="1"/>
  <c r="P59" i="1"/>
  <c r="F59" i="1"/>
  <c r="E59" i="1"/>
  <c r="D59" i="1"/>
  <c r="U58" i="1"/>
  <c r="V58" i="1" s="1"/>
  <c r="W58" i="1" s="1"/>
  <c r="T58" i="1"/>
  <c r="P58" i="1"/>
  <c r="F58" i="1"/>
  <c r="E58" i="1"/>
  <c r="D58" i="1"/>
  <c r="U57" i="1"/>
  <c r="V57" i="1" s="1"/>
  <c r="W57" i="1" s="1"/>
  <c r="T57" i="1"/>
  <c r="P57" i="1"/>
  <c r="F57" i="1"/>
  <c r="E57" i="1"/>
  <c r="D57" i="1"/>
  <c r="U56" i="1"/>
  <c r="T56" i="1"/>
  <c r="V56" i="1" s="1"/>
  <c r="W56" i="1" s="1"/>
  <c r="P56" i="1"/>
  <c r="F56" i="1"/>
  <c r="E56" i="1"/>
  <c r="D56" i="1"/>
  <c r="U55" i="1"/>
  <c r="T55" i="1"/>
  <c r="P55" i="1"/>
  <c r="F55" i="1"/>
  <c r="E55" i="1"/>
  <c r="D55" i="1"/>
  <c r="U54" i="1"/>
  <c r="V54" i="1" s="1"/>
  <c r="W54" i="1" s="1"/>
  <c r="T54" i="1"/>
  <c r="P54" i="1"/>
  <c r="F54" i="1"/>
  <c r="E54" i="1"/>
  <c r="D54" i="1"/>
  <c r="W53" i="1"/>
  <c r="U53" i="1"/>
  <c r="T53" i="1"/>
  <c r="V53" i="1" s="1"/>
  <c r="P53" i="1"/>
  <c r="F53" i="1"/>
  <c r="E53" i="1"/>
  <c r="D53" i="1"/>
  <c r="V52" i="1"/>
  <c r="W52" i="1" s="1"/>
  <c r="U52" i="1"/>
  <c r="T52" i="1"/>
  <c r="P52" i="1"/>
  <c r="F52" i="1"/>
  <c r="E52" i="1"/>
  <c r="D52" i="1"/>
  <c r="U51" i="1"/>
  <c r="T51" i="1"/>
  <c r="P51" i="1"/>
  <c r="F51" i="1"/>
  <c r="E51" i="1"/>
  <c r="D51" i="1"/>
  <c r="U50" i="1"/>
  <c r="T50" i="1"/>
  <c r="V50" i="1" s="1"/>
  <c r="W50" i="1" s="1"/>
  <c r="P50" i="1"/>
  <c r="F50" i="1"/>
  <c r="E50" i="1"/>
  <c r="D50" i="1"/>
  <c r="U49" i="1"/>
  <c r="V49" i="1" s="1"/>
  <c r="T49" i="1"/>
  <c r="P49" i="1"/>
  <c r="F49" i="1"/>
  <c r="E49" i="1"/>
  <c r="D49" i="1"/>
  <c r="U48" i="1"/>
  <c r="V48" i="1" s="1"/>
  <c r="W48" i="1" s="1"/>
  <c r="T48" i="1"/>
  <c r="P48" i="1"/>
  <c r="F48" i="1"/>
  <c r="E48" i="1"/>
  <c r="D48" i="1"/>
  <c r="U47" i="1"/>
  <c r="T47" i="1"/>
  <c r="P47" i="1"/>
  <c r="F47" i="1"/>
  <c r="E47" i="1"/>
  <c r="D47" i="1"/>
  <c r="U46" i="1"/>
  <c r="T46" i="1"/>
  <c r="P46" i="1"/>
  <c r="F46" i="1"/>
  <c r="E46" i="1"/>
  <c r="D46" i="1"/>
  <c r="U45" i="1"/>
  <c r="T45" i="1"/>
  <c r="P45" i="1"/>
  <c r="F45" i="1"/>
  <c r="E45" i="1"/>
  <c r="D45" i="1"/>
  <c r="U44" i="1"/>
  <c r="T44" i="1"/>
  <c r="P44" i="1"/>
  <c r="F44" i="1"/>
  <c r="E44" i="1"/>
  <c r="D44" i="1"/>
  <c r="U43" i="1"/>
  <c r="T43" i="1"/>
  <c r="P43" i="1"/>
  <c r="F43" i="1"/>
  <c r="E43" i="1"/>
  <c r="D43" i="1"/>
  <c r="U42" i="1"/>
  <c r="V42" i="1" s="1"/>
  <c r="W42" i="1" s="1"/>
  <c r="T42" i="1"/>
  <c r="P42" i="1"/>
  <c r="F42" i="1"/>
  <c r="E42" i="1"/>
  <c r="D42" i="1"/>
  <c r="U41" i="1"/>
  <c r="T41" i="1"/>
  <c r="V41" i="1" s="1"/>
  <c r="W41" i="1" s="1"/>
  <c r="P41" i="1"/>
  <c r="F41" i="1"/>
  <c r="E41" i="1"/>
  <c r="D41" i="1"/>
  <c r="U40" i="1"/>
  <c r="T40" i="1"/>
  <c r="P40" i="1"/>
  <c r="F40" i="1"/>
  <c r="E40" i="1"/>
  <c r="D40" i="1"/>
  <c r="U39" i="1"/>
  <c r="T39" i="1"/>
  <c r="P39" i="1"/>
  <c r="F39" i="1"/>
  <c r="E39" i="1"/>
  <c r="D39" i="1"/>
  <c r="U38" i="1"/>
  <c r="T38" i="1"/>
  <c r="V38" i="1" s="1"/>
  <c r="W38" i="1" s="1"/>
  <c r="P38" i="1"/>
  <c r="F38" i="1"/>
  <c r="E38" i="1"/>
  <c r="D38" i="1"/>
  <c r="U37" i="1"/>
  <c r="T37" i="1"/>
  <c r="P37" i="1"/>
  <c r="F37" i="1"/>
  <c r="E37" i="1"/>
  <c r="D37" i="1"/>
  <c r="U36" i="1"/>
  <c r="V36" i="1" s="1"/>
  <c r="W36" i="1" s="1"/>
  <c r="T36" i="1"/>
  <c r="P36" i="1"/>
  <c r="F36" i="1"/>
  <c r="E36" i="1"/>
  <c r="D36" i="1"/>
  <c r="U35" i="1"/>
  <c r="T35" i="1"/>
  <c r="P35" i="1"/>
  <c r="F35" i="1"/>
  <c r="E35" i="1"/>
  <c r="D35" i="1"/>
  <c r="U34" i="1"/>
  <c r="T34" i="1"/>
  <c r="V34" i="1" s="1"/>
  <c r="W34" i="1" s="1"/>
  <c r="P34" i="1"/>
  <c r="F34" i="1"/>
  <c r="E34" i="1"/>
  <c r="D34" i="1"/>
  <c r="U33" i="1"/>
  <c r="T33" i="1"/>
  <c r="P33" i="1"/>
  <c r="F33" i="1"/>
  <c r="E33" i="1"/>
  <c r="D33" i="1"/>
  <c r="U32" i="1"/>
  <c r="T32" i="1"/>
  <c r="P32" i="1"/>
  <c r="F32" i="1"/>
  <c r="E32" i="1"/>
  <c r="D32" i="1"/>
  <c r="U31" i="1"/>
  <c r="V31" i="1" s="1"/>
  <c r="T31" i="1"/>
  <c r="P31" i="1"/>
  <c r="F31" i="1"/>
  <c r="E31" i="1"/>
  <c r="D31" i="1"/>
  <c r="U30" i="1"/>
  <c r="T30" i="1"/>
  <c r="P30" i="1"/>
  <c r="F30" i="1"/>
  <c r="E30" i="1"/>
  <c r="D30" i="1"/>
  <c r="U29" i="1"/>
  <c r="T29" i="1"/>
  <c r="P29" i="1"/>
  <c r="F29" i="1"/>
  <c r="E29" i="1"/>
  <c r="D29" i="1"/>
  <c r="U28" i="1"/>
  <c r="T28" i="1"/>
  <c r="P28" i="1"/>
  <c r="F28" i="1"/>
  <c r="E28" i="1"/>
  <c r="D28" i="1"/>
  <c r="W27" i="1"/>
  <c r="U27" i="1"/>
  <c r="V27" i="1" s="1"/>
  <c r="T27" i="1"/>
  <c r="P27" i="1"/>
  <c r="F27" i="1"/>
  <c r="E27" i="1"/>
  <c r="D27" i="1"/>
  <c r="U26" i="1"/>
  <c r="T26" i="1"/>
  <c r="V26" i="1" s="1"/>
  <c r="W26" i="1" s="1"/>
  <c r="P26" i="1"/>
  <c r="F26" i="1"/>
  <c r="E26" i="1"/>
  <c r="D26" i="1"/>
  <c r="U25" i="1"/>
  <c r="T25" i="1"/>
  <c r="P25" i="1"/>
  <c r="F25" i="1"/>
  <c r="E25" i="1"/>
  <c r="D25" i="1"/>
  <c r="U24" i="1"/>
  <c r="T24" i="1"/>
  <c r="P24" i="1"/>
  <c r="F24" i="1"/>
  <c r="E24" i="1"/>
  <c r="D24" i="1"/>
  <c r="U23" i="1"/>
  <c r="T23" i="1"/>
  <c r="P23" i="1"/>
  <c r="F23" i="1"/>
  <c r="E23" i="1"/>
  <c r="D23" i="1"/>
  <c r="V22" i="1"/>
  <c r="W22" i="1" s="1"/>
  <c r="U22" i="1"/>
  <c r="T22" i="1"/>
  <c r="P22" i="1"/>
  <c r="F22" i="1"/>
  <c r="E22" i="1"/>
  <c r="D22" i="1"/>
  <c r="U21" i="1"/>
  <c r="T21" i="1"/>
  <c r="P21" i="1"/>
  <c r="F21" i="1"/>
  <c r="E21" i="1"/>
  <c r="D21" i="1"/>
  <c r="U20" i="1"/>
  <c r="T20" i="1"/>
  <c r="V20" i="1" s="1"/>
  <c r="W20" i="1" s="1"/>
  <c r="P20" i="1"/>
  <c r="F20" i="1"/>
  <c r="E20" i="1"/>
  <c r="D20" i="1"/>
  <c r="U19" i="1"/>
  <c r="T19" i="1"/>
  <c r="P19" i="1"/>
  <c r="F19" i="1"/>
  <c r="E19" i="1"/>
  <c r="D19" i="1"/>
  <c r="U18" i="1"/>
  <c r="V18" i="1" s="1"/>
  <c r="W18" i="1" s="1"/>
  <c r="T18" i="1"/>
  <c r="P18" i="1"/>
  <c r="F18" i="1"/>
  <c r="E18" i="1"/>
  <c r="D18" i="1"/>
  <c r="U17" i="1"/>
  <c r="T17" i="1"/>
  <c r="P17" i="1"/>
  <c r="F17" i="1"/>
  <c r="E17" i="1"/>
  <c r="D17" i="1"/>
  <c r="V16" i="1"/>
  <c r="W16" i="1" s="1"/>
  <c r="U16" i="1"/>
  <c r="T16" i="1"/>
  <c r="P16" i="1"/>
  <c r="F16" i="1"/>
  <c r="E16" i="1"/>
  <c r="D16" i="1"/>
  <c r="U15" i="1"/>
  <c r="T15" i="1"/>
  <c r="P15" i="1"/>
  <c r="F15" i="1"/>
  <c r="E15" i="1"/>
  <c r="D15" i="1"/>
  <c r="U14" i="1"/>
  <c r="T14" i="1"/>
  <c r="V14" i="1" s="1"/>
  <c r="W14" i="1" s="1"/>
  <c r="P14" i="1"/>
  <c r="F14" i="1"/>
  <c r="E14" i="1"/>
  <c r="D14" i="1"/>
  <c r="U13" i="1"/>
  <c r="T13" i="1"/>
  <c r="P13" i="1"/>
  <c r="F13" i="1"/>
  <c r="E13" i="1"/>
  <c r="D13" i="1"/>
  <c r="U12" i="1"/>
  <c r="T12" i="1"/>
  <c r="P12" i="1"/>
  <c r="F12" i="1"/>
  <c r="E12" i="1"/>
  <c r="D12" i="1"/>
  <c r="U11" i="1"/>
  <c r="T11" i="1"/>
  <c r="P11" i="1"/>
  <c r="F11" i="1"/>
  <c r="E11" i="1"/>
  <c r="D11" i="1"/>
  <c r="U10" i="1"/>
  <c r="T10" i="1"/>
  <c r="P10" i="1"/>
  <c r="F10" i="1"/>
  <c r="E10" i="1"/>
  <c r="D10" i="1"/>
  <c r="U9" i="1"/>
  <c r="T9" i="1"/>
  <c r="V9" i="1" s="1"/>
  <c r="W9" i="1" s="1"/>
  <c r="P9" i="1"/>
  <c r="F9" i="1"/>
  <c r="E9" i="1"/>
  <c r="D9" i="1"/>
  <c r="U8" i="1"/>
  <c r="T8" i="1"/>
  <c r="P8" i="1"/>
  <c r="F8" i="1"/>
  <c r="E8" i="1"/>
  <c r="D8" i="1"/>
  <c r="U7" i="1"/>
  <c r="T7" i="1"/>
  <c r="P7" i="1"/>
  <c r="F7" i="1"/>
  <c r="E7" i="1"/>
  <c r="D7" i="1"/>
  <c r="U6" i="1"/>
  <c r="T6" i="1"/>
  <c r="P6" i="1"/>
  <c r="F6" i="1"/>
  <c r="E6" i="1"/>
  <c r="D6" i="1"/>
  <c r="U5" i="1"/>
  <c r="T5" i="1"/>
  <c r="P5" i="1"/>
  <c r="F5" i="1"/>
  <c r="E5" i="1"/>
  <c r="D5" i="1"/>
  <c r="U4" i="1"/>
  <c r="T4" i="1"/>
  <c r="P4" i="1"/>
  <c r="F4" i="1"/>
  <c r="E4" i="1"/>
  <c r="D4" i="1"/>
  <c r="U3" i="1"/>
  <c r="V3" i="1" s="1"/>
  <c r="W3" i="1" s="1"/>
  <c r="T3" i="1"/>
  <c r="P3" i="1"/>
  <c r="F3" i="1"/>
  <c r="E3" i="1"/>
  <c r="D3" i="1"/>
  <c r="U2" i="1"/>
  <c r="T2" i="1"/>
  <c r="V2" i="1" s="1"/>
  <c r="W2" i="1" s="1"/>
  <c r="P2" i="1"/>
  <c r="F2" i="1"/>
  <c r="E2" i="1"/>
  <c r="D2" i="1"/>
  <c r="U1" i="1"/>
  <c r="T1" i="1"/>
  <c r="P1" i="1"/>
  <c r="F1" i="1"/>
  <c r="E1" i="1"/>
  <c r="D1" i="1"/>
  <c r="U632" i="11"/>
  <c r="T632" i="11"/>
  <c r="P632" i="11"/>
  <c r="F632" i="11"/>
  <c r="E632" i="11"/>
  <c r="D632" i="11"/>
  <c r="U631" i="11"/>
  <c r="T631" i="11"/>
  <c r="P631" i="11"/>
  <c r="F631" i="11"/>
  <c r="E631" i="11"/>
  <c r="D631" i="11"/>
  <c r="U630" i="11"/>
  <c r="T630" i="11"/>
  <c r="P630" i="11"/>
  <c r="F630" i="11"/>
  <c r="E630" i="11"/>
  <c r="D630" i="11"/>
  <c r="U629" i="11"/>
  <c r="T629" i="11"/>
  <c r="P629" i="11"/>
  <c r="F629" i="11"/>
  <c r="E629" i="11"/>
  <c r="D629" i="11"/>
  <c r="U628" i="11"/>
  <c r="T628" i="11"/>
  <c r="W628" i="11" s="1"/>
  <c r="P628" i="11"/>
  <c r="F628" i="11"/>
  <c r="E628" i="11"/>
  <c r="D628" i="11"/>
  <c r="U627" i="11"/>
  <c r="T627" i="11"/>
  <c r="W627" i="11" s="1"/>
  <c r="P627" i="11"/>
  <c r="F627" i="11"/>
  <c r="E627" i="11"/>
  <c r="D627" i="11"/>
  <c r="U626" i="11"/>
  <c r="T626" i="11"/>
  <c r="P626" i="11"/>
  <c r="F626" i="11"/>
  <c r="E626" i="11"/>
  <c r="D626" i="11"/>
  <c r="U625" i="11"/>
  <c r="T625" i="11"/>
  <c r="P625" i="11"/>
  <c r="F625" i="11"/>
  <c r="E625" i="11"/>
  <c r="D625" i="11"/>
  <c r="U624" i="11"/>
  <c r="T624" i="11"/>
  <c r="P624" i="11"/>
  <c r="F624" i="11"/>
  <c r="E624" i="11"/>
  <c r="D624" i="11"/>
  <c r="U623" i="11"/>
  <c r="T623" i="11"/>
  <c r="P623" i="11"/>
  <c r="F623" i="11"/>
  <c r="E623" i="11"/>
  <c r="D623" i="11"/>
  <c r="U622" i="11"/>
  <c r="T622" i="11"/>
  <c r="W622" i="11" s="1"/>
  <c r="P622" i="11"/>
  <c r="F622" i="11"/>
  <c r="E622" i="11"/>
  <c r="D622" i="11"/>
  <c r="U621" i="11"/>
  <c r="T621" i="11"/>
  <c r="P621" i="11"/>
  <c r="F621" i="11"/>
  <c r="E621" i="11"/>
  <c r="D621" i="11"/>
  <c r="U620" i="11"/>
  <c r="T620" i="11"/>
  <c r="P620" i="11"/>
  <c r="F620" i="11"/>
  <c r="E620" i="11"/>
  <c r="D620" i="11"/>
  <c r="U619" i="11"/>
  <c r="T619" i="11"/>
  <c r="P619" i="11"/>
  <c r="F619" i="11"/>
  <c r="E619" i="11"/>
  <c r="D619" i="11"/>
  <c r="U618" i="11"/>
  <c r="T618" i="11"/>
  <c r="P618" i="11"/>
  <c r="F618" i="11"/>
  <c r="E618" i="11"/>
  <c r="D618" i="11"/>
  <c r="U617" i="11"/>
  <c r="T617" i="11"/>
  <c r="P617" i="11"/>
  <c r="F617" i="11"/>
  <c r="E617" i="11"/>
  <c r="D617" i="11"/>
  <c r="U616" i="11"/>
  <c r="T616" i="11"/>
  <c r="P616" i="11"/>
  <c r="F616" i="11"/>
  <c r="E616" i="11"/>
  <c r="D616" i="11"/>
  <c r="U615" i="11"/>
  <c r="T615" i="11"/>
  <c r="W615" i="11" s="1"/>
  <c r="P615" i="11"/>
  <c r="F615" i="11"/>
  <c r="E615" i="11"/>
  <c r="D615" i="11"/>
  <c r="U614" i="11"/>
  <c r="T614" i="11"/>
  <c r="P614" i="11"/>
  <c r="F614" i="11"/>
  <c r="E614" i="11"/>
  <c r="D614" i="11"/>
  <c r="U613" i="11"/>
  <c r="T613" i="11"/>
  <c r="P613" i="11"/>
  <c r="F613" i="11"/>
  <c r="E613" i="11"/>
  <c r="D613" i="11"/>
  <c r="U612" i="11"/>
  <c r="T612" i="11"/>
  <c r="P612" i="11"/>
  <c r="F612" i="11"/>
  <c r="E612" i="11"/>
  <c r="D612" i="11"/>
  <c r="U611" i="11"/>
  <c r="T611" i="11"/>
  <c r="P611" i="11"/>
  <c r="F611" i="11"/>
  <c r="E611" i="11"/>
  <c r="D611" i="11"/>
  <c r="U610" i="11"/>
  <c r="T610" i="11"/>
  <c r="W610" i="11" s="1"/>
  <c r="P610" i="11"/>
  <c r="F610" i="11"/>
  <c r="E610" i="11"/>
  <c r="D610" i="11"/>
  <c r="U609" i="11"/>
  <c r="T609" i="11"/>
  <c r="W609" i="11" s="1"/>
  <c r="P609" i="11"/>
  <c r="F609" i="11"/>
  <c r="E609" i="11"/>
  <c r="D609" i="11"/>
  <c r="U608" i="11"/>
  <c r="T608" i="11"/>
  <c r="P608" i="11"/>
  <c r="F608" i="11"/>
  <c r="E608" i="11"/>
  <c r="D608" i="11"/>
  <c r="U607" i="11"/>
  <c r="T607" i="11"/>
  <c r="P607" i="11"/>
  <c r="F607" i="11"/>
  <c r="E607" i="11"/>
  <c r="D607" i="11"/>
  <c r="U606" i="11"/>
  <c r="V606" i="11" s="1"/>
  <c r="W606" i="11" s="1"/>
  <c r="T606" i="11"/>
  <c r="P606" i="11"/>
  <c r="F606" i="11"/>
  <c r="E606" i="11"/>
  <c r="D606" i="11"/>
  <c r="U605" i="11"/>
  <c r="T605" i="11"/>
  <c r="P605" i="11"/>
  <c r="F605" i="11"/>
  <c r="E605" i="11"/>
  <c r="D605" i="11"/>
  <c r="U604" i="11"/>
  <c r="T604" i="11"/>
  <c r="P604" i="11"/>
  <c r="F604" i="11"/>
  <c r="E604" i="11"/>
  <c r="D604" i="11"/>
  <c r="U603" i="11"/>
  <c r="T603" i="11"/>
  <c r="V603" i="11" s="1"/>
  <c r="W603" i="11" s="1"/>
  <c r="P603" i="11"/>
  <c r="F603" i="11"/>
  <c r="E603" i="11"/>
  <c r="D603" i="11"/>
  <c r="U602" i="11"/>
  <c r="T602" i="11"/>
  <c r="P602" i="11"/>
  <c r="F602" i="11"/>
  <c r="E602" i="11"/>
  <c r="D602" i="11"/>
  <c r="V601" i="11"/>
  <c r="W601" i="11" s="1"/>
  <c r="U601" i="11"/>
  <c r="T601" i="11"/>
  <c r="P601" i="11"/>
  <c r="F601" i="11"/>
  <c r="E601" i="11"/>
  <c r="D601" i="11"/>
  <c r="U600" i="11"/>
  <c r="T600" i="11"/>
  <c r="P600" i="11"/>
  <c r="F600" i="11"/>
  <c r="E600" i="11"/>
  <c r="D600" i="11"/>
  <c r="U599" i="11"/>
  <c r="T599" i="11"/>
  <c r="P599" i="11"/>
  <c r="F599" i="11"/>
  <c r="E599" i="11"/>
  <c r="D599" i="11"/>
  <c r="U598" i="11"/>
  <c r="T598" i="11"/>
  <c r="P598" i="11"/>
  <c r="F598" i="11"/>
  <c r="E598" i="11"/>
  <c r="D598" i="11"/>
  <c r="U597" i="11"/>
  <c r="T597" i="11"/>
  <c r="P597" i="11"/>
  <c r="F597" i="11"/>
  <c r="E597" i="11"/>
  <c r="D597" i="11"/>
  <c r="U596" i="11"/>
  <c r="T596" i="11"/>
  <c r="P596" i="11"/>
  <c r="F596" i="11"/>
  <c r="E596" i="11"/>
  <c r="D596" i="11"/>
  <c r="U595" i="11"/>
  <c r="T595" i="11"/>
  <c r="V595" i="11" s="1"/>
  <c r="P595" i="11"/>
  <c r="F595" i="11"/>
  <c r="E595" i="11"/>
  <c r="D595" i="11"/>
  <c r="U594" i="11"/>
  <c r="T594" i="11"/>
  <c r="P594" i="11"/>
  <c r="F594" i="11"/>
  <c r="E594" i="11"/>
  <c r="D594" i="11"/>
  <c r="U593" i="11"/>
  <c r="T593" i="11"/>
  <c r="P593" i="11"/>
  <c r="F593" i="11"/>
  <c r="E593" i="11"/>
  <c r="D593" i="11"/>
  <c r="U592" i="11"/>
  <c r="V592" i="11" s="1"/>
  <c r="W592" i="11" s="1"/>
  <c r="T592" i="11"/>
  <c r="P592" i="11"/>
  <c r="F592" i="11"/>
  <c r="E592" i="11"/>
  <c r="D592" i="11"/>
  <c r="U591" i="11"/>
  <c r="T591" i="11"/>
  <c r="P591" i="11"/>
  <c r="F591" i="11"/>
  <c r="E591" i="11"/>
  <c r="D591" i="11"/>
  <c r="U590" i="11"/>
  <c r="T590" i="11"/>
  <c r="P590" i="11"/>
  <c r="F590" i="11"/>
  <c r="E590" i="11"/>
  <c r="D590" i="11"/>
  <c r="U589" i="11"/>
  <c r="T589" i="11"/>
  <c r="P589" i="11"/>
  <c r="F589" i="11"/>
  <c r="E589" i="11"/>
  <c r="D589" i="11"/>
  <c r="W588" i="11"/>
  <c r="V588" i="11"/>
  <c r="U588" i="11"/>
  <c r="T588" i="11"/>
  <c r="P588" i="11"/>
  <c r="F588" i="11"/>
  <c r="E588" i="11"/>
  <c r="D588" i="11"/>
  <c r="U587" i="11"/>
  <c r="T587" i="11"/>
  <c r="P587" i="11"/>
  <c r="F587" i="11"/>
  <c r="E587" i="11"/>
  <c r="D587" i="11"/>
  <c r="U586" i="11"/>
  <c r="T586" i="11"/>
  <c r="P586" i="11"/>
  <c r="F586" i="11"/>
  <c r="E586" i="11"/>
  <c r="D586" i="11"/>
  <c r="U585" i="11"/>
  <c r="T585" i="11"/>
  <c r="P585" i="11"/>
  <c r="F585" i="11"/>
  <c r="E585" i="11"/>
  <c r="D585" i="11"/>
  <c r="U584" i="11"/>
  <c r="T584" i="11"/>
  <c r="P584" i="11"/>
  <c r="F584" i="11"/>
  <c r="E584" i="11"/>
  <c r="D584" i="11"/>
  <c r="W583" i="11"/>
  <c r="V583" i="11"/>
  <c r="U583" i="11"/>
  <c r="T583" i="11"/>
  <c r="P583" i="11"/>
  <c r="F583" i="11"/>
  <c r="E583" i="11"/>
  <c r="D583" i="11"/>
  <c r="U582" i="11"/>
  <c r="T582" i="11"/>
  <c r="P582" i="11"/>
  <c r="F582" i="11"/>
  <c r="E582" i="11"/>
  <c r="D582" i="11"/>
  <c r="U581" i="11"/>
  <c r="T581" i="11"/>
  <c r="P581" i="11"/>
  <c r="F581" i="11"/>
  <c r="E581" i="11"/>
  <c r="D581" i="11"/>
  <c r="U580" i="11"/>
  <c r="T580" i="11"/>
  <c r="P580" i="11"/>
  <c r="F580" i="11"/>
  <c r="E580" i="11"/>
  <c r="D580" i="11"/>
  <c r="U579" i="11"/>
  <c r="T579" i="11"/>
  <c r="P579" i="11"/>
  <c r="F579" i="11"/>
  <c r="E579" i="11"/>
  <c r="D579" i="11"/>
  <c r="U578" i="11"/>
  <c r="T578" i="11"/>
  <c r="P578" i="11"/>
  <c r="F578" i="11"/>
  <c r="E578" i="11"/>
  <c r="D578" i="11"/>
  <c r="U577" i="11"/>
  <c r="T577" i="11"/>
  <c r="P577" i="11"/>
  <c r="F577" i="11"/>
  <c r="E577" i="11"/>
  <c r="D577" i="11"/>
  <c r="U576" i="11"/>
  <c r="T576" i="11"/>
  <c r="P576" i="11"/>
  <c r="F576" i="11"/>
  <c r="E576" i="11"/>
  <c r="D576" i="11"/>
  <c r="U575" i="11"/>
  <c r="T575" i="11"/>
  <c r="P575" i="11"/>
  <c r="F575" i="11"/>
  <c r="E575" i="11"/>
  <c r="D575" i="11"/>
  <c r="U574" i="11"/>
  <c r="T574" i="11"/>
  <c r="P574" i="11"/>
  <c r="F574" i="11"/>
  <c r="E574" i="11"/>
  <c r="D574" i="11"/>
  <c r="U573" i="11"/>
  <c r="T573" i="11"/>
  <c r="P573" i="11"/>
  <c r="F573" i="11"/>
  <c r="E573" i="11"/>
  <c r="D573" i="11"/>
  <c r="U572" i="11"/>
  <c r="T572" i="11"/>
  <c r="P572" i="11"/>
  <c r="F572" i="11"/>
  <c r="E572" i="11"/>
  <c r="D572" i="11"/>
  <c r="U571" i="11"/>
  <c r="T571" i="11"/>
  <c r="P571" i="11"/>
  <c r="F571" i="11"/>
  <c r="E571" i="11"/>
  <c r="D571" i="11"/>
  <c r="V570" i="11"/>
  <c r="W570" i="11" s="1"/>
  <c r="U570" i="11"/>
  <c r="T570" i="11"/>
  <c r="P570" i="11"/>
  <c r="F570" i="11"/>
  <c r="E570" i="11"/>
  <c r="D570" i="11"/>
  <c r="U569" i="11"/>
  <c r="T569" i="11"/>
  <c r="P569" i="11"/>
  <c r="F569" i="11"/>
  <c r="E569" i="11"/>
  <c r="D569" i="11"/>
  <c r="U568" i="11"/>
  <c r="T568" i="11"/>
  <c r="P568" i="11"/>
  <c r="F568" i="11"/>
  <c r="E568" i="11"/>
  <c r="D568" i="11"/>
  <c r="U567" i="11"/>
  <c r="T567" i="11"/>
  <c r="P567" i="11"/>
  <c r="F567" i="11"/>
  <c r="E567" i="11"/>
  <c r="D567" i="11"/>
  <c r="U566" i="11"/>
  <c r="T566" i="11"/>
  <c r="P566" i="11"/>
  <c r="F566" i="11"/>
  <c r="E566" i="11"/>
  <c r="D566" i="11"/>
  <c r="U565" i="11"/>
  <c r="V565" i="11" s="1"/>
  <c r="W565" i="11" s="1"/>
  <c r="T565" i="11"/>
  <c r="P565" i="11"/>
  <c r="F565" i="11"/>
  <c r="E565" i="11"/>
  <c r="D565" i="11"/>
  <c r="V564" i="11"/>
  <c r="W564" i="11" s="1"/>
  <c r="U564" i="11"/>
  <c r="T564" i="11"/>
  <c r="P564" i="11"/>
  <c r="F564" i="11"/>
  <c r="E564" i="11"/>
  <c r="D564" i="11"/>
  <c r="U563" i="11"/>
  <c r="T563" i="11"/>
  <c r="P563" i="11"/>
  <c r="F563" i="11"/>
  <c r="E563" i="11"/>
  <c r="D563" i="11"/>
  <c r="U562" i="11"/>
  <c r="T562" i="11"/>
  <c r="P562" i="11"/>
  <c r="F562" i="11"/>
  <c r="E562" i="11"/>
  <c r="D562" i="11"/>
  <c r="U561" i="11"/>
  <c r="T561" i="11"/>
  <c r="P561" i="11"/>
  <c r="F561" i="11"/>
  <c r="E561" i="11"/>
  <c r="D561" i="11"/>
  <c r="U560" i="11"/>
  <c r="T560" i="11"/>
  <c r="P560" i="11"/>
  <c r="F560" i="11"/>
  <c r="E560" i="11"/>
  <c r="D560" i="11"/>
  <c r="U559" i="11"/>
  <c r="T559" i="11"/>
  <c r="V559" i="11" s="1"/>
  <c r="W559" i="11" s="1"/>
  <c r="P559" i="11"/>
  <c r="F559" i="11"/>
  <c r="E559" i="11"/>
  <c r="D559" i="11"/>
  <c r="U558" i="11"/>
  <c r="T558" i="11"/>
  <c r="P558" i="11"/>
  <c r="F558" i="11"/>
  <c r="E558" i="11"/>
  <c r="D558" i="11"/>
  <c r="V557" i="11"/>
  <c r="U557" i="11"/>
  <c r="T557" i="11"/>
  <c r="P557" i="11"/>
  <c r="F557" i="11"/>
  <c r="E557" i="11"/>
  <c r="D557" i="11"/>
  <c r="U556" i="11"/>
  <c r="T556" i="11"/>
  <c r="P556" i="11"/>
  <c r="F556" i="11"/>
  <c r="E556" i="11"/>
  <c r="D556" i="11"/>
  <c r="U555" i="11"/>
  <c r="T555" i="11"/>
  <c r="P555" i="11"/>
  <c r="F555" i="11"/>
  <c r="E555" i="11"/>
  <c r="D555" i="11"/>
  <c r="U554" i="11"/>
  <c r="T554" i="11"/>
  <c r="P554" i="11"/>
  <c r="F554" i="11"/>
  <c r="E554" i="11"/>
  <c r="D554" i="11"/>
  <c r="U553" i="11"/>
  <c r="T553" i="11"/>
  <c r="P553" i="11"/>
  <c r="F553" i="11"/>
  <c r="E553" i="11"/>
  <c r="D553" i="11"/>
  <c r="U552" i="11"/>
  <c r="T552" i="11"/>
  <c r="P552" i="11"/>
  <c r="F552" i="11"/>
  <c r="E552" i="11"/>
  <c r="D552" i="11"/>
  <c r="V551" i="11"/>
  <c r="U551" i="11"/>
  <c r="T551" i="11"/>
  <c r="P551" i="11"/>
  <c r="F551" i="11"/>
  <c r="E551" i="11"/>
  <c r="D551" i="11"/>
  <c r="U550" i="11"/>
  <c r="T550" i="11"/>
  <c r="P550" i="11"/>
  <c r="F550" i="11"/>
  <c r="E550" i="11"/>
  <c r="D550" i="11"/>
  <c r="U549" i="11"/>
  <c r="T549" i="11"/>
  <c r="P549" i="11"/>
  <c r="F549" i="11"/>
  <c r="E549" i="11"/>
  <c r="D549" i="11"/>
  <c r="U548" i="11"/>
  <c r="V548" i="11" s="1"/>
  <c r="T548" i="11"/>
  <c r="P548" i="11"/>
  <c r="F548" i="11"/>
  <c r="E548" i="11"/>
  <c r="D548" i="11"/>
  <c r="U547" i="11"/>
  <c r="V547" i="11" s="1"/>
  <c r="T547" i="11"/>
  <c r="P547" i="11"/>
  <c r="F547" i="11"/>
  <c r="E547" i="11"/>
  <c r="D547" i="11"/>
  <c r="U546" i="11"/>
  <c r="T546" i="11"/>
  <c r="P546" i="11"/>
  <c r="F546" i="11"/>
  <c r="E546" i="11"/>
  <c r="D546" i="11"/>
  <c r="U545" i="11"/>
  <c r="T545" i="11"/>
  <c r="P545" i="11"/>
  <c r="F545" i="11"/>
  <c r="E545" i="11"/>
  <c r="D545" i="11"/>
  <c r="U544" i="11"/>
  <c r="T544" i="11"/>
  <c r="P544" i="11"/>
  <c r="F544" i="11"/>
  <c r="E544" i="11"/>
  <c r="D544" i="11"/>
  <c r="V543" i="11"/>
  <c r="W543" i="11" s="1"/>
  <c r="U543" i="11"/>
  <c r="T543" i="11"/>
  <c r="P543" i="11"/>
  <c r="F543" i="11"/>
  <c r="E543" i="11"/>
  <c r="D543" i="11"/>
  <c r="U542" i="11"/>
  <c r="T542" i="11"/>
  <c r="P542" i="11"/>
  <c r="F542" i="11"/>
  <c r="E542" i="11"/>
  <c r="D542" i="11"/>
  <c r="U541" i="11"/>
  <c r="T541" i="11"/>
  <c r="P541" i="11"/>
  <c r="F541" i="11"/>
  <c r="E541" i="11"/>
  <c r="D541" i="11"/>
  <c r="U540" i="11"/>
  <c r="T540" i="11"/>
  <c r="P540" i="11"/>
  <c r="F540" i="11"/>
  <c r="E540" i="11"/>
  <c r="D540" i="11"/>
  <c r="U539" i="11"/>
  <c r="T539" i="11"/>
  <c r="P539" i="11"/>
  <c r="F539" i="11"/>
  <c r="E539" i="11"/>
  <c r="D539" i="11"/>
  <c r="U538" i="11"/>
  <c r="T538" i="11"/>
  <c r="P538" i="11"/>
  <c r="F538" i="11"/>
  <c r="E538" i="11"/>
  <c r="D538" i="11"/>
  <c r="U537" i="11"/>
  <c r="T537" i="11"/>
  <c r="P537" i="11"/>
  <c r="F537" i="11"/>
  <c r="E537" i="11"/>
  <c r="D537" i="11"/>
  <c r="U536" i="11"/>
  <c r="T536" i="11"/>
  <c r="P536" i="11"/>
  <c r="F536" i="11"/>
  <c r="E536" i="11"/>
  <c r="D536" i="11"/>
  <c r="U535" i="11"/>
  <c r="T535" i="11"/>
  <c r="P535" i="11"/>
  <c r="F535" i="11"/>
  <c r="E535" i="11"/>
  <c r="D535" i="11"/>
  <c r="U534" i="11"/>
  <c r="T534" i="11"/>
  <c r="P534" i="11"/>
  <c r="F534" i="11"/>
  <c r="E534" i="11"/>
  <c r="D534" i="11"/>
  <c r="U533" i="11"/>
  <c r="T533" i="11"/>
  <c r="P533" i="11"/>
  <c r="F533" i="11"/>
  <c r="E533" i="11"/>
  <c r="D533" i="11"/>
  <c r="U532" i="11"/>
  <c r="V532" i="11" s="1"/>
  <c r="W532" i="11" s="1"/>
  <c r="T532" i="11"/>
  <c r="P532" i="11"/>
  <c r="F532" i="11"/>
  <c r="E532" i="11"/>
  <c r="D532" i="11"/>
  <c r="U531" i="11"/>
  <c r="T531" i="11"/>
  <c r="P531" i="11"/>
  <c r="F531" i="11"/>
  <c r="E531" i="11"/>
  <c r="D531" i="11"/>
  <c r="U530" i="11"/>
  <c r="T530" i="11"/>
  <c r="P530" i="11"/>
  <c r="F530" i="11"/>
  <c r="E530" i="11"/>
  <c r="D530" i="11"/>
  <c r="U529" i="11"/>
  <c r="V529" i="11" s="1"/>
  <c r="W529" i="11" s="1"/>
  <c r="T529" i="11"/>
  <c r="P529" i="11"/>
  <c r="F529" i="11"/>
  <c r="E529" i="11"/>
  <c r="D529" i="11"/>
  <c r="U528" i="11"/>
  <c r="V528" i="11" s="1"/>
  <c r="T528" i="11"/>
  <c r="P528" i="11"/>
  <c r="F528" i="11"/>
  <c r="E528" i="11"/>
  <c r="D528" i="11"/>
  <c r="U527" i="11"/>
  <c r="T527" i="11"/>
  <c r="P527" i="11"/>
  <c r="F527" i="11"/>
  <c r="E527" i="11"/>
  <c r="D527" i="11"/>
  <c r="U526" i="11"/>
  <c r="T526" i="11"/>
  <c r="P526" i="11"/>
  <c r="F526" i="11"/>
  <c r="E526" i="11"/>
  <c r="D526" i="11"/>
  <c r="U525" i="11"/>
  <c r="T525" i="11"/>
  <c r="P525" i="11"/>
  <c r="F525" i="11"/>
  <c r="E525" i="11"/>
  <c r="D525" i="11"/>
  <c r="U524" i="11"/>
  <c r="T524" i="11"/>
  <c r="P524" i="11"/>
  <c r="F524" i="11"/>
  <c r="E524" i="11"/>
  <c r="D524" i="11"/>
  <c r="U523" i="11"/>
  <c r="T523" i="11"/>
  <c r="P523" i="11"/>
  <c r="F523" i="11"/>
  <c r="E523" i="11"/>
  <c r="D523" i="11"/>
  <c r="U522" i="11"/>
  <c r="V522" i="11" s="1"/>
  <c r="T522" i="11"/>
  <c r="P522" i="11"/>
  <c r="F522" i="11"/>
  <c r="E522" i="11"/>
  <c r="D522" i="11"/>
  <c r="V521" i="11"/>
  <c r="U521" i="11"/>
  <c r="T521" i="11"/>
  <c r="P521" i="11"/>
  <c r="F521" i="11"/>
  <c r="E521" i="11"/>
  <c r="D521" i="11"/>
  <c r="U520" i="11"/>
  <c r="T520" i="11"/>
  <c r="P520" i="11"/>
  <c r="F520" i="11"/>
  <c r="E520" i="11"/>
  <c r="D520" i="11"/>
  <c r="U519" i="11"/>
  <c r="T519" i="11"/>
  <c r="P519" i="11"/>
  <c r="F519" i="11"/>
  <c r="E519" i="11"/>
  <c r="D519" i="11"/>
  <c r="U518" i="11"/>
  <c r="T518" i="11"/>
  <c r="P518" i="11"/>
  <c r="F518" i="11"/>
  <c r="E518" i="11"/>
  <c r="D518" i="11"/>
  <c r="U517" i="11"/>
  <c r="T517" i="11"/>
  <c r="P517" i="11"/>
  <c r="F517" i="11"/>
  <c r="E517" i="11"/>
  <c r="D517" i="11"/>
  <c r="U516" i="11"/>
  <c r="T516" i="11"/>
  <c r="P516" i="11"/>
  <c r="F516" i="11"/>
  <c r="E516" i="11"/>
  <c r="D516" i="11"/>
  <c r="U515" i="11"/>
  <c r="V515" i="11" s="1"/>
  <c r="T515" i="11"/>
  <c r="P515" i="11"/>
  <c r="F515" i="11"/>
  <c r="E515" i="11"/>
  <c r="D515" i="11"/>
  <c r="U514" i="11"/>
  <c r="T514" i="11"/>
  <c r="P514" i="11"/>
  <c r="F514" i="11"/>
  <c r="E514" i="11"/>
  <c r="D514" i="11"/>
  <c r="U513" i="11"/>
  <c r="T513" i="11"/>
  <c r="P513" i="11"/>
  <c r="F513" i="11"/>
  <c r="E513" i="11"/>
  <c r="D513" i="11"/>
  <c r="U512" i="11"/>
  <c r="T512" i="11"/>
  <c r="P512" i="11"/>
  <c r="F512" i="11"/>
  <c r="E512" i="11"/>
  <c r="D512" i="11"/>
  <c r="U511" i="11"/>
  <c r="T511" i="11"/>
  <c r="P511" i="11"/>
  <c r="F511" i="11"/>
  <c r="E511" i="11"/>
  <c r="D511" i="11"/>
  <c r="U510" i="11"/>
  <c r="T510" i="11"/>
  <c r="V510" i="11" s="1"/>
  <c r="P510" i="11"/>
  <c r="F510" i="11"/>
  <c r="E510" i="11"/>
  <c r="D510" i="11"/>
  <c r="U509" i="11"/>
  <c r="T509" i="11"/>
  <c r="P509" i="11"/>
  <c r="F509" i="11"/>
  <c r="E509" i="11"/>
  <c r="D509" i="11"/>
  <c r="U508" i="11"/>
  <c r="T508" i="11"/>
  <c r="P508" i="11"/>
  <c r="F508" i="11"/>
  <c r="E508" i="11"/>
  <c r="D508" i="11"/>
  <c r="V507" i="11"/>
  <c r="W507" i="11" s="1"/>
  <c r="U507" i="11"/>
  <c r="T507" i="11"/>
  <c r="P507" i="11"/>
  <c r="F507" i="11"/>
  <c r="E507" i="11"/>
  <c r="D507" i="11"/>
  <c r="U506" i="11"/>
  <c r="T506" i="11"/>
  <c r="P506" i="11"/>
  <c r="F506" i="11"/>
  <c r="E506" i="11"/>
  <c r="D506" i="11"/>
  <c r="U505" i="11"/>
  <c r="T505" i="11"/>
  <c r="P505" i="11"/>
  <c r="F505" i="11"/>
  <c r="E505" i="11"/>
  <c r="D505" i="11"/>
  <c r="U504" i="11"/>
  <c r="V504" i="11" s="1"/>
  <c r="W504" i="11" s="1"/>
  <c r="T504" i="11"/>
  <c r="P504" i="11"/>
  <c r="F504" i="11"/>
  <c r="E504" i="11"/>
  <c r="D504" i="11"/>
  <c r="V503" i="11"/>
  <c r="U503" i="11"/>
  <c r="T503" i="11"/>
  <c r="P503" i="11"/>
  <c r="F503" i="11"/>
  <c r="E503" i="11"/>
  <c r="D503" i="11"/>
  <c r="U502" i="11"/>
  <c r="T502" i="11"/>
  <c r="P502" i="11"/>
  <c r="F502" i="11"/>
  <c r="E502" i="11"/>
  <c r="D502" i="11"/>
  <c r="U501" i="11"/>
  <c r="T501" i="11"/>
  <c r="P501" i="11"/>
  <c r="F501" i="11"/>
  <c r="E501" i="11"/>
  <c r="D501" i="11"/>
  <c r="U500" i="11"/>
  <c r="T500" i="11"/>
  <c r="P500" i="11"/>
  <c r="F500" i="11"/>
  <c r="E500" i="11"/>
  <c r="D500" i="11"/>
  <c r="U499" i="11"/>
  <c r="T499" i="11"/>
  <c r="V499" i="11" s="1"/>
  <c r="W499" i="11" s="1"/>
  <c r="P499" i="11"/>
  <c r="F499" i="11"/>
  <c r="E499" i="11"/>
  <c r="D499" i="11"/>
  <c r="W498" i="11"/>
  <c r="V498" i="11"/>
  <c r="U498" i="11"/>
  <c r="T498" i="11"/>
  <c r="P498" i="11"/>
  <c r="F498" i="11"/>
  <c r="E498" i="11"/>
  <c r="D498" i="11"/>
  <c r="U497" i="11"/>
  <c r="T497" i="11"/>
  <c r="P497" i="11"/>
  <c r="F497" i="11"/>
  <c r="E497" i="11"/>
  <c r="D497" i="11"/>
  <c r="V496" i="11"/>
  <c r="W496" i="11" s="1"/>
  <c r="U496" i="11"/>
  <c r="T496" i="11"/>
  <c r="P496" i="11"/>
  <c r="F496" i="11"/>
  <c r="E496" i="11"/>
  <c r="D496" i="11"/>
  <c r="U495" i="11"/>
  <c r="T495" i="11"/>
  <c r="P495" i="11"/>
  <c r="F495" i="11"/>
  <c r="E495" i="11"/>
  <c r="D495" i="11"/>
  <c r="U494" i="11"/>
  <c r="T494" i="11"/>
  <c r="P494" i="11"/>
  <c r="F494" i="11"/>
  <c r="E494" i="11"/>
  <c r="D494" i="11"/>
  <c r="U493" i="11"/>
  <c r="T493" i="11"/>
  <c r="V493" i="11" s="1"/>
  <c r="W493" i="11" s="1"/>
  <c r="P493" i="11"/>
  <c r="F493" i="11"/>
  <c r="E493" i="11"/>
  <c r="D493" i="11"/>
  <c r="U492" i="11"/>
  <c r="T492" i="11"/>
  <c r="P492" i="11"/>
  <c r="F492" i="11"/>
  <c r="E492" i="11"/>
  <c r="D492" i="11"/>
  <c r="U491" i="11"/>
  <c r="T491" i="11"/>
  <c r="P491" i="11"/>
  <c r="F491" i="11"/>
  <c r="E491" i="11"/>
  <c r="D491" i="11"/>
  <c r="U490" i="11"/>
  <c r="T490" i="11"/>
  <c r="P490" i="11"/>
  <c r="F490" i="11"/>
  <c r="E490" i="11"/>
  <c r="D490" i="11"/>
  <c r="U489" i="11"/>
  <c r="T489" i="11"/>
  <c r="P489" i="11"/>
  <c r="F489" i="11"/>
  <c r="E489" i="11"/>
  <c r="D489" i="11"/>
  <c r="U488" i="11"/>
  <c r="T488" i="11"/>
  <c r="P488" i="11"/>
  <c r="F488" i="11"/>
  <c r="E488" i="11"/>
  <c r="D488" i="11"/>
  <c r="U487" i="11"/>
  <c r="T487" i="11"/>
  <c r="V487" i="11" s="1"/>
  <c r="P487" i="11"/>
  <c r="F487" i="11"/>
  <c r="E487" i="11"/>
  <c r="D487" i="11"/>
  <c r="U486" i="11"/>
  <c r="T486" i="11"/>
  <c r="V486" i="11" s="1"/>
  <c r="P486" i="11"/>
  <c r="F486" i="11"/>
  <c r="E486" i="11"/>
  <c r="D486" i="11"/>
  <c r="U485" i="11"/>
  <c r="T485" i="11"/>
  <c r="P485" i="11"/>
  <c r="F485" i="11"/>
  <c r="E485" i="11"/>
  <c r="D485" i="11"/>
  <c r="U484" i="11"/>
  <c r="T484" i="11"/>
  <c r="P484" i="11"/>
  <c r="F484" i="11"/>
  <c r="E484" i="11"/>
  <c r="D484" i="11"/>
  <c r="U483" i="11"/>
  <c r="T483" i="11"/>
  <c r="P483" i="11"/>
  <c r="F483" i="11"/>
  <c r="E483" i="11"/>
  <c r="D483" i="11"/>
  <c r="U482" i="11"/>
  <c r="T482" i="11"/>
  <c r="P482" i="11"/>
  <c r="F482" i="11"/>
  <c r="E482" i="11"/>
  <c r="D482" i="11"/>
  <c r="U481" i="11"/>
  <c r="T481" i="11"/>
  <c r="P481" i="11"/>
  <c r="F481" i="11"/>
  <c r="E481" i="11"/>
  <c r="D481" i="11"/>
  <c r="U480" i="11"/>
  <c r="T480" i="11"/>
  <c r="P480" i="11"/>
  <c r="F480" i="11"/>
  <c r="E480" i="11"/>
  <c r="D480" i="11"/>
  <c r="U479" i="11"/>
  <c r="T479" i="11"/>
  <c r="P479" i="11"/>
  <c r="F479" i="11"/>
  <c r="E479" i="11"/>
  <c r="D479" i="11"/>
  <c r="U478" i="11"/>
  <c r="V478" i="11" s="1"/>
  <c r="W478" i="11" s="1"/>
  <c r="T478" i="11"/>
  <c r="P478" i="11"/>
  <c r="F478" i="11"/>
  <c r="E478" i="11"/>
  <c r="D478" i="11"/>
  <c r="U477" i="11"/>
  <c r="T477" i="11"/>
  <c r="P477" i="11"/>
  <c r="F477" i="11"/>
  <c r="E477" i="11"/>
  <c r="D477" i="11"/>
  <c r="U476" i="11"/>
  <c r="T476" i="11"/>
  <c r="P476" i="11"/>
  <c r="F476" i="11"/>
  <c r="E476" i="11"/>
  <c r="D476" i="11"/>
  <c r="U475" i="11"/>
  <c r="T475" i="11"/>
  <c r="P475" i="11"/>
  <c r="F475" i="11"/>
  <c r="E475" i="11"/>
  <c r="D475" i="11"/>
  <c r="W474" i="11"/>
  <c r="V474" i="11"/>
  <c r="U474" i="11"/>
  <c r="T474" i="11"/>
  <c r="P474" i="11"/>
  <c r="F474" i="11"/>
  <c r="E474" i="11"/>
  <c r="D474" i="11"/>
  <c r="U473" i="11"/>
  <c r="V473" i="11" s="1"/>
  <c r="T473" i="11"/>
  <c r="P473" i="11"/>
  <c r="F473" i="11"/>
  <c r="E473" i="11"/>
  <c r="D473" i="11"/>
  <c r="U472" i="11"/>
  <c r="T472" i="11"/>
  <c r="P472" i="11"/>
  <c r="F472" i="11"/>
  <c r="E472" i="11"/>
  <c r="D472" i="11"/>
  <c r="U471" i="11"/>
  <c r="V471" i="11" s="1"/>
  <c r="T471" i="11"/>
  <c r="P471" i="11"/>
  <c r="F471" i="11"/>
  <c r="E471" i="11"/>
  <c r="D471" i="11"/>
  <c r="U470" i="11"/>
  <c r="T470" i="11"/>
  <c r="P470" i="11"/>
  <c r="F470" i="11"/>
  <c r="E470" i="11"/>
  <c r="D470" i="11"/>
  <c r="U469" i="11"/>
  <c r="T469" i="11"/>
  <c r="P469" i="11"/>
  <c r="F469" i="11"/>
  <c r="E469" i="11"/>
  <c r="D469" i="11"/>
  <c r="U468" i="11"/>
  <c r="V468" i="11" s="1"/>
  <c r="W468" i="11" s="1"/>
  <c r="T468" i="11"/>
  <c r="P468" i="11"/>
  <c r="F468" i="11"/>
  <c r="E468" i="11"/>
  <c r="D468" i="11"/>
  <c r="U467" i="11"/>
  <c r="V467" i="11" s="1"/>
  <c r="T467" i="11"/>
  <c r="P467" i="11"/>
  <c r="F467" i="11"/>
  <c r="E467" i="11"/>
  <c r="D467" i="11"/>
  <c r="U466" i="11"/>
  <c r="T466" i="11"/>
  <c r="P466" i="11"/>
  <c r="F466" i="11"/>
  <c r="E466" i="11"/>
  <c r="D466" i="11"/>
  <c r="U465" i="11"/>
  <c r="T465" i="11"/>
  <c r="P465" i="11"/>
  <c r="F465" i="11"/>
  <c r="E465" i="11"/>
  <c r="D465" i="11"/>
  <c r="U464" i="11"/>
  <c r="T464" i="11"/>
  <c r="P464" i="11"/>
  <c r="F464" i="11"/>
  <c r="E464" i="11"/>
  <c r="D464" i="11"/>
  <c r="U463" i="11"/>
  <c r="V463" i="11" s="1"/>
  <c r="W463" i="11" s="1"/>
  <c r="T463" i="11"/>
  <c r="P463" i="11"/>
  <c r="F463" i="11"/>
  <c r="E463" i="11"/>
  <c r="D463" i="11"/>
  <c r="U462" i="11"/>
  <c r="T462" i="11"/>
  <c r="P462" i="11"/>
  <c r="F462" i="11"/>
  <c r="E462" i="11"/>
  <c r="D462" i="11"/>
  <c r="U461" i="11"/>
  <c r="T461" i="11"/>
  <c r="P461" i="11"/>
  <c r="F461" i="11"/>
  <c r="E461" i="11"/>
  <c r="D461" i="11"/>
  <c r="U460" i="11"/>
  <c r="T460" i="11"/>
  <c r="V460" i="11" s="1"/>
  <c r="W460" i="11" s="1"/>
  <c r="P460" i="11"/>
  <c r="F460" i="11"/>
  <c r="E460" i="11"/>
  <c r="D460" i="11"/>
  <c r="U459" i="11"/>
  <c r="T459" i="11"/>
  <c r="P459" i="11"/>
  <c r="F459" i="11"/>
  <c r="E459" i="11"/>
  <c r="D459" i="11"/>
  <c r="U458" i="11"/>
  <c r="T458" i="11"/>
  <c r="P458" i="11"/>
  <c r="F458" i="11"/>
  <c r="E458" i="11"/>
  <c r="D458" i="11"/>
  <c r="V457" i="11"/>
  <c r="W457" i="11" s="1"/>
  <c r="U457" i="11"/>
  <c r="T457" i="11"/>
  <c r="P457" i="11"/>
  <c r="F457" i="11"/>
  <c r="E457" i="11"/>
  <c r="D457" i="11"/>
  <c r="U456" i="11"/>
  <c r="T456" i="11"/>
  <c r="P456" i="11"/>
  <c r="F456" i="11"/>
  <c r="E456" i="11"/>
  <c r="D456" i="11"/>
  <c r="U455" i="11"/>
  <c r="T455" i="11"/>
  <c r="P455" i="11"/>
  <c r="F455" i="11"/>
  <c r="E455" i="11"/>
  <c r="D455" i="11"/>
  <c r="U454" i="11"/>
  <c r="T454" i="11"/>
  <c r="P454" i="11"/>
  <c r="F454" i="11"/>
  <c r="E454" i="11"/>
  <c r="D454" i="11"/>
  <c r="U453" i="11"/>
  <c r="V453" i="11" s="1"/>
  <c r="W453" i="11" s="1"/>
  <c r="T453" i="11"/>
  <c r="P453" i="11"/>
  <c r="F453" i="11"/>
  <c r="E453" i="11"/>
  <c r="D453" i="11"/>
  <c r="V452" i="11"/>
  <c r="U452" i="11"/>
  <c r="T452" i="11"/>
  <c r="P452" i="11"/>
  <c r="F452" i="11"/>
  <c r="E452" i="11"/>
  <c r="D452" i="11"/>
  <c r="U451" i="11"/>
  <c r="T451" i="11"/>
  <c r="V451" i="11" s="1"/>
  <c r="P451" i="11"/>
  <c r="F451" i="11"/>
  <c r="E451" i="11"/>
  <c r="D451" i="11"/>
  <c r="U450" i="11"/>
  <c r="T450" i="11"/>
  <c r="P450" i="11"/>
  <c r="F450" i="11"/>
  <c r="E450" i="11"/>
  <c r="D450" i="11"/>
  <c r="V449" i="11"/>
  <c r="U449" i="11"/>
  <c r="T449" i="11"/>
  <c r="P449" i="11"/>
  <c r="F449" i="11"/>
  <c r="E449" i="11"/>
  <c r="D449" i="11"/>
  <c r="U448" i="11"/>
  <c r="T448" i="11"/>
  <c r="P448" i="11"/>
  <c r="F448" i="11"/>
  <c r="E448" i="11"/>
  <c r="D448" i="11"/>
  <c r="U447" i="11"/>
  <c r="T447" i="11"/>
  <c r="P447" i="11"/>
  <c r="F447" i="11"/>
  <c r="E447" i="11"/>
  <c r="D447" i="11"/>
  <c r="U446" i="11"/>
  <c r="T446" i="11"/>
  <c r="P446" i="11"/>
  <c r="F446" i="11"/>
  <c r="E446" i="11"/>
  <c r="D446" i="11"/>
  <c r="U445" i="11"/>
  <c r="T445" i="11"/>
  <c r="P445" i="11"/>
  <c r="F445" i="11"/>
  <c r="E445" i="11"/>
  <c r="D445" i="11"/>
  <c r="U444" i="11"/>
  <c r="T444" i="11"/>
  <c r="P444" i="11"/>
  <c r="F444" i="11"/>
  <c r="E444" i="11"/>
  <c r="D444" i="11"/>
  <c r="U443" i="11"/>
  <c r="T443" i="11"/>
  <c r="P443" i="11"/>
  <c r="F443" i="11"/>
  <c r="E443" i="11"/>
  <c r="D443" i="11"/>
  <c r="U442" i="11"/>
  <c r="T442" i="11"/>
  <c r="V442" i="11" s="1"/>
  <c r="P442" i="11"/>
  <c r="F442" i="11"/>
  <c r="E442" i="11"/>
  <c r="D442" i="11"/>
  <c r="U441" i="11"/>
  <c r="T441" i="11"/>
  <c r="P441" i="11"/>
  <c r="F441" i="11"/>
  <c r="E441" i="11"/>
  <c r="D441" i="11"/>
  <c r="U440" i="11"/>
  <c r="T440" i="11"/>
  <c r="P440" i="11"/>
  <c r="F440" i="11"/>
  <c r="E440" i="11"/>
  <c r="D440" i="11"/>
  <c r="U439" i="11"/>
  <c r="T439" i="11"/>
  <c r="P439" i="11"/>
  <c r="F439" i="11"/>
  <c r="E439" i="11"/>
  <c r="D439" i="11"/>
  <c r="U438" i="11"/>
  <c r="T438" i="11"/>
  <c r="P438" i="11"/>
  <c r="F438" i="11"/>
  <c r="E438" i="11"/>
  <c r="D438" i="11"/>
  <c r="U437" i="11"/>
  <c r="T437" i="11"/>
  <c r="P437" i="11"/>
  <c r="F437" i="11"/>
  <c r="E437" i="11"/>
  <c r="D437" i="11"/>
  <c r="U436" i="11"/>
  <c r="T436" i="11"/>
  <c r="P436" i="11"/>
  <c r="F436" i="11"/>
  <c r="E436" i="11"/>
  <c r="D436" i="11"/>
  <c r="V435" i="11"/>
  <c r="W435" i="11" s="1"/>
  <c r="U435" i="11"/>
  <c r="T435" i="11"/>
  <c r="P435" i="11"/>
  <c r="F435" i="11"/>
  <c r="E435" i="11"/>
  <c r="D435" i="11"/>
  <c r="U434" i="11"/>
  <c r="T434" i="11"/>
  <c r="P434" i="11"/>
  <c r="F434" i="11"/>
  <c r="E434" i="11"/>
  <c r="D434" i="11"/>
  <c r="U433" i="11"/>
  <c r="T433" i="11"/>
  <c r="P433" i="11"/>
  <c r="F433" i="11"/>
  <c r="E433" i="11"/>
  <c r="D433" i="11"/>
  <c r="U432" i="11"/>
  <c r="T432" i="11"/>
  <c r="V432" i="11" s="1"/>
  <c r="W432" i="11" s="1"/>
  <c r="P432" i="11"/>
  <c r="F432" i="11"/>
  <c r="E432" i="11"/>
  <c r="D432" i="11"/>
  <c r="V431" i="11"/>
  <c r="U431" i="11"/>
  <c r="T431" i="11"/>
  <c r="P431" i="11"/>
  <c r="F431" i="11"/>
  <c r="E431" i="11"/>
  <c r="D431" i="11"/>
  <c r="U430" i="11"/>
  <c r="T430" i="11"/>
  <c r="P430" i="11"/>
  <c r="F430" i="11"/>
  <c r="E430" i="11"/>
  <c r="D430" i="11"/>
  <c r="U429" i="11"/>
  <c r="T429" i="11"/>
  <c r="P429" i="11"/>
  <c r="F429" i="11"/>
  <c r="E429" i="11"/>
  <c r="D429" i="11"/>
  <c r="U428" i="11"/>
  <c r="T428" i="11"/>
  <c r="P428" i="11"/>
  <c r="F428" i="11"/>
  <c r="E428" i="11"/>
  <c r="D428" i="11"/>
  <c r="U427" i="11"/>
  <c r="T427" i="11"/>
  <c r="P427" i="11"/>
  <c r="F427" i="11"/>
  <c r="E427" i="11"/>
  <c r="D427" i="11"/>
  <c r="U426" i="11"/>
  <c r="T426" i="11"/>
  <c r="V426" i="11" s="1"/>
  <c r="P426" i="11"/>
  <c r="F426" i="11"/>
  <c r="E426" i="11"/>
  <c r="D426" i="11"/>
  <c r="U425" i="11"/>
  <c r="T425" i="11"/>
  <c r="P425" i="11"/>
  <c r="F425" i="11"/>
  <c r="E425" i="11"/>
  <c r="D425" i="11"/>
  <c r="V424" i="11"/>
  <c r="W424" i="11" s="1"/>
  <c r="U424" i="11"/>
  <c r="T424" i="11"/>
  <c r="P424" i="11"/>
  <c r="F424" i="11"/>
  <c r="E424" i="11"/>
  <c r="D424" i="11"/>
  <c r="U423" i="11"/>
  <c r="T423" i="11"/>
  <c r="P423" i="11"/>
  <c r="F423" i="11"/>
  <c r="E423" i="11"/>
  <c r="D423" i="11"/>
  <c r="U422" i="11"/>
  <c r="T422" i="11"/>
  <c r="P422" i="11"/>
  <c r="F422" i="11"/>
  <c r="E422" i="11"/>
  <c r="D422" i="11"/>
  <c r="U421" i="11"/>
  <c r="T421" i="11"/>
  <c r="P421" i="11"/>
  <c r="F421" i="11"/>
  <c r="E421" i="11"/>
  <c r="D421" i="11"/>
  <c r="V420" i="11"/>
  <c r="W420" i="11" s="1"/>
  <c r="U420" i="11"/>
  <c r="T420" i="11"/>
  <c r="P420" i="11"/>
  <c r="F420" i="11"/>
  <c r="E420" i="11"/>
  <c r="D420" i="11"/>
  <c r="U419" i="11"/>
  <c r="T419" i="11"/>
  <c r="P419" i="11"/>
  <c r="F419" i="11"/>
  <c r="E419" i="11"/>
  <c r="D419" i="11"/>
  <c r="U418" i="11"/>
  <c r="T418" i="11"/>
  <c r="P418" i="11"/>
  <c r="F418" i="11"/>
  <c r="E418" i="11"/>
  <c r="D418" i="11"/>
  <c r="U417" i="11"/>
  <c r="T417" i="11"/>
  <c r="P417" i="11"/>
  <c r="F417" i="11"/>
  <c r="E417" i="11"/>
  <c r="D417" i="11"/>
  <c r="U416" i="11"/>
  <c r="T416" i="11"/>
  <c r="V416" i="11" s="1"/>
  <c r="P416" i="11"/>
  <c r="F416" i="11"/>
  <c r="E416" i="11"/>
  <c r="D416" i="11"/>
  <c r="V415" i="11"/>
  <c r="W415" i="11" s="1"/>
  <c r="U415" i="11"/>
  <c r="T415" i="11"/>
  <c r="P415" i="11"/>
  <c r="F415" i="11"/>
  <c r="E415" i="11"/>
  <c r="D415" i="11"/>
  <c r="U414" i="11"/>
  <c r="V414" i="11" s="1"/>
  <c r="T414" i="11"/>
  <c r="P414" i="11"/>
  <c r="F414" i="11"/>
  <c r="E414" i="11"/>
  <c r="D414" i="11"/>
  <c r="U413" i="11"/>
  <c r="V413" i="11" s="1"/>
  <c r="T413" i="11"/>
  <c r="P413" i="11"/>
  <c r="F413" i="11"/>
  <c r="E413" i="11"/>
  <c r="D413" i="11"/>
  <c r="V412" i="11"/>
  <c r="U412" i="11"/>
  <c r="T412" i="11"/>
  <c r="P412" i="11"/>
  <c r="F412" i="11"/>
  <c r="E412" i="11"/>
  <c r="D412" i="11"/>
  <c r="U411" i="11"/>
  <c r="T411" i="11"/>
  <c r="P411" i="11"/>
  <c r="F411" i="11"/>
  <c r="E411" i="11"/>
  <c r="D411" i="11"/>
  <c r="U410" i="11"/>
  <c r="T410" i="11"/>
  <c r="P410" i="11"/>
  <c r="F410" i="11"/>
  <c r="E410" i="11"/>
  <c r="D410" i="11"/>
  <c r="U409" i="11"/>
  <c r="V409" i="11" s="1"/>
  <c r="W409" i="11" s="1"/>
  <c r="T409" i="11"/>
  <c r="P409" i="11"/>
  <c r="F409" i="11"/>
  <c r="E409" i="11"/>
  <c r="D409" i="11"/>
  <c r="U408" i="11"/>
  <c r="T408" i="11"/>
  <c r="P408" i="11"/>
  <c r="F408" i="11"/>
  <c r="E408" i="11"/>
  <c r="D408" i="11"/>
  <c r="U407" i="11"/>
  <c r="T407" i="11"/>
  <c r="P407" i="11"/>
  <c r="F407" i="11"/>
  <c r="E407" i="11"/>
  <c r="D407" i="11"/>
  <c r="U406" i="11"/>
  <c r="T406" i="11"/>
  <c r="P406" i="11"/>
  <c r="F406" i="11"/>
  <c r="E406" i="11"/>
  <c r="D406" i="11"/>
  <c r="U405" i="11"/>
  <c r="T405" i="11"/>
  <c r="P405" i="11"/>
  <c r="F405" i="11"/>
  <c r="E405" i="11"/>
  <c r="D405" i="11"/>
  <c r="U404" i="11"/>
  <c r="T404" i="11"/>
  <c r="P404" i="11"/>
  <c r="F404" i="11"/>
  <c r="E404" i="11"/>
  <c r="D404" i="11"/>
  <c r="U403" i="11"/>
  <c r="T403" i="11"/>
  <c r="V403" i="11" s="1"/>
  <c r="P403" i="11"/>
  <c r="F403" i="11"/>
  <c r="E403" i="11"/>
  <c r="D403" i="11"/>
  <c r="U402" i="11"/>
  <c r="T402" i="11"/>
  <c r="P402" i="11"/>
  <c r="F402" i="11"/>
  <c r="E402" i="11"/>
  <c r="D402" i="11"/>
  <c r="U401" i="11"/>
  <c r="T401" i="11"/>
  <c r="P401" i="11"/>
  <c r="F401" i="11"/>
  <c r="E401" i="11"/>
  <c r="D401" i="11"/>
  <c r="U400" i="11"/>
  <c r="T400" i="11"/>
  <c r="P400" i="11"/>
  <c r="F400" i="11"/>
  <c r="E400" i="11"/>
  <c r="D400" i="11"/>
  <c r="U399" i="11"/>
  <c r="V399" i="11" s="1"/>
  <c r="W399" i="11" s="1"/>
  <c r="T399" i="11"/>
  <c r="P399" i="11"/>
  <c r="F399" i="11"/>
  <c r="E399" i="11"/>
  <c r="D399" i="11"/>
  <c r="U398" i="11"/>
  <c r="T398" i="11"/>
  <c r="P398" i="11"/>
  <c r="F398" i="11"/>
  <c r="E398" i="11"/>
  <c r="D398" i="11"/>
  <c r="U397" i="11"/>
  <c r="T397" i="11"/>
  <c r="P397" i="11"/>
  <c r="F397" i="11"/>
  <c r="E397" i="11"/>
  <c r="D397" i="11"/>
  <c r="V396" i="11"/>
  <c r="W396" i="11" s="1"/>
  <c r="U396" i="11"/>
  <c r="T396" i="11"/>
  <c r="P396" i="11"/>
  <c r="F396" i="11"/>
  <c r="E396" i="11"/>
  <c r="D396" i="11"/>
  <c r="U395" i="11"/>
  <c r="T395" i="11"/>
  <c r="P395" i="11"/>
  <c r="F395" i="11"/>
  <c r="E395" i="11"/>
  <c r="D395" i="11"/>
  <c r="U394" i="11"/>
  <c r="T394" i="11"/>
  <c r="P394" i="11"/>
  <c r="F394" i="11"/>
  <c r="E394" i="11"/>
  <c r="D394" i="11"/>
  <c r="U393" i="11"/>
  <c r="T393" i="11"/>
  <c r="P393" i="11"/>
  <c r="F393" i="11"/>
  <c r="E393" i="11"/>
  <c r="D393" i="11"/>
  <c r="U392" i="11"/>
  <c r="T392" i="11"/>
  <c r="V392" i="11" s="1"/>
  <c r="P392" i="11"/>
  <c r="F392" i="11"/>
  <c r="E392" i="11"/>
  <c r="D392" i="11"/>
  <c r="U391" i="11"/>
  <c r="T391" i="11"/>
  <c r="P391" i="11"/>
  <c r="F391" i="11"/>
  <c r="E391" i="11"/>
  <c r="D391" i="11"/>
  <c r="U390" i="11"/>
  <c r="T390" i="11"/>
  <c r="P390" i="11"/>
  <c r="F390" i="11"/>
  <c r="E390" i="11"/>
  <c r="D390" i="11"/>
  <c r="U389" i="11"/>
  <c r="T389" i="11"/>
  <c r="P389" i="11"/>
  <c r="F389" i="11"/>
  <c r="E389" i="11"/>
  <c r="D389" i="11"/>
  <c r="U388" i="11"/>
  <c r="V388" i="11" s="1"/>
  <c r="W388" i="11" s="1"/>
  <c r="T388" i="11"/>
  <c r="P388" i="11"/>
  <c r="F388" i="11"/>
  <c r="E388" i="11"/>
  <c r="D388" i="11"/>
  <c r="U387" i="11"/>
  <c r="T387" i="11"/>
  <c r="V387" i="11" s="1"/>
  <c r="P387" i="11"/>
  <c r="F387" i="11"/>
  <c r="E387" i="11"/>
  <c r="D387" i="11"/>
  <c r="U386" i="11"/>
  <c r="T386" i="11"/>
  <c r="P386" i="11"/>
  <c r="F386" i="11"/>
  <c r="E386" i="11"/>
  <c r="D386" i="11"/>
  <c r="V385" i="11"/>
  <c r="W385" i="11" s="1"/>
  <c r="U385" i="11"/>
  <c r="T385" i="11"/>
  <c r="P385" i="11"/>
  <c r="F385" i="11"/>
  <c r="E385" i="11"/>
  <c r="D385" i="11"/>
  <c r="U384" i="11"/>
  <c r="T384" i="11"/>
  <c r="P384" i="11"/>
  <c r="F384" i="11"/>
  <c r="E384" i="11"/>
  <c r="D384" i="11"/>
  <c r="U383" i="11"/>
  <c r="T383" i="11"/>
  <c r="P383" i="11"/>
  <c r="F383" i="11"/>
  <c r="E383" i="11"/>
  <c r="D383" i="11"/>
  <c r="U382" i="11"/>
  <c r="T382" i="11"/>
  <c r="V382" i="11" s="1"/>
  <c r="W382" i="11" s="1"/>
  <c r="P382" i="11"/>
  <c r="F382" i="11"/>
  <c r="E382" i="11"/>
  <c r="D382" i="11"/>
  <c r="U381" i="11"/>
  <c r="T381" i="11"/>
  <c r="P381" i="11"/>
  <c r="F381" i="11"/>
  <c r="E381" i="11"/>
  <c r="D381" i="11"/>
  <c r="V380" i="11"/>
  <c r="U380" i="11"/>
  <c r="T380" i="11"/>
  <c r="P380" i="11"/>
  <c r="F380" i="11"/>
  <c r="E380" i="11"/>
  <c r="D380" i="11"/>
  <c r="V379" i="11"/>
  <c r="W379" i="11" s="1"/>
  <c r="U379" i="11"/>
  <c r="T379" i="11"/>
  <c r="P379" i="11"/>
  <c r="F379" i="11"/>
  <c r="E379" i="11"/>
  <c r="D379" i="11"/>
  <c r="V378" i="11"/>
  <c r="U378" i="11"/>
  <c r="T378" i="11"/>
  <c r="P378" i="11"/>
  <c r="F378" i="11"/>
  <c r="E378" i="11"/>
  <c r="D378" i="11"/>
  <c r="W377" i="11"/>
  <c r="V377" i="11"/>
  <c r="U377" i="11"/>
  <c r="T377" i="11"/>
  <c r="P377" i="11"/>
  <c r="F377" i="11"/>
  <c r="E377" i="11"/>
  <c r="D377" i="11"/>
  <c r="U376" i="11"/>
  <c r="T376" i="11"/>
  <c r="P376" i="11"/>
  <c r="F376" i="11"/>
  <c r="E376" i="11"/>
  <c r="D376" i="11"/>
  <c r="U375" i="11"/>
  <c r="T375" i="11"/>
  <c r="P375" i="11"/>
  <c r="F375" i="11"/>
  <c r="E375" i="11"/>
  <c r="D375" i="11"/>
  <c r="U374" i="11"/>
  <c r="T374" i="11"/>
  <c r="P374" i="11"/>
  <c r="F374" i="11"/>
  <c r="E374" i="11"/>
  <c r="D374" i="11"/>
  <c r="U373" i="11"/>
  <c r="T373" i="11"/>
  <c r="P373" i="11"/>
  <c r="F373" i="11"/>
  <c r="E373" i="11"/>
  <c r="D373" i="11"/>
  <c r="U372" i="11"/>
  <c r="T372" i="11"/>
  <c r="P372" i="11"/>
  <c r="F372" i="11"/>
  <c r="E372" i="11"/>
  <c r="D372" i="11"/>
  <c r="V371" i="11"/>
  <c r="W371" i="11" s="1"/>
  <c r="U371" i="11"/>
  <c r="T371" i="11"/>
  <c r="P371" i="11"/>
  <c r="F371" i="11"/>
  <c r="E371" i="11"/>
  <c r="D371" i="11"/>
  <c r="U370" i="11"/>
  <c r="T370" i="11"/>
  <c r="P370" i="11"/>
  <c r="F370" i="11"/>
  <c r="E370" i="11"/>
  <c r="D370" i="11"/>
  <c r="U369" i="11"/>
  <c r="T369" i="11"/>
  <c r="P369" i="11"/>
  <c r="F369" i="11"/>
  <c r="E369" i="11"/>
  <c r="D369" i="11"/>
  <c r="U368" i="11"/>
  <c r="T368" i="11"/>
  <c r="P368" i="11"/>
  <c r="F368" i="11"/>
  <c r="E368" i="11"/>
  <c r="D368" i="11"/>
  <c r="U367" i="11"/>
  <c r="T367" i="11"/>
  <c r="P367" i="11"/>
  <c r="F367" i="11"/>
  <c r="E367" i="11"/>
  <c r="D367" i="11"/>
  <c r="U366" i="11"/>
  <c r="T366" i="11"/>
  <c r="P366" i="11"/>
  <c r="F366" i="11"/>
  <c r="E366" i="11"/>
  <c r="D366" i="11"/>
  <c r="W365" i="11"/>
  <c r="V365" i="11"/>
  <c r="U365" i="11"/>
  <c r="T365" i="11"/>
  <c r="P365" i="11"/>
  <c r="F365" i="11"/>
  <c r="E365" i="11"/>
  <c r="D365" i="11"/>
  <c r="V364" i="11"/>
  <c r="W364" i="11" s="1"/>
  <c r="U364" i="11"/>
  <c r="T364" i="11"/>
  <c r="P364" i="11"/>
  <c r="F364" i="11"/>
  <c r="E364" i="11"/>
  <c r="D364" i="11"/>
  <c r="U363" i="11"/>
  <c r="T363" i="11"/>
  <c r="P363" i="11"/>
  <c r="F363" i="11"/>
  <c r="E363" i="11"/>
  <c r="D363" i="11"/>
  <c r="U362" i="11"/>
  <c r="T362" i="11"/>
  <c r="P362" i="11"/>
  <c r="F362" i="11"/>
  <c r="E362" i="11"/>
  <c r="D362" i="11"/>
  <c r="U361" i="11"/>
  <c r="T361" i="11"/>
  <c r="P361" i="11"/>
  <c r="F361" i="11"/>
  <c r="E361" i="11"/>
  <c r="D361" i="11"/>
  <c r="U360" i="11"/>
  <c r="T360" i="11"/>
  <c r="P360" i="11"/>
  <c r="F360" i="11"/>
  <c r="E360" i="11"/>
  <c r="D360" i="11"/>
  <c r="W359" i="11"/>
  <c r="V359" i="11"/>
  <c r="U359" i="11"/>
  <c r="T359" i="11"/>
  <c r="P359" i="11"/>
  <c r="F359" i="11"/>
  <c r="E359" i="11"/>
  <c r="D359" i="11"/>
  <c r="U358" i="11"/>
  <c r="T358" i="11"/>
  <c r="P358" i="11"/>
  <c r="F358" i="11"/>
  <c r="E358" i="11"/>
  <c r="D358" i="11"/>
  <c r="U357" i="11"/>
  <c r="T357" i="11"/>
  <c r="P357" i="11"/>
  <c r="F357" i="11"/>
  <c r="E357" i="11"/>
  <c r="D357" i="11"/>
  <c r="U356" i="11"/>
  <c r="T356" i="11"/>
  <c r="V356" i="11" s="1"/>
  <c r="W356" i="11" s="1"/>
  <c r="P356" i="11"/>
  <c r="F356" i="11"/>
  <c r="E356" i="11"/>
  <c r="D356" i="11"/>
  <c r="V355" i="11"/>
  <c r="U355" i="11"/>
  <c r="T355" i="11"/>
  <c r="P355" i="11"/>
  <c r="F355" i="11"/>
  <c r="E355" i="11"/>
  <c r="D355" i="11"/>
  <c r="U354" i="11"/>
  <c r="T354" i="11"/>
  <c r="V354" i="11" s="1"/>
  <c r="P354" i="11"/>
  <c r="F354" i="11"/>
  <c r="E354" i="11"/>
  <c r="D354" i="11"/>
  <c r="U353" i="11"/>
  <c r="T353" i="11"/>
  <c r="P353" i="11"/>
  <c r="F353" i="11"/>
  <c r="E353" i="11"/>
  <c r="D353" i="11"/>
  <c r="U352" i="11"/>
  <c r="T352" i="11"/>
  <c r="P352" i="11"/>
  <c r="F352" i="11"/>
  <c r="E352" i="11"/>
  <c r="D352" i="11"/>
  <c r="U351" i="11"/>
  <c r="T351" i="11"/>
  <c r="P351" i="11"/>
  <c r="F351" i="11"/>
  <c r="E351" i="11"/>
  <c r="D351" i="11"/>
  <c r="U350" i="11"/>
  <c r="V350" i="11" s="1"/>
  <c r="W350" i="11" s="1"/>
  <c r="T350" i="11"/>
  <c r="P350" i="11"/>
  <c r="F350" i="11"/>
  <c r="E350" i="11"/>
  <c r="D350" i="11"/>
  <c r="U349" i="11"/>
  <c r="T349" i="11"/>
  <c r="P349" i="11"/>
  <c r="F349" i="11"/>
  <c r="E349" i="11"/>
  <c r="D349" i="11"/>
  <c r="U348" i="11"/>
  <c r="V348" i="11" s="1"/>
  <c r="W348" i="11" s="1"/>
  <c r="T348" i="11"/>
  <c r="P348" i="11"/>
  <c r="F348" i="11"/>
  <c r="E348" i="11"/>
  <c r="D348" i="11"/>
  <c r="W347" i="11"/>
  <c r="U347" i="11"/>
  <c r="V347" i="11" s="1"/>
  <c r="T347" i="11"/>
  <c r="P347" i="11"/>
  <c r="F347" i="11"/>
  <c r="E347" i="11"/>
  <c r="D347" i="11"/>
  <c r="U346" i="11"/>
  <c r="T346" i="11"/>
  <c r="P346" i="11"/>
  <c r="F346" i="11"/>
  <c r="E346" i="11"/>
  <c r="D346" i="11"/>
  <c r="U345" i="11"/>
  <c r="T345" i="11"/>
  <c r="P345" i="11"/>
  <c r="F345" i="11"/>
  <c r="E345" i="11"/>
  <c r="D345" i="11"/>
  <c r="U344" i="11"/>
  <c r="T344" i="11"/>
  <c r="P344" i="11"/>
  <c r="F344" i="11"/>
  <c r="E344" i="11"/>
  <c r="D344" i="11"/>
  <c r="U343" i="11"/>
  <c r="T343" i="11"/>
  <c r="P343" i="11"/>
  <c r="F343" i="11"/>
  <c r="E343" i="11"/>
  <c r="D343" i="11"/>
  <c r="U342" i="11"/>
  <c r="V342" i="11" s="1"/>
  <c r="T342" i="11"/>
  <c r="P342" i="11"/>
  <c r="F342" i="11"/>
  <c r="E342" i="11"/>
  <c r="D342" i="11"/>
  <c r="U341" i="11"/>
  <c r="T341" i="11"/>
  <c r="P341" i="11"/>
  <c r="F341" i="11"/>
  <c r="E341" i="11"/>
  <c r="D341" i="11"/>
  <c r="U340" i="11"/>
  <c r="T340" i="11"/>
  <c r="P340" i="11"/>
  <c r="F340" i="11"/>
  <c r="E340" i="11"/>
  <c r="D340" i="11"/>
  <c r="U339" i="11"/>
  <c r="T339" i="11"/>
  <c r="P339" i="11"/>
  <c r="F339" i="11"/>
  <c r="E339" i="11"/>
  <c r="D339" i="11"/>
  <c r="U338" i="11"/>
  <c r="V338" i="11" s="1"/>
  <c r="W338" i="11" s="1"/>
  <c r="T338" i="11"/>
  <c r="P338" i="11"/>
  <c r="F338" i="11"/>
  <c r="E338" i="11"/>
  <c r="D338" i="11"/>
  <c r="U337" i="11"/>
  <c r="T337" i="11"/>
  <c r="P337" i="11"/>
  <c r="F337" i="11"/>
  <c r="E337" i="11"/>
  <c r="D337" i="11"/>
  <c r="U336" i="11"/>
  <c r="T336" i="11"/>
  <c r="V336" i="11" s="1"/>
  <c r="P336" i="11"/>
  <c r="F336" i="11"/>
  <c r="E336" i="11"/>
  <c r="D336" i="11"/>
  <c r="U335" i="11"/>
  <c r="V335" i="11" s="1"/>
  <c r="W335" i="11" s="1"/>
  <c r="T335" i="11"/>
  <c r="P335" i="11"/>
  <c r="F335" i="11"/>
  <c r="E335" i="11"/>
  <c r="D335" i="11"/>
  <c r="U334" i="11"/>
  <c r="T334" i="11"/>
  <c r="P334" i="11"/>
  <c r="F334" i="11"/>
  <c r="E334" i="11"/>
  <c r="D334" i="11"/>
  <c r="U333" i="11"/>
  <c r="V333" i="11" s="1"/>
  <c r="W333" i="11" s="1"/>
  <c r="T333" i="11"/>
  <c r="P333" i="11"/>
  <c r="F333" i="11"/>
  <c r="E333" i="11"/>
  <c r="D333" i="11"/>
  <c r="U332" i="11"/>
  <c r="T332" i="11"/>
  <c r="P332" i="11"/>
  <c r="F332" i="11"/>
  <c r="E332" i="11"/>
  <c r="D332" i="11"/>
  <c r="U331" i="11"/>
  <c r="T331" i="11"/>
  <c r="V331" i="11" s="1"/>
  <c r="P331" i="11"/>
  <c r="F331" i="11"/>
  <c r="E331" i="11"/>
  <c r="D331" i="11"/>
  <c r="V330" i="11"/>
  <c r="W330" i="11" s="1"/>
  <c r="U330" i="11"/>
  <c r="T330" i="11"/>
  <c r="P330" i="11"/>
  <c r="F330" i="11"/>
  <c r="E330" i="11"/>
  <c r="D330" i="11"/>
  <c r="W329" i="11"/>
  <c r="U329" i="11"/>
  <c r="V329" i="11" s="1"/>
  <c r="T329" i="11"/>
  <c r="P329" i="11"/>
  <c r="F329" i="11"/>
  <c r="E329" i="11"/>
  <c r="D329" i="11"/>
  <c r="U328" i="11"/>
  <c r="T328" i="11"/>
  <c r="P328" i="11"/>
  <c r="F328" i="11"/>
  <c r="E328" i="11"/>
  <c r="D328" i="11"/>
  <c r="U327" i="11"/>
  <c r="T327" i="11"/>
  <c r="P327" i="11"/>
  <c r="F327" i="11"/>
  <c r="E327" i="11"/>
  <c r="D327" i="11"/>
  <c r="U326" i="11"/>
  <c r="T326" i="11"/>
  <c r="P326" i="11"/>
  <c r="F326" i="11"/>
  <c r="E326" i="11"/>
  <c r="D326" i="11"/>
  <c r="U325" i="11"/>
  <c r="T325" i="11"/>
  <c r="P325" i="11"/>
  <c r="F325" i="11"/>
  <c r="E325" i="11"/>
  <c r="D325" i="11"/>
  <c r="U324" i="11"/>
  <c r="T324" i="11"/>
  <c r="P324" i="11"/>
  <c r="F324" i="11"/>
  <c r="E324" i="11"/>
  <c r="D324" i="11"/>
  <c r="U323" i="11"/>
  <c r="T323" i="11"/>
  <c r="P323" i="11"/>
  <c r="F323" i="11"/>
  <c r="E323" i="11"/>
  <c r="D323" i="11"/>
  <c r="U322" i="11"/>
  <c r="T322" i="11"/>
  <c r="P322" i="11"/>
  <c r="F322" i="11"/>
  <c r="E322" i="11"/>
  <c r="D322" i="11"/>
  <c r="U321" i="11"/>
  <c r="T321" i="11"/>
  <c r="P321" i="11"/>
  <c r="F321" i="11"/>
  <c r="E321" i="11"/>
  <c r="D321" i="11"/>
  <c r="W320" i="11"/>
  <c r="U320" i="11"/>
  <c r="V320" i="11" s="1"/>
  <c r="T320" i="11"/>
  <c r="P320" i="11"/>
  <c r="F320" i="11"/>
  <c r="E320" i="11"/>
  <c r="D320" i="11"/>
  <c r="U319" i="11"/>
  <c r="V319" i="11" s="1"/>
  <c r="W319" i="11" s="1"/>
  <c r="T319" i="11"/>
  <c r="P319" i="11"/>
  <c r="F319" i="11"/>
  <c r="E319" i="11"/>
  <c r="D319" i="11"/>
  <c r="U318" i="11"/>
  <c r="T318" i="11"/>
  <c r="V318" i="11" s="1"/>
  <c r="P318" i="11"/>
  <c r="F318" i="11"/>
  <c r="E318" i="11"/>
  <c r="D318" i="11"/>
  <c r="U317" i="11"/>
  <c r="T317" i="11"/>
  <c r="P317" i="11"/>
  <c r="F317" i="11"/>
  <c r="E317" i="11"/>
  <c r="D317" i="11"/>
  <c r="U316" i="11"/>
  <c r="T316" i="11"/>
  <c r="P316" i="11"/>
  <c r="F316" i="11"/>
  <c r="E316" i="11"/>
  <c r="D316" i="11"/>
  <c r="U315" i="11"/>
  <c r="T315" i="11"/>
  <c r="P315" i="11"/>
  <c r="F315" i="11"/>
  <c r="E315" i="11"/>
  <c r="D315" i="11"/>
  <c r="U314" i="11"/>
  <c r="T314" i="11"/>
  <c r="P314" i="11"/>
  <c r="F314" i="11"/>
  <c r="E314" i="11"/>
  <c r="D314" i="11"/>
  <c r="U313" i="11"/>
  <c r="T313" i="11"/>
  <c r="P313" i="11"/>
  <c r="F313" i="11"/>
  <c r="E313" i="11"/>
  <c r="D313" i="11"/>
  <c r="U312" i="11"/>
  <c r="T312" i="11"/>
  <c r="V312" i="11" s="1"/>
  <c r="W312" i="11" s="1"/>
  <c r="P312" i="11"/>
  <c r="F312" i="11"/>
  <c r="E312" i="11"/>
  <c r="D312" i="11"/>
  <c r="W311" i="11"/>
  <c r="U311" i="11"/>
  <c r="V311" i="11" s="1"/>
  <c r="T311" i="11"/>
  <c r="P311" i="11"/>
  <c r="F311" i="11"/>
  <c r="E311" i="11"/>
  <c r="D311" i="11"/>
  <c r="U310" i="11"/>
  <c r="T310" i="11"/>
  <c r="P310" i="11"/>
  <c r="F310" i="11"/>
  <c r="E310" i="11"/>
  <c r="D310" i="11"/>
  <c r="U309" i="11"/>
  <c r="V309" i="11" s="1"/>
  <c r="W309" i="11" s="1"/>
  <c r="T309" i="11"/>
  <c r="P309" i="11"/>
  <c r="F309" i="11"/>
  <c r="E309" i="11"/>
  <c r="D309" i="11"/>
  <c r="U308" i="11"/>
  <c r="V308" i="11" s="1"/>
  <c r="W308" i="11" s="1"/>
  <c r="T308" i="11"/>
  <c r="P308" i="11"/>
  <c r="F308" i="11"/>
  <c r="E308" i="11"/>
  <c r="D308" i="11"/>
  <c r="U307" i="11"/>
  <c r="T307" i="11"/>
  <c r="V307" i="11" s="1"/>
  <c r="P307" i="11"/>
  <c r="F307" i="11"/>
  <c r="E307" i="11"/>
  <c r="D307" i="11"/>
  <c r="U306" i="11"/>
  <c r="T306" i="11"/>
  <c r="P306" i="11"/>
  <c r="F306" i="11"/>
  <c r="E306" i="11"/>
  <c r="D306" i="11"/>
  <c r="U305" i="11"/>
  <c r="V305" i="11" s="1"/>
  <c r="W305" i="11" s="1"/>
  <c r="T305" i="11"/>
  <c r="P305" i="11"/>
  <c r="F305" i="11"/>
  <c r="E305" i="11"/>
  <c r="D305" i="11"/>
  <c r="V304" i="11"/>
  <c r="W304" i="11" s="1"/>
  <c r="U304" i="11"/>
  <c r="T304" i="11"/>
  <c r="P304" i="11"/>
  <c r="F304" i="11"/>
  <c r="E304" i="11"/>
  <c r="D304" i="11"/>
  <c r="U303" i="11"/>
  <c r="T303" i="11"/>
  <c r="P303" i="11"/>
  <c r="F303" i="11"/>
  <c r="E303" i="11"/>
  <c r="D303" i="11"/>
  <c r="U302" i="11"/>
  <c r="T302" i="11"/>
  <c r="P302" i="11"/>
  <c r="F302" i="11"/>
  <c r="E302" i="11"/>
  <c r="D302" i="11"/>
  <c r="V301" i="11"/>
  <c r="W301" i="11" s="1"/>
  <c r="U301" i="11"/>
  <c r="T301" i="11"/>
  <c r="P301" i="11"/>
  <c r="F301" i="11"/>
  <c r="E301" i="11"/>
  <c r="D301" i="11"/>
  <c r="U300" i="11"/>
  <c r="T300" i="11"/>
  <c r="P300" i="11"/>
  <c r="F300" i="11"/>
  <c r="E300" i="11"/>
  <c r="D300" i="11"/>
  <c r="U299" i="11"/>
  <c r="V299" i="11" s="1"/>
  <c r="W299" i="11" s="1"/>
  <c r="T299" i="11"/>
  <c r="P299" i="11"/>
  <c r="F299" i="11"/>
  <c r="E299" i="11"/>
  <c r="D299" i="11"/>
  <c r="U298" i="11"/>
  <c r="T298" i="11"/>
  <c r="P298" i="11"/>
  <c r="F298" i="11"/>
  <c r="E298" i="11"/>
  <c r="D298" i="11"/>
  <c r="U297" i="11"/>
  <c r="T297" i="11"/>
  <c r="P297" i="11"/>
  <c r="F297" i="11"/>
  <c r="E297" i="11"/>
  <c r="D297" i="11"/>
  <c r="U296" i="11"/>
  <c r="V296" i="11" s="1"/>
  <c r="W296" i="11" s="1"/>
  <c r="T296" i="11"/>
  <c r="P296" i="11"/>
  <c r="F296" i="11"/>
  <c r="E296" i="11"/>
  <c r="D296" i="11"/>
  <c r="U295" i="11"/>
  <c r="T295" i="11"/>
  <c r="P295" i="11"/>
  <c r="F295" i="11"/>
  <c r="E295" i="11"/>
  <c r="D295" i="11"/>
  <c r="U294" i="11"/>
  <c r="T294" i="11"/>
  <c r="V294" i="11" s="1"/>
  <c r="W294" i="11" s="1"/>
  <c r="P294" i="11"/>
  <c r="F294" i="11"/>
  <c r="E294" i="11"/>
  <c r="D294" i="11"/>
  <c r="U293" i="11"/>
  <c r="V293" i="11" s="1"/>
  <c r="T293" i="11"/>
  <c r="W293" i="11" s="1"/>
  <c r="P293" i="11"/>
  <c r="F293" i="11"/>
  <c r="E293" i="11"/>
  <c r="D293" i="11"/>
  <c r="U292" i="11"/>
  <c r="T292" i="11"/>
  <c r="P292" i="11"/>
  <c r="F292" i="11"/>
  <c r="E292" i="11"/>
  <c r="D292" i="11"/>
  <c r="U291" i="11"/>
  <c r="T291" i="11"/>
  <c r="P291" i="11"/>
  <c r="F291" i="11"/>
  <c r="E291" i="11"/>
  <c r="D291" i="11"/>
  <c r="U290" i="11"/>
  <c r="V290" i="11" s="1"/>
  <c r="W290" i="11" s="1"/>
  <c r="T290" i="11"/>
  <c r="P290" i="11"/>
  <c r="F290" i="11"/>
  <c r="E290" i="11"/>
  <c r="D290" i="11"/>
  <c r="U289" i="11"/>
  <c r="T289" i="11"/>
  <c r="V289" i="11" s="1"/>
  <c r="P289" i="11"/>
  <c r="F289" i="11"/>
  <c r="E289" i="11"/>
  <c r="D289" i="11"/>
  <c r="U288" i="11"/>
  <c r="T288" i="11"/>
  <c r="P288" i="11"/>
  <c r="F288" i="11"/>
  <c r="E288" i="11"/>
  <c r="D288" i="11"/>
  <c r="U287" i="11"/>
  <c r="T287" i="11"/>
  <c r="P287" i="11"/>
  <c r="F287" i="11"/>
  <c r="E287" i="11"/>
  <c r="D287" i="11"/>
  <c r="V286" i="11"/>
  <c r="W286" i="11" s="1"/>
  <c r="U286" i="11"/>
  <c r="T286" i="11"/>
  <c r="P286" i="11"/>
  <c r="F286" i="11"/>
  <c r="E286" i="11"/>
  <c r="D286" i="11"/>
  <c r="U285" i="11"/>
  <c r="T285" i="11"/>
  <c r="P285" i="11"/>
  <c r="F285" i="11"/>
  <c r="E285" i="11"/>
  <c r="D285" i="11"/>
  <c r="W284" i="11"/>
  <c r="U284" i="11"/>
  <c r="V284" i="11" s="1"/>
  <c r="T284" i="11"/>
  <c r="P284" i="11"/>
  <c r="F284" i="11"/>
  <c r="E284" i="11"/>
  <c r="D284" i="11"/>
  <c r="U283" i="11"/>
  <c r="T283" i="11"/>
  <c r="P283" i="11"/>
  <c r="F283" i="11"/>
  <c r="E283" i="11"/>
  <c r="D283" i="11"/>
  <c r="U282" i="11"/>
  <c r="T282" i="11"/>
  <c r="V282" i="11" s="1"/>
  <c r="P282" i="11"/>
  <c r="F282" i="11"/>
  <c r="E282" i="11"/>
  <c r="D282" i="11"/>
  <c r="U281" i="11"/>
  <c r="V281" i="11" s="1"/>
  <c r="W281" i="11" s="1"/>
  <c r="T281" i="11"/>
  <c r="P281" i="11"/>
  <c r="F281" i="11"/>
  <c r="E281" i="11"/>
  <c r="D281" i="11"/>
  <c r="U280" i="11"/>
  <c r="T280" i="11"/>
  <c r="P280" i="11"/>
  <c r="F280" i="11"/>
  <c r="E280" i="11"/>
  <c r="D280" i="11"/>
  <c r="U279" i="11"/>
  <c r="T279" i="11"/>
  <c r="V279" i="11" s="1"/>
  <c r="W279" i="11" s="1"/>
  <c r="P279" i="11"/>
  <c r="F279" i="11"/>
  <c r="E279" i="11"/>
  <c r="D279" i="11"/>
  <c r="U278" i="11"/>
  <c r="T278" i="11"/>
  <c r="P278" i="11"/>
  <c r="F278" i="11"/>
  <c r="E278" i="11"/>
  <c r="D278" i="11"/>
  <c r="U277" i="11"/>
  <c r="T277" i="11"/>
  <c r="V277" i="11" s="1"/>
  <c r="P277" i="11"/>
  <c r="F277" i="11"/>
  <c r="E277" i="11"/>
  <c r="D277" i="11"/>
  <c r="V276" i="11"/>
  <c r="W276" i="11" s="1"/>
  <c r="U276" i="11"/>
  <c r="T276" i="11"/>
  <c r="P276" i="11"/>
  <c r="F276" i="11"/>
  <c r="E276" i="11"/>
  <c r="D276" i="11"/>
  <c r="W275" i="11"/>
  <c r="U275" i="11"/>
  <c r="V275" i="11" s="1"/>
  <c r="T275" i="11"/>
  <c r="P275" i="11"/>
  <c r="F275" i="11"/>
  <c r="E275" i="11"/>
  <c r="D275" i="11"/>
  <c r="U274" i="11"/>
  <c r="T274" i="11"/>
  <c r="P274" i="11"/>
  <c r="F274" i="11"/>
  <c r="E274" i="11"/>
  <c r="D274" i="11"/>
  <c r="U273" i="11"/>
  <c r="T273" i="11"/>
  <c r="V273" i="11" s="1"/>
  <c r="W273" i="11" s="1"/>
  <c r="P273" i="11"/>
  <c r="F273" i="11"/>
  <c r="E273" i="11"/>
  <c r="D273" i="11"/>
  <c r="U272" i="11"/>
  <c r="T272" i="11"/>
  <c r="P272" i="11"/>
  <c r="F272" i="11"/>
  <c r="E272" i="11"/>
  <c r="D272" i="11"/>
  <c r="U271" i="11"/>
  <c r="T271" i="11"/>
  <c r="P271" i="11"/>
  <c r="F271" i="11"/>
  <c r="E271" i="11"/>
  <c r="D271" i="11"/>
  <c r="U270" i="11"/>
  <c r="T270" i="11"/>
  <c r="P270" i="11"/>
  <c r="F270" i="11"/>
  <c r="E270" i="11"/>
  <c r="D270" i="11"/>
  <c r="U269" i="11"/>
  <c r="V269" i="11" s="1"/>
  <c r="W269" i="11" s="1"/>
  <c r="T269" i="11"/>
  <c r="P269" i="11"/>
  <c r="F269" i="11"/>
  <c r="E269" i="11"/>
  <c r="D269" i="11"/>
  <c r="U268" i="11"/>
  <c r="T268" i="11"/>
  <c r="V268" i="11" s="1"/>
  <c r="W268" i="11" s="1"/>
  <c r="P268" i="11"/>
  <c r="F268" i="11"/>
  <c r="E268" i="11"/>
  <c r="D268" i="11"/>
  <c r="U267" i="11"/>
  <c r="T267" i="11"/>
  <c r="P267" i="11"/>
  <c r="F267" i="11"/>
  <c r="E267" i="11"/>
  <c r="D267" i="11"/>
  <c r="U266" i="11"/>
  <c r="T266" i="11"/>
  <c r="P266" i="11"/>
  <c r="F266" i="11"/>
  <c r="E266" i="11"/>
  <c r="D266" i="11"/>
  <c r="U265" i="11"/>
  <c r="V265" i="11" s="1"/>
  <c r="W265" i="11" s="1"/>
  <c r="T265" i="11"/>
  <c r="P265" i="11"/>
  <c r="F265" i="11"/>
  <c r="E265" i="11"/>
  <c r="D265" i="11"/>
  <c r="U264" i="11"/>
  <c r="T264" i="11"/>
  <c r="V264" i="11" s="1"/>
  <c r="P264" i="11"/>
  <c r="F264" i="11"/>
  <c r="E264" i="11"/>
  <c r="D264" i="11"/>
  <c r="U263" i="11"/>
  <c r="T263" i="11"/>
  <c r="P263" i="11"/>
  <c r="F263" i="11"/>
  <c r="E263" i="11"/>
  <c r="D263" i="11"/>
  <c r="U262" i="11"/>
  <c r="T262" i="11"/>
  <c r="P262" i="11"/>
  <c r="F262" i="11"/>
  <c r="E262" i="11"/>
  <c r="D262" i="11"/>
  <c r="W261" i="11"/>
  <c r="V261" i="11"/>
  <c r="U261" i="11"/>
  <c r="T261" i="11"/>
  <c r="P261" i="11"/>
  <c r="F261" i="11"/>
  <c r="E261" i="11"/>
  <c r="D261" i="11"/>
  <c r="U260" i="11"/>
  <c r="V260" i="11" s="1"/>
  <c r="W260" i="11" s="1"/>
  <c r="T260" i="11"/>
  <c r="P260" i="11"/>
  <c r="F260" i="11"/>
  <c r="E260" i="11"/>
  <c r="D260" i="11"/>
  <c r="U259" i="11"/>
  <c r="T259" i="11"/>
  <c r="P259" i="11"/>
  <c r="F259" i="11"/>
  <c r="E259" i="11"/>
  <c r="D259" i="11"/>
  <c r="U258" i="11"/>
  <c r="T258" i="11"/>
  <c r="P258" i="11"/>
  <c r="F258" i="11"/>
  <c r="E258" i="11"/>
  <c r="D258" i="11"/>
  <c r="U257" i="11"/>
  <c r="T257" i="11"/>
  <c r="P257" i="11"/>
  <c r="F257" i="11"/>
  <c r="E257" i="11"/>
  <c r="D257" i="11"/>
  <c r="U256" i="11"/>
  <c r="T256" i="11"/>
  <c r="P256" i="11"/>
  <c r="F256" i="11"/>
  <c r="E256" i="11"/>
  <c r="D256" i="11"/>
  <c r="U255" i="11"/>
  <c r="T255" i="11"/>
  <c r="P255" i="11"/>
  <c r="F255" i="11"/>
  <c r="E255" i="11"/>
  <c r="D255" i="11"/>
  <c r="U254" i="11"/>
  <c r="T254" i="11"/>
  <c r="P254" i="11"/>
  <c r="F254" i="11"/>
  <c r="E254" i="11"/>
  <c r="D254" i="11"/>
  <c r="U253" i="11"/>
  <c r="T253" i="11"/>
  <c r="P253" i="11"/>
  <c r="F253" i="11"/>
  <c r="E253" i="11"/>
  <c r="D253" i="11"/>
  <c r="U252" i="11"/>
  <c r="T252" i="11"/>
  <c r="P252" i="11"/>
  <c r="F252" i="11"/>
  <c r="E252" i="11"/>
  <c r="D252" i="11"/>
  <c r="W251" i="11"/>
  <c r="U251" i="11"/>
  <c r="V251" i="11" s="1"/>
  <c r="T251" i="11"/>
  <c r="P251" i="11"/>
  <c r="F251" i="11"/>
  <c r="E251" i="11"/>
  <c r="D251" i="11"/>
  <c r="V250" i="11"/>
  <c r="W250" i="11" s="1"/>
  <c r="U250" i="11"/>
  <c r="T250" i="11"/>
  <c r="P250" i="11"/>
  <c r="F250" i="11"/>
  <c r="E250" i="11"/>
  <c r="D250" i="11"/>
  <c r="U249" i="11"/>
  <c r="T249" i="11"/>
  <c r="V249" i="11" s="1"/>
  <c r="P249" i="11"/>
  <c r="F249" i="11"/>
  <c r="E249" i="11"/>
  <c r="D249" i="11"/>
  <c r="U248" i="11"/>
  <c r="V248" i="11" s="1"/>
  <c r="W248" i="11" s="1"/>
  <c r="T248" i="11"/>
  <c r="P248" i="11"/>
  <c r="F248" i="11"/>
  <c r="E248" i="11"/>
  <c r="D248" i="11"/>
  <c r="U247" i="11"/>
  <c r="V247" i="11" s="1"/>
  <c r="W247" i="11" s="1"/>
  <c r="T247" i="11"/>
  <c r="P247" i="11"/>
  <c r="F247" i="11"/>
  <c r="E247" i="11"/>
  <c r="D247" i="11"/>
  <c r="U246" i="11"/>
  <c r="T246" i="11"/>
  <c r="P246" i="11"/>
  <c r="F246" i="11"/>
  <c r="E246" i="11"/>
  <c r="D246" i="11"/>
  <c r="U245" i="11"/>
  <c r="T245" i="11"/>
  <c r="P245" i="11"/>
  <c r="F245" i="11"/>
  <c r="E245" i="11"/>
  <c r="D245" i="11"/>
  <c r="U244" i="11"/>
  <c r="T244" i="11"/>
  <c r="P244" i="11"/>
  <c r="F244" i="11"/>
  <c r="E244" i="11"/>
  <c r="D244" i="11"/>
  <c r="U243" i="11"/>
  <c r="T243" i="11"/>
  <c r="P243" i="11"/>
  <c r="F243" i="11"/>
  <c r="E243" i="11"/>
  <c r="D243" i="11"/>
  <c r="U242" i="11"/>
  <c r="T242" i="11"/>
  <c r="P242" i="11"/>
  <c r="F242" i="11"/>
  <c r="E242" i="11"/>
  <c r="D242" i="11"/>
  <c r="U241" i="11"/>
  <c r="T241" i="11"/>
  <c r="P241" i="11"/>
  <c r="F241" i="11"/>
  <c r="E241" i="11"/>
  <c r="D241" i="11"/>
  <c r="U240" i="11"/>
  <c r="V240" i="11" s="1"/>
  <c r="W240" i="11" s="1"/>
  <c r="T240" i="11"/>
  <c r="P240" i="11"/>
  <c r="F240" i="11"/>
  <c r="E240" i="11"/>
  <c r="D240" i="11"/>
  <c r="U239" i="11"/>
  <c r="T239" i="11"/>
  <c r="P239" i="11"/>
  <c r="F239" i="11"/>
  <c r="E239" i="11"/>
  <c r="D239" i="11"/>
  <c r="U238" i="11"/>
  <c r="T238" i="11"/>
  <c r="V238" i="11" s="1"/>
  <c r="P238" i="11"/>
  <c r="F238" i="11"/>
  <c r="E238" i="11"/>
  <c r="D238" i="11"/>
  <c r="U237" i="11"/>
  <c r="T237" i="11"/>
  <c r="P237" i="11"/>
  <c r="F237" i="11"/>
  <c r="E237" i="11"/>
  <c r="D237" i="11"/>
  <c r="U236" i="11"/>
  <c r="V236" i="11" s="1"/>
  <c r="W236" i="11" s="1"/>
  <c r="T236" i="11"/>
  <c r="P236" i="11"/>
  <c r="F236" i="11"/>
  <c r="E236" i="11"/>
  <c r="D236" i="11"/>
  <c r="U235" i="11"/>
  <c r="T235" i="11"/>
  <c r="P235" i="11"/>
  <c r="F235" i="11"/>
  <c r="E235" i="11"/>
  <c r="D235" i="11"/>
  <c r="U234" i="11"/>
  <c r="T234" i="11"/>
  <c r="P234" i="11"/>
  <c r="F234" i="11"/>
  <c r="E234" i="11"/>
  <c r="D234" i="11"/>
  <c r="U233" i="11"/>
  <c r="V233" i="11" s="1"/>
  <c r="T233" i="11"/>
  <c r="P233" i="11"/>
  <c r="F233" i="11"/>
  <c r="E233" i="11"/>
  <c r="D233" i="11"/>
  <c r="U232" i="11"/>
  <c r="T232" i="11"/>
  <c r="P232" i="11"/>
  <c r="F232" i="11"/>
  <c r="E232" i="11"/>
  <c r="D232" i="11"/>
  <c r="U231" i="11"/>
  <c r="T231" i="11"/>
  <c r="P231" i="11"/>
  <c r="F231" i="11"/>
  <c r="E231" i="11"/>
  <c r="D231" i="11"/>
  <c r="U230" i="11"/>
  <c r="V230" i="11" s="1"/>
  <c r="W230" i="11" s="1"/>
  <c r="T230" i="11"/>
  <c r="P230" i="11"/>
  <c r="F230" i="11"/>
  <c r="E230" i="11"/>
  <c r="D230" i="11"/>
  <c r="U229" i="11"/>
  <c r="V229" i="11" s="1"/>
  <c r="W229" i="11" s="1"/>
  <c r="T229" i="11"/>
  <c r="P229" i="11"/>
  <c r="F229" i="11"/>
  <c r="E229" i="11"/>
  <c r="D229" i="11"/>
  <c r="U228" i="11"/>
  <c r="T228" i="11"/>
  <c r="P228" i="11"/>
  <c r="F228" i="11"/>
  <c r="E228" i="11"/>
  <c r="D228" i="11"/>
  <c r="U227" i="11"/>
  <c r="V227" i="11" s="1"/>
  <c r="W227" i="11" s="1"/>
  <c r="T227" i="11"/>
  <c r="P227" i="11"/>
  <c r="F227" i="11"/>
  <c r="E227" i="11"/>
  <c r="D227" i="11"/>
  <c r="U226" i="11"/>
  <c r="T226" i="11"/>
  <c r="P226" i="11"/>
  <c r="F226" i="11"/>
  <c r="E226" i="11"/>
  <c r="D226" i="11"/>
  <c r="V225" i="11"/>
  <c r="W225" i="11" s="1"/>
  <c r="U225" i="11"/>
  <c r="T225" i="11"/>
  <c r="P225" i="11"/>
  <c r="F225" i="11"/>
  <c r="E225" i="11"/>
  <c r="D225" i="11"/>
  <c r="U224" i="11"/>
  <c r="T224" i="11"/>
  <c r="P224" i="11"/>
  <c r="F224" i="11"/>
  <c r="E224" i="11"/>
  <c r="D224" i="11"/>
  <c r="U223" i="11"/>
  <c r="T223" i="11"/>
  <c r="V223" i="11" s="1"/>
  <c r="P223" i="11"/>
  <c r="F223" i="11"/>
  <c r="E223" i="11"/>
  <c r="D223" i="11"/>
  <c r="U222" i="11"/>
  <c r="V222" i="11" s="1"/>
  <c r="W222" i="11" s="1"/>
  <c r="T222" i="11"/>
  <c r="P222" i="11"/>
  <c r="F222" i="11"/>
  <c r="E222" i="11"/>
  <c r="D222" i="11"/>
  <c r="W221" i="11"/>
  <c r="U221" i="11"/>
  <c r="V221" i="11" s="1"/>
  <c r="T221" i="11"/>
  <c r="P221" i="11"/>
  <c r="F221" i="11"/>
  <c r="E221" i="11"/>
  <c r="D221" i="11"/>
  <c r="U220" i="11"/>
  <c r="T220" i="11"/>
  <c r="P220" i="11"/>
  <c r="F220" i="11"/>
  <c r="E220" i="11"/>
  <c r="D220" i="11"/>
  <c r="U219" i="11"/>
  <c r="T219" i="11"/>
  <c r="V219" i="11" s="1"/>
  <c r="P219" i="11"/>
  <c r="F219" i="11"/>
  <c r="E219" i="11"/>
  <c r="D219" i="11"/>
  <c r="U218" i="11"/>
  <c r="T218" i="11"/>
  <c r="P218" i="11"/>
  <c r="F218" i="11"/>
  <c r="E218" i="11"/>
  <c r="D218" i="11"/>
  <c r="U217" i="11"/>
  <c r="T217" i="11"/>
  <c r="P217" i="11"/>
  <c r="F217" i="11"/>
  <c r="E217" i="11"/>
  <c r="D217" i="11"/>
  <c r="U216" i="11"/>
  <c r="T216" i="11"/>
  <c r="P216" i="11"/>
  <c r="F216" i="11"/>
  <c r="E216" i="11"/>
  <c r="D216" i="11"/>
  <c r="U215" i="11"/>
  <c r="T215" i="11"/>
  <c r="P215" i="11"/>
  <c r="F215" i="11"/>
  <c r="E215" i="11"/>
  <c r="D215" i="11"/>
  <c r="U214" i="11"/>
  <c r="T214" i="11"/>
  <c r="P214" i="11"/>
  <c r="F214" i="11"/>
  <c r="E214" i="11"/>
  <c r="D214" i="11"/>
  <c r="U213" i="11"/>
  <c r="T213" i="11"/>
  <c r="P213" i="11"/>
  <c r="F213" i="11"/>
  <c r="E213" i="11"/>
  <c r="D213" i="11"/>
  <c r="U212" i="11"/>
  <c r="V212" i="11" s="1"/>
  <c r="W212" i="11" s="1"/>
  <c r="T212" i="11"/>
  <c r="P212" i="11"/>
  <c r="F212" i="11"/>
  <c r="E212" i="11"/>
  <c r="D212" i="11"/>
  <c r="U211" i="11"/>
  <c r="T211" i="11"/>
  <c r="P211" i="11"/>
  <c r="F211" i="11"/>
  <c r="E211" i="11"/>
  <c r="D211" i="11"/>
  <c r="U210" i="11"/>
  <c r="T210" i="11"/>
  <c r="P210" i="11"/>
  <c r="F210" i="11"/>
  <c r="E210" i="11"/>
  <c r="D210" i="11"/>
  <c r="U209" i="11"/>
  <c r="V209" i="11" s="1"/>
  <c r="W209" i="11" s="1"/>
  <c r="T209" i="11"/>
  <c r="P209" i="11"/>
  <c r="F209" i="11"/>
  <c r="E209" i="11"/>
  <c r="D209" i="11"/>
  <c r="U208" i="11"/>
  <c r="T208" i="11"/>
  <c r="P208" i="11"/>
  <c r="F208" i="11"/>
  <c r="E208" i="11"/>
  <c r="D208" i="11"/>
  <c r="U207" i="11"/>
  <c r="T207" i="11"/>
  <c r="P207" i="11"/>
  <c r="F207" i="11"/>
  <c r="E207" i="11"/>
  <c r="D207" i="11"/>
  <c r="U206" i="11"/>
  <c r="T206" i="11"/>
  <c r="P206" i="11"/>
  <c r="F206" i="11"/>
  <c r="E206" i="11"/>
  <c r="D206" i="11"/>
  <c r="U205" i="11"/>
  <c r="T205" i="11"/>
  <c r="V205" i="11" s="1"/>
  <c r="W205" i="11" s="1"/>
  <c r="P205" i="11"/>
  <c r="F205" i="11"/>
  <c r="E205" i="11"/>
  <c r="D205" i="11"/>
  <c r="U204" i="11"/>
  <c r="V204" i="11" s="1"/>
  <c r="W204" i="11" s="1"/>
  <c r="T204" i="11"/>
  <c r="P204" i="11"/>
  <c r="F204" i="11"/>
  <c r="E204" i="11"/>
  <c r="D204" i="11"/>
  <c r="W203" i="11"/>
  <c r="U203" i="11"/>
  <c r="V203" i="11" s="1"/>
  <c r="T203" i="11"/>
  <c r="P203" i="11"/>
  <c r="F203" i="11"/>
  <c r="E203" i="11"/>
  <c r="D203" i="11"/>
  <c r="V202" i="11"/>
  <c r="U202" i="11"/>
  <c r="T202" i="11"/>
  <c r="P202" i="11"/>
  <c r="F202" i="11"/>
  <c r="E202" i="11"/>
  <c r="D202" i="11"/>
  <c r="U201" i="11"/>
  <c r="T201" i="11"/>
  <c r="V201" i="11" s="1"/>
  <c r="P201" i="11"/>
  <c r="F201" i="11"/>
  <c r="E201" i="11"/>
  <c r="D201" i="11"/>
  <c r="U200" i="11"/>
  <c r="T200" i="11"/>
  <c r="P200" i="11"/>
  <c r="F200" i="11"/>
  <c r="E200" i="11"/>
  <c r="D200" i="11"/>
  <c r="U199" i="11"/>
  <c r="T199" i="11"/>
  <c r="P199" i="11"/>
  <c r="F199" i="11"/>
  <c r="E199" i="11"/>
  <c r="D199" i="11"/>
  <c r="U198" i="11"/>
  <c r="T198" i="11"/>
  <c r="P198" i="11"/>
  <c r="F198" i="11"/>
  <c r="E198" i="11"/>
  <c r="D198" i="11"/>
  <c r="U197" i="11"/>
  <c r="T197" i="11"/>
  <c r="P197" i="11"/>
  <c r="F197" i="11"/>
  <c r="E197" i="11"/>
  <c r="D197" i="11"/>
  <c r="U196" i="11"/>
  <c r="T196" i="11"/>
  <c r="P196" i="11"/>
  <c r="F196" i="11"/>
  <c r="E196" i="11"/>
  <c r="D196" i="11"/>
  <c r="U195" i="11"/>
  <c r="T195" i="11"/>
  <c r="P195" i="11"/>
  <c r="F195" i="11"/>
  <c r="E195" i="11"/>
  <c r="D195" i="11"/>
  <c r="U194" i="11"/>
  <c r="V194" i="11" s="1"/>
  <c r="W194" i="11" s="1"/>
  <c r="T194" i="11"/>
  <c r="P194" i="11"/>
  <c r="F194" i="11"/>
  <c r="E194" i="11"/>
  <c r="D194" i="11"/>
  <c r="U193" i="11"/>
  <c r="T193" i="11"/>
  <c r="P193" i="11"/>
  <c r="F193" i="11"/>
  <c r="E193" i="11"/>
  <c r="D193" i="11"/>
  <c r="U192" i="11"/>
  <c r="T192" i="11"/>
  <c r="V192" i="11" s="1"/>
  <c r="P192" i="11"/>
  <c r="F192" i="11"/>
  <c r="E192" i="11"/>
  <c r="D192" i="11"/>
  <c r="U191" i="11"/>
  <c r="V191" i="11" s="1"/>
  <c r="W191" i="11" s="1"/>
  <c r="T191" i="11"/>
  <c r="P191" i="11"/>
  <c r="F191" i="11"/>
  <c r="E191" i="11"/>
  <c r="D191" i="11"/>
  <c r="U190" i="11"/>
  <c r="T190" i="11"/>
  <c r="P190" i="11"/>
  <c r="F190" i="11"/>
  <c r="E190" i="11"/>
  <c r="D190" i="11"/>
  <c r="U189" i="11"/>
  <c r="V189" i="11" s="1"/>
  <c r="W189" i="11" s="1"/>
  <c r="T189" i="11"/>
  <c r="P189" i="11"/>
  <c r="F189" i="11"/>
  <c r="E189" i="11"/>
  <c r="D189" i="11"/>
  <c r="U188" i="11"/>
  <c r="V188" i="11" s="1"/>
  <c r="W188" i="11" s="1"/>
  <c r="T188" i="11"/>
  <c r="P188" i="11"/>
  <c r="F188" i="11"/>
  <c r="E188" i="11"/>
  <c r="D188" i="11"/>
  <c r="U187" i="11"/>
  <c r="T187" i="11"/>
  <c r="P187" i="11"/>
  <c r="F187" i="11"/>
  <c r="E187" i="11"/>
  <c r="D187" i="11"/>
  <c r="U186" i="11"/>
  <c r="V186" i="11" s="1"/>
  <c r="W186" i="11" s="1"/>
  <c r="T186" i="11"/>
  <c r="P186" i="11"/>
  <c r="F186" i="11"/>
  <c r="E186" i="11"/>
  <c r="D186" i="11"/>
  <c r="U185" i="11"/>
  <c r="T185" i="11"/>
  <c r="P185" i="11"/>
  <c r="F185" i="11"/>
  <c r="E185" i="11"/>
  <c r="D185" i="11"/>
  <c r="U184" i="11"/>
  <c r="T184" i="11"/>
  <c r="P184" i="11"/>
  <c r="F184" i="11"/>
  <c r="E184" i="11"/>
  <c r="D184" i="11"/>
  <c r="U183" i="11"/>
  <c r="T183" i="11"/>
  <c r="P183" i="11"/>
  <c r="F183" i="11"/>
  <c r="E183" i="11"/>
  <c r="D183" i="11"/>
  <c r="U182" i="11"/>
  <c r="T182" i="11"/>
  <c r="P182" i="11"/>
  <c r="F182" i="11"/>
  <c r="E182" i="11"/>
  <c r="D182" i="11"/>
  <c r="U181" i="11"/>
  <c r="T181" i="11"/>
  <c r="V181" i="11" s="1"/>
  <c r="P181" i="11"/>
  <c r="F181" i="11"/>
  <c r="E181" i="11"/>
  <c r="D181" i="11"/>
  <c r="U180" i="11"/>
  <c r="T180" i="11"/>
  <c r="P180" i="11"/>
  <c r="F180" i="11"/>
  <c r="E180" i="11"/>
  <c r="D180" i="11"/>
  <c r="U179" i="11"/>
  <c r="V179" i="11" s="1"/>
  <c r="W179" i="11" s="1"/>
  <c r="T179" i="11"/>
  <c r="P179" i="11"/>
  <c r="F179" i="11"/>
  <c r="E179" i="11"/>
  <c r="D179" i="11"/>
  <c r="U178" i="11"/>
  <c r="T178" i="11"/>
  <c r="P178" i="11"/>
  <c r="F178" i="11"/>
  <c r="E178" i="11"/>
  <c r="D178" i="11"/>
  <c r="U177" i="11"/>
  <c r="V177" i="11" s="1"/>
  <c r="T177" i="11"/>
  <c r="P177" i="11"/>
  <c r="F177" i="11"/>
  <c r="E177" i="11"/>
  <c r="D177" i="11"/>
  <c r="U176" i="11"/>
  <c r="V176" i="11" s="1"/>
  <c r="W176" i="11" s="1"/>
  <c r="T176" i="11"/>
  <c r="P176" i="11"/>
  <c r="F176" i="11"/>
  <c r="E176" i="11"/>
  <c r="D176" i="11"/>
  <c r="V175" i="11"/>
  <c r="W175" i="11" s="1"/>
  <c r="U175" i="11"/>
  <c r="T175" i="11"/>
  <c r="P175" i="11"/>
  <c r="F175" i="11"/>
  <c r="E175" i="11"/>
  <c r="D175" i="11"/>
  <c r="U174" i="11"/>
  <c r="T174" i="11"/>
  <c r="P174" i="11"/>
  <c r="F174" i="11"/>
  <c r="E174" i="11"/>
  <c r="D174" i="11"/>
  <c r="U173" i="11"/>
  <c r="T173" i="11"/>
  <c r="P173" i="11"/>
  <c r="F173" i="11"/>
  <c r="E173" i="11"/>
  <c r="D173" i="11"/>
  <c r="U172" i="11"/>
  <c r="V172" i="11" s="1"/>
  <c r="W172" i="11" s="1"/>
  <c r="T172" i="11"/>
  <c r="P172" i="11"/>
  <c r="F172" i="11"/>
  <c r="E172" i="11"/>
  <c r="D172" i="11"/>
  <c r="U171" i="11"/>
  <c r="T171" i="11"/>
  <c r="P171" i="11"/>
  <c r="F171" i="11"/>
  <c r="E171" i="11"/>
  <c r="D171" i="11"/>
  <c r="U170" i="11"/>
  <c r="V170" i="11" s="1"/>
  <c r="T170" i="11"/>
  <c r="W170" i="11" s="1"/>
  <c r="P170" i="11"/>
  <c r="F170" i="11"/>
  <c r="E170" i="11"/>
  <c r="D170" i="11"/>
  <c r="V169" i="11"/>
  <c r="W169" i="11" s="1"/>
  <c r="U169" i="11"/>
  <c r="T169" i="11"/>
  <c r="P169" i="11"/>
  <c r="F169" i="11"/>
  <c r="E169" i="11"/>
  <c r="D169" i="11"/>
  <c r="U168" i="11"/>
  <c r="T168" i="11"/>
  <c r="P168" i="11"/>
  <c r="F168" i="11"/>
  <c r="E168" i="11"/>
  <c r="D168" i="11"/>
  <c r="W167" i="11"/>
  <c r="U167" i="11"/>
  <c r="V167" i="11" s="1"/>
  <c r="T167" i="11"/>
  <c r="P167" i="11"/>
  <c r="F167" i="11"/>
  <c r="E167" i="11"/>
  <c r="D167" i="11"/>
  <c r="U166" i="11"/>
  <c r="T166" i="11"/>
  <c r="P166" i="11"/>
  <c r="F166" i="11"/>
  <c r="E166" i="11"/>
  <c r="D166" i="11"/>
  <c r="U165" i="11"/>
  <c r="T165" i="11"/>
  <c r="P165" i="11"/>
  <c r="F165" i="11"/>
  <c r="E165" i="11"/>
  <c r="D165" i="11"/>
  <c r="U164" i="11"/>
  <c r="V164" i="11" s="1"/>
  <c r="W164" i="11" s="1"/>
  <c r="T164" i="11"/>
  <c r="P164" i="11"/>
  <c r="F164" i="11"/>
  <c r="E164" i="11"/>
  <c r="D164" i="11"/>
  <c r="U163" i="11"/>
  <c r="T163" i="11"/>
  <c r="P163" i="11"/>
  <c r="F163" i="11"/>
  <c r="E163" i="11"/>
  <c r="D163" i="11"/>
  <c r="U162" i="11"/>
  <c r="T162" i="11"/>
  <c r="P162" i="11"/>
  <c r="F162" i="11"/>
  <c r="E162" i="11"/>
  <c r="D162" i="11"/>
  <c r="U161" i="11"/>
  <c r="V161" i="11" s="1"/>
  <c r="W161" i="11" s="1"/>
  <c r="T161" i="11"/>
  <c r="P161" i="11"/>
  <c r="F161" i="11"/>
  <c r="E161" i="11"/>
  <c r="D161" i="11"/>
  <c r="U160" i="11"/>
  <c r="T160" i="11"/>
  <c r="P160" i="11"/>
  <c r="F160" i="11"/>
  <c r="E160" i="11"/>
  <c r="D160" i="11"/>
  <c r="U159" i="11"/>
  <c r="T159" i="11"/>
  <c r="P159" i="11"/>
  <c r="F159" i="11"/>
  <c r="E159" i="11"/>
  <c r="D159" i="11"/>
  <c r="U158" i="11"/>
  <c r="V158" i="11" s="1"/>
  <c r="W158" i="11" s="1"/>
  <c r="T158" i="11"/>
  <c r="P158" i="11"/>
  <c r="F158" i="11"/>
  <c r="E158" i="11"/>
  <c r="D158" i="11"/>
  <c r="W157" i="11"/>
  <c r="V157" i="11"/>
  <c r="U157" i="11"/>
  <c r="T157" i="11"/>
  <c r="P157" i="11"/>
  <c r="F157" i="11"/>
  <c r="E157" i="11"/>
  <c r="D157" i="11"/>
  <c r="U156" i="11"/>
  <c r="T156" i="11"/>
  <c r="P156" i="11"/>
  <c r="F156" i="11"/>
  <c r="E156" i="11"/>
  <c r="D156" i="11"/>
  <c r="U155" i="11"/>
  <c r="V155" i="11" s="1"/>
  <c r="W155" i="11" s="1"/>
  <c r="T155" i="11"/>
  <c r="P155" i="11"/>
  <c r="F155" i="11"/>
  <c r="E155" i="11"/>
  <c r="D155" i="11"/>
  <c r="U154" i="11"/>
  <c r="T154" i="11"/>
  <c r="V154" i="11" s="1"/>
  <c r="W154" i="11" s="1"/>
  <c r="P154" i="11"/>
  <c r="F154" i="11"/>
  <c r="E154" i="11"/>
  <c r="D154" i="11"/>
  <c r="U153" i="11"/>
  <c r="V153" i="11" s="1"/>
  <c r="W153" i="11" s="1"/>
  <c r="T153" i="11"/>
  <c r="P153" i="11"/>
  <c r="F153" i="11"/>
  <c r="E153" i="11"/>
  <c r="D153" i="11"/>
  <c r="U152" i="11"/>
  <c r="V152" i="11" s="1"/>
  <c r="W152" i="11" s="1"/>
  <c r="T152" i="11"/>
  <c r="P152" i="11"/>
  <c r="F152" i="11"/>
  <c r="E152" i="11"/>
  <c r="D152" i="11"/>
  <c r="U151" i="11"/>
  <c r="T151" i="11"/>
  <c r="P151" i="11"/>
  <c r="F151" i="11"/>
  <c r="E151" i="11"/>
  <c r="D151" i="11"/>
  <c r="U150" i="11"/>
  <c r="T150" i="11"/>
  <c r="P150" i="11"/>
  <c r="F150" i="11"/>
  <c r="E150" i="11"/>
  <c r="D150" i="11"/>
  <c r="U149" i="11"/>
  <c r="T149" i="11"/>
  <c r="P149" i="11"/>
  <c r="F149" i="11"/>
  <c r="E149" i="11"/>
  <c r="D149" i="11"/>
  <c r="U148" i="11"/>
  <c r="T148" i="11"/>
  <c r="P148" i="11"/>
  <c r="F148" i="11"/>
  <c r="E148" i="11"/>
  <c r="D148" i="11"/>
  <c r="W147" i="11"/>
  <c r="V147" i="11"/>
  <c r="U147" i="11"/>
  <c r="T147" i="11"/>
  <c r="P147" i="11"/>
  <c r="F147" i="11"/>
  <c r="E147" i="11"/>
  <c r="D147" i="11"/>
  <c r="U146" i="11"/>
  <c r="V146" i="11" s="1"/>
  <c r="W146" i="11" s="1"/>
  <c r="T146" i="11"/>
  <c r="P146" i="11"/>
  <c r="F146" i="11"/>
  <c r="E146" i="11"/>
  <c r="D146" i="11"/>
  <c r="U145" i="11"/>
  <c r="T145" i="11"/>
  <c r="V145" i="11" s="1"/>
  <c r="P145" i="11"/>
  <c r="F145" i="11"/>
  <c r="E145" i="11"/>
  <c r="D145" i="11"/>
  <c r="U144" i="11"/>
  <c r="T144" i="11"/>
  <c r="P144" i="11"/>
  <c r="F144" i="11"/>
  <c r="E144" i="11"/>
  <c r="D144" i="11"/>
  <c r="U143" i="11"/>
  <c r="V143" i="11" s="1"/>
  <c r="W143" i="11" s="1"/>
  <c r="T143" i="11"/>
  <c r="P143" i="11"/>
  <c r="F143" i="11"/>
  <c r="E143" i="11"/>
  <c r="D143" i="11"/>
  <c r="U142" i="11"/>
  <c r="V142" i="11" s="1"/>
  <c r="W142" i="11" s="1"/>
  <c r="T142" i="11"/>
  <c r="P142" i="11"/>
  <c r="F142" i="11"/>
  <c r="E142" i="11"/>
  <c r="D142" i="11"/>
  <c r="U141" i="11"/>
  <c r="T141" i="11"/>
  <c r="P141" i="11"/>
  <c r="F141" i="11"/>
  <c r="E141" i="11"/>
  <c r="D141" i="11"/>
  <c r="U140" i="11"/>
  <c r="V140" i="11" s="1"/>
  <c r="W140" i="11" s="1"/>
  <c r="T140" i="11"/>
  <c r="P140" i="11"/>
  <c r="F140" i="11"/>
  <c r="E140" i="11"/>
  <c r="D140" i="11"/>
  <c r="U139" i="11"/>
  <c r="T139" i="11"/>
  <c r="V139" i="11" s="1"/>
  <c r="W139" i="11" s="1"/>
  <c r="P139" i="11"/>
  <c r="F139" i="11"/>
  <c r="E139" i="11"/>
  <c r="D139" i="11"/>
  <c r="U138" i="11"/>
  <c r="T138" i="11"/>
  <c r="P138" i="11"/>
  <c r="F138" i="11"/>
  <c r="E138" i="11"/>
  <c r="D138" i="11"/>
  <c r="U137" i="11"/>
  <c r="T137" i="11"/>
  <c r="P137" i="11"/>
  <c r="F137" i="11"/>
  <c r="E137" i="11"/>
  <c r="D137" i="11"/>
  <c r="V136" i="11"/>
  <c r="U136" i="11"/>
  <c r="T136" i="11"/>
  <c r="P136" i="11"/>
  <c r="F136" i="11"/>
  <c r="E136" i="11"/>
  <c r="D136" i="11"/>
  <c r="U135" i="11"/>
  <c r="T135" i="11"/>
  <c r="P135" i="11"/>
  <c r="F135" i="11"/>
  <c r="E135" i="11"/>
  <c r="D135" i="11"/>
  <c r="U134" i="11"/>
  <c r="T134" i="11"/>
  <c r="P134" i="11"/>
  <c r="F134" i="11"/>
  <c r="E134" i="11"/>
  <c r="D134" i="11"/>
  <c r="U133" i="11"/>
  <c r="T133" i="11"/>
  <c r="P133" i="11"/>
  <c r="F133" i="11"/>
  <c r="E133" i="11"/>
  <c r="D133" i="11"/>
  <c r="U132" i="11"/>
  <c r="V132" i="11" s="1"/>
  <c r="W132" i="11" s="1"/>
  <c r="T132" i="11"/>
  <c r="P132" i="11"/>
  <c r="F132" i="11"/>
  <c r="E132" i="11"/>
  <c r="D132" i="11"/>
  <c r="W131" i="11"/>
  <c r="U131" i="11"/>
  <c r="V131" i="11" s="1"/>
  <c r="T131" i="11"/>
  <c r="P131" i="11"/>
  <c r="F131" i="11"/>
  <c r="E131" i="11"/>
  <c r="D131" i="11"/>
  <c r="U130" i="11"/>
  <c r="T130" i="11"/>
  <c r="P130" i="11"/>
  <c r="F130" i="11"/>
  <c r="E130" i="11"/>
  <c r="D130" i="11"/>
  <c r="U129" i="11"/>
  <c r="T129" i="11"/>
  <c r="P129" i="11"/>
  <c r="F129" i="11"/>
  <c r="E129" i="11"/>
  <c r="D129" i="11"/>
  <c r="U128" i="11"/>
  <c r="V128" i="11" s="1"/>
  <c r="W128" i="11" s="1"/>
  <c r="T128" i="11"/>
  <c r="P128" i="11"/>
  <c r="F128" i="11"/>
  <c r="E128" i="11"/>
  <c r="D128" i="11"/>
  <c r="U127" i="11"/>
  <c r="T127" i="11"/>
  <c r="P127" i="11"/>
  <c r="F127" i="11"/>
  <c r="E127" i="11"/>
  <c r="D127" i="11"/>
  <c r="U126" i="11"/>
  <c r="V126" i="11" s="1"/>
  <c r="T126" i="11"/>
  <c r="P126" i="11"/>
  <c r="F126" i="11"/>
  <c r="E126" i="11"/>
  <c r="D126" i="11"/>
  <c r="U125" i="11"/>
  <c r="V125" i="11" s="1"/>
  <c r="W125" i="11" s="1"/>
  <c r="T125" i="11"/>
  <c r="P125" i="11"/>
  <c r="F125" i="11"/>
  <c r="E125" i="11"/>
  <c r="D125" i="11"/>
  <c r="U124" i="11"/>
  <c r="T124" i="11"/>
  <c r="P124" i="11"/>
  <c r="F124" i="11"/>
  <c r="E124" i="11"/>
  <c r="D124" i="11"/>
  <c r="U123" i="11"/>
  <c r="T123" i="11"/>
  <c r="P123" i="11"/>
  <c r="F123" i="11"/>
  <c r="E123" i="11"/>
  <c r="D123" i="11"/>
  <c r="U122" i="11"/>
  <c r="V122" i="11" s="1"/>
  <c r="W122" i="11" s="1"/>
  <c r="T122" i="11"/>
  <c r="P122" i="11"/>
  <c r="F122" i="11"/>
  <c r="E122" i="11"/>
  <c r="D122" i="11"/>
  <c r="U121" i="11"/>
  <c r="T121" i="11"/>
  <c r="V121" i="11" s="1"/>
  <c r="W121" i="11" s="1"/>
  <c r="P121" i="11"/>
  <c r="F121" i="11"/>
  <c r="E121" i="11"/>
  <c r="D121" i="11"/>
  <c r="U120" i="11"/>
  <c r="T120" i="11"/>
  <c r="V120" i="11" s="1"/>
  <c r="P120" i="11"/>
  <c r="F120" i="11"/>
  <c r="E120" i="11"/>
  <c r="D120" i="11"/>
  <c r="W119" i="11"/>
  <c r="U119" i="11"/>
  <c r="V119" i="11" s="1"/>
  <c r="T119" i="11"/>
  <c r="P119" i="11"/>
  <c r="F119" i="11"/>
  <c r="E119" i="11"/>
  <c r="D119" i="11"/>
  <c r="U118" i="11"/>
  <c r="T118" i="11"/>
  <c r="P118" i="11"/>
  <c r="F118" i="11"/>
  <c r="E118" i="11"/>
  <c r="D118" i="11"/>
  <c r="V117" i="11"/>
  <c r="W117" i="11" s="1"/>
  <c r="U117" i="11"/>
  <c r="T117" i="11"/>
  <c r="P117" i="11"/>
  <c r="F117" i="11"/>
  <c r="E117" i="11"/>
  <c r="D117" i="11"/>
  <c r="U116" i="11"/>
  <c r="T116" i="11"/>
  <c r="P116" i="11"/>
  <c r="F116" i="11"/>
  <c r="E116" i="11"/>
  <c r="D116" i="11"/>
  <c r="U115" i="11"/>
  <c r="T115" i="11"/>
  <c r="P115" i="11"/>
  <c r="F115" i="11"/>
  <c r="E115" i="11"/>
  <c r="D115" i="11"/>
  <c r="U114" i="11"/>
  <c r="T114" i="11"/>
  <c r="P114" i="11"/>
  <c r="F114" i="11"/>
  <c r="E114" i="11"/>
  <c r="D114" i="11"/>
  <c r="W113" i="11"/>
  <c r="U113" i="11"/>
  <c r="V113" i="11" s="1"/>
  <c r="T113" i="11"/>
  <c r="P113" i="11"/>
  <c r="F113" i="11"/>
  <c r="E113" i="11"/>
  <c r="D113" i="11"/>
  <c r="U112" i="11"/>
  <c r="T112" i="11"/>
  <c r="P112" i="11"/>
  <c r="F112" i="11"/>
  <c r="E112" i="11"/>
  <c r="D112" i="11"/>
  <c r="U111" i="11"/>
  <c r="V111" i="11" s="1"/>
  <c r="W111" i="11" s="1"/>
  <c r="T111" i="11"/>
  <c r="P111" i="11"/>
  <c r="F111" i="11"/>
  <c r="E111" i="11"/>
  <c r="D111" i="11"/>
  <c r="U110" i="11"/>
  <c r="V110" i="11" s="1"/>
  <c r="W110" i="11" s="1"/>
  <c r="T110" i="11"/>
  <c r="P110" i="11"/>
  <c r="F110" i="11"/>
  <c r="E110" i="11"/>
  <c r="D110" i="11"/>
  <c r="U109" i="11"/>
  <c r="T109" i="11"/>
  <c r="P109" i="11"/>
  <c r="F109" i="11"/>
  <c r="E109" i="11"/>
  <c r="D109" i="11"/>
  <c r="U108" i="11"/>
  <c r="T108" i="11"/>
  <c r="P108" i="11"/>
  <c r="F108" i="11"/>
  <c r="E108" i="11"/>
  <c r="D108" i="11"/>
  <c r="U107" i="11"/>
  <c r="V107" i="11" s="1"/>
  <c r="W107" i="11" s="1"/>
  <c r="T107" i="11"/>
  <c r="P107" i="11"/>
  <c r="F107" i="11"/>
  <c r="E107" i="11"/>
  <c r="D107" i="11"/>
  <c r="V106" i="11"/>
  <c r="W106" i="11" s="1"/>
  <c r="U106" i="11"/>
  <c r="T106" i="11"/>
  <c r="P106" i="11"/>
  <c r="F106" i="11"/>
  <c r="E106" i="11"/>
  <c r="D106" i="11"/>
  <c r="U105" i="11"/>
  <c r="T105" i="11"/>
  <c r="P105" i="11"/>
  <c r="F105" i="11"/>
  <c r="E105" i="11"/>
  <c r="D105" i="11"/>
  <c r="U104" i="11"/>
  <c r="T104" i="11"/>
  <c r="P104" i="11"/>
  <c r="F104" i="11"/>
  <c r="E104" i="11"/>
  <c r="D104" i="11"/>
  <c r="U103" i="11"/>
  <c r="V103" i="11" s="1"/>
  <c r="W103" i="11" s="1"/>
  <c r="T103" i="11"/>
  <c r="P103" i="11"/>
  <c r="F103" i="11"/>
  <c r="E103" i="11"/>
  <c r="D103" i="11"/>
  <c r="U102" i="11"/>
  <c r="T102" i="11"/>
  <c r="V102" i="11" s="1"/>
  <c r="P102" i="11"/>
  <c r="F102" i="11"/>
  <c r="E102" i="11"/>
  <c r="D102" i="11"/>
  <c r="U101" i="11"/>
  <c r="T101" i="11"/>
  <c r="P101" i="11"/>
  <c r="F101" i="11"/>
  <c r="E101" i="11"/>
  <c r="D101" i="11"/>
  <c r="U100" i="11"/>
  <c r="T100" i="11"/>
  <c r="P100" i="11"/>
  <c r="F100" i="11"/>
  <c r="E100" i="11"/>
  <c r="D100" i="11"/>
  <c r="U99" i="11"/>
  <c r="T99" i="11"/>
  <c r="P99" i="11"/>
  <c r="F99" i="11"/>
  <c r="E99" i="11"/>
  <c r="D99" i="11"/>
  <c r="U98" i="11"/>
  <c r="V98" i="11" s="1"/>
  <c r="W98" i="11" s="1"/>
  <c r="T98" i="11"/>
  <c r="P98" i="11"/>
  <c r="F98" i="11"/>
  <c r="E98" i="11"/>
  <c r="D98" i="11"/>
  <c r="U97" i="11"/>
  <c r="T97" i="11"/>
  <c r="P97" i="11"/>
  <c r="F97" i="11"/>
  <c r="E97" i="11"/>
  <c r="D97" i="11"/>
  <c r="U96" i="11"/>
  <c r="V96" i="11" s="1"/>
  <c r="W96" i="11" s="1"/>
  <c r="T96" i="11"/>
  <c r="P96" i="11"/>
  <c r="F96" i="11"/>
  <c r="E96" i="11"/>
  <c r="D96" i="11"/>
  <c r="U95" i="11"/>
  <c r="T95" i="11"/>
  <c r="P95" i="11"/>
  <c r="F95" i="11"/>
  <c r="E95" i="11"/>
  <c r="D95" i="11"/>
  <c r="U94" i="11"/>
  <c r="T94" i="11"/>
  <c r="P94" i="11"/>
  <c r="F94" i="11"/>
  <c r="E94" i="11"/>
  <c r="D94" i="11"/>
  <c r="V93" i="11"/>
  <c r="W93" i="11" s="1"/>
  <c r="U93" i="11"/>
  <c r="T93" i="11"/>
  <c r="P93" i="11"/>
  <c r="F93" i="11"/>
  <c r="E93" i="11"/>
  <c r="D93" i="11"/>
  <c r="U92" i="11"/>
  <c r="V92" i="11" s="1"/>
  <c r="W92" i="11" s="1"/>
  <c r="T92" i="11"/>
  <c r="P92" i="11"/>
  <c r="F92" i="11"/>
  <c r="E92" i="11"/>
  <c r="D92" i="11"/>
  <c r="U91" i="11"/>
  <c r="T91" i="11"/>
  <c r="P91" i="11"/>
  <c r="F91" i="11"/>
  <c r="E91" i="11"/>
  <c r="D91" i="11"/>
  <c r="U90" i="11"/>
  <c r="T90" i="11"/>
  <c r="V90" i="11" s="1"/>
  <c r="P90" i="11"/>
  <c r="F90" i="11"/>
  <c r="E90" i="11"/>
  <c r="D90" i="11"/>
  <c r="U89" i="11"/>
  <c r="V89" i="11" s="1"/>
  <c r="W89" i="11" s="1"/>
  <c r="T89" i="11"/>
  <c r="P89" i="11"/>
  <c r="F89" i="11"/>
  <c r="E89" i="11"/>
  <c r="D89" i="11"/>
  <c r="V88" i="11"/>
  <c r="W88" i="11" s="1"/>
  <c r="U88" i="11"/>
  <c r="T88" i="11"/>
  <c r="P88" i="11"/>
  <c r="F88" i="11"/>
  <c r="E88" i="11"/>
  <c r="D88" i="11"/>
  <c r="U87" i="11"/>
  <c r="T87" i="11"/>
  <c r="P87" i="11"/>
  <c r="F87" i="11"/>
  <c r="E87" i="11"/>
  <c r="D87" i="11"/>
  <c r="U86" i="11"/>
  <c r="V86" i="11" s="1"/>
  <c r="W86" i="11" s="1"/>
  <c r="T86" i="11"/>
  <c r="P86" i="11"/>
  <c r="F86" i="11"/>
  <c r="E86" i="11"/>
  <c r="D86" i="11"/>
  <c r="U85" i="11"/>
  <c r="T85" i="11"/>
  <c r="V85" i="11" s="1"/>
  <c r="W85" i="11" s="1"/>
  <c r="P85" i="11"/>
  <c r="F85" i="11"/>
  <c r="E85" i="11"/>
  <c r="D85" i="11"/>
  <c r="U84" i="11"/>
  <c r="T84" i="11"/>
  <c r="V84" i="11" s="1"/>
  <c r="P84" i="11"/>
  <c r="F84" i="11"/>
  <c r="E84" i="11"/>
  <c r="D84" i="11"/>
  <c r="U83" i="11"/>
  <c r="V83" i="11" s="1"/>
  <c r="W83" i="11" s="1"/>
  <c r="T83" i="11"/>
  <c r="P83" i="11"/>
  <c r="F83" i="11"/>
  <c r="E83" i="11"/>
  <c r="D83" i="11"/>
  <c r="U82" i="11"/>
  <c r="T82" i="11"/>
  <c r="P82" i="11"/>
  <c r="F82" i="11"/>
  <c r="E82" i="11"/>
  <c r="D82" i="11"/>
  <c r="V81" i="11"/>
  <c r="W81" i="11" s="1"/>
  <c r="U81" i="11"/>
  <c r="T81" i="11"/>
  <c r="P81" i="11"/>
  <c r="F81" i="11"/>
  <c r="E81" i="11"/>
  <c r="D81" i="11"/>
  <c r="U80" i="11"/>
  <c r="T80" i="11"/>
  <c r="P80" i="11"/>
  <c r="F80" i="11"/>
  <c r="E80" i="11"/>
  <c r="D80" i="11"/>
  <c r="U79" i="11"/>
  <c r="T79" i="11"/>
  <c r="V79" i="11" s="1"/>
  <c r="P79" i="11"/>
  <c r="F79" i="11"/>
  <c r="E79" i="11"/>
  <c r="D79" i="11"/>
  <c r="U78" i="11"/>
  <c r="T78" i="11"/>
  <c r="P78" i="11"/>
  <c r="F78" i="11"/>
  <c r="E78" i="11"/>
  <c r="D78" i="11"/>
  <c r="W77" i="11"/>
  <c r="U77" i="11"/>
  <c r="V77" i="11" s="1"/>
  <c r="T77" i="11"/>
  <c r="P77" i="11"/>
  <c r="F77" i="11"/>
  <c r="E77" i="11"/>
  <c r="D77" i="11"/>
  <c r="U76" i="11"/>
  <c r="T76" i="11"/>
  <c r="P76" i="11"/>
  <c r="F76" i="11"/>
  <c r="E76" i="11"/>
  <c r="D76" i="11"/>
  <c r="U75" i="11"/>
  <c r="T75" i="11"/>
  <c r="P75" i="11"/>
  <c r="F75" i="11"/>
  <c r="E75" i="11"/>
  <c r="D75" i="11"/>
  <c r="U74" i="11"/>
  <c r="V74" i="11" s="1"/>
  <c r="W74" i="11" s="1"/>
  <c r="T74" i="11"/>
  <c r="P74" i="11"/>
  <c r="F74" i="11"/>
  <c r="E74" i="11"/>
  <c r="D74" i="11"/>
  <c r="U73" i="11"/>
  <c r="T73" i="11"/>
  <c r="P73" i="11"/>
  <c r="F73" i="11"/>
  <c r="E73" i="11"/>
  <c r="D73" i="11"/>
  <c r="U72" i="11"/>
  <c r="T72" i="11"/>
  <c r="P72" i="11"/>
  <c r="F72" i="11"/>
  <c r="E72" i="11"/>
  <c r="D72" i="11"/>
  <c r="U71" i="11"/>
  <c r="V71" i="11" s="1"/>
  <c r="W71" i="11" s="1"/>
  <c r="T71" i="11"/>
  <c r="P71" i="11"/>
  <c r="F71" i="11"/>
  <c r="E71" i="11"/>
  <c r="D71" i="11"/>
  <c r="U70" i="11"/>
  <c r="V70" i="11" s="1"/>
  <c r="W70" i="11" s="1"/>
  <c r="T70" i="11"/>
  <c r="P70" i="11"/>
  <c r="F70" i="11"/>
  <c r="E70" i="11"/>
  <c r="D70" i="11"/>
  <c r="U69" i="11"/>
  <c r="T69" i="11"/>
  <c r="P69" i="11"/>
  <c r="F69" i="11"/>
  <c r="E69" i="11"/>
  <c r="D69" i="11"/>
  <c r="U68" i="11"/>
  <c r="V68" i="11" s="1"/>
  <c r="T68" i="11"/>
  <c r="W68" i="11" s="1"/>
  <c r="P68" i="11"/>
  <c r="F68" i="11"/>
  <c r="E68" i="11"/>
  <c r="D68" i="11"/>
  <c r="U67" i="11"/>
  <c r="T67" i="11"/>
  <c r="P67" i="11"/>
  <c r="F67" i="11"/>
  <c r="E67" i="11"/>
  <c r="D67" i="11"/>
  <c r="U66" i="11"/>
  <c r="T66" i="11"/>
  <c r="P66" i="11"/>
  <c r="F66" i="11"/>
  <c r="E66" i="11"/>
  <c r="D66" i="11"/>
  <c r="U65" i="11"/>
  <c r="T65" i="11"/>
  <c r="P65" i="11"/>
  <c r="F65" i="11"/>
  <c r="E65" i="11"/>
  <c r="D65" i="11"/>
  <c r="U64" i="11"/>
  <c r="T64" i="11"/>
  <c r="P64" i="11"/>
  <c r="F64" i="11"/>
  <c r="E64" i="11"/>
  <c r="D64" i="11"/>
  <c r="U63" i="11"/>
  <c r="T63" i="11"/>
  <c r="P63" i="11"/>
  <c r="F63" i="11"/>
  <c r="E63" i="11"/>
  <c r="D63" i="11"/>
  <c r="U62" i="11"/>
  <c r="T62" i="11"/>
  <c r="P62" i="11"/>
  <c r="F62" i="11"/>
  <c r="E62" i="11"/>
  <c r="D62" i="11"/>
  <c r="U61" i="11"/>
  <c r="T61" i="11"/>
  <c r="P61" i="11"/>
  <c r="F61" i="11"/>
  <c r="E61" i="11"/>
  <c r="D61" i="11"/>
  <c r="W60" i="11"/>
  <c r="V60" i="11"/>
  <c r="U60" i="11"/>
  <c r="T60" i="11"/>
  <c r="P60" i="11"/>
  <c r="F60" i="11"/>
  <c r="E60" i="11"/>
  <c r="D60" i="11"/>
  <c r="W59" i="11"/>
  <c r="U59" i="11"/>
  <c r="V59" i="11" s="1"/>
  <c r="T59" i="11"/>
  <c r="P59" i="11"/>
  <c r="F59" i="11"/>
  <c r="E59" i="11"/>
  <c r="D59" i="11"/>
  <c r="U58" i="11"/>
  <c r="T58" i="11"/>
  <c r="P58" i="11"/>
  <c r="F58" i="11"/>
  <c r="E58" i="11"/>
  <c r="D58" i="11"/>
  <c r="U57" i="11"/>
  <c r="T57" i="11"/>
  <c r="P57" i="11"/>
  <c r="F57" i="11"/>
  <c r="E57" i="11"/>
  <c r="D57" i="11"/>
  <c r="U56" i="11"/>
  <c r="T56" i="11"/>
  <c r="P56" i="11"/>
  <c r="F56" i="11"/>
  <c r="E56" i="11"/>
  <c r="D56" i="11"/>
  <c r="U55" i="11"/>
  <c r="T55" i="11"/>
  <c r="P55" i="11"/>
  <c r="F55" i="11"/>
  <c r="E55" i="11"/>
  <c r="D55" i="11"/>
  <c r="U54" i="11"/>
  <c r="T54" i="11"/>
  <c r="P54" i="11"/>
  <c r="F54" i="11"/>
  <c r="E54" i="11"/>
  <c r="D54" i="11"/>
  <c r="U53" i="11"/>
  <c r="T53" i="11"/>
  <c r="P53" i="11"/>
  <c r="F53" i="11"/>
  <c r="E53" i="11"/>
  <c r="D53" i="11"/>
  <c r="U52" i="11"/>
  <c r="T52" i="11"/>
  <c r="P52" i="11"/>
  <c r="F52" i="11"/>
  <c r="E52" i="11"/>
  <c r="D52" i="11"/>
  <c r="U51" i="11"/>
  <c r="T51" i="11"/>
  <c r="P51" i="11"/>
  <c r="F51" i="11"/>
  <c r="E51" i="11"/>
  <c r="D51" i="11"/>
  <c r="U50" i="11"/>
  <c r="V50" i="11" s="1"/>
  <c r="W50" i="11" s="1"/>
  <c r="T50" i="11"/>
  <c r="P50" i="11"/>
  <c r="F50" i="11"/>
  <c r="E50" i="11"/>
  <c r="D50" i="11"/>
  <c r="U49" i="11"/>
  <c r="T49" i="11"/>
  <c r="P49" i="11"/>
  <c r="F49" i="11"/>
  <c r="E49" i="11"/>
  <c r="D49" i="11"/>
  <c r="U48" i="11"/>
  <c r="T48" i="11"/>
  <c r="V48" i="11" s="1"/>
  <c r="P48" i="11"/>
  <c r="F48" i="11"/>
  <c r="E48" i="11"/>
  <c r="D48" i="11"/>
  <c r="U47" i="11"/>
  <c r="V47" i="11" s="1"/>
  <c r="W47" i="11" s="1"/>
  <c r="T47" i="11"/>
  <c r="P47" i="11"/>
  <c r="F47" i="11"/>
  <c r="E47" i="11"/>
  <c r="D47" i="11"/>
  <c r="U46" i="11"/>
  <c r="T46" i="11"/>
  <c r="P46" i="11"/>
  <c r="F46" i="11"/>
  <c r="E46" i="11"/>
  <c r="D46" i="11"/>
  <c r="V45" i="11"/>
  <c r="W45" i="11" s="1"/>
  <c r="U45" i="11"/>
  <c r="T45" i="11"/>
  <c r="P45" i="11"/>
  <c r="F45" i="11"/>
  <c r="E45" i="11"/>
  <c r="D45" i="11"/>
  <c r="U44" i="11"/>
  <c r="T44" i="11"/>
  <c r="P44" i="11"/>
  <c r="F44" i="11"/>
  <c r="E44" i="11"/>
  <c r="D44" i="11"/>
  <c r="U43" i="11"/>
  <c r="T43" i="11"/>
  <c r="P43" i="11"/>
  <c r="F43" i="11"/>
  <c r="E43" i="11"/>
  <c r="D43" i="11"/>
  <c r="U42" i="11"/>
  <c r="V42" i="11" s="1"/>
  <c r="W42" i="11" s="1"/>
  <c r="T42" i="11"/>
  <c r="P42" i="11"/>
  <c r="F42" i="11"/>
  <c r="E42" i="11"/>
  <c r="D42" i="11"/>
  <c r="W41" i="11"/>
  <c r="U41" i="11"/>
  <c r="V41" i="11" s="1"/>
  <c r="T41" i="11"/>
  <c r="P41" i="11"/>
  <c r="F41" i="11"/>
  <c r="E41" i="11"/>
  <c r="D41" i="11"/>
  <c r="U40" i="11"/>
  <c r="T40" i="11"/>
  <c r="P40" i="11"/>
  <c r="F40" i="11"/>
  <c r="E40" i="11"/>
  <c r="D40" i="11"/>
  <c r="U39" i="11"/>
  <c r="T39" i="11"/>
  <c r="P39" i="11"/>
  <c r="F39" i="11"/>
  <c r="E39" i="11"/>
  <c r="D39" i="11"/>
  <c r="U38" i="11"/>
  <c r="V38" i="11" s="1"/>
  <c r="T38" i="11"/>
  <c r="P38" i="11"/>
  <c r="F38" i="11"/>
  <c r="E38" i="11"/>
  <c r="D38" i="11"/>
  <c r="U37" i="11"/>
  <c r="T37" i="11"/>
  <c r="P37" i="11"/>
  <c r="F37" i="11"/>
  <c r="E37" i="11"/>
  <c r="D37" i="11"/>
  <c r="U36" i="11"/>
  <c r="T36" i="11"/>
  <c r="P36" i="11"/>
  <c r="F36" i="11"/>
  <c r="E36" i="11"/>
  <c r="D36" i="11"/>
  <c r="W35" i="11"/>
  <c r="U35" i="11"/>
  <c r="V35" i="11" s="1"/>
  <c r="T35" i="11"/>
  <c r="P35" i="11"/>
  <c r="F35" i="11"/>
  <c r="E35" i="11"/>
  <c r="D35" i="11"/>
  <c r="U34" i="11"/>
  <c r="T34" i="11"/>
  <c r="V34" i="11" s="1"/>
  <c r="W34" i="11" s="1"/>
  <c r="P34" i="11"/>
  <c r="F34" i="11"/>
  <c r="E34" i="11"/>
  <c r="D34" i="11"/>
  <c r="U33" i="11"/>
  <c r="T33" i="11"/>
  <c r="P33" i="11"/>
  <c r="F33" i="11"/>
  <c r="E33" i="11"/>
  <c r="D33" i="11"/>
  <c r="U32" i="11"/>
  <c r="T32" i="11"/>
  <c r="P32" i="11"/>
  <c r="F32" i="11"/>
  <c r="E32" i="11"/>
  <c r="D32" i="11"/>
  <c r="U31" i="11"/>
  <c r="V31" i="11" s="1"/>
  <c r="W31" i="11" s="1"/>
  <c r="T31" i="11"/>
  <c r="P31" i="11"/>
  <c r="F31" i="11"/>
  <c r="E31" i="11"/>
  <c r="D31" i="11"/>
  <c r="U30" i="11"/>
  <c r="T30" i="11"/>
  <c r="P30" i="11"/>
  <c r="F30" i="11"/>
  <c r="E30" i="11"/>
  <c r="D30" i="11"/>
  <c r="U29" i="11"/>
  <c r="V29" i="11" s="1"/>
  <c r="W29" i="11" s="1"/>
  <c r="T29" i="11"/>
  <c r="P29" i="11"/>
  <c r="F29" i="11"/>
  <c r="E29" i="11"/>
  <c r="D29" i="11"/>
  <c r="U28" i="11"/>
  <c r="T28" i="11"/>
  <c r="P28" i="11"/>
  <c r="F28" i="11"/>
  <c r="E28" i="11"/>
  <c r="D28" i="11"/>
  <c r="V27" i="11"/>
  <c r="W27" i="11" s="1"/>
  <c r="U27" i="11"/>
  <c r="T27" i="11"/>
  <c r="P27" i="11"/>
  <c r="F27" i="11"/>
  <c r="E27" i="11"/>
  <c r="D27" i="11"/>
  <c r="W26" i="11"/>
  <c r="U26" i="11"/>
  <c r="V26" i="11" s="1"/>
  <c r="T26" i="11"/>
  <c r="P26" i="11"/>
  <c r="F26" i="11"/>
  <c r="E26" i="11"/>
  <c r="D26" i="11"/>
  <c r="U25" i="11"/>
  <c r="T25" i="11"/>
  <c r="P25" i="11"/>
  <c r="F25" i="11"/>
  <c r="E25" i="11"/>
  <c r="D25" i="11"/>
  <c r="U24" i="11"/>
  <c r="V24" i="11" s="1"/>
  <c r="W24" i="11" s="1"/>
  <c r="T24" i="11"/>
  <c r="P24" i="11"/>
  <c r="F24" i="11"/>
  <c r="E24" i="11"/>
  <c r="D24" i="11"/>
  <c r="U23" i="11"/>
  <c r="T23" i="11"/>
  <c r="P23" i="11"/>
  <c r="F23" i="11"/>
  <c r="E23" i="11"/>
  <c r="D23" i="11"/>
  <c r="U22" i="11"/>
  <c r="T22" i="11"/>
  <c r="V22" i="11" s="1"/>
  <c r="P22" i="11"/>
  <c r="F22" i="11"/>
  <c r="E22" i="11"/>
  <c r="D22" i="11"/>
  <c r="U21" i="11"/>
  <c r="T21" i="11"/>
  <c r="P21" i="11"/>
  <c r="F21" i="11"/>
  <c r="E21" i="11"/>
  <c r="D21" i="11"/>
  <c r="U20" i="11"/>
  <c r="V20" i="11" s="1"/>
  <c r="W20" i="11" s="1"/>
  <c r="T20" i="11"/>
  <c r="P20" i="11"/>
  <c r="F20" i="11"/>
  <c r="E20" i="11"/>
  <c r="D20" i="11"/>
  <c r="U19" i="11"/>
  <c r="T19" i="11"/>
  <c r="P19" i="11"/>
  <c r="F19" i="11"/>
  <c r="E19" i="11"/>
  <c r="D19" i="11"/>
  <c r="U18" i="11"/>
  <c r="T18" i="11"/>
  <c r="P18" i="11"/>
  <c r="F18" i="11"/>
  <c r="E18" i="11"/>
  <c r="D18" i="11"/>
  <c r="W17" i="11"/>
  <c r="U17" i="11"/>
  <c r="V17" i="11" s="1"/>
  <c r="T17" i="11"/>
  <c r="P17" i="11"/>
  <c r="F17" i="11"/>
  <c r="E17" i="11"/>
  <c r="D17" i="11"/>
  <c r="U16" i="11"/>
  <c r="T16" i="11"/>
  <c r="P16" i="11"/>
  <c r="F16" i="11"/>
  <c r="E16" i="11"/>
  <c r="D16" i="11"/>
  <c r="U15" i="11"/>
  <c r="T15" i="11"/>
  <c r="P15" i="11"/>
  <c r="F15" i="11"/>
  <c r="E15" i="11"/>
  <c r="D15" i="11"/>
  <c r="U14" i="11"/>
  <c r="T14" i="11"/>
  <c r="P14" i="11"/>
  <c r="F14" i="11"/>
  <c r="E14" i="11"/>
  <c r="D14" i="11"/>
  <c r="U13" i="11"/>
  <c r="V13" i="11" s="1"/>
  <c r="W13" i="11" s="1"/>
  <c r="T13" i="11"/>
  <c r="P13" i="11"/>
  <c r="F13" i="11"/>
  <c r="E13" i="11"/>
  <c r="D13" i="11"/>
  <c r="U12" i="11"/>
  <c r="T12" i="11"/>
  <c r="P12" i="11"/>
  <c r="F12" i="11"/>
  <c r="E12" i="11"/>
  <c r="D12" i="11"/>
  <c r="U11" i="11"/>
  <c r="V11" i="11" s="1"/>
  <c r="W11" i="11" s="1"/>
  <c r="T11" i="11"/>
  <c r="P11" i="11"/>
  <c r="F11" i="11"/>
  <c r="E11" i="11"/>
  <c r="D11" i="11"/>
  <c r="U10" i="11"/>
  <c r="T10" i="11"/>
  <c r="P10" i="11"/>
  <c r="F10" i="11"/>
  <c r="E10" i="11"/>
  <c r="D10" i="11"/>
  <c r="U9" i="11"/>
  <c r="T9" i="11"/>
  <c r="P9" i="11"/>
  <c r="F9" i="11"/>
  <c r="E9" i="11"/>
  <c r="D9" i="11"/>
  <c r="U8" i="11"/>
  <c r="V8" i="11" s="1"/>
  <c r="W8" i="11" s="1"/>
  <c r="T8" i="11"/>
  <c r="P8" i="11"/>
  <c r="F8" i="11"/>
  <c r="E8" i="11"/>
  <c r="D8" i="11"/>
  <c r="V7" i="11"/>
  <c r="U7" i="11"/>
  <c r="T7" i="11"/>
  <c r="P7" i="11"/>
  <c r="F7" i="11"/>
  <c r="E7" i="11"/>
  <c r="D7" i="11"/>
  <c r="U6" i="11"/>
  <c r="V6" i="11" s="1"/>
  <c r="W6" i="11" s="1"/>
  <c r="T6" i="11"/>
  <c r="P6" i="11"/>
  <c r="F6" i="11"/>
  <c r="E6" i="11"/>
  <c r="D6" i="11"/>
  <c r="U5" i="11"/>
  <c r="T5" i="11"/>
  <c r="P5" i="11"/>
  <c r="F5" i="11"/>
  <c r="E5" i="11"/>
  <c r="D5" i="11"/>
  <c r="U4" i="11"/>
  <c r="T4" i="11"/>
  <c r="P4" i="11"/>
  <c r="F4" i="11"/>
  <c r="E4" i="11"/>
  <c r="D4" i="11"/>
  <c r="U3" i="11"/>
  <c r="T3" i="11"/>
  <c r="P3" i="11"/>
  <c r="F3" i="11"/>
  <c r="E3" i="11"/>
  <c r="D3" i="11"/>
  <c r="W2" i="11"/>
  <c r="U2" i="11"/>
  <c r="V2" i="11" s="1"/>
  <c r="T2" i="11"/>
  <c r="P2" i="11"/>
  <c r="F2" i="11"/>
  <c r="E2" i="11"/>
  <c r="D2" i="11"/>
  <c r="U1" i="11"/>
  <c r="T1" i="11"/>
  <c r="P1" i="11"/>
  <c r="F1" i="11"/>
  <c r="E1" i="11"/>
  <c r="D1" i="11"/>
  <c r="U632" i="16"/>
  <c r="T632" i="16"/>
  <c r="P632" i="16"/>
  <c r="F632" i="16"/>
  <c r="E632" i="16"/>
  <c r="D632" i="16"/>
  <c r="U631" i="16"/>
  <c r="T631" i="16"/>
  <c r="P631" i="16"/>
  <c r="F631" i="16"/>
  <c r="E631" i="16"/>
  <c r="D631" i="16"/>
  <c r="U630" i="16"/>
  <c r="T630" i="16"/>
  <c r="W630" i="16" s="1"/>
  <c r="P630" i="16"/>
  <c r="F630" i="16"/>
  <c r="E630" i="16"/>
  <c r="D630" i="16"/>
  <c r="U629" i="16"/>
  <c r="V629" i="16" s="1"/>
  <c r="T629" i="16"/>
  <c r="W629" i="16" s="1"/>
  <c r="P629" i="16"/>
  <c r="F629" i="16"/>
  <c r="E629" i="16"/>
  <c r="D629" i="16"/>
  <c r="U628" i="16"/>
  <c r="T628" i="16"/>
  <c r="W628" i="16" s="1"/>
  <c r="P628" i="16"/>
  <c r="F628" i="16"/>
  <c r="E628" i="16"/>
  <c r="D628" i="16"/>
  <c r="U627" i="16"/>
  <c r="T627" i="16"/>
  <c r="W627" i="16" s="1"/>
  <c r="P627" i="16"/>
  <c r="F627" i="16"/>
  <c r="E627" i="16"/>
  <c r="D627" i="16"/>
  <c r="U626" i="16"/>
  <c r="T626" i="16"/>
  <c r="P626" i="16"/>
  <c r="F626" i="16"/>
  <c r="E626" i="16"/>
  <c r="D626" i="16"/>
  <c r="U625" i="16"/>
  <c r="T625" i="16"/>
  <c r="P625" i="16"/>
  <c r="F625" i="16"/>
  <c r="E625" i="16"/>
  <c r="D625" i="16"/>
  <c r="U624" i="16"/>
  <c r="T624" i="16"/>
  <c r="P624" i="16"/>
  <c r="F624" i="16"/>
  <c r="E624" i="16"/>
  <c r="D624" i="16"/>
  <c r="U623" i="16"/>
  <c r="V623" i="16" s="1"/>
  <c r="T623" i="16"/>
  <c r="W623" i="16" s="1"/>
  <c r="P623" i="16"/>
  <c r="F623" i="16"/>
  <c r="E623" i="16"/>
  <c r="D623" i="16"/>
  <c r="W622" i="16"/>
  <c r="U622" i="16"/>
  <c r="V622" i="16" s="1"/>
  <c r="T622" i="16"/>
  <c r="P622" i="16"/>
  <c r="F622" i="16"/>
  <c r="E622" i="16"/>
  <c r="D622" i="16"/>
  <c r="U621" i="16"/>
  <c r="T621" i="16"/>
  <c r="P621" i="16"/>
  <c r="F621" i="16"/>
  <c r="E621" i="16"/>
  <c r="D621" i="16"/>
  <c r="U620" i="16"/>
  <c r="T620" i="16"/>
  <c r="P620" i="16"/>
  <c r="F620" i="16"/>
  <c r="E620" i="16"/>
  <c r="D620" i="16"/>
  <c r="U619" i="16"/>
  <c r="T619" i="16"/>
  <c r="P619" i="16"/>
  <c r="F619" i="16"/>
  <c r="E619" i="16"/>
  <c r="D619" i="16"/>
  <c r="W618" i="16"/>
  <c r="V618" i="16"/>
  <c r="U618" i="16"/>
  <c r="T618" i="16"/>
  <c r="P618" i="16"/>
  <c r="F618" i="16"/>
  <c r="E618" i="16"/>
  <c r="D618" i="16"/>
  <c r="U617" i="16"/>
  <c r="T617" i="16"/>
  <c r="P617" i="16"/>
  <c r="F617" i="16"/>
  <c r="E617" i="16"/>
  <c r="D617" i="16"/>
  <c r="U616" i="16"/>
  <c r="T616" i="16"/>
  <c r="P616" i="16"/>
  <c r="F616" i="16"/>
  <c r="E616" i="16"/>
  <c r="D616" i="16"/>
  <c r="U615" i="16"/>
  <c r="V615" i="16" s="1"/>
  <c r="T615" i="16"/>
  <c r="W615" i="16" s="1"/>
  <c r="P615" i="16"/>
  <c r="F615" i="16"/>
  <c r="E615" i="16"/>
  <c r="D615" i="16"/>
  <c r="U614" i="16"/>
  <c r="T614" i="16"/>
  <c r="W614" i="16" s="1"/>
  <c r="P614" i="16"/>
  <c r="F614" i="16"/>
  <c r="E614" i="16"/>
  <c r="D614" i="16"/>
  <c r="U613" i="16"/>
  <c r="T613" i="16"/>
  <c r="P613" i="16"/>
  <c r="F613" i="16"/>
  <c r="E613" i="16"/>
  <c r="D613" i="16"/>
  <c r="W612" i="16"/>
  <c r="V612" i="16"/>
  <c r="U612" i="16"/>
  <c r="T612" i="16"/>
  <c r="P612" i="16"/>
  <c r="F612" i="16"/>
  <c r="E612" i="16"/>
  <c r="D612" i="16"/>
  <c r="U611" i="16"/>
  <c r="T611" i="16"/>
  <c r="W611" i="16" s="1"/>
  <c r="P611" i="16"/>
  <c r="F611" i="16"/>
  <c r="E611" i="16"/>
  <c r="D611" i="16"/>
  <c r="U610" i="16"/>
  <c r="T610" i="16"/>
  <c r="P610" i="16"/>
  <c r="F610" i="16"/>
  <c r="E610" i="16"/>
  <c r="D610" i="16"/>
  <c r="U609" i="16"/>
  <c r="T609" i="16"/>
  <c r="P609" i="16"/>
  <c r="F609" i="16"/>
  <c r="E609" i="16"/>
  <c r="D609" i="16"/>
  <c r="U608" i="16"/>
  <c r="V608" i="16" s="1"/>
  <c r="T608" i="16"/>
  <c r="W608" i="16" s="1"/>
  <c r="P608" i="16"/>
  <c r="F608" i="16"/>
  <c r="E608" i="16"/>
  <c r="D608" i="16"/>
  <c r="W607" i="16"/>
  <c r="V607" i="16"/>
  <c r="U607" i="16"/>
  <c r="T607" i="16"/>
  <c r="P607" i="16"/>
  <c r="F607" i="16"/>
  <c r="E607" i="16"/>
  <c r="D607" i="16"/>
  <c r="U606" i="16"/>
  <c r="V606" i="16" s="1"/>
  <c r="T606" i="16"/>
  <c r="P606" i="16"/>
  <c r="F606" i="16"/>
  <c r="E606" i="16"/>
  <c r="D606" i="16"/>
  <c r="V605" i="16"/>
  <c r="U605" i="16"/>
  <c r="T605" i="16"/>
  <c r="P605" i="16"/>
  <c r="F605" i="16"/>
  <c r="E605" i="16"/>
  <c r="D605" i="16"/>
  <c r="U604" i="16"/>
  <c r="T604" i="16"/>
  <c r="P604" i="16"/>
  <c r="F604" i="16"/>
  <c r="E604" i="16"/>
  <c r="D604" i="16"/>
  <c r="U603" i="16"/>
  <c r="T603" i="16"/>
  <c r="P603" i="16"/>
  <c r="F603" i="16"/>
  <c r="E603" i="16"/>
  <c r="D603" i="16"/>
  <c r="U602" i="16"/>
  <c r="T602" i="16"/>
  <c r="P602" i="16"/>
  <c r="F602" i="16"/>
  <c r="E602" i="16"/>
  <c r="D602" i="16"/>
  <c r="V601" i="16"/>
  <c r="U601" i="16"/>
  <c r="T601" i="16"/>
  <c r="P601" i="16"/>
  <c r="F601" i="16"/>
  <c r="E601" i="16"/>
  <c r="D601" i="16"/>
  <c r="V600" i="16"/>
  <c r="W600" i="16" s="1"/>
  <c r="U600" i="16"/>
  <c r="T600" i="16"/>
  <c r="P600" i="16"/>
  <c r="F600" i="16"/>
  <c r="E600" i="16"/>
  <c r="D600" i="16"/>
  <c r="U599" i="16"/>
  <c r="T599" i="16"/>
  <c r="P599" i="16"/>
  <c r="F599" i="16"/>
  <c r="E599" i="16"/>
  <c r="D599" i="16"/>
  <c r="U598" i="16"/>
  <c r="T598" i="16"/>
  <c r="P598" i="16"/>
  <c r="F598" i="16"/>
  <c r="E598" i="16"/>
  <c r="D598" i="16"/>
  <c r="U597" i="16"/>
  <c r="V597" i="16" s="1"/>
  <c r="W597" i="16" s="1"/>
  <c r="T597" i="16"/>
  <c r="P597" i="16"/>
  <c r="F597" i="16"/>
  <c r="E597" i="16"/>
  <c r="D597" i="16"/>
  <c r="V596" i="16"/>
  <c r="U596" i="16"/>
  <c r="T596" i="16"/>
  <c r="P596" i="16"/>
  <c r="F596" i="16"/>
  <c r="E596" i="16"/>
  <c r="D596" i="16"/>
  <c r="U595" i="16"/>
  <c r="T595" i="16"/>
  <c r="P595" i="16"/>
  <c r="F595" i="16"/>
  <c r="E595" i="16"/>
  <c r="D595" i="16"/>
  <c r="U594" i="16"/>
  <c r="T594" i="16"/>
  <c r="V594" i="16" s="1"/>
  <c r="W594" i="16" s="1"/>
  <c r="P594" i="16"/>
  <c r="F594" i="16"/>
  <c r="E594" i="16"/>
  <c r="D594" i="16"/>
  <c r="U593" i="16"/>
  <c r="T593" i="16"/>
  <c r="P593" i="16"/>
  <c r="F593" i="16"/>
  <c r="E593" i="16"/>
  <c r="D593" i="16"/>
  <c r="U592" i="16"/>
  <c r="T592" i="16"/>
  <c r="P592" i="16"/>
  <c r="F592" i="16"/>
  <c r="E592" i="16"/>
  <c r="D592" i="16"/>
  <c r="U591" i="16"/>
  <c r="T591" i="16"/>
  <c r="P591" i="16"/>
  <c r="F591" i="16"/>
  <c r="E591" i="16"/>
  <c r="D591" i="16"/>
  <c r="U590" i="16"/>
  <c r="T590" i="16"/>
  <c r="V590" i="16" s="1"/>
  <c r="P590" i="16"/>
  <c r="F590" i="16"/>
  <c r="E590" i="16"/>
  <c r="D590" i="16"/>
  <c r="U589" i="16"/>
  <c r="T589" i="16"/>
  <c r="V589" i="16" s="1"/>
  <c r="W589" i="16" s="1"/>
  <c r="P589" i="16"/>
  <c r="F589" i="16"/>
  <c r="E589" i="16"/>
  <c r="D589" i="16"/>
  <c r="U588" i="16"/>
  <c r="T588" i="16"/>
  <c r="P588" i="16"/>
  <c r="F588" i="16"/>
  <c r="E588" i="16"/>
  <c r="D588" i="16"/>
  <c r="U587" i="16"/>
  <c r="T587" i="16"/>
  <c r="P587" i="16"/>
  <c r="F587" i="16"/>
  <c r="E587" i="16"/>
  <c r="D587" i="16"/>
  <c r="V586" i="16"/>
  <c r="W586" i="16" s="1"/>
  <c r="U586" i="16"/>
  <c r="T586" i="16"/>
  <c r="P586" i="16"/>
  <c r="F586" i="16"/>
  <c r="E586" i="16"/>
  <c r="D586" i="16"/>
  <c r="U585" i="16"/>
  <c r="T585" i="16"/>
  <c r="V585" i="16" s="1"/>
  <c r="P585" i="16"/>
  <c r="F585" i="16"/>
  <c r="E585" i="16"/>
  <c r="D585" i="16"/>
  <c r="U584" i="16"/>
  <c r="T584" i="16"/>
  <c r="P584" i="16"/>
  <c r="F584" i="16"/>
  <c r="E584" i="16"/>
  <c r="D584" i="16"/>
  <c r="U583" i="16"/>
  <c r="T583" i="16"/>
  <c r="P583" i="16"/>
  <c r="F583" i="16"/>
  <c r="E583" i="16"/>
  <c r="D583" i="16"/>
  <c r="V582" i="16"/>
  <c r="W582" i="16" s="1"/>
  <c r="U582" i="16"/>
  <c r="T582" i="16"/>
  <c r="P582" i="16"/>
  <c r="F582" i="16"/>
  <c r="E582" i="16"/>
  <c r="D582" i="16"/>
  <c r="U581" i="16"/>
  <c r="T581" i="16"/>
  <c r="P581" i="16"/>
  <c r="F581" i="16"/>
  <c r="E581" i="16"/>
  <c r="D581" i="16"/>
  <c r="U580" i="16"/>
  <c r="V580" i="16" s="1"/>
  <c r="T580" i="16"/>
  <c r="P580" i="16"/>
  <c r="F580" i="16"/>
  <c r="E580" i="16"/>
  <c r="D580" i="16"/>
  <c r="V579" i="16"/>
  <c r="U579" i="16"/>
  <c r="T579" i="16"/>
  <c r="P579" i="16"/>
  <c r="F579" i="16"/>
  <c r="E579" i="16"/>
  <c r="D579" i="16"/>
  <c r="U578" i="16"/>
  <c r="T578" i="16"/>
  <c r="P578" i="16"/>
  <c r="F578" i="16"/>
  <c r="E578" i="16"/>
  <c r="D578" i="16"/>
  <c r="U577" i="16"/>
  <c r="T577" i="16"/>
  <c r="P577" i="16"/>
  <c r="F577" i="16"/>
  <c r="E577" i="16"/>
  <c r="D577" i="16"/>
  <c r="U576" i="16"/>
  <c r="T576" i="16"/>
  <c r="P576" i="16"/>
  <c r="F576" i="16"/>
  <c r="E576" i="16"/>
  <c r="D576" i="16"/>
  <c r="U575" i="16"/>
  <c r="T575" i="16"/>
  <c r="V575" i="16" s="1"/>
  <c r="P575" i="16"/>
  <c r="F575" i="16"/>
  <c r="E575" i="16"/>
  <c r="D575" i="16"/>
  <c r="W574" i="16"/>
  <c r="U574" i="16"/>
  <c r="T574" i="16"/>
  <c r="V574" i="16" s="1"/>
  <c r="P574" i="16"/>
  <c r="F574" i="16"/>
  <c r="E574" i="16"/>
  <c r="D574" i="16"/>
  <c r="U573" i="16"/>
  <c r="T573" i="16"/>
  <c r="P573" i="16"/>
  <c r="F573" i="16"/>
  <c r="E573" i="16"/>
  <c r="D573" i="16"/>
  <c r="U572" i="16"/>
  <c r="T572" i="16"/>
  <c r="P572" i="16"/>
  <c r="F572" i="16"/>
  <c r="E572" i="16"/>
  <c r="D572" i="16"/>
  <c r="V571" i="16"/>
  <c r="W571" i="16" s="1"/>
  <c r="U571" i="16"/>
  <c r="T571" i="16"/>
  <c r="P571" i="16"/>
  <c r="F571" i="16"/>
  <c r="E571" i="16"/>
  <c r="D571" i="16"/>
  <c r="U570" i="16"/>
  <c r="T570" i="16"/>
  <c r="P570" i="16"/>
  <c r="F570" i="16"/>
  <c r="E570" i="16"/>
  <c r="D570" i="16"/>
  <c r="U569" i="16"/>
  <c r="T569" i="16"/>
  <c r="V569" i="16" s="1"/>
  <c r="P569" i="16"/>
  <c r="F569" i="16"/>
  <c r="E569" i="16"/>
  <c r="D569" i="16"/>
  <c r="V568" i="16"/>
  <c r="W568" i="16" s="1"/>
  <c r="U568" i="16"/>
  <c r="T568" i="16"/>
  <c r="P568" i="16"/>
  <c r="F568" i="16"/>
  <c r="E568" i="16"/>
  <c r="D568" i="16"/>
  <c r="U567" i="16"/>
  <c r="T567" i="16"/>
  <c r="P567" i="16"/>
  <c r="F567" i="16"/>
  <c r="E567" i="16"/>
  <c r="D567" i="16"/>
  <c r="U566" i="16"/>
  <c r="T566" i="16"/>
  <c r="P566" i="16"/>
  <c r="F566" i="16"/>
  <c r="E566" i="16"/>
  <c r="D566" i="16"/>
  <c r="U565" i="16"/>
  <c r="V565" i="16" s="1"/>
  <c r="W565" i="16" s="1"/>
  <c r="T565" i="16"/>
  <c r="P565" i="16"/>
  <c r="F565" i="16"/>
  <c r="E565" i="16"/>
  <c r="D565" i="16"/>
  <c r="U564" i="16"/>
  <c r="T564" i="16"/>
  <c r="V564" i="16" s="1"/>
  <c r="P564" i="16"/>
  <c r="F564" i="16"/>
  <c r="E564" i="16"/>
  <c r="D564" i="16"/>
  <c r="U563" i="16"/>
  <c r="T563" i="16"/>
  <c r="P563" i="16"/>
  <c r="F563" i="16"/>
  <c r="E563" i="16"/>
  <c r="D563" i="16"/>
  <c r="U562" i="16"/>
  <c r="T562" i="16"/>
  <c r="P562" i="16"/>
  <c r="F562" i="16"/>
  <c r="E562" i="16"/>
  <c r="D562" i="16"/>
  <c r="V561" i="16"/>
  <c r="W561" i="16" s="1"/>
  <c r="U561" i="16"/>
  <c r="T561" i="16"/>
  <c r="P561" i="16"/>
  <c r="F561" i="16"/>
  <c r="E561" i="16"/>
  <c r="D561" i="16"/>
  <c r="V560" i="16"/>
  <c r="U560" i="16"/>
  <c r="T560" i="16"/>
  <c r="P560" i="16"/>
  <c r="F560" i="16"/>
  <c r="E560" i="16"/>
  <c r="D560" i="16"/>
  <c r="U559" i="16"/>
  <c r="T559" i="16"/>
  <c r="P559" i="16"/>
  <c r="F559" i="16"/>
  <c r="E559" i="16"/>
  <c r="D559" i="16"/>
  <c r="U558" i="16"/>
  <c r="V558" i="16" s="1"/>
  <c r="T558" i="16"/>
  <c r="P558" i="16"/>
  <c r="F558" i="16"/>
  <c r="E558" i="16"/>
  <c r="D558" i="16"/>
  <c r="U557" i="16"/>
  <c r="T557" i="16"/>
  <c r="P557" i="16"/>
  <c r="F557" i="16"/>
  <c r="E557" i="16"/>
  <c r="D557" i="16"/>
  <c r="U556" i="16"/>
  <c r="T556" i="16"/>
  <c r="P556" i="16"/>
  <c r="F556" i="16"/>
  <c r="E556" i="16"/>
  <c r="D556" i="16"/>
  <c r="V555" i="16"/>
  <c r="U555" i="16"/>
  <c r="T555" i="16"/>
  <c r="P555" i="16"/>
  <c r="F555" i="16"/>
  <c r="E555" i="16"/>
  <c r="D555" i="16"/>
  <c r="U554" i="16"/>
  <c r="T554" i="16"/>
  <c r="P554" i="16"/>
  <c r="F554" i="16"/>
  <c r="E554" i="16"/>
  <c r="D554" i="16"/>
  <c r="U553" i="16"/>
  <c r="T553" i="16"/>
  <c r="P553" i="16"/>
  <c r="F553" i="16"/>
  <c r="E553" i="16"/>
  <c r="D553" i="16"/>
  <c r="U552" i="16"/>
  <c r="T552" i="16"/>
  <c r="P552" i="16"/>
  <c r="F552" i="16"/>
  <c r="E552" i="16"/>
  <c r="D552" i="16"/>
  <c r="U551" i="16"/>
  <c r="T551" i="16"/>
  <c r="P551" i="16"/>
  <c r="F551" i="16"/>
  <c r="E551" i="16"/>
  <c r="D551" i="16"/>
  <c r="U550" i="16"/>
  <c r="T550" i="16"/>
  <c r="V550" i="16" s="1"/>
  <c r="W550" i="16" s="1"/>
  <c r="P550" i="16"/>
  <c r="F550" i="16"/>
  <c r="E550" i="16"/>
  <c r="D550" i="16"/>
  <c r="U549" i="16"/>
  <c r="T549" i="16"/>
  <c r="P549" i="16"/>
  <c r="F549" i="16"/>
  <c r="E549" i="16"/>
  <c r="D549" i="16"/>
  <c r="U548" i="16"/>
  <c r="T548" i="16"/>
  <c r="V548" i="16" s="1"/>
  <c r="P548" i="16"/>
  <c r="F548" i="16"/>
  <c r="E548" i="16"/>
  <c r="D548" i="16"/>
  <c r="U547" i="16"/>
  <c r="T547" i="16"/>
  <c r="P547" i="16"/>
  <c r="F547" i="16"/>
  <c r="E547" i="16"/>
  <c r="D547" i="16"/>
  <c r="W546" i="16"/>
  <c r="V546" i="16"/>
  <c r="U546" i="16"/>
  <c r="T546" i="16"/>
  <c r="P546" i="16"/>
  <c r="F546" i="16"/>
  <c r="E546" i="16"/>
  <c r="D546" i="16"/>
  <c r="U545" i="16"/>
  <c r="T545" i="16"/>
  <c r="P545" i="16"/>
  <c r="F545" i="16"/>
  <c r="E545" i="16"/>
  <c r="D545" i="16"/>
  <c r="U544" i="16"/>
  <c r="T544" i="16"/>
  <c r="P544" i="16"/>
  <c r="F544" i="16"/>
  <c r="E544" i="16"/>
  <c r="D544" i="16"/>
  <c r="U543" i="16"/>
  <c r="T543" i="16"/>
  <c r="V543" i="16" s="1"/>
  <c r="W543" i="16" s="1"/>
  <c r="P543" i="16"/>
  <c r="F543" i="16"/>
  <c r="E543" i="16"/>
  <c r="D543" i="16"/>
  <c r="U542" i="16"/>
  <c r="T542" i="16"/>
  <c r="P542" i="16"/>
  <c r="F542" i="16"/>
  <c r="E542" i="16"/>
  <c r="D542" i="16"/>
  <c r="U541" i="16"/>
  <c r="T541" i="16"/>
  <c r="P541" i="16"/>
  <c r="F541" i="16"/>
  <c r="E541" i="16"/>
  <c r="D541" i="16"/>
  <c r="U540" i="16"/>
  <c r="T540" i="16"/>
  <c r="P540" i="16"/>
  <c r="F540" i="16"/>
  <c r="E540" i="16"/>
  <c r="D540" i="16"/>
  <c r="U539" i="16"/>
  <c r="T539" i="16"/>
  <c r="P539" i="16"/>
  <c r="F539" i="16"/>
  <c r="E539" i="16"/>
  <c r="D539" i="16"/>
  <c r="U538" i="16"/>
  <c r="T538" i="16"/>
  <c r="P538" i="16"/>
  <c r="F538" i="16"/>
  <c r="E538" i="16"/>
  <c r="D538" i="16"/>
  <c r="V537" i="16"/>
  <c r="W537" i="16" s="1"/>
  <c r="U537" i="16"/>
  <c r="T537" i="16"/>
  <c r="P537" i="16"/>
  <c r="F537" i="16"/>
  <c r="E537" i="16"/>
  <c r="D537" i="16"/>
  <c r="U536" i="16"/>
  <c r="V536" i="16" s="1"/>
  <c r="T536" i="16"/>
  <c r="P536" i="16"/>
  <c r="F536" i="16"/>
  <c r="E536" i="16"/>
  <c r="D536" i="16"/>
  <c r="U535" i="16"/>
  <c r="V535" i="16" s="1"/>
  <c r="W535" i="16" s="1"/>
  <c r="T535" i="16"/>
  <c r="P535" i="16"/>
  <c r="F535" i="16"/>
  <c r="E535" i="16"/>
  <c r="D535" i="16"/>
  <c r="U534" i="16"/>
  <c r="T534" i="16"/>
  <c r="P534" i="16"/>
  <c r="F534" i="16"/>
  <c r="E534" i="16"/>
  <c r="D534" i="16"/>
  <c r="U533" i="16"/>
  <c r="T533" i="16"/>
  <c r="P533" i="16"/>
  <c r="F533" i="16"/>
  <c r="E533" i="16"/>
  <c r="D533" i="16"/>
  <c r="U532" i="16"/>
  <c r="T532" i="16"/>
  <c r="V532" i="16" s="1"/>
  <c r="W532" i="16" s="1"/>
  <c r="P532" i="16"/>
  <c r="F532" i="16"/>
  <c r="E532" i="16"/>
  <c r="D532" i="16"/>
  <c r="U531" i="16"/>
  <c r="T531" i="16"/>
  <c r="P531" i="16"/>
  <c r="F531" i="16"/>
  <c r="E531" i="16"/>
  <c r="D531" i="16"/>
  <c r="U530" i="16"/>
  <c r="T530" i="16"/>
  <c r="P530" i="16"/>
  <c r="F530" i="16"/>
  <c r="E530" i="16"/>
  <c r="D530" i="16"/>
  <c r="U529" i="16"/>
  <c r="T529" i="16"/>
  <c r="P529" i="16"/>
  <c r="F529" i="16"/>
  <c r="E529" i="16"/>
  <c r="D529" i="16"/>
  <c r="U528" i="16"/>
  <c r="T528" i="16"/>
  <c r="P528" i="16"/>
  <c r="F528" i="16"/>
  <c r="E528" i="16"/>
  <c r="D528" i="16"/>
  <c r="U527" i="16"/>
  <c r="T527" i="16"/>
  <c r="P527" i="16"/>
  <c r="F527" i="16"/>
  <c r="E527" i="16"/>
  <c r="D527" i="16"/>
  <c r="V526" i="16"/>
  <c r="W526" i="16" s="1"/>
  <c r="U526" i="16"/>
  <c r="T526" i="16"/>
  <c r="P526" i="16"/>
  <c r="F526" i="16"/>
  <c r="E526" i="16"/>
  <c r="D526" i="16"/>
  <c r="U525" i="16"/>
  <c r="V525" i="16" s="1"/>
  <c r="W525" i="16" s="1"/>
  <c r="T525" i="16"/>
  <c r="P525" i="16"/>
  <c r="F525" i="16"/>
  <c r="E525" i="16"/>
  <c r="D525" i="16"/>
  <c r="U524" i="16"/>
  <c r="T524" i="16"/>
  <c r="V524" i="16" s="1"/>
  <c r="P524" i="16"/>
  <c r="F524" i="16"/>
  <c r="E524" i="16"/>
  <c r="D524" i="16"/>
  <c r="U523" i="16"/>
  <c r="T523" i="16"/>
  <c r="P523" i="16"/>
  <c r="F523" i="16"/>
  <c r="E523" i="16"/>
  <c r="D523" i="16"/>
  <c r="U522" i="16"/>
  <c r="T522" i="16"/>
  <c r="P522" i="16"/>
  <c r="F522" i="16"/>
  <c r="E522" i="16"/>
  <c r="D522" i="16"/>
  <c r="U521" i="16"/>
  <c r="V521" i="16" s="1"/>
  <c r="T521" i="16"/>
  <c r="P521" i="16"/>
  <c r="F521" i="16"/>
  <c r="E521" i="16"/>
  <c r="D521" i="16"/>
  <c r="U520" i="16"/>
  <c r="T520" i="16"/>
  <c r="P520" i="16"/>
  <c r="F520" i="16"/>
  <c r="E520" i="16"/>
  <c r="D520" i="16"/>
  <c r="U519" i="16"/>
  <c r="T519" i="16"/>
  <c r="V519" i="16" s="1"/>
  <c r="P519" i="16"/>
  <c r="F519" i="16"/>
  <c r="E519" i="16"/>
  <c r="D519" i="16"/>
  <c r="U518" i="16"/>
  <c r="T518" i="16"/>
  <c r="P518" i="16"/>
  <c r="F518" i="16"/>
  <c r="E518" i="16"/>
  <c r="D518" i="16"/>
  <c r="U517" i="16"/>
  <c r="T517" i="16"/>
  <c r="V517" i="16" s="1"/>
  <c r="P517" i="16"/>
  <c r="F517" i="16"/>
  <c r="E517" i="16"/>
  <c r="D517" i="16"/>
  <c r="U516" i="16"/>
  <c r="T516" i="16"/>
  <c r="P516" i="16"/>
  <c r="F516" i="16"/>
  <c r="E516" i="16"/>
  <c r="D516" i="16"/>
  <c r="U515" i="16"/>
  <c r="T515" i="16"/>
  <c r="P515" i="16"/>
  <c r="F515" i="16"/>
  <c r="E515" i="16"/>
  <c r="D515" i="16"/>
  <c r="U514" i="16"/>
  <c r="V514" i="16" s="1"/>
  <c r="W514" i="16" s="1"/>
  <c r="T514" i="16"/>
  <c r="P514" i="16"/>
  <c r="F514" i="16"/>
  <c r="E514" i="16"/>
  <c r="D514" i="16"/>
  <c r="U513" i="16"/>
  <c r="T513" i="16"/>
  <c r="P513" i="16"/>
  <c r="F513" i="16"/>
  <c r="E513" i="16"/>
  <c r="D513" i="16"/>
  <c r="U512" i="16"/>
  <c r="T512" i="16"/>
  <c r="V512" i="16" s="1"/>
  <c r="P512" i="16"/>
  <c r="F512" i="16"/>
  <c r="E512" i="16"/>
  <c r="D512" i="16"/>
  <c r="U511" i="16"/>
  <c r="T511" i="16"/>
  <c r="P511" i="16"/>
  <c r="F511" i="16"/>
  <c r="E511" i="16"/>
  <c r="D511" i="16"/>
  <c r="V510" i="16"/>
  <c r="W510" i="16" s="1"/>
  <c r="U510" i="16"/>
  <c r="T510" i="16"/>
  <c r="P510" i="16"/>
  <c r="F510" i="16"/>
  <c r="E510" i="16"/>
  <c r="D510" i="16"/>
  <c r="U509" i="16"/>
  <c r="T509" i="16"/>
  <c r="P509" i="16"/>
  <c r="F509" i="16"/>
  <c r="E509" i="16"/>
  <c r="D509" i="16"/>
  <c r="U508" i="16"/>
  <c r="T508" i="16"/>
  <c r="V508" i="16" s="1"/>
  <c r="P508" i="16"/>
  <c r="F508" i="16"/>
  <c r="E508" i="16"/>
  <c r="D508" i="16"/>
  <c r="U507" i="16"/>
  <c r="T507" i="16"/>
  <c r="V507" i="16" s="1"/>
  <c r="W507" i="16" s="1"/>
  <c r="P507" i="16"/>
  <c r="F507" i="16"/>
  <c r="E507" i="16"/>
  <c r="D507" i="16"/>
  <c r="U506" i="16"/>
  <c r="T506" i="16"/>
  <c r="P506" i="16"/>
  <c r="F506" i="16"/>
  <c r="E506" i="16"/>
  <c r="D506" i="16"/>
  <c r="U505" i="16"/>
  <c r="T505" i="16"/>
  <c r="P505" i="16"/>
  <c r="F505" i="16"/>
  <c r="E505" i="16"/>
  <c r="D505" i="16"/>
  <c r="U504" i="16"/>
  <c r="T504" i="16"/>
  <c r="P504" i="16"/>
  <c r="F504" i="16"/>
  <c r="E504" i="16"/>
  <c r="D504" i="16"/>
  <c r="U503" i="16"/>
  <c r="T503" i="16"/>
  <c r="P503" i="16"/>
  <c r="F503" i="16"/>
  <c r="E503" i="16"/>
  <c r="D503" i="16"/>
  <c r="U502" i="16"/>
  <c r="T502" i="16"/>
  <c r="P502" i="16"/>
  <c r="F502" i="16"/>
  <c r="E502" i="16"/>
  <c r="D502" i="16"/>
  <c r="U501" i="16"/>
  <c r="T501" i="16"/>
  <c r="P501" i="16"/>
  <c r="F501" i="16"/>
  <c r="E501" i="16"/>
  <c r="D501" i="16"/>
  <c r="U500" i="16"/>
  <c r="V500" i="16" s="1"/>
  <c r="T500" i="16"/>
  <c r="P500" i="16"/>
  <c r="F500" i="16"/>
  <c r="E500" i="16"/>
  <c r="D500" i="16"/>
  <c r="U499" i="16"/>
  <c r="T499" i="16"/>
  <c r="V499" i="16" s="1"/>
  <c r="W499" i="16" s="1"/>
  <c r="P499" i="16"/>
  <c r="F499" i="16"/>
  <c r="E499" i="16"/>
  <c r="D499" i="16"/>
  <c r="U498" i="16"/>
  <c r="V498" i="16" s="1"/>
  <c r="T498" i="16"/>
  <c r="P498" i="16"/>
  <c r="F498" i="16"/>
  <c r="E498" i="16"/>
  <c r="D498" i="16"/>
  <c r="U497" i="16"/>
  <c r="T497" i="16"/>
  <c r="P497" i="16"/>
  <c r="F497" i="16"/>
  <c r="E497" i="16"/>
  <c r="D497" i="16"/>
  <c r="U496" i="16"/>
  <c r="V496" i="16" s="1"/>
  <c r="W496" i="16" s="1"/>
  <c r="T496" i="16"/>
  <c r="P496" i="16"/>
  <c r="F496" i="16"/>
  <c r="E496" i="16"/>
  <c r="D496" i="16"/>
  <c r="U495" i="16"/>
  <c r="T495" i="16"/>
  <c r="P495" i="16"/>
  <c r="F495" i="16"/>
  <c r="E495" i="16"/>
  <c r="D495" i="16"/>
  <c r="U494" i="16"/>
  <c r="T494" i="16"/>
  <c r="P494" i="16"/>
  <c r="F494" i="16"/>
  <c r="E494" i="16"/>
  <c r="D494" i="16"/>
  <c r="U493" i="16"/>
  <c r="T493" i="16"/>
  <c r="V493" i="16" s="1"/>
  <c r="W493" i="16" s="1"/>
  <c r="P493" i="16"/>
  <c r="F493" i="16"/>
  <c r="E493" i="16"/>
  <c r="D493" i="16"/>
  <c r="U492" i="16"/>
  <c r="T492" i="16"/>
  <c r="P492" i="16"/>
  <c r="F492" i="16"/>
  <c r="E492" i="16"/>
  <c r="D492" i="16"/>
  <c r="U491" i="16"/>
  <c r="T491" i="16"/>
  <c r="P491" i="16"/>
  <c r="F491" i="16"/>
  <c r="E491" i="16"/>
  <c r="D491" i="16"/>
  <c r="U490" i="16"/>
  <c r="T490" i="16"/>
  <c r="P490" i="16"/>
  <c r="F490" i="16"/>
  <c r="E490" i="16"/>
  <c r="D490" i="16"/>
  <c r="U489" i="16"/>
  <c r="T489" i="16"/>
  <c r="P489" i="16"/>
  <c r="F489" i="16"/>
  <c r="E489" i="16"/>
  <c r="D489" i="16"/>
  <c r="U488" i="16"/>
  <c r="T488" i="16"/>
  <c r="V488" i="16" s="1"/>
  <c r="P488" i="16"/>
  <c r="F488" i="16"/>
  <c r="E488" i="16"/>
  <c r="D488" i="16"/>
  <c r="U487" i="16"/>
  <c r="T487" i="16"/>
  <c r="P487" i="16"/>
  <c r="F487" i="16"/>
  <c r="E487" i="16"/>
  <c r="D487" i="16"/>
  <c r="U486" i="16"/>
  <c r="T486" i="16"/>
  <c r="P486" i="16"/>
  <c r="F486" i="16"/>
  <c r="E486" i="16"/>
  <c r="D486" i="16"/>
  <c r="U485" i="16"/>
  <c r="T485" i="16"/>
  <c r="P485" i="16"/>
  <c r="F485" i="16"/>
  <c r="E485" i="16"/>
  <c r="D485" i="16"/>
  <c r="U484" i="16"/>
  <c r="T484" i="16"/>
  <c r="P484" i="16"/>
  <c r="F484" i="16"/>
  <c r="E484" i="16"/>
  <c r="D484" i="16"/>
  <c r="V483" i="16"/>
  <c r="U483" i="16"/>
  <c r="T483" i="16"/>
  <c r="P483" i="16"/>
  <c r="F483" i="16"/>
  <c r="E483" i="16"/>
  <c r="D483" i="16"/>
  <c r="U482" i="16"/>
  <c r="T482" i="16"/>
  <c r="P482" i="16"/>
  <c r="F482" i="16"/>
  <c r="E482" i="16"/>
  <c r="D482" i="16"/>
  <c r="U481" i="16"/>
  <c r="V481" i="16" s="1"/>
  <c r="T481" i="16"/>
  <c r="P481" i="16"/>
  <c r="F481" i="16"/>
  <c r="E481" i="16"/>
  <c r="D481" i="16"/>
  <c r="U480" i="16"/>
  <c r="T480" i="16"/>
  <c r="P480" i="16"/>
  <c r="F480" i="16"/>
  <c r="E480" i="16"/>
  <c r="D480" i="16"/>
  <c r="U479" i="16"/>
  <c r="T479" i="16"/>
  <c r="P479" i="16"/>
  <c r="F479" i="16"/>
  <c r="E479" i="16"/>
  <c r="D479" i="16"/>
  <c r="U478" i="16"/>
  <c r="T478" i="16"/>
  <c r="V478" i="16" s="1"/>
  <c r="W478" i="16" s="1"/>
  <c r="P478" i="16"/>
  <c r="F478" i="16"/>
  <c r="E478" i="16"/>
  <c r="D478" i="16"/>
  <c r="U477" i="16"/>
  <c r="T477" i="16"/>
  <c r="P477" i="16"/>
  <c r="F477" i="16"/>
  <c r="E477" i="16"/>
  <c r="D477" i="16"/>
  <c r="U476" i="16"/>
  <c r="T476" i="16"/>
  <c r="P476" i="16"/>
  <c r="F476" i="16"/>
  <c r="E476" i="16"/>
  <c r="D476" i="16"/>
  <c r="U475" i="16"/>
  <c r="T475" i="16"/>
  <c r="P475" i="16"/>
  <c r="F475" i="16"/>
  <c r="E475" i="16"/>
  <c r="D475" i="16"/>
  <c r="U474" i="16"/>
  <c r="T474" i="16"/>
  <c r="P474" i="16"/>
  <c r="F474" i="16"/>
  <c r="E474" i="16"/>
  <c r="D474" i="16"/>
  <c r="U473" i="16"/>
  <c r="T473" i="16"/>
  <c r="P473" i="16"/>
  <c r="F473" i="16"/>
  <c r="E473" i="16"/>
  <c r="D473" i="16"/>
  <c r="U472" i="16"/>
  <c r="T472" i="16"/>
  <c r="P472" i="16"/>
  <c r="F472" i="16"/>
  <c r="E472" i="16"/>
  <c r="D472" i="16"/>
  <c r="U471" i="16"/>
  <c r="V471" i="16" s="1"/>
  <c r="W471" i="16" s="1"/>
  <c r="T471" i="16"/>
  <c r="P471" i="16"/>
  <c r="F471" i="16"/>
  <c r="E471" i="16"/>
  <c r="D471" i="16"/>
  <c r="U470" i="16"/>
  <c r="T470" i="16"/>
  <c r="P470" i="16"/>
  <c r="F470" i="16"/>
  <c r="E470" i="16"/>
  <c r="D470" i="16"/>
  <c r="U469" i="16"/>
  <c r="T469" i="16"/>
  <c r="P469" i="16"/>
  <c r="F469" i="16"/>
  <c r="E469" i="16"/>
  <c r="D469" i="16"/>
  <c r="V468" i="16"/>
  <c r="W468" i="16" s="1"/>
  <c r="U468" i="16"/>
  <c r="T468" i="16"/>
  <c r="P468" i="16"/>
  <c r="F468" i="16"/>
  <c r="E468" i="16"/>
  <c r="D468" i="16"/>
  <c r="U467" i="16"/>
  <c r="V467" i="16" s="1"/>
  <c r="T467" i="16"/>
  <c r="P467" i="16"/>
  <c r="F467" i="16"/>
  <c r="E467" i="16"/>
  <c r="D467" i="16"/>
  <c r="U466" i="16"/>
  <c r="T466" i="16"/>
  <c r="P466" i="16"/>
  <c r="F466" i="16"/>
  <c r="E466" i="16"/>
  <c r="D466" i="16"/>
  <c r="U465" i="16"/>
  <c r="T465" i="16"/>
  <c r="P465" i="16"/>
  <c r="F465" i="16"/>
  <c r="E465" i="16"/>
  <c r="D465" i="16"/>
  <c r="U464" i="16"/>
  <c r="T464" i="16"/>
  <c r="P464" i="16"/>
  <c r="F464" i="16"/>
  <c r="E464" i="16"/>
  <c r="D464" i="16"/>
  <c r="U463" i="16"/>
  <c r="T463" i="16"/>
  <c r="P463" i="16"/>
  <c r="F463" i="16"/>
  <c r="E463" i="16"/>
  <c r="D463" i="16"/>
  <c r="U462" i="16"/>
  <c r="T462" i="16"/>
  <c r="P462" i="16"/>
  <c r="F462" i="16"/>
  <c r="E462" i="16"/>
  <c r="D462" i="16"/>
  <c r="U461" i="16"/>
  <c r="V461" i="16" s="1"/>
  <c r="T461" i="16"/>
  <c r="P461" i="16"/>
  <c r="F461" i="16"/>
  <c r="E461" i="16"/>
  <c r="D461" i="16"/>
  <c r="U460" i="16"/>
  <c r="T460" i="16"/>
  <c r="P460" i="16"/>
  <c r="F460" i="16"/>
  <c r="E460" i="16"/>
  <c r="D460" i="16"/>
  <c r="U459" i="16"/>
  <c r="T459" i="16"/>
  <c r="V459" i="16" s="1"/>
  <c r="P459" i="16"/>
  <c r="F459" i="16"/>
  <c r="E459" i="16"/>
  <c r="D459" i="16"/>
  <c r="U458" i="16"/>
  <c r="T458" i="16"/>
  <c r="P458" i="16"/>
  <c r="F458" i="16"/>
  <c r="E458" i="16"/>
  <c r="D458" i="16"/>
  <c r="U457" i="16"/>
  <c r="T457" i="16"/>
  <c r="P457" i="16"/>
  <c r="F457" i="16"/>
  <c r="E457" i="16"/>
  <c r="D457" i="16"/>
  <c r="V456" i="16"/>
  <c r="W456" i="16" s="1"/>
  <c r="U456" i="16"/>
  <c r="T456" i="16"/>
  <c r="P456" i="16"/>
  <c r="F456" i="16"/>
  <c r="E456" i="16"/>
  <c r="D456" i="16"/>
  <c r="U455" i="16"/>
  <c r="T455" i="16"/>
  <c r="P455" i="16"/>
  <c r="F455" i="16"/>
  <c r="E455" i="16"/>
  <c r="D455" i="16"/>
  <c r="U454" i="16"/>
  <c r="T454" i="16"/>
  <c r="V454" i="16" s="1"/>
  <c r="W454" i="16" s="1"/>
  <c r="P454" i="16"/>
  <c r="F454" i="16"/>
  <c r="E454" i="16"/>
  <c r="D454" i="16"/>
  <c r="U453" i="16"/>
  <c r="T453" i="16"/>
  <c r="P453" i="16"/>
  <c r="F453" i="16"/>
  <c r="E453" i="16"/>
  <c r="D453" i="16"/>
  <c r="V452" i="16"/>
  <c r="U452" i="16"/>
  <c r="T452" i="16"/>
  <c r="P452" i="16"/>
  <c r="F452" i="16"/>
  <c r="E452" i="16"/>
  <c r="D452" i="16"/>
  <c r="U451" i="16"/>
  <c r="V451" i="16" s="1"/>
  <c r="T451" i="16"/>
  <c r="P451" i="16"/>
  <c r="F451" i="16"/>
  <c r="E451" i="16"/>
  <c r="D451" i="16"/>
  <c r="V450" i="16"/>
  <c r="W450" i="16" s="1"/>
  <c r="U450" i="16"/>
  <c r="T450" i="16"/>
  <c r="P450" i="16"/>
  <c r="F450" i="16"/>
  <c r="E450" i="16"/>
  <c r="D450" i="16"/>
  <c r="U449" i="16"/>
  <c r="T449" i="16"/>
  <c r="P449" i="16"/>
  <c r="F449" i="16"/>
  <c r="E449" i="16"/>
  <c r="D449" i="16"/>
  <c r="U448" i="16"/>
  <c r="T448" i="16"/>
  <c r="P448" i="16"/>
  <c r="F448" i="16"/>
  <c r="E448" i="16"/>
  <c r="D448" i="16"/>
  <c r="V447" i="16"/>
  <c r="U447" i="16"/>
  <c r="T447" i="16"/>
  <c r="P447" i="16"/>
  <c r="F447" i="16"/>
  <c r="E447" i="16"/>
  <c r="D447" i="16"/>
  <c r="U446" i="16"/>
  <c r="T446" i="16"/>
  <c r="P446" i="16"/>
  <c r="F446" i="16"/>
  <c r="E446" i="16"/>
  <c r="D446" i="16"/>
  <c r="V445" i="16"/>
  <c r="W445" i="16" s="1"/>
  <c r="U445" i="16"/>
  <c r="T445" i="16"/>
  <c r="P445" i="16"/>
  <c r="F445" i="16"/>
  <c r="E445" i="16"/>
  <c r="D445" i="16"/>
  <c r="U444" i="16"/>
  <c r="T444" i="16"/>
  <c r="P444" i="16"/>
  <c r="F444" i="16"/>
  <c r="E444" i="16"/>
  <c r="D444" i="16"/>
  <c r="U443" i="16"/>
  <c r="T443" i="16"/>
  <c r="P443" i="16"/>
  <c r="F443" i="16"/>
  <c r="E443" i="16"/>
  <c r="D443" i="16"/>
  <c r="U442" i="16"/>
  <c r="V442" i="16" s="1"/>
  <c r="W442" i="16" s="1"/>
  <c r="T442" i="16"/>
  <c r="P442" i="16"/>
  <c r="F442" i="16"/>
  <c r="E442" i="16"/>
  <c r="D442" i="16"/>
  <c r="U441" i="16"/>
  <c r="T441" i="16"/>
  <c r="P441" i="16"/>
  <c r="F441" i="16"/>
  <c r="E441" i="16"/>
  <c r="D441" i="16"/>
  <c r="V440" i="16"/>
  <c r="U440" i="16"/>
  <c r="T440" i="16"/>
  <c r="P440" i="16"/>
  <c r="F440" i="16"/>
  <c r="E440" i="16"/>
  <c r="D440" i="16"/>
  <c r="U439" i="16"/>
  <c r="T439" i="16"/>
  <c r="P439" i="16"/>
  <c r="F439" i="16"/>
  <c r="E439" i="16"/>
  <c r="D439" i="16"/>
  <c r="U438" i="16"/>
  <c r="T438" i="16"/>
  <c r="P438" i="16"/>
  <c r="F438" i="16"/>
  <c r="E438" i="16"/>
  <c r="D438" i="16"/>
  <c r="U437" i="16"/>
  <c r="T437" i="16"/>
  <c r="P437" i="16"/>
  <c r="F437" i="16"/>
  <c r="E437" i="16"/>
  <c r="D437" i="16"/>
  <c r="U436" i="16"/>
  <c r="T436" i="16"/>
  <c r="P436" i="16"/>
  <c r="F436" i="16"/>
  <c r="E436" i="16"/>
  <c r="D436" i="16"/>
  <c r="U435" i="16"/>
  <c r="V435" i="16" s="1"/>
  <c r="W435" i="16" s="1"/>
  <c r="T435" i="16"/>
  <c r="P435" i="16"/>
  <c r="F435" i="16"/>
  <c r="E435" i="16"/>
  <c r="D435" i="16"/>
  <c r="U434" i="16"/>
  <c r="T434" i="16"/>
  <c r="P434" i="16"/>
  <c r="F434" i="16"/>
  <c r="E434" i="16"/>
  <c r="D434" i="16"/>
  <c r="U433" i="16"/>
  <c r="T433" i="16"/>
  <c r="P433" i="16"/>
  <c r="F433" i="16"/>
  <c r="E433" i="16"/>
  <c r="D433" i="16"/>
  <c r="U432" i="16"/>
  <c r="T432" i="16"/>
  <c r="P432" i="16"/>
  <c r="F432" i="16"/>
  <c r="E432" i="16"/>
  <c r="D432" i="16"/>
  <c r="U431" i="16"/>
  <c r="V431" i="16" s="1"/>
  <c r="T431" i="16"/>
  <c r="P431" i="16"/>
  <c r="F431" i="16"/>
  <c r="E431" i="16"/>
  <c r="D431" i="16"/>
  <c r="U430" i="16"/>
  <c r="T430" i="16"/>
  <c r="V430" i="16" s="1"/>
  <c r="P430" i="16"/>
  <c r="F430" i="16"/>
  <c r="E430" i="16"/>
  <c r="D430" i="16"/>
  <c r="U429" i="16"/>
  <c r="T429" i="16"/>
  <c r="P429" i="16"/>
  <c r="F429" i="16"/>
  <c r="E429" i="16"/>
  <c r="D429" i="16"/>
  <c r="U428" i="16"/>
  <c r="T428" i="16"/>
  <c r="P428" i="16"/>
  <c r="F428" i="16"/>
  <c r="E428" i="16"/>
  <c r="D428" i="16"/>
  <c r="W427" i="16"/>
  <c r="V427" i="16"/>
  <c r="U427" i="16"/>
  <c r="T427" i="16"/>
  <c r="P427" i="16"/>
  <c r="F427" i="16"/>
  <c r="E427" i="16"/>
  <c r="D427" i="16"/>
  <c r="U426" i="16"/>
  <c r="V426" i="16" s="1"/>
  <c r="T426" i="16"/>
  <c r="P426" i="16"/>
  <c r="F426" i="16"/>
  <c r="E426" i="16"/>
  <c r="D426" i="16"/>
  <c r="U425" i="16"/>
  <c r="V425" i="16" s="1"/>
  <c r="T425" i="16"/>
  <c r="P425" i="16"/>
  <c r="F425" i="16"/>
  <c r="E425" i="16"/>
  <c r="D425" i="16"/>
  <c r="U424" i="16"/>
  <c r="T424" i="16"/>
  <c r="P424" i="16"/>
  <c r="F424" i="16"/>
  <c r="E424" i="16"/>
  <c r="D424" i="16"/>
  <c r="U423" i="16"/>
  <c r="T423" i="16"/>
  <c r="P423" i="16"/>
  <c r="F423" i="16"/>
  <c r="E423" i="16"/>
  <c r="D423" i="16"/>
  <c r="U422" i="16"/>
  <c r="T422" i="16"/>
  <c r="P422" i="16"/>
  <c r="F422" i="16"/>
  <c r="E422" i="16"/>
  <c r="D422" i="16"/>
  <c r="W421" i="16"/>
  <c r="V421" i="16"/>
  <c r="U421" i="16"/>
  <c r="T421" i="16"/>
  <c r="P421" i="16"/>
  <c r="F421" i="16"/>
  <c r="E421" i="16"/>
  <c r="D421" i="16"/>
  <c r="U420" i="16"/>
  <c r="T420" i="16"/>
  <c r="P420" i="16"/>
  <c r="F420" i="16"/>
  <c r="E420" i="16"/>
  <c r="D420" i="16"/>
  <c r="U419" i="16"/>
  <c r="T419" i="16"/>
  <c r="P419" i="16"/>
  <c r="F419" i="16"/>
  <c r="E419" i="16"/>
  <c r="D419" i="16"/>
  <c r="U418" i="16"/>
  <c r="T418" i="16"/>
  <c r="P418" i="16"/>
  <c r="F418" i="16"/>
  <c r="E418" i="16"/>
  <c r="D418" i="16"/>
  <c r="U417" i="16"/>
  <c r="T417" i="16"/>
  <c r="P417" i="16"/>
  <c r="F417" i="16"/>
  <c r="E417" i="16"/>
  <c r="D417" i="16"/>
  <c r="V416" i="16"/>
  <c r="U416" i="16"/>
  <c r="T416" i="16"/>
  <c r="P416" i="16"/>
  <c r="F416" i="16"/>
  <c r="E416" i="16"/>
  <c r="D416" i="16"/>
  <c r="U415" i="16"/>
  <c r="T415" i="16"/>
  <c r="P415" i="16"/>
  <c r="F415" i="16"/>
  <c r="E415" i="16"/>
  <c r="D415" i="16"/>
  <c r="U414" i="16"/>
  <c r="T414" i="16"/>
  <c r="P414" i="16"/>
  <c r="F414" i="16"/>
  <c r="E414" i="16"/>
  <c r="D414" i="16"/>
  <c r="U413" i="16"/>
  <c r="T413" i="16"/>
  <c r="P413" i="16"/>
  <c r="F413" i="16"/>
  <c r="E413" i="16"/>
  <c r="D413" i="16"/>
  <c r="U412" i="16"/>
  <c r="T412" i="16"/>
  <c r="P412" i="16"/>
  <c r="F412" i="16"/>
  <c r="E412" i="16"/>
  <c r="D412" i="16"/>
  <c r="U411" i="16"/>
  <c r="V411" i="16" s="1"/>
  <c r="T411" i="16"/>
  <c r="P411" i="16"/>
  <c r="F411" i="16"/>
  <c r="E411" i="16"/>
  <c r="D411" i="16"/>
  <c r="U410" i="16"/>
  <c r="T410" i="16"/>
  <c r="P410" i="16"/>
  <c r="F410" i="16"/>
  <c r="E410" i="16"/>
  <c r="D410" i="16"/>
  <c r="U409" i="16"/>
  <c r="T409" i="16"/>
  <c r="P409" i="16"/>
  <c r="F409" i="16"/>
  <c r="E409" i="16"/>
  <c r="D409" i="16"/>
  <c r="U408" i="16"/>
  <c r="T408" i="16"/>
  <c r="P408" i="16"/>
  <c r="F408" i="16"/>
  <c r="E408" i="16"/>
  <c r="D408" i="16"/>
  <c r="U407" i="16"/>
  <c r="T407" i="16"/>
  <c r="P407" i="16"/>
  <c r="F407" i="16"/>
  <c r="E407" i="16"/>
  <c r="D407" i="16"/>
  <c r="V406" i="16"/>
  <c r="W406" i="16" s="1"/>
  <c r="U406" i="16"/>
  <c r="T406" i="16"/>
  <c r="P406" i="16"/>
  <c r="F406" i="16"/>
  <c r="E406" i="16"/>
  <c r="D406" i="16"/>
  <c r="U405" i="16"/>
  <c r="T405" i="16"/>
  <c r="P405" i="16"/>
  <c r="F405" i="16"/>
  <c r="E405" i="16"/>
  <c r="D405" i="16"/>
  <c r="U404" i="16"/>
  <c r="V404" i="16" s="1"/>
  <c r="T404" i="16"/>
  <c r="P404" i="16"/>
  <c r="F404" i="16"/>
  <c r="E404" i="16"/>
  <c r="D404" i="16"/>
  <c r="U403" i="16"/>
  <c r="T403" i="16"/>
  <c r="V403" i="16" s="1"/>
  <c r="P403" i="16"/>
  <c r="F403" i="16"/>
  <c r="E403" i="16"/>
  <c r="D403" i="16"/>
  <c r="V402" i="16"/>
  <c r="W402" i="16" s="1"/>
  <c r="U402" i="16"/>
  <c r="T402" i="16"/>
  <c r="P402" i="16"/>
  <c r="F402" i="16"/>
  <c r="E402" i="16"/>
  <c r="D402" i="16"/>
  <c r="U401" i="16"/>
  <c r="T401" i="16"/>
  <c r="P401" i="16"/>
  <c r="F401" i="16"/>
  <c r="E401" i="16"/>
  <c r="D401" i="16"/>
  <c r="U400" i="16"/>
  <c r="T400" i="16"/>
  <c r="P400" i="16"/>
  <c r="F400" i="16"/>
  <c r="E400" i="16"/>
  <c r="D400" i="16"/>
  <c r="U399" i="16"/>
  <c r="V399" i="16" s="1"/>
  <c r="W399" i="16" s="1"/>
  <c r="T399" i="16"/>
  <c r="P399" i="16"/>
  <c r="F399" i="16"/>
  <c r="E399" i="16"/>
  <c r="D399" i="16"/>
  <c r="U398" i="16"/>
  <c r="T398" i="16"/>
  <c r="V398" i="16" s="1"/>
  <c r="P398" i="16"/>
  <c r="F398" i="16"/>
  <c r="E398" i="16"/>
  <c r="D398" i="16"/>
  <c r="U397" i="16"/>
  <c r="T397" i="16"/>
  <c r="P397" i="16"/>
  <c r="F397" i="16"/>
  <c r="E397" i="16"/>
  <c r="D397" i="16"/>
  <c r="U396" i="16"/>
  <c r="T396" i="16"/>
  <c r="P396" i="16"/>
  <c r="F396" i="16"/>
  <c r="E396" i="16"/>
  <c r="D396" i="16"/>
  <c r="U395" i="16"/>
  <c r="V395" i="16" s="1"/>
  <c r="T395" i="16"/>
  <c r="P395" i="16"/>
  <c r="F395" i="16"/>
  <c r="E395" i="16"/>
  <c r="D395" i="16"/>
  <c r="U394" i="16"/>
  <c r="T394" i="16"/>
  <c r="V394" i="16" s="1"/>
  <c r="P394" i="16"/>
  <c r="F394" i="16"/>
  <c r="E394" i="16"/>
  <c r="D394" i="16"/>
  <c r="U393" i="16"/>
  <c r="T393" i="16"/>
  <c r="P393" i="16"/>
  <c r="F393" i="16"/>
  <c r="E393" i="16"/>
  <c r="D393" i="16"/>
  <c r="V392" i="16"/>
  <c r="U392" i="16"/>
  <c r="T392" i="16"/>
  <c r="P392" i="16"/>
  <c r="F392" i="16"/>
  <c r="E392" i="16"/>
  <c r="D392" i="16"/>
  <c r="V391" i="16"/>
  <c r="W391" i="16" s="1"/>
  <c r="U391" i="16"/>
  <c r="T391" i="16"/>
  <c r="P391" i="16"/>
  <c r="F391" i="16"/>
  <c r="E391" i="16"/>
  <c r="D391" i="16"/>
  <c r="U390" i="16"/>
  <c r="T390" i="16"/>
  <c r="P390" i="16"/>
  <c r="F390" i="16"/>
  <c r="E390" i="16"/>
  <c r="D390" i="16"/>
  <c r="U389" i="16"/>
  <c r="T389" i="16"/>
  <c r="P389" i="16"/>
  <c r="F389" i="16"/>
  <c r="E389" i="16"/>
  <c r="D389" i="16"/>
  <c r="U388" i="16"/>
  <c r="T388" i="16"/>
  <c r="P388" i="16"/>
  <c r="F388" i="16"/>
  <c r="E388" i="16"/>
  <c r="D388" i="16"/>
  <c r="W387" i="16"/>
  <c r="U387" i="16"/>
  <c r="T387" i="16"/>
  <c r="V387" i="16" s="1"/>
  <c r="P387" i="16"/>
  <c r="F387" i="16"/>
  <c r="E387" i="16"/>
  <c r="D387" i="16"/>
  <c r="U386" i="16"/>
  <c r="T386" i="16"/>
  <c r="P386" i="16"/>
  <c r="F386" i="16"/>
  <c r="E386" i="16"/>
  <c r="D386" i="16"/>
  <c r="U385" i="16"/>
  <c r="T385" i="16"/>
  <c r="P385" i="16"/>
  <c r="F385" i="16"/>
  <c r="E385" i="16"/>
  <c r="D385" i="16"/>
  <c r="U384" i="16"/>
  <c r="T384" i="16"/>
  <c r="P384" i="16"/>
  <c r="F384" i="16"/>
  <c r="E384" i="16"/>
  <c r="D384" i="16"/>
  <c r="U383" i="16"/>
  <c r="T383" i="16"/>
  <c r="P383" i="16"/>
  <c r="F383" i="16"/>
  <c r="E383" i="16"/>
  <c r="D383" i="16"/>
  <c r="V382" i="16"/>
  <c r="W382" i="16" s="1"/>
  <c r="U382" i="16"/>
  <c r="T382" i="16"/>
  <c r="P382" i="16"/>
  <c r="F382" i="16"/>
  <c r="E382" i="16"/>
  <c r="D382" i="16"/>
  <c r="U381" i="16"/>
  <c r="V381" i="16" s="1"/>
  <c r="W381" i="16" s="1"/>
  <c r="T381" i="16"/>
  <c r="P381" i="16"/>
  <c r="F381" i="16"/>
  <c r="E381" i="16"/>
  <c r="D381" i="16"/>
  <c r="V380" i="16"/>
  <c r="U380" i="16"/>
  <c r="T380" i="16"/>
  <c r="P380" i="16"/>
  <c r="F380" i="16"/>
  <c r="E380" i="16"/>
  <c r="D380" i="16"/>
  <c r="U379" i="16"/>
  <c r="T379" i="16"/>
  <c r="P379" i="16"/>
  <c r="F379" i="16"/>
  <c r="E379" i="16"/>
  <c r="D379" i="16"/>
  <c r="U378" i="16"/>
  <c r="T378" i="16"/>
  <c r="P378" i="16"/>
  <c r="F378" i="16"/>
  <c r="E378" i="16"/>
  <c r="D378" i="16"/>
  <c r="V377" i="16"/>
  <c r="W377" i="16" s="1"/>
  <c r="U377" i="16"/>
  <c r="T377" i="16"/>
  <c r="P377" i="16"/>
  <c r="F377" i="16"/>
  <c r="E377" i="16"/>
  <c r="D377" i="16"/>
  <c r="U376" i="16"/>
  <c r="V376" i="16" s="1"/>
  <c r="T376" i="16"/>
  <c r="P376" i="16"/>
  <c r="F376" i="16"/>
  <c r="E376" i="16"/>
  <c r="D376" i="16"/>
  <c r="U375" i="16"/>
  <c r="V375" i="16" s="1"/>
  <c r="W375" i="16" s="1"/>
  <c r="T375" i="16"/>
  <c r="P375" i="16"/>
  <c r="F375" i="16"/>
  <c r="E375" i="16"/>
  <c r="D375" i="16"/>
  <c r="U374" i="16"/>
  <c r="V374" i="16" s="1"/>
  <c r="W374" i="16" s="1"/>
  <c r="T374" i="16"/>
  <c r="P374" i="16"/>
  <c r="F374" i="16"/>
  <c r="E374" i="16"/>
  <c r="D374" i="16"/>
  <c r="U373" i="16"/>
  <c r="T373" i="16"/>
  <c r="P373" i="16"/>
  <c r="F373" i="16"/>
  <c r="E373" i="16"/>
  <c r="D373" i="16"/>
  <c r="U372" i="16"/>
  <c r="T372" i="16"/>
  <c r="V372" i="16" s="1"/>
  <c r="W372" i="16" s="1"/>
  <c r="P372" i="16"/>
  <c r="F372" i="16"/>
  <c r="E372" i="16"/>
  <c r="D372" i="16"/>
  <c r="U371" i="16"/>
  <c r="T371" i="16"/>
  <c r="P371" i="16"/>
  <c r="F371" i="16"/>
  <c r="E371" i="16"/>
  <c r="D371" i="16"/>
  <c r="U370" i="16"/>
  <c r="T370" i="16"/>
  <c r="P370" i="16"/>
  <c r="F370" i="16"/>
  <c r="E370" i="16"/>
  <c r="D370" i="16"/>
  <c r="U369" i="16"/>
  <c r="V369" i="16" s="1"/>
  <c r="T369" i="16"/>
  <c r="P369" i="16"/>
  <c r="F369" i="16"/>
  <c r="E369" i="16"/>
  <c r="D369" i="16"/>
  <c r="U368" i="16"/>
  <c r="V368" i="16" s="1"/>
  <c r="W368" i="16" s="1"/>
  <c r="T368" i="16"/>
  <c r="P368" i="16"/>
  <c r="F368" i="16"/>
  <c r="E368" i="16"/>
  <c r="D368" i="16"/>
  <c r="U367" i="16"/>
  <c r="T367" i="16"/>
  <c r="V367" i="16" s="1"/>
  <c r="P367" i="16"/>
  <c r="F367" i="16"/>
  <c r="E367" i="16"/>
  <c r="D367" i="16"/>
  <c r="U366" i="16"/>
  <c r="T366" i="16"/>
  <c r="P366" i="16"/>
  <c r="F366" i="16"/>
  <c r="E366" i="16"/>
  <c r="D366" i="16"/>
  <c r="U365" i="16"/>
  <c r="T365" i="16"/>
  <c r="P365" i="16"/>
  <c r="F365" i="16"/>
  <c r="E365" i="16"/>
  <c r="D365" i="16"/>
  <c r="U364" i="16"/>
  <c r="T364" i="16"/>
  <c r="P364" i="16"/>
  <c r="F364" i="16"/>
  <c r="E364" i="16"/>
  <c r="D364" i="16"/>
  <c r="U363" i="16"/>
  <c r="T363" i="16"/>
  <c r="P363" i="16"/>
  <c r="F363" i="16"/>
  <c r="E363" i="16"/>
  <c r="D363" i="16"/>
  <c r="U362" i="16"/>
  <c r="T362" i="16"/>
  <c r="V362" i="16" s="1"/>
  <c r="W362" i="16" s="1"/>
  <c r="P362" i="16"/>
  <c r="F362" i="16"/>
  <c r="E362" i="16"/>
  <c r="D362" i="16"/>
  <c r="U361" i="16"/>
  <c r="T361" i="16"/>
  <c r="P361" i="16"/>
  <c r="F361" i="16"/>
  <c r="E361" i="16"/>
  <c r="D361" i="16"/>
  <c r="U360" i="16"/>
  <c r="T360" i="16"/>
  <c r="V360" i="16" s="1"/>
  <c r="W360" i="16" s="1"/>
  <c r="P360" i="16"/>
  <c r="F360" i="16"/>
  <c r="E360" i="16"/>
  <c r="D360" i="16"/>
  <c r="U359" i="16"/>
  <c r="T359" i="16"/>
  <c r="V359" i="16" s="1"/>
  <c r="W359" i="16" s="1"/>
  <c r="P359" i="16"/>
  <c r="F359" i="16"/>
  <c r="E359" i="16"/>
  <c r="D359" i="16"/>
  <c r="U358" i="16"/>
  <c r="V358" i="16" s="1"/>
  <c r="T358" i="16"/>
  <c r="P358" i="16"/>
  <c r="F358" i="16"/>
  <c r="E358" i="16"/>
  <c r="D358" i="16"/>
  <c r="V357" i="16"/>
  <c r="W357" i="16" s="1"/>
  <c r="U357" i="16"/>
  <c r="T357" i="16"/>
  <c r="P357" i="16"/>
  <c r="F357" i="16"/>
  <c r="E357" i="16"/>
  <c r="D357" i="16"/>
  <c r="V356" i="16"/>
  <c r="W356" i="16" s="1"/>
  <c r="U356" i="16"/>
  <c r="T356" i="16"/>
  <c r="P356" i="16"/>
  <c r="F356" i="16"/>
  <c r="E356" i="16"/>
  <c r="D356" i="16"/>
  <c r="U355" i="16"/>
  <c r="T355" i="16"/>
  <c r="P355" i="16"/>
  <c r="F355" i="16"/>
  <c r="E355" i="16"/>
  <c r="D355" i="16"/>
  <c r="U354" i="16"/>
  <c r="T354" i="16"/>
  <c r="P354" i="16"/>
  <c r="F354" i="16"/>
  <c r="E354" i="16"/>
  <c r="D354" i="16"/>
  <c r="V353" i="16"/>
  <c r="U353" i="16"/>
  <c r="T353" i="16"/>
  <c r="P353" i="16"/>
  <c r="F353" i="16"/>
  <c r="E353" i="16"/>
  <c r="D353" i="16"/>
  <c r="U352" i="16"/>
  <c r="T352" i="16"/>
  <c r="P352" i="16"/>
  <c r="F352" i="16"/>
  <c r="E352" i="16"/>
  <c r="D352" i="16"/>
  <c r="V351" i="16"/>
  <c r="U351" i="16"/>
  <c r="T351" i="16"/>
  <c r="P351" i="16"/>
  <c r="F351" i="16"/>
  <c r="E351" i="16"/>
  <c r="D351" i="16"/>
  <c r="V350" i="16"/>
  <c r="W350" i="16" s="1"/>
  <c r="U350" i="16"/>
  <c r="T350" i="16"/>
  <c r="P350" i="16"/>
  <c r="F350" i="16"/>
  <c r="E350" i="16"/>
  <c r="D350" i="16"/>
  <c r="V349" i="16"/>
  <c r="U349" i="16"/>
  <c r="T349" i="16"/>
  <c r="P349" i="16"/>
  <c r="F349" i="16"/>
  <c r="E349" i="16"/>
  <c r="D349" i="16"/>
  <c r="U348" i="16"/>
  <c r="T348" i="16"/>
  <c r="P348" i="16"/>
  <c r="F348" i="16"/>
  <c r="E348" i="16"/>
  <c r="D348" i="16"/>
  <c r="V347" i="16"/>
  <c r="W347" i="16" s="1"/>
  <c r="U347" i="16"/>
  <c r="T347" i="16"/>
  <c r="P347" i="16"/>
  <c r="F347" i="16"/>
  <c r="E347" i="16"/>
  <c r="D347" i="16"/>
  <c r="U346" i="16"/>
  <c r="T346" i="16"/>
  <c r="P346" i="16"/>
  <c r="F346" i="16"/>
  <c r="E346" i="16"/>
  <c r="D346" i="16"/>
  <c r="U345" i="16"/>
  <c r="T345" i="16"/>
  <c r="P345" i="16"/>
  <c r="F345" i="16"/>
  <c r="E345" i="16"/>
  <c r="D345" i="16"/>
  <c r="V344" i="16"/>
  <c r="W344" i="16" s="1"/>
  <c r="U344" i="16"/>
  <c r="T344" i="16"/>
  <c r="P344" i="16"/>
  <c r="F344" i="16"/>
  <c r="E344" i="16"/>
  <c r="D344" i="16"/>
  <c r="U343" i="16"/>
  <c r="T343" i="16"/>
  <c r="P343" i="16"/>
  <c r="F343" i="16"/>
  <c r="E343" i="16"/>
  <c r="D343" i="16"/>
  <c r="U342" i="16"/>
  <c r="T342" i="16"/>
  <c r="P342" i="16"/>
  <c r="F342" i="16"/>
  <c r="E342" i="16"/>
  <c r="D342" i="16"/>
  <c r="U341" i="16"/>
  <c r="T341" i="16"/>
  <c r="V341" i="16" s="1"/>
  <c r="W341" i="16" s="1"/>
  <c r="P341" i="16"/>
  <c r="F341" i="16"/>
  <c r="E341" i="16"/>
  <c r="D341" i="16"/>
  <c r="U340" i="16"/>
  <c r="V340" i="16" s="1"/>
  <c r="T340" i="16"/>
  <c r="P340" i="16"/>
  <c r="F340" i="16"/>
  <c r="E340" i="16"/>
  <c r="D340" i="16"/>
  <c r="V339" i="16"/>
  <c r="W339" i="16" s="1"/>
  <c r="U339" i="16"/>
  <c r="T339" i="16"/>
  <c r="P339" i="16"/>
  <c r="F339" i="16"/>
  <c r="E339" i="16"/>
  <c r="D339" i="16"/>
  <c r="V338" i="16"/>
  <c r="W338" i="16" s="1"/>
  <c r="U338" i="16"/>
  <c r="T338" i="16"/>
  <c r="P338" i="16"/>
  <c r="F338" i="16"/>
  <c r="E338" i="16"/>
  <c r="D338" i="16"/>
  <c r="U337" i="16"/>
  <c r="T337" i="16"/>
  <c r="P337" i="16"/>
  <c r="F337" i="16"/>
  <c r="E337" i="16"/>
  <c r="D337" i="16"/>
  <c r="V336" i="16"/>
  <c r="W336" i="16" s="1"/>
  <c r="U336" i="16"/>
  <c r="T336" i="16"/>
  <c r="P336" i="16"/>
  <c r="F336" i="16"/>
  <c r="E336" i="16"/>
  <c r="D336" i="16"/>
  <c r="U335" i="16"/>
  <c r="V335" i="16" s="1"/>
  <c r="W335" i="16" s="1"/>
  <c r="T335" i="16"/>
  <c r="P335" i="16"/>
  <c r="F335" i="16"/>
  <c r="E335" i="16"/>
  <c r="D335" i="16"/>
  <c r="U334" i="16"/>
  <c r="T334" i="16"/>
  <c r="P334" i="16"/>
  <c r="F334" i="16"/>
  <c r="E334" i="16"/>
  <c r="D334" i="16"/>
  <c r="U333" i="16"/>
  <c r="T333" i="16"/>
  <c r="P333" i="16"/>
  <c r="F333" i="16"/>
  <c r="E333" i="16"/>
  <c r="D333" i="16"/>
  <c r="U332" i="16"/>
  <c r="V332" i="16" s="1"/>
  <c r="W332" i="16" s="1"/>
  <c r="T332" i="16"/>
  <c r="P332" i="16"/>
  <c r="F332" i="16"/>
  <c r="E332" i="16"/>
  <c r="D332" i="16"/>
  <c r="U331" i="16"/>
  <c r="T331" i="16"/>
  <c r="V331" i="16" s="1"/>
  <c r="P331" i="16"/>
  <c r="F331" i="16"/>
  <c r="E331" i="16"/>
  <c r="D331" i="16"/>
  <c r="U330" i="16"/>
  <c r="T330" i="16"/>
  <c r="P330" i="16"/>
  <c r="F330" i="16"/>
  <c r="E330" i="16"/>
  <c r="D330" i="16"/>
  <c r="U329" i="16"/>
  <c r="T329" i="16"/>
  <c r="V329" i="16" s="1"/>
  <c r="W329" i="16" s="1"/>
  <c r="P329" i="16"/>
  <c r="F329" i="16"/>
  <c r="E329" i="16"/>
  <c r="D329" i="16"/>
  <c r="U328" i="16"/>
  <c r="T328" i="16"/>
  <c r="P328" i="16"/>
  <c r="F328" i="16"/>
  <c r="E328" i="16"/>
  <c r="D328" i="16"/>
  <c r="U327" i="16"/>
  <c r="T327" i="16"/>
  <c r="P327" i="16"/>
  <c r="F327" i="16"/>
  <c r="E327" i="16"/>
  <c r="D327" i="16"/>
  <c r="V326" i="16"/>
  <c r="W326" i="16" s="1"/>
  <c r="U326" i="16"/>
  <c r="T326" i="16"/>
  <c r="P326" i="16"/>
  <c r="F326" i="16"/>
  <c r="E326" i="16"/>
  <c r="D326" i="16"/>
  <c r="U325" i="16"/>
  <c r="T325" i="16"/>
  <c r="P325" i="16"/>
  <c r="F325" i="16"/>
  <c r="E325" i="16"/>
  <c r="D325" i="16"/>
  <c r="U324" i="16"/>
  <c r="T324" i="16"/>
  <c r="P324" i="16"/>
  <c r="F324" i="16"/>
  <c r="E324" i="16"/>
  <c r="D324" i="16"/>
  <c r="U323" i="16"/>
  <c r="T323" i="16"/>
  <c r="V323" i="16" s="1"/>
  <c r="W323" i="16" s="1"/>
  <c r="P323" i="16"/>
  <c r="F323" i="16"/>
  <c r="E323" i="16"/>
  <c r="D323" i="16"/>
  <c r="U322" i="16"/>
  <c r="V322" i="16" s="1"/>
  <c r="T322" i="16"/>
  <c r="P322" i="16"/>
  <c r="F322" i="16"/>
  <c r="E322" i="16"/>
  <c r="D322" i="16"/>
  <c r="U321" i="16"/>
  <c r="T321" i="16"/>
  <c r="P321" i="16"/>
  <c r="F321" i="16"/>
  <c r="E321" i="16"/>
  <c r="D321" i="16"/>
  <c r="U320" i="16"/>
  <c r="T320" i="16"/>
  <c r="P320" i="16"/>
  <c r="F320" i="16"/>
  <c r="E320" i="16"/>
  <c r="D320" i="16"/>
  <c r="U319" i="16"/>
  <c r="T319" i="16"/>
  <c r="P319" i="16"/>
  <c r="F319" i="16"/>
  <c r="E319" i="16"/>
  <c r="D319" i="16"/>
  <c r="U318" i="16"/>
  <c r="T318" i="16"/>
  <c r="P318" i="16"/>
  <c r="F318" i="16"/>
  <c r="E318" i="16"/>
  <c r="D318" i="16"/>
  <c r="U317" i="16"/>
  <c r="T317" i="16"/>
  <c r="P317" i="16"/>
  <c r="F317" i="16"/>
  <c r="E317" i="16"/>
  <c r="D317" i="16"/>
  <c r="U316" i="16"/>
  <c r="T316" i="16"/>
  <c r="P316" i="16"/>
  <c r="F316" i="16"/>
  <c r="E316" i="16"/>
  <c r="D316" i="16"/>
  <c r="U315" i="16"/>
  <c r="T315" i="16"/>
  <c r="P315" i="16"/>
  <c r="F315" i="16"/>
  <c r="E315" i="16"/>
  <c r="D315" i="16"/>
  <c r="V314" i="16"/>
  <c r="W314" i="16" s="1"/>
  <c r="U314" i="16"/>
  <c r="T314" i="16"/>
  <c r="P314" i="16"/>
  <c r="F314" i="16"/>
  <c r="E314" i="16"/>
  <c r="D314" i="16"/>
  <c r="U313" i="16"/>
  <c r="V313" i="16" s="1"/>
  <c r="T313" i="16"/>
  <c r="P313" i="16"/>
  <c r="F313" i="16"/>
  <c r="E313" i="16"/>
  <c r="D313" i="16"/>
  <c r="U312" i="16"/>
  <c r="T312" i="16"/>
  <c r="P312" i="16"/>
  <c r="F312" i="16"/>
  <c r="E312" i="16"/>
  <c r="D312" i="16"/>
  <c r="U311" i="16"/>
  <c r="T311" i="16"/>
  <c r="V311" i="16" s="1"/>
  <c r="W311" i="16" s="1"/>
  <c r="P311" i="16"/>
  <c r="F311" i="16"/>
  <c r="E311" i="16"/>
  <c r="D311" i="16"/>
  <c r="U310" i="16"/>
  <c r="V310" i="16" s="1"/>
  <c r="T310" i="16"/>
  <c r="P310" i="16"/>
  <c r="F310" i="16"/>
  <c r="E310" i="16"/>
  <c r="D310" i="16"/>
  <c r="U309" i="16"/>
  <c r="T309" i="16"/>
  <c r="P309" i="16"/>
  <c r="F309" i="16"/>
  <c r="E309" i="16"/>
  <c r="D309" i="16"/>
  <c r="U308" i="16"/>
  <c r="T308" i="16"/>
  <c r="V308" i="16" s="1"/>
  <c r="W308" i="16" s="1"/>
  <c r="P308" i="16"/>
  <c r="F308" i="16"/>
  <c r="E308" i="16"/>
  <c r="D308" i="16"/>
  <c r="U307" i="16"/>
  <c r="T307" i="16"/>
  <c r="P307" i="16"/>
  <c r="F307" i="16"/>
  <c r="E307" i="16"/>
  <c r="D307" i="16"/>
  <c r="U306" i="16"/>
  <c r="T306" i="16"/>
  <c r="P306" i="16"/>
  <c r="F306" i="16"/>
  <c r="E306" i="16"/>
  <c r="D306" i="16"/>
  <c r="V305" i="16"/>
  <c r="W305" i="16" s="1"/>
  <c r="U305" i="16"/>
  <c r="T305" i="16"/>
  <c r="P305" i="16"/>
  <c r="F305" i="16"/>
  <c r="E305" i="16"/>
  <c r="D305" i="16"/>
  <c r="U304" i="16"/>
  <c r="V304" i="16" s="1"/>
  <c r="T304" i="16"/>
  <c r="P304" i="16"/>
  <c r="F304" i="16"/>
  <c r="E304" i="16"/>
  <c r="D304" i="16"/>
  <c r="U303" i="16"/>
  <c r="T303" i="16"/>
  <c r="P303" i="16"/>
  <c r="F303" i="16"/>
  <c r="E303" i="16"/>
  <c r="D303" i="16"/>
  <c r="U302" i="16"/>
  <c r="T302" i="16"/>
  <c r="P302" i="16"/>
  <c r="F302" i="16"/>
  <c r="E302" i="16"/>
  <c r="D302" i="16"/>
  <c r="U301" i="16"/>
  <c r="T301" i="16"/>
  <c r="P301" i="16"/>
  <c r="F301" i="16"/>
  <c r="E301" i="16"/>
  <c r="D301" i="16"/>
  <c r="U300" i="16"/>
  <c r="T300" i="16"/>
  <c r="V300" i="16" s="1"/>
  <c r="W300" i="16" s="1"/>
  <c r="P300" i="16"/>
  <c r="F300" i="16"/>
  <c r="E300" i="16"/>
  <c r="D300" i="16"/>
  <c r="V299" i="16"/>
  <c r="W299" i="16" s="1"/>
  <c r="U299" i="16"/>
  <c r="T299" i="16"/>
  <c r="P299" i="16"/>
  <c r="F299" i="16"/>
  <c r="E299" i="16"/>
  <c r="D299" i="16"/>
  <c r="U298" i="16"/>
  <c r="T298" i="16"/>
  <c r="P298" i="16"/>
  <c r="F298" i="16"/>
  <c r="E298" i="16"/>
  <c r="D298" i="16"/>
  <c r="U297" i="16"/>
  <c r="T297" i="16"/>
  <c r="V297" i="16" s="1"/>
  <c r="P297" i="16"/>
  <c r="F297" i="16"/>
  <c r="E297" i="16"/>
  <c r="D297" i="16"/>
  <c r="V296" i="16"/>
  <c r="W296" i="16" s="1"/>
  <c r="U296" i="16"/>
  <c r="T296" i="16"/>
  <c r="P296" i="16"/>
  <c r="F296" i="16"/>
  <c r="E296" i="16"/>
  <c r="D296" i="16"/>
  <c r="U295" i="16"/>
  <c r="V295" i="16" s="1"/>
  <c r="T295" i="16"/>
  <c r="P295" i="16"/>
  <c r="F295" i="16"/>
  <c r="E295" i="16"/>
  <c r="D295" i="16"/>
  <c r="U294" i="16"/>
  <c r="T294" i="16"/>
  <c r="P294" i="16"/>
  <c r="F294" i="16"/>
  <c r="E294" i="16"/>
  <c r="D294" i="16"/>
  <c r="V293" i="16"/>
  <c r="W293" i="16" s="1"/>
  <c r="U293" i="16"/>
  <c r="T293" i="16"/>
  <c r="P293" i="16"/>
  <c r="F293" i="16"/>
  <c r="E293" i="16"/>
  <c r="D293" i="16"/>
  <c r="U292" i="16"/>
  <c r="V292" i="16" s="1"/>
  <c r="T292" i="16"/>
  <c r="P292" i="16"/>
  <c r="F292" i="16"/>
  <c r="E292" i="16"/>
  <c r="D292" i="16"/>
  <c r="U291" i="16"/>
  <c r="T291" i="16"/>
  <c r="P291" i="16"/>
  <c r="F291" i="16"/>
  <c r="E291" i="16"/>
  <c r="D291" i="16"/>
  <c r="U290" i="16"/>
  <c r="V290" i="16" s="1"/>
  <c r="W290" i="16" s="1"/>
  <c r="T290" i="16"/>
  <c r="P290" i="16"/>
  <c r="F290" i="16"/>
  <c r="E290" i="16"/>
  <c r="D290" i="16"/>
  <c r="U289" i="16"/>
  <c r="T289" i="16"/>
  <c r="P289" i="16"/>
  <c r="F289" i="16"/>
  <c r="E289" i="16"/>
  <c r="D289" i="16"/>
  <c r="V288" i="16"/>
  <c r="W288" i="16" s="1"/>
  <c r="U288" i="16"/>
  <c r="T288" i="16"/>
  <c r="P288" i="16"/>
  <c r="F288" i="16"/>
  <c r="E288" i="16"/>
  <c r="D288" i="16"/>
  <c r="V287" i="16"/>
  <c r="W287" i="16" s="1"/>
  <c r="U287" i="16"/>
  <c r="T287" i="16"/>
  <c r="P287" i="16"/>
  <c r="F287" i="16"/>
  <c r="E287" i="16"/>
  <c r="D287" i="16"/>
  <c r="U286" i="16"/>
  <c r="T286" i="16"/>
  <c r="P286" i="16"/>
  <c r="F286" i="16"/>
  <c r="E286" i="16"/>
  <c r="D286" i="16"/>
  <c r="U285" i="16"/>
  <c r="V285" i="16" s="1"/>
  <c r="W285" i="16" s="1"/>
  <c r="T285" i="16"/>
  <c r="P285" i="16"/>
  <c r="F285" i="16"/>
  <c r="E285" i="16"/>
  <c r="D285" i="16"/>
  <c r="U284" i="16"/>
  <c r="T284" i="16"/>
  <c r="P284" i="16"/>
  <c r="F284" i="16"/>
  <c r="E284" i="16"/>
  <c r="D284" i="16"/>
  <c r="U283" i="16"/>
  <c r="T283" i="16"/>
  <c r="P283" i="16"/>
  <c r="F283" i="16"/>
  <c r="E283" i="16"/>
  <c r="D283" i="16"/>
  <c r="U282" i="16"/>
  <c r="V282" i="16" s="1"/>
  <c r="W282" i="16" s="1"/>
  <c r="T282" i="16"/>
  <c r="P282" i="16"/>
  <c r="F282" i="16"/>
  <c r="E282" i="16"/>
  <c r="D282" i="16"/>
  <c r="U281" i="16"/>
  <c r="V281" i="16" s="1"/>
  <c r="W281" i="16" s="1"/>
  <c r="T281" i="16"/>
  <c r="P281" i="16"/>
  <c r="F281" i="16"/>
  <c r="E281" i="16"/>
  <c r="D281" i="16"/>
  <c r="U280" i="16"/>
  <c r="T280" i="16"/>
  <c r="P280" i="16"/>
  <c r="F280" i="16"/>
  <c r="E280" i="16"/>
  <c r="D280" i="16"/>
  <c r="U279" i="16"/>
  <c r="T279" i="16"/>
  <c r="P279" i="16"/>
  <c r="F279" i="16"/>
  <c r="E279" i="16"/>
  <c r="D279" i="16"/>
  <c r="U278" i="16"/>
  <c r="T278" i="16"/>
  <c r="P278" i="16"/>
  <c r="F278" i="16"/>
  <c r="E278" i="16"/>
  <c r="D278" i="16"/>
  <c r="U277" i="16"/>
  <c r="T277" i="16"/>
  <c r="V277" i="16" s="1"/>
  <c r="P277" i="16"/>
  <c r="F277" i="16"/>
  <c r="E277" i="16"/>
  <c r="D277" i="16"/>
  <c r="U276" i="16"/>
  <c r="T276" i="16"/>
  <c r="P276" i="16"/>
  <c r="F276" i="16"/>
  <c r="E276" i="16"/>
  <c r="D276" i="16"/>
  <c r="U275" i="16"/>
  <c r="T275" i="16"/>
  <c r="P275" i="16"/>
  <c r="F275" i="16"/>
  <c r="E275" i="16"/>
  <c r="D275" i="16"/>
  <c r="U274" i="16"/>
  <c r="V274" i="16" s="1"/>
  <c r="T274" i="16"/>
  <c r="P274" i="16"/>
  <c r="F274" i="16"/>
  <c r="E274" i="16"/>
  <c r="D274" i="16"/>
  <c r="U273" i="16"/>
  <c r="T273" i="16"/>
  <c r="P273" i="16"/>
  <c r="F273" i="16"/>
  <c r="E273" i="16"/>
  <c r="D273" i="16"/>
  <c r="V272" i="16"/>
  <c r="W272" i="16" s="1"/>
  <c r="U272" i="16"/>
  <c r="T272" i="16"/>
  <c r="P272" i="16"/>
  <c r="F272" i="16"/>
  <c r="E272" i="16"/>
  <c r="D272" i="16"/>
  <c r="U271" i="16"/>
  <c r="T271" i="16"/>
  <c r="P271" i="16"/>
  <c r="F271" i="16"/>
  <c r="E271" i="16"/>
  <c r="D271" i="16"/>
  <c r="U270" i="16"/>
  <c r="T270" i="16"/>
  <c r="P270" i="16"/>
  <c r="F270" i="16"/>
  <c r="E270" i="16"/>
  <c r="D270" i="16"/>
  <c r="U269" i="16"/>
  <c r="T269" i="16"/>
  <c r="P269" i="16"/>
  <c r="F269" i="16"/>
  <c r="E269" i="16"/>
  <c r="D269" i="16"/>
  <c r="U268" i="16"/>
  <c r="T268" i="16"/>
  <c r="P268" i="16"/>
  <c r="F268" i="16"/>
  <c r="E268" i="16"/>
  <c r="D268" i="16"/>
  <c r="V267" i="16"/>
  <c r="W267" i="16" s="1"/>
  <c r="U267" i="16"/>
  <c r="T267" i="16"/>
  <c r="P267" i="16"/>
  <c r="F267" i="16"/>
  <c r="E267" i="16"/>
  <c r="D267" i="16"/>
  <c r="U266" i="16"/>
  <c r="T266" i="16"/>
  <c r="P266" i="16"/>
  <c r="F266" i="16"/>
  <c r="E266" i="16"/>
  <c r="D266" i="16"/>
  <c r="U265" i="16"/>
  <c r="T265" i="16"/>
  <c r="P265" i="16"/>
  <c r="F265" i="16"/>
  <c r="E265" i="16"/>
  <c r="D265" i="16"/>
  <c r="U264" i="16"/>
  <c r="T264" i="16"/>
  <c r="P264" i="16"/>
  <c r="F264" i="16"/>
  <c r="E264" i="16"/>
  <c r="D264" i="16"/>
  <c r="V263" i="16"/>
  <c r="W263" i="16" s="1"/>
  <c r="U263" i="16"/>
  <c r="T263" i="16"/>
  <c r="P263" i="16"/>
  <c r="F263" i="16"/>
  <c r="E263" i="16"/>
  <c r="D263" i="16"/>
  <c r="U262" i="16"/>
  <c r="T262" i="16"/>
  <c r="P262" i="16"/>
  <c r="F262" i="16"/>
  <c r="E262" i="16"/>
  <c r="D262" i="16"/>
  <c r="U261" i="16"/>
  <c r="T261" i="16"/>
  <c r="P261" i="16"/>
  <c r="F261" i="16"/>
  <c r="E261" i="16"/>
  <c r="D261" i="16"/>
  <c r="U260" i="16"/>
  <c r="T260" i="16"/>
  <c r="P260" i="16"/>
  <c r="F260" i="16"/>
  <c r="E260" i="16"/>
  <c r="D260" i="16"/>
  <c r="U259" i="16"/>
  <c r="T259" i="16"/>
  <c r="V259" i="16" s="1"/>
  <c r="P259" i="16"/>
  <c r="F259" i="16"/>
  <c r="E259" i="16"/>
  <c r="D259" i="16"/>
  <c r="U258" i="16"/>
  <c r="T258" i="16"/>
  <c r="P258" i="16"/>
  <c r="F258" i="16"/>
  <c r="E258" i="16"/>
  <c r="D258" i="16"/>
  <c r="U257" i="16"/>
  <c r="V257" i="16" s="1"/>
  <c r="W257" i="16" s="1"/>
  <c r="T257" i="16"/>
  <c r="P257" i="16"/>
  <c r="F257" i="16"/>
  <c r="E257" i="16"/>
  <c r="D257" i="16"/>
  <c r="U256" i="16"/>
  <c r="T256" i="16"/>
  <c r="P256" i="16"/>
  <c r="F256" i="16"/>
  <c r="E256" i="16"/>
  <c r="D256" i="16"/>
  <c r="U255" i="16"/>
  <c r="T255" i="16"/>
  <c r="V255" i="16" s="1"/>
  <c r="P255" i="16"/>
  <c r="F255" i="16"/>
  <c r="E255" i="16"/>
  <c r="D255" i="16"/>
  <c r="U254" i="16"/>
  <c r="T254" i="16"/>
  <c r="P254" i="16"/>
  <c r="F254" i="16"/>
  <c r="E254" i="16"/>
  <c r="D254" i="16"/>
  <c r="U253" i="16"/>
  <c r="V253" i="16" s="1"/>
  <c r="T253" i="16"/>
  <c r="P253" i="16"/>
  <c r="F253" i="16"/>
  <c r="E253" i="16"/>
  <c r="D253" i="16"/>
  <c r="U252" i="16"/>
  <c r="V252" i="16" s="1"/>
  <c r="W252" i="16" s="1"/>
  <c r="T252" i="16"/>
  <c r="P252" i="16"/>
  <c r="F252" i="16"/>
  <c r="E252" i="16"/>
  <c r="D252" i="16"/>
  <c r="U251" i="16"/>
  <c r="T251" i="16"/>
  <c r="P251" i="16"/>
  <c r="F251" i="16"/>
  <c r="E251" i="16"/>
  <c r="D251" i="16"/>
  <c r="U250" i="16"/>
  <c r="T250" i="16"/>
  <c r="P250" i="16"/>
  <c r="F250" i="16"/>
  <c r="E250" i="16"/>
  <c r="D250" i="16"/>
  <c r="U249" i="16"/>
  <c r="T249" i="16"/>
  <c r="P249" i="16"/>
  <c r="F249" i="16"/>
  <c r="E249" i="16"/>
  <c r="D249" i="16"/>
  <c r="U248" i="16"/>
  <c r="T248" i="16"/>
  <c r="P248" i="16"/>
  <c r="F248" i="16"/>
  <c r="E248" i="16"/>
  <c r="D248" i="16"/>
  <c r="U247" i="16"/>
  <c r="T247" i="16"/>
  <c r="P247" i="16"/>
  <c r="F247" i="16"/>
  <c r="E247" i="16"/>
  <c r="D247" i="16"/>
  <c r="U246" i="16"/>
  <c r="V246" i="16" s="1"/>
  <c r="W246" i="16" s="1"/>
  <c r="T246" i="16"/>
  <c r="P246" i="16"/>
  <c r="F246" i="16"/>
  <c r="E246" i="16"/>
  <c r="D246" i="16"/>
  <c r="U245" i="16"/>
  <c r="V245" i="16" s="1"/>
  <c r="W245" i="16" s="1"/>
  <c r="T245" i="16"/>
  <c r="P245" i="16"/>
  <c r="F245" i="16"/>
  <c r="E245" i="16"/>
  <c r="D245" i="16"/>
  <c r="U244" i="16"/>
  <c r="T244" i="16"/>
  <c r="P244" i="16"/>
  <c r="F244" i="16"/>
  <c r="E244" i="16"/>
  <c r="D244" i="16"/>
  <c r="U243" i="16"/>
  <c r="V243" i="16" s="1"/>
  <c r="W243" i="16" s="1"/>
  <c r="T243" i="16"/>
  <c r="P243" i="16"/>
  <c r="F243" i="16"/>
  <c r="E243" i="16"/>
  <c r="D243" i="16"/>
  <c r="U242" i="16"/>
  <c r="T242" i="16"/>
  <c r="P242" i="16"/>
  <c r="F242" i="16"/>
  <c r="E242" i="16"/>
  <c r="D242" i="16"/>
  <c r="U241" i="16"/>
  <c r="T241" i="16"/>
  <c r="P241" i="16"/>
  <c r="F241" i="16"/>
  <c r="E241" i="16"/>
  <c r="D241" i="16"/>
  <c r="U240" i="16"/>
  <c r="T240" i="16"/>
  <c r="P240" i="16"/>
  <c r="F240" i="16"/>
  <c r="E240" i="16"/>
  <c r="D240" i="16"/>
  <c r="U239" i="16"/>
  <c r="T239" i="16"/>
  <c r="P239" i="16"/>
  <c r="F239" i="16"/>
  <c r="E239" i="16"/>
  <c r="D239" i="16"/>
  <c r="U238" i="16"/>
  <c r="T238" i="16"/>
  <c r="P238" i="16"/>
  <c r="F238" i="16"/>
  <c r="E238" i="16"/>
  <c r="D238" i="16"/>
  <c r="U237" i="16"/>
  <c r="V237" i="16" s="1"/>
  <c r="W237" i="16" s="1"/>
  <c r="T237" i="16"/>
  <c r="P237" i="16"/>
  <c r="F237" i="16"/>
  <c r="E237" i="16"/>
  <c r="D237" i="16"/>
  <c r="U236" i="16"/>
  <c r="V236" i="16" s="1"/>
  <c r="W236" i="16" s="1"/>
  <c r="T236" i="16"/>
  <c r="P236" i="16"/>
  <c r="F236" i="16"/>
  <c r="E236" i="16"/>
  <c r="D236" i="16"/>
  <c r="U235" i="16"/>
  <c r="T235" i="16"/>
  <c r="P235" i="16"/>
  <c r="F235" i="16"/>
  <c r="E235" i="16"/>
  <c r="D235" i="16"/>
  <c r="U234" i="16"/>
  <c r="V234" i="16" s="1"/>
  <c r="W234" i="16" s="1"/>
  <c r="T234" i="16"/>
  <c r="P234" i="16"/>
  <c r="F234" i="16"/>
  <c r="E234" i="16"/>
  <c r="D234" i="16"/>
  <c r="U233" i="16"/>
  <c r="T233" i="16"/>
  <c r="P233" i="16"/>
  <c r="F233" i="16"/>
  <c r="E233" i="16"/>
  <c r="D233" i="16"/>
  <c r="U232" i="16"/>
  <c r="T232" i="16"/>
  <c r="P232" i="16"/>
  <c r="F232" i="16"/>
  <c r="E232" i="16"/>
  <c r="D232" i="16"/>
  <c r="U231" i="16"/>
  <c r="T231" i="16"/>
  <c r="P231" i="16"/>
  <c r="F231" i="16"/>
  <c r="E231" i="16"/>
  <c r="D231" i="16"/>
  <c r="U230" i="16"/>
  <c r="T230" i="16"/>
  <c r="P230" i="16"/>
  <c r="F230" i="16"/>
  <c r="E230" i="16"/>
  <c r="D230" i="16"/>
  <c r="U229" i="16"/>
  <c r="T229" i="16"/>
  <c r="P229" i="16"/>
  <c r="F229" i="16"/>
  <c r="E229" i="16"/>
  <c r="D229" i="16"/>
  <c r="U228" i="16"/>
  <c r="V228" i="16" s="1"/>
  <c r="W228" i="16" s="1"/>
  <c r="T228" i="16"/>
  <c r="P228" i="16"/>
  <c r="F228" i="16"/>
  <c r="E228" i="16"/>
  <c r="D228" i="16"/>
  <c r="U227" i="16"/>
  <c r="V227" i="16" s="1"/>
  <c r="W227" i="16" s="1"/>
  <c r="T227" i="16"/>
  <c r="P227" i="16"/>
  <c r="F227" i="16"/>
  <c r="E227" i="16"/>
  <c r="D227" i="16"/>
  <c r="U226" i="16"/>
  <c r="T226" i="16"/>
  <c r="P226" i="16"/>
  <c r="F226" i="16"/>
  <c r="E226" i="16"/>
  <c r="D226" i="16"/>
  <c r="U225" i="16"/>
  <c r="V225" i="16" s="1"/>
  <c r="W225" i="16" s="1"/>
  <c r="T225" i="16"/>
  <c r="P225" i="16"/>
  <c r="F225" i="16"/>
  <c r="E225" i="16"/>
  <c r="D225" i="16"/>
  <c r="U224" i="16"/>
  <c r="T224" i="16"/>
  <c r="P224" i="16"/>
  <c r="F224" i="16"/>
  <c r="E224" i="16"/>
  <c r="D224" i="16"/>
  <c r="U223" i="16"/>
  <c r="T223" i="16"/>
  <c r="P223" i="16"/>
  <c r="F223" i="16"/>
  <c r="E223" i="16"/>
  <c r="D223" i="16"/>
  <c r="U222" i="16"/>
  <c r="T222" i="16"/>
  <c r="P222" i="16"/>
  <c r="F222" i="16"/>
  <c r="E222" i="16"/>
  <c r="D222" i="16"/>
  <c r="U221" i="16"/>
  <c r="T221" i="16"/>
  <c r="P221" i="16"/>
  <c r="F221" i="16"/>
  <c r="E221" i="16"/>
  <c r="D221" i="16"/>
  <c r="U220" i="16"/>
  <c r="T220" i="16"/>
  <c r="P220" i="16"/>
  <c r="F220" i="16"/>
  <c r="E220" i="16"/>
  <c r="D220" i="16"/>
  <c r="U219" i="16"/>
  <c r="V219" i="16" s="1"/>
  <c r="W219" i="16" s="1"/>
  <c r="T219" i="16"/>
  <c r="P219" i="16"/>
  <c r="F219" i="16"/>
  <c r="E219" i="16"/>
  <c r="D219" i="16"/>
  <c r="U218" i="16"/>
  <c r="V218" i="16" s="1"/>
  <c r="W218" i="16" s="1"/>
  <c r="T218" i="16"/>
  <c r="P218" i="16"/>
  <c r="F218" i="16"/>
  <c r="E218" i="16"/>
  <c r="D218" i="16"/>
  <c r="U217" i="16"/>
  <c r="T217" i="16"/>
  <c r="P217" i="16"/>
  <c r="F217" i="16"/>
  <c r="E217" i="16"/>
  <c r="D217" i="16"/>
  <c r="U216" i="16"/>
  <c r="V216" i="16" s="1"/>
  <c r="W216" i="16" s="1"/>
  <c r="T216" i="16"/>
  <c r="P216" i="16"/>
  <c r="F216" i="16"/>
  <c r="E216" i="16"/>
  <c r="D216" i="16"/>
  <c r="U215" i="16"/>
  <c r="T215" i="16"/>
  <c r="P215" i="16"/>
  <c r="F215" i="16"/>
  <c r="E215" i="16"/>
  <c r="D215" i="16"/>
  <c r="U214" i="16"/>
  <c r="T214" i="16"/>
  <c r="P214" i="16"/>
  <c r="F214" i="16"/>
  <c r="E214" i="16"/>
  <c r="D214" i="16"/>
  <c r="U213" i="16"/>
  <c r="T213" i="16"/>
  <c r="P213" i="16"/>
  <c r="F213" i="16"/>
  <c r="E213" i="16"/>
  <c r="D213" i="16"/>
  <c r="U212" i="16"/>
  <c r="T212" i="16"/>
  <c r="P212" i="16"/>
  <c r="F212" i="16"/>
  <c r="E212" i="16"/>
  <c r="D212" i="16"/>
  <c r="U211" i="16"/>
  <c r="T211" i="16"/>
  <c r="P211" i="16"/>
  <c r="F211" i="16"/>
  <c r="E211" i="16"/>
  <c r="D211" i="16"/>
  <c r="U210" i="16"/>
  <c r="V210" i="16" s="1"/>
  <c r="W210" i="16" s="1"/>
  <c r="T210" i="16"/>
  <c r="P210" i="16"/>
  <c r="F210" i="16"/>
  <c r="E210" i="16"/>
  <c r="D210" i="16"/>
  <c r="U209" i="16"/>
  <c r="V209" i="16" s="1"/>
  <c r="W209" i="16" s="1"/>
  <c r="T209" i="16"/>
  <c r="P209" i="16"/>
  <c r="F209" i="16"/>
  <c r="E209" i="16"/>
  <c r="D209" i="16"/>
  <c r="U208" i="16"/>
  <c r="T208" i="16"/>
  <c r="V208" i="16" s="1"/>
  <c r="P208" i="16"/>
  <c r="F208" i="16"/>
  <c r="E208" i="16"/>
  <c r="D208" i="16"/>
  <c r="U207" i="16"/>
  <c r="V207" i="16" s="1"/>
  <c r="W207" i="16" s="1"/>
  <c r="T207" i="16"/>
  <c r="P207" i="16"/>
  <c r="F207" i="16"/>
  <c r="E207" i="16"/>
  <c r="D207" i="16"/>
  <c r="U206" i="16"/>
  <c r="V206" i="16" s="1"/>
  <c r="W206" i="16" s="1"/>
  <c r="T206" i="16"/>
  <c r="P206" i="16"/>
  <c r="F206" i="16"/>
  <c r="E206" i="16"/>
  <c r="D206" i="16"/>
  <c r="U205" i="16"/>
  <c r="T205" i="16"/>
  <c r="P205" i="16"/>
  <c r="F205" i="16"/>
  <c r="E205" i="16"/>
  <c r="D205" i="16"/>
  <c r="U204" i="16"/>
  <c r="T204" i="16"/>
  <c r="P204" i="16"/>
  <c r="F204" i="16"/>
  <c r="E204" i="16"/>
  <c r="D204" i="16"/>
  <c r="U203" i="16"/>
  <c r="T203" i="16"/>
  <c r="P203" i="16"/>
  <c r="F203" i="16"/>
  <c r="E203" i="16"/>
  <c r="D203" i="16"/>
  <c r="U202" i="16"/>
  <c r="T202" i="16"/>
  <c r="P202" i="16"/>
  <c r="F202" i="16"/>
  <c r="E202" i="16"/>
  <c r="D202" i="16"/>
  <c r="U201" i="16"/>
  <c r="T201" i="16"/>
  <c r="P201" i="16"/>
  <c r="F201" i="16"/>
  <c r="E201" i="16"/>
  <c r="D201" i="16"/>
  <c r="U200" i="16"/>
  <c r="T200" i="16"/>
  <c r="P200" i="16"/>
  <c r="F200" i="16"/>
  <c r="E200" i="16"/>
  <c r="D200" i="16"/>
  <c r="U199" i="16"/>
  <c r="T199" i="16"/>
  <c r="V199" i="16" s="1"/>
  <c r="P199" i="16"/>
  <c r="F199" i="16"/>
  <c r="E199" i="16"/>
  <c r="D199" i="16"/>
  <c r="U198" i="16"/>
  <c r="V198" i="16" s="1"/>
  <c r="W198" i="16" s="1"/>
  <c r="T198" i="16"/>
  <c r="P198" i="16"/>
  <c r="F198" i="16"/>
  <c r="E198" i="16"/>
  <c r="D198" i="16"/>
  <c r="U197" i="16"/>
  <c r="T197" i="16"/>
  <c r="P197" i="16"/>
  <c r="F197" i="16"/>
  <c r="E197" i="16"/>
  <c r="D197" i="16"/>
  <c r="U196" i="16"/>
  <c r="T196" i="16"/>
  <c r="P196" i="16"/>
  <c r="F196" i="16"/>
  <c r="E196" i="16"/>
  <c r="D196" i="16"/>
  <c r="U195" i="16"/>
  <c r="T195" i="16"/>
  <c r="P195" i="16"/>
  <c r="F195" i="16"/>
  <c r="E195" i="16"/>
  <c r="D195" i="16"/>
  <c r="U194" i="16"/>
  <c r="T194" i="16"/>
  <c r="P194" i="16"/>
  <c r="F194" i="16"/>
  <c r="E194" i="16"/>
  <c r="D194" i="16"/>
  <c r="U193" i="16"/>
  <c r="T193" i="16"/>
  <c r="P193" i="16"/>
  <c r="F193" i="16"/>
  <c r="E193" i="16"/>
  <c r="D193" i="16"/>
  <c r="U192" i="16"/>
  <c r="T192" i="16"/>
  <c r="V192" i="16" s="1"/>
  <c r="W192" i="16" s="1"/>
  <c r="P192" i="16"/>
  <c r="F192" i="16"/>
  <c r="E192" i="16"/>
  <c r="D192" i="16"/>
  <c r="U191" i="16"/>
  <c r="V191" i="16" s="1"/>
  <c r="W191" i="16" s="1"/>
  <c r="T191" i="16"/>
  <c r="P191" i="16"/>
  <c r="F191" i="16"/>
  <c r="E191" i="16"/>
  <c r="D191" i="16"/>
  <c r="U190" i="16"/>
  <c r="T190" i="16"/>
  <c r="P190" i="16"/>
  <c r="F190" i="16"/>
  <c r="E190" i="16"/>
  <c r="D190" i="16"/>
  <c r="U189" i="16"/>
  <c r="T189" i="16"/>
  <c r="P189" i="16"/>
  <c r="F189" i="16"/>
  <c r="E189" i="16"/>
  <c r="D189" i="16"/>
  <c r="U188" i="16"/>
  <c r="V188" i="16" s="1"/>
  <c r="W188" i="16" s="1"/>
  <c r="T188" i="16"/>
  <c r="P188" i="16"/>
  <c r="F188" i="16"/>
  <c r="E188" i="16"/>
  <c r="D188" i="16"/>
  <c r="U187" i="16"/>
  <c r="T187" i="16"/>
  <c r="P187" i="16"/>
  <c r="F187" i="16"/>
  <c r="E187" i="16"/>
  <c r="D187" i="16"/>
  <c r="U186" i="16"/>
  <c r="T186" i="16"/>
  <c r="P186" i="16"/>
  <c r="F186" i="16"/>
  <c r="E186" i="16"/>
  <c r="D186" i="16"/>
  <c r="U185" i="16"/>
  <c r="T185" i="16"/>
  <c r="P185" i="16"/>
  <c r="F185" i="16"/>
  <c r="E185" i="16"/>
  <c r="D185" i="16"/>
  <c r="U184" i="16"/>
  <c r="T184" i="16"/>
  <c r="P184" i="16"/>
  <c r="F184" i="16"/>
  <c r="E184" i="16"/>
  <c r="D184" i="16"/>
  <c r="U183" i="16"/>
  <c r="V183" i="16" s="1"/>
  <c r="W183" i="16" s="1"/>
  <c r="T183" i="16"/>
  <c r="P183" i="16"/>
  <c r="F183" i="16"/>
  <c r="E183" i="16"/>
  <c r="D183" i="16"/>
  <c r="U182" i="16"/>
  <c r="T182" i="16"/>
  <c r="P182" i="16"/>
  <c r="F182" i="16"/>
  <c r="E182" i="16"/>
  <c r="D182" i="16"/>
  <c r="U181" i="16"/>
  <c r="T181" i="16"/>
  <c r="P181" i="16"/>
  <c r="F181" i="16"/>
  <c r="E181" i="16"/>
  <c r="D181" i="16"/>
  <c r="U180" i="16"/>
  <c r="V180" i="16" s="1"/>
  <c r="W180" i="16" s="1"/>
  <c r="T180" i="16"/>
  <c r="P180" i="16"/>
  <c r="F180" i="16"/>
  <c r="E180" i="16"/>
  <c r="D180" i="16"/>
  <c r="U179" i="16"/>
  <c r="V179" i="16" s="1"/>
  <c r="W179" i="16" s="1"/>
  <c r="T179" i="16"/>
  <c r="P179" i="16"/>
  <c r="F179" i="16"/>
  <c r="E179" i="16"/>
  <c r="D179" i="16"/>
  <c r="U178" i="16"/>
  <c r="T178" i="16"/>
  <c r="P178" i="16"/>
  <c r="F178" i="16"/>
  <c r="E178" i="16"/>
  <c r="D178" i="16"/>
  <c r="U177" i="16"/>
  <c r="T177" i="16"/>
  <c r="V177" i="16" s="1"/>
  <c r="W177" i="16" s="1"/>
  <c r="P177" i="16"/>
  <c r="F177" i="16"/>
  <c r="E177" i="16"/>
  <c r="D177" i="16"/>
  <c r="U176" i="16"/>
  <c r="T176" i="16"/>
  <c r="P176" i="16"/>
  <c r="F176" i="16"/>
  <c r="E176" i="16"/>
  <c r="D176" i="16"/>
  <c r="U175" i="16"/>
  <c r="T175" i="16"/>
  <c r="P175" i="16"/>
  <c r="F175" i="16"/>
  <c r="E175" i="16"/>
  <c r="D175" i="16"/>
  <c r="U174" i="16"/>
  <c r="T174" i="16"/>
  <c r="P174" i="16"/>
  <c r="F174" i="16"/>
  <c r="E174" i="16"/>
  <c r="D174" i="16"/>
  <c r="U173" i="16"/>
  <c r="T173" i="16"/>
  <c r="P173" i="16"/>
  <c r="F173" i="16"/>
  <c r="E173" i="16"/>
  <c r="D173" i="16"/>
  <c r="U172" i="16"/>
  <c r="T172" i="16"/>
  <c r="P172" i="16"/>
  <c r="F172" i="16"/>
  <c r="E172" i="16"/>
  <c r="D172" i="16"/>
  <c r="U171" i="16"/>
  <c r="V171" i="16" s="1"/>
  <c r="W171" i="16" s="1"/>
  <c r="T171" i="16"/>
  <c r="P171" i="16"/>
  <c r="F171" i="16"/>
  <c r="E171" i="16"/>
  <c r="D171" i="16"/>
  <c r="U170" i="16"/>
  <c r="T170" i="16"/>
  <c r="P170" i="16"/>
  <c r="F170" i="16"/>
  <c r="E170" i="16"/>
  <c r="D170" i="16"/>
  <c r="U169" i="16"/>
  <c r="V169" i="16" s="1"/>
  <c r="T169" i="16"/>
  <c r="P169" i="16"/>
  <c r="F169" i="16"/>
  <c r="E169" i="16"/>
  <c r="D169" i="16"/>
  <c r="U168" i="16"/>
  <c r="T168" i="16"/>
  <c r="P168" i="16"/>
  <c r="F168" i="16"/>
  <c r="E168" i="16"/>
  <c r="D168" i="16"/>
  <c r="U167" i="16"/>
  <c r="T167" i="16"/>
  <c r="P167" i="16"/>
  <c r="F167" i="16"/>
  <c r="E167" i="16"/>
  <c r="D167" i="16"/>
  <c r="U166" i="16"/>
  <c r="T166" i="16"/>
  <c r="P166" i="16"/>
  <c r="F166" i="16"/>
  <c r="E166" i="16"/>
  <c r="D166" i="16"/>
  <c r="U165" i="16"/>
  <c r="V165" i="16" s="1"/>
  <c r="W165" i="16" s="1"/>
  <c r="T165" i="16"/>
  <c r="P165" i="16"/>
  <c r="F165" i="16"/>
  <c r="E165" i="16"/>
  <c r="D165" i="16"/>
  <c r="U164" i="16"/>
  <c r="T164" i="16"/>
  <c r="P164" i="16"/>
  <c r="F164" i="16"/>
  <c r="E164" i="16"/>
  <c r="D164" i="16"/>
  <c r="U163" i="16"/>
  <c r="T163" i="16"/>
  <c r="P163" i="16"/>
  <c r="F163" i="16"/>
  <c r="E163" i="16"/>
  <c r="D163" i="16"/>
  <c r="U162" i="16"/>
  <c r="V162" i="16" s="1"/>
  <c r="W162" i="16" s="1"/>
  <c r="T162" i="16"/>
  <c r="P162" i="16"/>
  <c r="F162" i="16"/>
  <c r="E162" i="16"/>
  <c r="D162" i="16"/>
  <c r="U161" i="16"/>
  <c r="T161" i="16"/>
  <c r="P161" i="16"/>
  <c r="F161" i="16"/>
  <c r="E161" i="16"/>
  <c r="D161" i="16"/>
  <c r="U160" i="16"/>
  <c r="T160" i="16"/>
  <c r="P160" i="16"/>
  <c r="F160" i="16"/>
  <c r="E160" i="16"/>
  <c r="D160" i="16"/>
  <c r="U159" i="16"/>
  <c r="V159" i="16" s="1"/>
  <c r="W159" i="16" s="1"/>
  <c r="T159" i="16"/>
  <c r="P159" i="16"/>
  <c r="F159" i="16"/>
  <c r="E159" i="16"/>
  <c r="D159" i="16"/>
  <c r="U158" i="16"/>
  <c r="T158" i="16"/>
  <c r="P158" i="16"/>
  <c r="F158" i="16"/>
  <c r="E158" i="16"/>
  <c r="D158" i="16"/>
  <c r="U157" i="16"/>
  <c r="T157" i="16"/>
  <c r="P157" i="16"/>
  <c r="F157" i="16"/>
  <c r="E157" i="16"/>
  <c r="D157" i="16"/>
  <c r="U156" i="16"/>
  <c r="T156" i="16"/>
  <c r="P156" i="16"/>
  <c r="F156" i="16"/>
  <c r="E156" i="16"/>
  <c r="D156" i="16"/>
  <c r="U155" i="16"/>
  <c r="V155" i="16" s="1"/>
  <c r="W155" i="16" s="1"/>
  <c r="T155" i="16"/>
  <c r="P155" i="16"/>
  <c r="F155" i="16"/>
  <c r="E155" i="16"/>
  <c r="D155" i="16"/>
  <c r="U154" i="16"/>
  <c r="T154" i="16"/>
  <c r="P154" i="16"/>
  <c r="F154" i="16"/>
  <c r="E154" i="16"/>
  <c r="D154" i="16"/>
  <c r="U153" i="16"/>
  <c r="T153" i="16"/>
  <c r="P153" i="16"/>
  <c r="F153" i="16"/>
  <c r="E153" i="16"/>
  <c r="D153" i="16"/>
  <c r="U152" i="16"/>
  <c r="V152" i="16" s="1"/>
  <c r="W152" i="16" s="1"/>
  <c r="T152" i="16"/>
  <c r="P152" i="16"/>
  <c r="F152" i="16"/>
  <c r="E152" i="16"/>
  <c r="D152" i="16"/>
  <c r="U151" i="16"/>
  <c r="T151" i="16"/>
  <c r="P151" i="16"/>
  <c r="F151" i="16"/>
  <c r="E151" i="16"/>
  <c r="D151" i="16"/>
  <c r="U150" i="16"/>
  <c r="V150" i="16" s="1"/>
  <c r="W150" i="16" s="1"/>
  <c r="T150" i="16"/>
  <c r="P150" i="16"/>
  <c r="F150" i="16"/>
  <c r="E150" i="16"/>
  <c r="D150" i="16"/>
  <c r="U149" i="16"/>
  <c r="T149" i="16"/>
  <c r="P149" i="16"/>
  <c r="F149" i="16"/>
  <c r="E149" i="16"/>
  <c r="D149" i="16"/>
  <c r="U148" i="16"/>
  <c r="T148" i="16"/>
  <c r="P148" i="16"/>
  <c r="F148" i="16"/>
  <c r="E148" i="16"/>
  <c r="D148" i="16"/>
  <c r="U147" i="16"/>
  <c r="V147" i="16" s="1"/>
  <c r="W147" i="16" s="1"/>
  <c r="T147" i="16"/>
  <c r="P147" i="16"/>
  <c r="F147" i="16"/>
  <c r="E147" i="16"/>
  <c r="D147" i="16"/>
  <c r="U146" i="16"/>
  <c r="V146" i="16" s="1"/>
  <c r="W146" i="16" s="1"/>
  <c r="T146" i="16"/>
  <c r="P146" i="16"/>
  <c r="F146" i="16"/>
  <c r="E146" i="16"/>
  <c r="D146" i="16"/>
  <c r="U145" i="16"/>
  <c r="T145" i="16"/>
  <c r="V145" i="16" s="1"/>
  <c r="P145" i="16"/>
  <c r="F145" i="16"/>
  <c r="E145" i="16"/>
  <c r="D145" i="16"/>
  <c r="U144" i="16"/>
  <c r="V144" i="16" s="1"/>
  <c r="T144" i="16"/>
  <c r="P144" i="16"/>
  <c r="F144" i="16"/>
  <c r="E144" i="16"/>
  <c r="D144" i="16"/>
  <c r="U143" i="16"/>
  <c r="T143" i="16"/>
  <c r="P143" i="16"/>
  <c r="F143" i="16"/>
  <c r="E143" i="16"/>
  <c r="D143" i="16"/>
  <c r="U142" i="16"/>
  <c r="T142" i="16"/>
  <c r="P142" i="16"/>
  <c r="F142" i="16"/>
  <c r="E142" i="16"/>
  <c r="D142" i="16"/>
  <c r="U141" i="16"/>
  <c r="T141" i="16"/>
  <c r="P141" i="16"/>
  <c r="F141" i="16"/>
  <c r="E141" i="16"/>
  <c r="D141" i="16"/>
  <c r="U140" i="16"/>
  <c r="T140" i="16"/>
  <c r="P140" i="16"/>
  <c r="F140" i="16"/>
  <c r="E140" i="16"/>
  <c r="D140" i="16"/>
  <c r="U139" i="16"/>
  <c r="T139" i="16"/>
  <c r="P139" i="16"/>
  <c r="F139" i="16"/>
  <c r="E139" i="16"/>
  <c r="D139" i="16"/>
  <c r="U138" i="16"/>
  <c r="V138" i="16" s="1"/>
  <c r="W138" i="16" s="1"/>
  <c r="T138" i="16"/>
  <c r="P138" i="16"/>
  <c r="F138" i="16"/>
  <c r="E138" i="16"/>
  <c r="D138" i="16"/>
  <c r="U137" i="16"/>
  <c r="V137" i="16" s="1"/>
  <c r="W137" i="16" s="1"/>
  <c r="T137" i="16"/>
  <c r="P137" i="16"/>
  <c r="F137" i="16"/>
  <c r="E137" i="16"/>
  <c r="D137" i="16"/>
  <c r="U136" i="16"/>
  <c r="T136" i="16"/>
  <c r="V136" i="16" s="1"/>
  <c r="W136" i="16" s="1"/>
  <c r="P136" i="16"/>
  <c r="F136" i="16"/>
  <c r="E136" i="16"/>
  <c r="D136" i="16"/>
  <c r="U135" i="16"/>
  <c r="T135" i="16"/>
  <c r="P135" i="16"/>
  <c r="F135" i="16"/>
  <c r="E135" i="16"/>
  <c r="D135" i="16"/>
  <c r="U134" i="16"/>
  <c r="V134" i="16" s="1"/>
  <c r="W134" i="16" s="1"/>
  <c r="T134" i="16"/>
  <c r="P134" i="16"/>
  <c r="F134" i="16"/>
  <c r="E134" i="16"/>
  <c r="D134" i="16"/>
  <c r="W133" i="16"/>
  <c r="U133" i="16"/>
  <c r="V133" i="16" s="1"/>
  <c r="T133" i="16"/>
  <c r="P133" i="16"/>
  <c r="F133" i="16"/>
  <c r="E133" i="16"/>
  <c r="D133" i="16"/>
  <c r="U132" i="16"/>
  <c r="V132" i="16" s="1"/>
  <c r="W132" i="16" s="1"/>
  <c r="T132" i="16"/>
  <c r="P132" i="16"/>
  <c r="F132" i="16"/>
  <c r="E132" i="16"/>
  <c r="D132" i="16"/>
  <c r="U131" i="16"/>
  <c r="T131" i="16"/>
  <c r="P131" i="16"/>
  <c r="F131" i="16"/>
  <c r="E131" i="16"/>
  <c r="D131" i="16"/>
  <c r="U130" i="16"/>
  <c r="T130" i="16"/>
  <c r="P130" i="16"/>
  <c r="F130" i="16"/>
  <c r="E130" i="16"/>
  <c r="D130" i="16"/>
  <c r="U129" i="16"/>
  <c r="V129" i="16" s="1"/>
  <c r="W129" i="16" s="1"/>
  <c r="T129" i="16"/>
  <c r="P129" i="16"/>
  <c r="F129" i="16"/>
  <c r="E129" i="16"/>
  <c r="D129" i="16"/>
  <c r="U128" i="16"/>
  <c r="V128" i="16" s="1"/>
  <c r="W128" i="16" s="1"/>
  <c r="T128" i="16"/>
  <c r="P128" i="16"/>
  <c r="F128" i="16"/>
  <c r="E128" i="16"/>
  <c r="D128" i="16"/>
  <c r="U127" i="16"/>
  <c r="T127" i="16"/>
  <c r="V127" i="16" s="1"/>
  <c r="W127" i="16" s="1"/>
  <c r="P127" i="16"/>
  <c r="F127" i="16"/>
  <c r="E127" i="16"/>
  <c r="D127" i="16"/>
  <c r="U126" i="16"/>
  <c r="V126" i="16" s="1"/>
  <c r="W126" i="16" s="1"/>
  <c r="T126" i="16"/>
  <c r="P126" i="16"/>
  <c r="F126" i="16"/>
  <c r="E126" i="16"/>
  <c r="D126" i="16"/>
  <c r="U125" i="16"/>
  <c r="T125" i="16"/>
  <c r="P125" i="16"/>
  <c r="F125" i="16"/>
  <c r="E125" i="16"/>
  <c r="D125" i="16"/>
  <c r="U124" i="16"/>
  <c r="T124" i="16"/>
  <c r="P124" i="16"/>
  <c r="F124" i="16"/>
  <c r="E124" i="16"/>
  <c r="D124" i="16"/>
  <c r="U123" i="16"/>
  <c r="V123" i="16" s="1"/>
  <c r="W123" i="16" s="1"/>
  <c r="T123" i="16"/>
  <c r="P123" i="16"/>
  <c r="F123" i="16"/>
  <c r="E123" i="16"/>
  <c r="D123" i="16"/>
  <c r="U122" i="16"/>
  <c r="T122" i="16"/>
  <c r="P122" i="16"/>
  <c r="F122" i="16"/>
  <c r="E122" i="16"/>
  <c r="D122" i="16"/>
  <c r="U121" i="16"/>
  <c r="T121" i="16"/>
  <c r="P121" i="16"/>
  <c r="F121" i="16"/>
  <c r="E121" i="16"/>
  <c r="D121" i="16"/>
  <c r="U120" i="16"/>
  <c r="T120" i="16"/>
  <c r="P120" i="16"/>
  <c r="F120" i="16"/>
  <c r="E120" i="16"/>
  <c r="D120" i="16"/>
  <c r="U119" i="16"/>
  <c r="T119" i="16"/>
  <c r="P119" i="16"/>
  <c r="F119" i="16"/>
  <c r="E119" i="16"/>
  <c r="D119" i="16"/>
  <c r="U118" i="16"/>
  <c r="T118" i="16"/>
  <c r="V118" i="16" s="1"/>
  <c r="P118" i="16"/>
  <c r="F118" i="16"/>
  <c r="E118" i="16"/>
  <c r="D118" i="16"/>
  <c r="U117" i="16"/>
  <c r="V117" i="16" s="1"/>
  <c r="W117" i="16" s="1"/>
  <c r="T117" i="16"/>
  <c r="P117" i="16"/>
  <c r="F117" i="16"/>
  <c r="E117" i="16"/>
  <c r="D117" i="16"/>
  <c r="U116" i="16"/>
  <c r="T116" i="16"/>
  <c r="P116" i="16"/>
  <c r="F116" i="16"/>
  <c r="E116" i="16"/>
  <c r="D116" i="16"/>
  <c r="U115" i="16"/>
  <c r="T115" i="16"/>
  <c r="V115" i="16" s="1"/>
  <c r="W115" i="16" s="1"/>
  <c r="P115" i="16"/>
  <c r="F115" i="16"/>
  <c r="E115" i="16"/>
  <c r="D115" i="16"/>
  <c r="U114" i="16"/>
  <c r="T114" i="16"/>
  <c r="P114" i="16"/>
  <c r="F114" i="16"/>
  <c r="E114" i="16"/>
  <c r="D114" i="16"/>
  <c r="U113" i="16"/>
  <c r="V113" i="16" s="1"/>
  <c r="W113" i="16" s="1"/>
  <c r="T113" i="16"/>
  <c r="P113" i="16"/>
  <c r="F113" i="16"/>
  <c r="E113" i="16"/>
  <c r="D113" i="16"/>
  <c r="U112" i="16"/>
  <c r="T112" i="16"/>
  <c r="P112" i="16"/>
  <c r="F112" i="16"/>
  <c r="E112" i="16"/>
  <c r="D112" i="16"/>
  <c r="U111" i="16"/>
  <c r="T111" i="16"/>
  <c r="P111" i="16"/>
  <c r="F111" i="16"/>
  <c r="E111" i="16"/>
  <c r="D111" i="16"/>
  <c r="U110" i="16"/>
  <c r="T110" i="16"/>
  <c r="P110" i="16"/>
  <c r="F110" i="16"/>
  <c r="E110" i="16"/>
  <c r="D110" i="16"/>
  <c r="U109" i="16"/>
  <c r="T109" i="16"/>
  <c r="P109" i="16"/>
  <c r="F109" i="16"/>
  <c r="E109" i="16"/>
  <c r="D109" i="16"/>
  <c r="U108" i="16"/>
  <c r="T108" i="16"/>
  <c r="P108" i="16"/>
  <c r="F108" i="16"/>
  <c r="E108" i="16"/>
  <c r="D108" i="16"/>
  <c r="U107" i="16"/>
  <c r="T107" i="16"/>
  <c r="P107" i="16"/>
  <c r="F107" i="16"/>
  <c r="E107" i="16"/>
  <c r="D107" i="16"/>
  <c r="U106" i="16"/>
  <c r="T106" i="16"/>
  <c r="P106" i="16"/>
  <c r="F106" i="16"/>
  <c r="E106" i="16"/>
  <c r="D106" i="16"/>
  <c r="U105" i="16"/>
  <c r="T105" i="16"/>
  <c r="P105" i="16"/>
  <c r="F105" i="16"/>
  <c r="E105" i="16"/>
  <c r="D105" i="16"/>
  <c r="U104" i="16"/>
  <c r="V104" i="16" s="1"/>
  <c r="W104" i="16" s="1"/>
  <c r="T104" i="16"/>
  <c r="P104" i="16"/>
  <c r="F104" i="16"/>
  <c r="E104" i="16"/>
  <c r="D104" i="16"/>
  <c r="U103" i="16"/>
  <c r="T103" i="16"/>
  <c r="P103" i="16"/>
  <c r="F103" i="16"/>
  <c r="E103" i="16"/>
  <c r="D103" i="16"/>
  <c r="U102" i="16"/>
  <c r="T102" i="16"/>
  <c r="V102" i="16" s="1"/>
  <c r="W102" i="16" s="1"/>
  <c r="P102" i="16"/>
  <c r="F102" i="16"/>
  <c r="E102" i="16"/>
  <c r="D102" i="16"/>
  <c r="W101" i="16"/>
  <c r="U101" i="16"/>
  <c r="V101" i="16" s="1"/>
  <c r="T101" i="16"/>
  <c r="P101" i="16"/>
  <c r="F101" i="16"/>
  <c r="E101" i="16"/>
  <c r="D101" i="16"/>
  <c r="U100" i="16"/>
  <c r="T100" i="16"/>
  <c r="V100" i="16" s="1"/>
  <c r="W100" i="16" s="1"/>
  <c r="P100" i="16"/>
  <c r="F100" i="16"/>
  <c r="E100" i="16"/>
  <c r="D100" i="16"/>
  <c r="U99" i="16"/>
  <c r="V99" i="16" s="1"/>
  <c r="W99" i="16" s="1"/>
  <c r="T99" i="16"/>
  <c r="P99" i="16"/>
  <c r="F99" i="16"/>
  <c r="E99" i="16"/>
  <c r="D99" i="16"/>
  <c r="U98" i="16"/>
  <c r="T98" i="16"/>
  <c r="P98" i="16"/>
  <c r="F98" i="16"/>
  <c r="E98" i="16"/>
  <c r="D98" i="16"/>
  <c r="U97" i="16"/>
  <c r="T97" i="16"/>
  <c r="V97" i="16" s="1"/>
  <c r="W97" i="16" s="1"/>
  <c r="P97" i="16"/>
  <c r="F97" i="16"/>
  <c r="E97" i="16"/>
  <c r="D97" i="16"/>
  <c r="V96" i="16"/>
  <c r="W96" i="16" s="1"/>
  <c r="U96" i="16"/>
  <c r="T96" i="16"/>
  <c r="P96" i="16"/>
  <c r="F96" i="16"/>
  <c r="E96" i="16"/>
  <c r="D96" i="16"/>
  <c r="U95" i="16"/>
  <c r="T95" i="16"/>
  <c r="P95" i="16"/>
  <c r="F95" i="16"/>
  <c r="E95" i="16"/>
  <c r="D95" i="16"/>
  <c r="U94" i="16"/>
  <c r="V94" i="16" s="1"/>
  <c r="W94" i="16" s="1"/>
  <c r="T94" i="16"/>
  <c r="P94" i="16"/>
  <c r="F94" i="16"/>
  <c r="E94" i="16"/>
  <c r="D94" i="16"/>
  <c r="U93" i="16"/>
  <c r="T93" i="16"/>
  <c r="P93" i="16"/>
  <c r="F93" i="16"/>
  <c r="E93" i="16"/>
  <c r="D93" i="16"/>
  <c r="U92" i="16"/>
  <c r="V92" i="16" s="1"/>
  <c r="W92" i="16" s="1"/>
  <c r="T92" i="16"/>
  <c r="P92" i="16"/>
  <c r="F92" i="16"/>
  <c r="E92" i="16"/>
  <c r="D92" i="16"/>
  <c r="U91" i="16"/>
  <c r="V91" i="16" s="1"/>
  <c r="W91" i="16" s="1"/>
  <c r="T91" i="16"/>
  <c r="P91" i="16"/>
  <c r="F91" i="16"/>
  <c r="E91" i="16"/>
  <c r="D91" i="16"/>
  <c r="U90" i="16"/>
  <c r="T90" i="16"/>
  <c r="V90" i="16" s="1"/>
  <c r="W90" i="16" s="1"/>
  <c r="P90" i="16"/>
  <c r="F90" i="16"/>
  <c r="E90" i="16"/>
  <c r="D90" i="16"/>
  <c r="U89" i="16"/>
  <c r="V89" i="16" s="1"/>
  <c r="W89" i="16" s="1"/>
  <c r="T89" i="16"/>
  <c r="P89" i="16"/>
  <c r="F89" i="16"/>
  <c r="E89" i="16"/>
  <c r="D89" i="16"/>
  <c r="U88" i="16"/>
  <c r="T88" i="16"/>
  <c r="P88" i="16"/>
  <c r="F88" i="16"/>
  <c r="E88" i="16"/>
  <c r="D88" i="16"/>
  <c r="U87" i="16"/>
  <c r="V87" i="16" s="1"/>
  <c r="W87" i="16" s="1"/>
  <c r="T87" i="16"/>
  <c r="P87" i="16"/>
  <c r="F87" i="16"/>
  <c r="E87" i="16"/>
  <c r="D87" i="16"/>
  <c r="U86" i="16"/>
  <c r="V86" i="16" s="1"/>
  <c r="W86" i="16" s="1"/>
  <c r="T86" i="16"/>
  <c r="P86" i="16"/>
  <c r="F86" i="16"/>
  <c r="E86" i="16"/>
  <c r="D86" i="16"/>
  <c r="U85" i="16"/>
  <c r="T85" i="16"/>
  <c r="V85" i="16" s="1"/>
  <c r="P85" i="16"/>
  <c r="F85" i="16"/>
  <c r="E85" i="16"/>
  <c r="D85" i="16"/>
  <c r="U84" i="16"/>
  <c r="T84" i="16"/>
  <c r="P84" i="16"/>
  <c r="F84" i="16"/>
  <c r="E84" i="16"/>
  <c r="D84" i="16"/>
  <c r="U83" i="16"/>
  <c r="T83" i="16"/>
  <c r="P83" i="16"/>
  <c r="F83" i="16"/>
  <c r="E83" i="16"/>
  <c r="D83" i="16"/>
  <c r="U82" i="16"/>
  <c r="T82" i="16"/>
  <c r="P82" i="16"/>
  <c r="F82" i="16"/>
  <c r="E82" i="16"/>
  <c r="D82" i="16"/>
  <c r="U81" i="16"/>
  <c r="T81" i="16"/>
  <c r="P81" i="16"/>
  <c r="F81" i="16"/>
  <c r="E81" i="16"/>
  <c r="D81" i="16"/>
  <c r="U80" i="16"/>
  <c r="T80" i="16"/>
  <c r="P80" i="16"/>
  <c r="F80" i="16"/>
  <c r="E80" i="16"/>
  <c r="D80" i="16"/>
  <c r="U79" i="16"/>
  <c r="T79" i="16"/>
  <c r="P79" i="16"/>
  <c r="F79" i="16"/>
  <c r="E79" i="16"/>
  <c r="D79" i="16"/>
  <c r="U78" i="16"/>
  <c r="V78" i="16" s="1"/>
  <c r="W78" i="16" s="1"/>
  <c r="T78" i="16"/>
  <c r="P78" i="16"/>
  <c r="F78" i="16"/>
  <c r="E78" i="16"/>
  <c r="D78" i="16"/>
  <c r="U77" i="16"/>
  <c r="T77" i="16"/>
  <c r="P77" i="16"/>
  <c r="F77" i="16"/>
  <c r="E77" i="16"/>
  <c r="D77" i="16"/>
  <c r="U76" i="16"/>
  <c r="V76" i="16" s="1"/>
  <c r="W76" i="16" s="1"/>
  <c r="T76" i="16"/>
  <c r="P76" i="16"/>
  <c r="F76" i="16"/>
  <c r="E76" i="16"/>
  <c r="D76" i="16"/>
  <c r="U75" i="16"/>
  <c r="T75" i="16"/>
  <c r="P75" i="16"/>
  <c r="F75" i="16"/>
  <c r="E75" i="16"/>
  <c r="D75" i="16"/>
  <c r="U74" i="16"/>
  <c r="T74" i="16"/>
  <c r="P74" i="16"/>
  <c r="F74" i="16"/>
  <c r="E74" i="16"/>
  <c r="D74" i="16"/>
  <c r="U73" i="16"/>
  <c r="T73" i="16"/>
  <c r="P73" i="16"/>
  <c r="F73" i="16"/>
  <c r="E73" i="16"/>
  <c r="D73" i="16"/>
  <c r="V72" i="16"/>
  <c r="W72" i="16" s="1"/>
  <c r="U72" i="16"/>
  <c r="T72" i="16"/>
  <c r="P72" i="16"/>
  <c r="F72" i="16"/>
  <c r="E72" i="16"/>
  <c r="D72" i="16"/>
  <c r="U71" i="16"/>
  <c r="T71" i="16"/>
  <c r="P71" i="16"/>
  <c r="F71" i="16"/>
  <c r="E71" i="16"/>
  <c r="D71" i="16"/>
  <c r="U70" i="16"/>
  <c r="T70" i="16"/>
  <c r="P70" i="16"/>
  <c r="F70" i="16"/>
  <c r="E70" i="16"/>
  <c r="D70" i="16"/>
  <c r="U69" i="16"/>
  <c r="V69" i="16" s="1"/>
  <c r="W69" i="16" s="1"/>
  <c r="T69" i="16"/>
  <c r="P69" i="16"/>
  <c r="F69" i="16"/>
  <c r="E69" i="16"/>
  <c r="D69" i="16"/>
  <c r="U68" i="16"/>
  <c r="T68" i="16"/>
  <c r="P68" i="16"/>
  <c r="F68" i="16"/>
  <c r="E68" i="16"/>
  <c r="D68" i="16"/>
  <c r="U67" i="16"/>
  <c r="T67" i="16"/>
  <c r="P67" i="16"/>
  <c r="F67" i="16"/>
  <c r="E67" i="16"/>
  <c r="D67" i="16"/>
  <c r="U66" i="16"/>
  <c r="T66" i="16"/>
  <c r="P66" i="16"/>
  <c r="F66" i="16"/>
  <c r="E66" i="16"/>
  <c r="D66" i="16"/>
  <c r="U65" i="16"/>
  <c r="V65" i="16" s="1"/>
  <c r="T65" i="16"/>
  <c r="W65" i="16" s="1"/>
  <c r="P65" i="16"/>
  <c r="F65" i="16"/>
  <c r="E65" i="16"/>
  <c r="D65" i="16"/>
  <c r="U64" i="16"/>
  <c r="T64" i="16"/>
  <c r="P64" i="16"/>
  <c r="F64" i="16"/>
  <c r="E64" i="16"/>
  <c r="D64" i="16"/>
  <c r="U63" i="16"/>
  <c r="T63" i="16"/>
  <c r="P63" i="16"/>
  <c r="F63" i="16"/>
  <c r="E63" i="16"/>
  <c r="D63" i="16"/>
  <c r="U62" i="16"/>
  <c r="T62" i="16"/>
  <c r="P62" i="16"/>
  <c r="F62" i="16"/>
  <c r="E62" i="16"/>
  <c r="D62" i="16"/>
  <c r="U61" i="16"/>
  <c r="T61" i="16"/>
  <c r="V61" i="16" s="1"/>
  <c r="W61" i="16" s="1"/>
  <c r="P61" i="16"/>
  <c r="F61" i="16"/>
  <c r="E61" i="16"/>
  <c r="D61" i="16"/>
  <c r="U60" i="16"/>
  <c r="T60" i="16"/>
  <c r="V60" i="16" s="1"/>
  <c r="W60" i="16" s="1"/>
  <c r="P60" i="16"/>
  <c r="F60" i="16"/>
  <c r="E60" i="16"/>
  <c r="D60" i="16"/>
  <c r="U59" i="16"/>
  <c r="V59" i="16" s="1"/>
  <c r="W59" i="16" s="1"/>
  <c r="T59" i="16"/>
  <c r="P59" i="16"/>
  <c r="F59" i="16"/>
  <c r="E59" i="16"/>
  <c r="D59" i="16"/>
  <c r="U58" i="16"/>
  <c r="T58" i="16"/>
  <c r="P58" i="16"/>
  <c r="F58" i="16"/>
  <c r="E58" i="16"/>
  <c r="D58" i="16"/>
  <c r="U57" i="16"/>
  <c r="T57" i="16"/>
  <c r="P57" i="16"/>
  <c r="F57" i="16"/>
  <c r="E57" i="16"/>
  <c r="D57" i="16"/>
  <c r="U56" i="16"/>
  <c r="T56" i="16"/>
  <c r="P56" i="16"/>
  <c r="F56" i="16"/>
  <c r="E56" i="16"/>
  <c r="D56" i="16"/>
  <c r="U55" i="16"/>
  <c r="V55" i="16" s="1"/>
  <c r="W55" i="16" s="1"/>
  <c r="T55" i="16"/>
  <c r="P55" i="16"/>
  <c r="F55" i="16"/>
  <c r="E55" i="16"/>
  <c r="D55" i="16"/>
  <c r="U54" i="16"/>
  <c r="V54" i="16" s="1"/>
  <c r="W54" i="16" s="1"/>
  <c r="T54" i="16"/>
  <c r="P54" i="16"/>
  <c r="F54" i="16"/>
  <c r="E54" i="16"/>
  <c r="D54" i="16"/>
  <c r="U53" i="16"/>
  <c r="T53" i="16"/>
  <c r="V53" i="16" s="1"/>
  <c r="P53" i="16"/>
  <c r="F53" i="16"/>
  <c r="E53" i="16"/>
  <c r="D53" i="16"/>
  <c r="U52" i="16"/>
  <c r="T52" i="16"/>
  <c r="V52" i="16" s="1"/>
  <c r="P52" i="16"/>
  <c r="F52" i="16"/>
  <c r="E52" i="16"/>
  <c r="D52" i="16"/>
  <c r="U51" i="16"/>
  <c r="V51" i="16" s="1"/>
  <c r="W51" i="16" s="1"/>
  <c r="T51" i="16"/>
  <c r="P51" i="16"/>
  <c r="F51" i="16"/>
  <c r="E51" i="16"/>
  <c r="D51" i="16"/>
  <c r="W50" i="16"/>
  <c r="U50" i="16"/>
  <c r="T50" i="16"/>
  <c r="V50" i="16" s="1"/>
  <c r="P50" i="16"/>
  <c r="F50" i="16"/>
  <c r="E50" i="16"/>
  <c r="D50" i="16"/>
  <c r="U49" i="16"/>
  <c r="V49" i="16" s="1"/>
  <c r="T49" i="16"/>
  <c r="P49" i="16"/>
  <c r="F49" i="16"/>
  <c r="E49" i="16"/>
  <c r="D49" i="16"/>
  <c r="U48" i="16"/>
  <c r="T48" i="16"/>
  <c r="P48" i="16"/>
  <c r="F48" i="16"/>
  <c r="E48" i="16"/>
  <c r="D48" i="16"/>
  <c r="U47" i="16"/>
  <c r="T47" i="16"/>
  <c r="P47" i="16"/>
  <c r="F47" i="16"/>
  <c r="E47" i="16"/>
  <c r="D47" i="16"/>
  <c r="U46" i="16"/>
  <c r="T46" i="16"/>
  <c r="P46" i="16"/>
  <c r="F46" i="16"/>
  <c r="E46" i="16"/>
  <c r="D46" i="16"/>
  <c r="U45" i="16"/>
  <c r="V45" i="16" s="1"/>
  <c r="W45" i="16" s="1"/>
  <c r="T45" i="16"/>
  <c r="P45" i="16"/>
  <c r="F45" i="16"/>
  <c r="E45" i="16"/>
  <c r="D45" i="16"/>
  <c r="U44" i="16"/>
  <c r="T44" i="16"/>
  <c r="V44" i="16" s="1"/>
  <c r="P44" i="16"/>
  <c r="F44" i="16"/>
  <c r="E44" i="16"/>
  <c r="D44" i="16"/>
  <c r="U43" i="16"/>
  <c r="V43" i="16" s="1"/>
  <c r="W43" i="16" s="1"/>
  <c r="T43" i="16"/>
  <c r="P43" i="16"/>
  <c r="F43" i="16"/>
  <c r="E43" i="16"/>
  <c r="D43" i="16"/>
  <c r="U42" i="16"/>
  <c r="T42" i="16"/>
  <c r="P42" i="16"/>
  <c r="F42" i="16"/>
  <c r="E42" i="16"/>
  <c r="D42" i="16"/>
  <c r="U41" i="16"/>
  <c r="T41" i="16"/>
  <c r="P41" i="16"/>
  <c r="F41" i="16"/>
  <c r="E41" i="16"/>
  <c r="D41" i="16"/>
  <c r="U40" i="16"/>
  <c r="T40" i="16"/>
  <c r="P40" i="16"/>
  <c r="F40" i="16"/>
  <c r="E40" i="16"/>
  <c r="D40" i="16"/>
  <c r="U39" i="16"/>
  <c r="V39" i="16" s="1"/>
  <c r="W39" i="16" s="1"/>
  <c r="T39" i="16"/>
  <c r="P39" i="16"/>
  <c r="F39" i="16"/>
  <c r="E39" i="16"/>
  <c r="D39" i="16"/>
  <c r="U38" i="16"/>
  <c r="T38" i="16"/>
  <c r="V38" i="16" s="1"/>
  <c r="P38" i="16"/>
  <c r="F38" i="16"/>
  <c r="E38" i="16"/>
  <c r="D38" i="16"/>
  <c r="U37" i="16"/>
  <c r="T37" i="16"/>
  <c r="P37" i="16"/>
  <c r="F37" i="16"/>
  <c r="E37" i="16"/>
  <c r="D37" i="16"/>
  <c r="U36" i="16"/>
  <c r="V36" i="16" s="1"/>
  <c r="W36" i="16" s="1"/>
  <c r="T36" i="16"/>
  <c r="P36" i="16"/>
  <c r="F36" i="16"/>
  <c r="E36" i="16"/>
  <c r="D36" i="16"/>
  <c r="U35" i="16"/>
  <c r="T35" i="16"/>
  <c r="P35" i="16"/>
  <c r="F35" i="16"/>
  <c r="E35" i="16"/>
  <c r="D35" i="16"/>
  <c r="U34" i="16"/>
  <c r="T34" i="16"/>
  <c r="P34" i="16"/>
  <c r="F34" i="16"/>
  <c r="E34" i="16"/>
  <c r="D34" i="16"/>
  <c r="U33" i="16"/>
  <c r="V33" i="16" s="1"/>
  <c r="W33" i="16" s="1"/>
  <c r="T33" i="16"/>
  <c r="P33" i="16"/>
  <c r="F33" i="16"/>
  <c r="E33" i="16"/>
  <c r="D33" i="16"/>
  <c r="U32" i="16"/>
  <c r="T32" i="16"/>
  <c r="P32" i="16"/>
  <c r="F32" i="16"/>
  <c r="E32" i="16"/>
  <c r="D32" i="16"/>
  <c r="U31" i="16"/>
  <c r="T31" i="16"/>
  <c r="P31" i="16"/>
  <c r="F31" i="16"/>
  <c r="E31" i="16"/>
  <c r="D31" i="16"/>
  <c r="U30" i="16"/>
  <c r="T30" i="16"/>
  <c r="P30" i="16"/>
  <c r="F30" i="16"/>
  <c r="E30" i="16"/>
  <c r="D30" i="16"/>
  <c r="U29" i="16"/>
  <c r="T29" i="16"/>
  <c r="P29" i="16"/>
  <c r="F29" i="16"/>
  <c r="E29" i="16"/>
  <c r="D29" i="16"/>
  <c r="W28" i="16"/>
  <c r="U28" i="16"/>
  <c r="T28" i="16"/>
  <c r="V28" i="16" s="1"/>
  <c r="P28" i="16"/>
  <c r="F28" i="16"/>
  <c r="E28" i="16"/>
  <c r="D28" i="16"/>
  <c r="U27" i="16"/>
  <c r="T27" i="16"/>
  <c r="P27" i="16"/>
  <c r="F27" i="16"/>
  <c r="E27" i="16"/>
  <c r="D27" i="16"/>
  <c r="U26" i="16"/>
  <c r="T26" i="16"/>
  <c r="P26" i="16"/>
  <c r="F26" i="16"/>
  <c r="E26" i="16"/>
  <c r="D26" i="16"/>
  <c r="U25" i="16"/>
  <c r="T25" i="16"/>
  <c r="V25" i="16" s="1"/>
  <c r="W25" i="16" s="1"/>
  <c r="P25" i="16"/>
  <c r="F25" i="16"/>
  <c r="E25" i="16"/>
  <c r="D25" i="16"/>
  <c r="U24" i="16"/>
  <c r="V24" i="16" s="1"/>
  <c r="W24" i="16" s="1"/>
  <c r="T24" i="16"/>
  <c r="P24" i="16"/>
  <c r="F24" i="16"/>
  <c r="E24" i="16"/>
  <c r="D24" i="16"/>
  <c r="U23" i="16"/>
  <c r="T23" i="16"/>
  <c r="P23" i="16"/>
  <c r="F23" i="16"/>
  <c r="E23" i="16"/>
  <c r="D23" i="16"/>
  <c r="U22" i="16"/>
  <c r="V22" i="16" s="1"/>
  <c r="W22" i="16" s="1"/>
  <c r="T22" i="16"/>
  <c r="P22" i="16"/>
  <c r="F22" i="16"/>
  <c r="E22" i="16"/>
  <c r="D22" i="16"/>
  <c r="U21" i="16"/>
  <c r="T21" i="16"/>
  <c r="P21" i="16"/>
  <c r="F21" i="16"/>
  <c r="E21" i="16"/>
  <c r="D21" i="16"/>
  <c r="U20" i="16"/>
  <c r="T20" i="16"/>
  <c r="V20" i="16" s="1"/>
  <c r="P20" i="16"/>
  <c r="F20" i="16"/>
  <c r="E20" i="16"/>
  <c r="D20" i="16"/>
  <c r="U19" i="16"/>
  <c r="T19" i="16"/>
  <c r="P19" i="16"/>
  <c r="F19" i="16"/>
  <c r="E19" i="16"/>
  <c r="D19" i="16"/>
  <c r="V18" i="16"/>
  <c r="W18" i="16" s="1"/>
  <c r="U18" i="16"/>
  <c r="T18" i="16"/>
  <c r="P18" i="16"/>
  <c r="F18" i="16"/>
  <c r="E18" i="16"/>
  <c r="D18" i="16"/>
  <c r="U17" i="16"/>
  <c r="T17" i="16"/>
  <c r="V17" i="16" s="1"/>
  <c r="P17" i="16"/>
  <c r="F17" i="16"/>
  <c r="E17" i="16"/>
  <c r="D17" i="16"/>
  <c r="U16" i="16"/>
  <c r="T16" i="16"/>
  <c r="P16" i="16"/>
  <c r="F16" i="16"/>
  <c r="E16" i="16"/>
  <c r="D16" i="16"/>
  <c r="U15" i="16"/>
  <c r="T15" i="16"/>
  <c r="P15" i="16"/>
  <c r="F15" i="16"/>
  <c r="E15" i="16"/>
  <c r="D15" i="16"/>
  <c r="U14" i="16"/>
  <c r="T14" i="16"/>
  <c r="P14" i="16"/>
  <c r="F14" i="16"/>
  <c r="E14" i="16"/>
  <c r="D14" i="16"/>
  <c r="U13" i="16"/>
  <c r="V13" i="16" s="1"/>
  <c r="T13" i="16"/>
  <c r="P13" i="16"/>
  <c r="F13" i="16"/>
  <c r="E13" i="16"/>
  <c r="D13" i="16"/>
  <c r="U12" i="16"/>
  <c r="T12" i="16"/>
  <c r="P12" i="16"/>
  <c r="F12" i="16"/>
  <c r="E12" i="16"/>
  <c r="D12" i="16"/>
  <c r="U11" i="16"/>
  <c r="T11" i="16"/>
  <c r="P11" i="16"/>
  <c r="F11" i="16"/>
  <c r="E11" i="16"/>
  <c r="D11" i="16"/>
  <c r="U10" i="16"/>
  <c r="T10" i="16"/>
  <c r="P10" i="16"/>
  <c r="F10" i="16"/>
  <c r="E10" i="16"/>
  <c r="D10" i="16"/>
  <c r="U9" i="16"/>
  <c r="V9" i="16" s="1"/>
  <c r="W9" i="16" s="1"/>
  <c r="T9" i="16"/>
  <c r="P9" i="16"/>
  <c r="F9" i="16"/>
  <c r="E9" i="16"/>
  <c r="D9" i="16"/>
  <c r="U8" i="16"/>
  <c r="T8" i="16"/>
  <c r="V8" i="16" s="1"/>
  <c r="P8" i="16"/>
  <c r="F8" i="16"/>
  <c r="E8" i="16"/>
  <c r="D8" i="16"/>
  <c r="U7" i="16"/>
  <c r="T7" i="16"/>
  <c r="V7" i="16" s="1"/>
  <c r="P7" i="16"/>
  <c r="F7" i="16"/>
  <c r="E7" i="16"/>
  <c r="D7" i="16"/>
  <c r="U6" i="16"/>
  <c r="V6" i="16" s="1"/>
  <c r="W6" i="16" s="1"/>
  <c r="T6" i="16"/>
  <c r="P6" i="16"/>
  <c r="F6" i="16"/>
  <c r="E6" i="16"/>
  <c r="D6" i="16"/>
  <c r="U5" i="16"/>
  <c r="T5" i="16"/>
  <c r="P5" i="16"/>
  <c r="F5" i="16"/>
  <c r="E5" i="16"/>
  <c r="D5" i="16"/>
  <c r="U4" i="16"/>
  <c r="T4" i="16"/>
  <c r="V4" i="16" s="1"/>
  <c r="W4" i="16" s="1"/>
  <c r="P4" i="16"/>
  <c r="F4" i="16"/>
  <c r="E4" i="16"/>
  <c r="D4" i="16"/>
  <c r="U3" i="16"/>
  <c r="T3" i="16"/>
  <c r="P3" i="16"/>
  <c r="F3" i="16"/>
  <c r="E3" i="16"/>
  <c r="D3" i="16"/>
  <c r="U2" i="16"/>
  <c r="T2" i="16"/>
  <c r="V2" i="16" s="1"/>
  <c r="P2" i="16"/>
  <c r="F2" i="16"/>
  <c r="E2" i="16"/>
  <c r="D2" i="16"/>
  <c r="U1" i="16"/>
  <c r="T1" i="16"/>
  <c r="P1" i="16"/>
  <c r="F1" i="16"/>
  <c r="E1" i="16"/>
  <c r="D1" i="16"/>
  <c r="E11" i="13"/>
  <c r="G23" i="26"/>
  <c r="F24" i="26"/>
  <c r="F23" i="26"/>
  <c r="H24" i="26"/>
  <c r="G24" i="26" s="1"/>
  <c r="H23" i="26"/>
  <c r="U2" i="23"/>
  <c r="M24" i="26"/>
  <c r="M23" i="26"/>
  <c r="K23" i="26"/>
  <c r="P23" i="26" s="1"/>
  <c r="L23" i="26"/>
  <c r="L24" i="26"/>
  <c r="K24" i="26"/>
  <c r="P24" i="26" s="1"/>
  <c r="H5" i="26" a="1"/>
  <c r="H5" i="26" s="1"/>
  <c r="V633" i="23"/>
  <c r="U633" i="23"/>
  <c r="Q633" i="23"/>
  <c r="G633" i="23"/>
  <c r="F633" i="23"/>
  <c r="D633" i="23"/>
  <c r="E633" i="23" s="1"/>
  <c r="V632" i="23"/>
  <c r="U632" i="23"/>
  <c r="Q632" i="23"/>
  <c r="G632" i="23"/>
  <c r="F632" i="23"/>
  <c r="D632" i="23"/>
  <c r="E632" i="23" s="1"/>
  <c r="V631" i="23"/>
  <c r="U631" i="23"/>
  <c r="Q631" i="23"/>
  <c r="G631" i="23"/>
  <c r="F631" i="23"/>
  <c r="D631" i="23"/>
  <c r="E631" i="23" s="1"/>
  <c r="V630" i="23"/>
  <c r="U630" i="23"/>
  <c r="X630" i="23" s="1"/>
  <c r="Q630" i="23"/>
  <c r="G630" i="23"/>
  <c r="F630" i="23"/>
  <c r="D630" i="23"/>
  <c r="E630" i="23" s="1"/>
  <c r="V629" i="23"/>
  <c r="U629" i="23"/>
  <c r="X629" i="23" s="1"/>
  <c r="Q629" i="23"/>
  <c r="G629" i="23"/>
  <c r="F629" i="23"/>
  <c r="D629" i="23"/>
  <c r="E629" i="23" s="1"/>
  <c r="V628" i="23"/>
  <c r="U628" i="23"/>
  <c r="X628" i="23" s="1"/>
  <c r="Q628" i="23"/>
  <c r="G628" i="23"/>
  <c r="F628" i="23"/>
  <c r="D628" i="23"/>
  <c r="E628" i="23" s="1"/>
  <c r="V627" i="23"/>
  <c r="U627" i="23"/>
  <c r="Q627" i="23"/>
  <c r="G627" i="23"/>
  <c r="F627" i="23"/>
  <c r="D627" i="23"/>
  <c r="E627" i="23" s="1"/>
  <c r="V626" i="23"/>
  <c r="U626" i="23"/>
  <c r="Q626" i="23"/>
  <c r="G626" i="23"/>
  <c r="F626" i="23"/>
  <c r="D626" i="23"/>
  <c r="E626" i="23" s="1"/>
  <c r="V625" i="23"/>
  <c r="U625" i="23"/>
  <c r="Q625" i="23"/>
  <c r="G625" i="23"/>
  <c r="F625" i="23"/>
  <c r="D625" i="23"/>
  <c r="E625" i="23" s="1"/>
  <c r="V624" i="23"/>
  <c r="U624" i="23"/>
  <c r="X624" i="23" s="1"/>
  <c r="Q624" i="23"/>
  <c r="G624" i="23"/>
  <c r="F624" i="23"/>
  <c r="D624" i="23"/>
  <c r="E624" i="23" s="1"/>
  <c r="V623" i="23"/>
  <c r="U623" i="23"/>
  <c r="Q623" i="23"/>
  <c r="G623" i="23"/>
  <c r="F623" i="23"/>
  <c r="D623" i="23"/>
  <c r="E623" i="23" s="1"/>
  <c r="V622" i="23"/>
  <c r="U622" i="23"/>
  <c r="Q622" i="23"/>
  <c r="G622" i="23"/>
  <c r="F622" i="23"/>
  <c r="D622" i="23"/>
  <c r="E622" i="23" s="1"/>
  <c r="V621" i="23"/>
  <c r="U621" i="23"/>
  <c r="Q621" i="23"/>
  <c r="G621" i="23"/>
  <c r="F621" i="23"/>
  <c r="D621" i="23"/>
  <c r="E621" i="23" s="1"/>
  <c r="V620" i="23"/>
  <c r="U620" i="23"/>
  <c r="Q620" i="23"/>
  <c r="G620" i="23"/>
  <c r="F620" i="23"/>
  <c r="D620" i="23"/>
  <c r="E620" i="23" s="1"/>
  <c r="V619" i="23"/>
  <c r="U619" i="23"/>
  <c r="Q619" i="23"/>
  <c r="G619" i="23"/>
  <c r="F619" i="23"/>
  <c r="D619" i="23"/>
  <c r="E619" i="23" s="1"/>
  <c r="V618" i="23"/>
  <c r="U618" i="23"/>
  <c r="Q618" i="23"/>
  <c r="G618" i="23"/>
  <c r="F618" i="23"/>
  <c r="D618" i="23"/>
  <c r="E618" i="23" s="1"/>
  <c r="V617" i="23"/>
  <c r="U617" i="23"/>
  <c r="Q617" i="23"/>
  <c r="G617" i="23"/>
  <c r="F617" i="23"/>
  <c r="D617" i="23"/>
  <c r="E617" i="23" s="1"/>
  <c r="V616" i="23"/>
  <c r="U616" i="23"/>
  <c r="X616" i="23" s="1"/>
  <c r="Q616" i="23"/>
  <c r="G616" i="23"/>
  <c r="F616" i="23"/>
  <c r="D616" i="23"/>
  <c r="E616" i="23" s="1"/>
  <c r="V615" i="23"/>
  <c r="U615" i="23"/>
  <c r="X615" i="23" s="1"/>
  <c r="Q615" i="23"/>
  <c r="G615" i="23"/>
  <c r="F615" i="23"/>
  <c r="D615" i="23"/>
  <c r="E615" i="23" s="1"/>
  <c r="V614" i="23"/>
  <c r="U614" i="23"/>
  <c r="Q614" i="23"/>
  <c r="G614" i="23"/>
  <c r="F614" i="23"/>
  <c r="D614" i="23"/>
  <c r="E614" i="23" s="1"/>
  <c r="W613" i="23"/>
  <c r="V613" i="23"/>
  <c r="U613" i="23"/>
  <c r="X613" i="23" s="1"/>
  <c r="Q613" i="23"/>
  <c r="G613" i="23"/>
  <c r="F613" i="23"/>
  <c r="D613" i="23"/>
  <c r="E613" i="23" s="1"/>
  <c r="V612" i="23"/>
  <c r="U612" i="23"/>
  <c r="X612" i="23" s="1"/>
  <c r="Q612" i="23"/>
  <c r="G612" i="23"/>
  <c r="F612" i="23"/>
  <c r="D612" i="23"/>
  <c r="E612" i="23" s="1"/>
  <c r="V611" i="23"/>
  <c r="U611" i="23"/>
  <c r="Q611" i="23"/>
  <c r="G611" i="23"/>
  <c r="F611" i="23"/>
  <c r="D611" i="23"/>
  <c r="E611" i="23" s="1"/>
  <c r="X610" i="23"/>
  <c r="V610" i="23"/>
  <c r="U610" i="23"/>
  <c r="Q610" i="23"/>
  <c r="G610" i="23"/>
  <c r="F610" i="23"/>
  <c r="D610" i="23"/>
  <c r="E610" i="23" s="1"/>
  <c r="V609" i="23"/>
  <c r="U609" i="23"/>
  <c r="X609" i="23" s="1"/>
  <c r="Q609" i="23"/>
  <c r="G609" i="23"/>
  <c r="F609" i="23"/>
  <c r="D609" i="23"/>
  <c r="E609" i="23" s="1"/>
  <c r="X608" i="23"/>
  <c r="V608" i="23"/>
  <c r="U608" i="23"/>
  <c r="W608" i="23" s="1"/>
  <c r="Q608" i="23"/>
  <c r="G608" i="23"/>
  <c r="F608" i="23"/>
  <c r="D608" i="23"/>
  <c r="E608" i="23" s="1"/>
  <c r="V607" i="23"/>
  <c r="U607" i="23"/>
  <c r="Q607" i="23"/>
  <c r="G607" i="23"/>
  <c r="F607" i="23"/>
  <c r="D607" i="23"/>
  <c r="E607" i="23" s="1"/>
  <c r="V606" i="23"/>
  <c r="U606" i="23"/>
  <c r="Q606" i="23"/>
  <c r="G606" i="23"/>
  <c r="F606" i="23"/>
  <c r="D606" i="23"/>
  <c r="E606" i="23" s="1"/>
  <c r="V605" i="23"/>
  <c r="U605" i="23"/>
  <c r="Q605" i="23"/>
  <c r="G605" i="23"/>
  <c r="F605" i="23"/>
  <c r="D605" i="23"/>
  <c r="E605" i="23" s="1"/>
  <c r="V604" i="23"/>
  <c r="U604" i="23"/>
  <c r="W604" i="23" s="1"/>
  <c r="Q604" i="23"/>
  <c r="G604" i="23"/>
  <c r="F604" i="23"/>
  <c r="D604" i="23"/>
  <c r="E604" i="23" s="1"/>
  <c r="V603" i="23"/>
  <c r="U603" i="23"/>
  <c r="Q603" i="23"/>
  <c r="G603" i="23"/>
  <c r="F603" i="23"/>
  <c r="D603" i="23"/>
  <c r="E603" i="23" s="1"/>
  <c r="V602" i="23"/>
  <c r="U602" i="23"/>
  <c r="Q602" i="23"/>
  <c r="G602" i="23"/>
  <c r="F602" i="23"/>
  <c r="D602" i="23"/>
  <c r="E602" i="23" s="1"/>
  <c r="V601" i="23"/>
  <c r="U601" i="23"/>
  <c r="Q601" i="23"/>
  <c r="G601" i="23"/>
  <c r="F601" i="23"/>
  <c r="D601" i="23"/>
  <c r="E601" i="23" s="1"/>
  <c r="V600" i="23"/>
  <c r="U600" i="23"/>
  <c r="Q600" i="23"/>
  <c r="G600" i="23"/>
  <c r="F600" i="23"/>
  <c r="D600" i="23"/>
  <c r="E600" i="23" s="1"/>
  <c r="V599" i="23"/>
  <c r="U599" i="23"/>
  <c r="Q599" i="23"/>
  <c r="G599" i="23"/>
  <c r="F599" i="23"/>
  <c r="D599" i="23"/>
  <c r="E599" i="23" s="1"/>
  <c r="V598" i="23"/>
  <c r="U598" i="23"/>
  <c r="Q598" i="23"/>
  <c r="G598" i="23"/>
  <c r="F598" i="23"/>
  <c r="D598" i="23"/>
  <c r="E598" i="23" s="1"/>
  <c r="V597" i="23"/>
  <c r="U597" i="23"/>
  <c r="Q597" i="23"/>
  <c r="G597" i="23"/>
  <c r="F597" i="23"/>
  <c r="D597" i="23"/>
  <c r="E597" i="23" s="1"/>
  <c r="V596" i="23"/>
  <c r="U596" i="23"/>
  <c r="Q596" i="23"/>
  <c r="G596" i="23"/>
  <c r="F596" i="23"/>
  <c r="D596" i="23"/>
  <c r="E596" i="23" s="1"/>
  <c r="V595" i="23"/>
  <c r="U595" i="23"/>
  <c r="Q595" i="23"/>
  <c r="G595" i="23"/>
  <c r="F595" i="23"/>
  <c r="D595" i="23"/>
  <c r="E595" i="23" s="1"/>
  <c r="V594" i="23"/>
  <c r="W594" i="23" s="1"/>
  <c r="U594" i="23"/>
  <c r="Q594" i="23"/>
  <c r="G594" i="23"/>
  <c r="F594" i="23"/>
  <c r="D594" i="23"/>
  <c r="E594" i="23" s="1"/>
  <c r="V593" i="23"/>
  <c r="U593" i="23"/>
  <c r="Q593" i="23"/>
  <c r="G593" i="23"/>
  <c r="F593" i="23"/>
  <c r="D593" i="23"/>
  <c r="E593" i="23" s="1"/>
  <c r="V592" i="23"/>
  <c r="U592" i="23"/>
  <c r="Q592" i="23"/>
  <c r="G592" i="23"/>
  <c r="F592" i="23"/>
  <c r="D592" i="23"/>
  <c r="E592" i="23" s="1"/>
  <c r="V591" i="23"/>
  <c r="U591" i="23"/>
  <c r="Q591" i="23"/>
  <c r="G591" i="23"/>
  <c r="F591" i="23"/>
  <c r="D591" i="23"/>
  <c r="E591" i="23" s="1"/>
  <c r="V590" i="23"/>
  <c r="U590" i="23"/>
  <c r="Q590" i="23"/>
  <c r="G590" i="23"/>
  <c r="F590" i="23"/>
  <c r="D590" i="23"/>
  <c r="E590" i="23" s="1"/>
  <c r="V589" i="23"/>
  <c r="U589" i="23"/>
  <c r="Q589" i="23"/>
  <c r="G589" i="23"/>
  <c r="F589" i="23"/>
  <c r="D589" i="23"/>
  <c r="E589" i="23" s="1"/>
  <c r="V588" i="23"/>
  <c r="U588" i="23"/>
  <c r="Q588" i="23"/>
  <c r="G588" i="23"/>
  <c r="F588" i="23"/>
  <c r="D588" i="23"/>
  <c r="E588" i="23" s="1"/>
  <c r="V587" i="23"/>
  <c r="U587" i="23"/>
  <c r="Q587" i="23"/>
  <c r="G587" i="23"/>
  <c r="F587" i="23"/>
  <c r="D587" i="23"/>
  <c r="E587" i="23" s="1"/>
  <c r="V586" i="23"/>
  <c r="U586" i="23"/>
  <c r="Q586" i="23"/>
  <c r="G586" i="23"/>
  <c r="F586" i="23"/>
  <c r="D586" i="23"/>
  <c r="E586" i="23" s="1"/>
  <c r="V585" i="23"/>
  <c r="U585" i="23"/>
  <c r="Q585" i="23"/>
  <c r="G585" i="23"/>
  <c r="F585" i="23"/>
  <c r="D585" i="23"/>
  <c r="E585" i="23" s="1"/>
  <c r="V584" i="23"/>
  <c r="U584" i="23"/>
  <c r="W584" i="23" s="1"/>
  <c r="Q584" i="23"/>
  <c r="G584" i="23"/>
  <c r="F584" i="23"/>
  <c r="D584" i="23"/>
  <c r="E584" i="23" s="1"/>
  <c r="V583" i="23"/>
  <c r="U583" i="23"/>
  <c r="W583" i="23" s="1"/>
  <c r="X583" i="23" s="1"/>
  <c r="Q583" i="23"/>
  <c r="G583" i="23"/>
  <c r="F583" i="23"/>
  <c r="D583" i="23"/>
  <c r="E583" i="23" s="1"/>
  <c r="V582" i="23"/>
  <c r="U582" i="23"/>
  <c r="Q582" i="23"/>
  <c r="G582" i="23"/>
  <c r="F582" i="23"/>
  <c r="D582" i="23"/>
  <c r="E582" i="23" s="1"/>
  <c r="V581" i="23"/>
  <c r="U581" i="23"/>
  <c r="W581" i="23" s="1"/>
  <c r="Q581" i="23"/>
  <c r="G581" i="23"/>
  <c r="F581" i="23"/>
  <c r="D581" i="23"/>
  <c r="E581" i="23" s="1"/>
  <c r="V580" i="23"/>
  <c r="U580" i="23"/>
  <c r="Q580" i="23"/>
  <c r="G580" i="23"/>
  <c r="F580" i="23"/>
  <c r="D580" i="23"/>
  <c r="E580" i="23" s="1"/>
  <c r="V579" i="23"/>
  <c r="U579" i="23"/>
  <c r="Q579" i="23"/>
  <c r="G579" i="23"/>
  <c r="F579" i="23"/>
  <c r="D579" i="23"/>
  <c r="E579" i="23" s="1"/>
  <c r="V578" i="23"/>
  <c r="U578" i="23"/>
  <c r="Q578" i="23"/>
  <c r="G578" i="23"/>
  <c r="F578" i="23"/>
  <c r="D578" i="23"/>
  <c r="E578" i="23" s="1"/>
  <c r="V577" i="23"/>
  <c r="W577" i="23" s="1"/>
  <c r="X577" i="23" s="1"/>
  <c r="U577" i="23"/>
  <c r="Q577" i="23"/>
  <c r="G577" i="23"/>
  <c r="F577" i="23"/>
  <c r="D577" i="23"/>
  <c r="E577" i="23" s="1"/>
  <c r="V576" i="23"/>
  <c r="U576" i="23"/>
  <c r="Q576" i="23"/>
  <c r="G576" i="23"/>
  <c r="F576" i="23"/>
  <c r="D576" i="23"/>
  <c r="E576" i="23" s="1"/>
  <c r="V575" i="23"/>
  <c r="U575" i="23"/>
  <c r="Q575" i="23"/>
  <c r="G575" i="23"/>
  <c r="F575" i="23"/>
  <c r="D575" i="23"/>
  <c r="E575" i="23" s="1"/>
  <c r="V574" i="23"/>
  <c r="U574" i="23"/>
  <c r="Q574" i="23"/>
  <c r="G574" i="23"/>
  <c r="F574" i="23"/>
  <c r="D574" i="23"/>
  <c r="E574" i="23" s="1"/>
  <c r="V573" i="23"/>
  <c r="U573" i="23"/>
  <c r="Q573" i="23"/>
  <c r="G573" i="23"/>
  <c r="F573" i="23"/>
  <c r="D573" i="23"/>
  <c r="E573" i="23" s="1"/>
  <c r="V572" i="23"/>
  <c r="U572" i="23"/>
  <c r="W572" i="23" s="1"/>
  <c r="X572" i="23" s="1"/>
  <c r="Q572" i="23"/>
  <c r="G572" i="23"/>
  <c r="F572" i="23"/>
  <c r="D572" i="23"/>
  <c r="E572" i="23" s="1"/>
  <c r="V571" i="23"/>
  <c r="U571" i="23"/>
  <c r="Q571" i="23"/>
  <c r="G571" i="23"/>
  <c r="F571" i="23"/>
  <c r="D571" i="23"/>
  <c r="E571" i="23" s="1"/>
  <c r="V570" i="23"/>
  <c r="U570" i="23"/>
  <c r="W570" i="23" s="1"/>
  <c r="Q570" i="23"/>
  <c r="G570" i="23"/>
  <c r="F570" i="23"/>
  <c r="D570" i="23"/>
  <c r="E570" i="23" s="1"/>
  <c r="V569" i="23"/>
  <c r="U569" i="23"/>
  <c r="Q569" i="23"/>
  <c r="G569" i="23"/>
  <c r="F569" i="23"/>
  <c r="D569" i="23"/>
  <c r="E569" i="23" s="1"/>
  <c r="V568" i="23"/>
  <c r="U568" i="23"/>
  <c r="Q568" i="23"/>
  <c r="G568" i="23"/>
  <c r="F568" i="23"/>
  <c r="D568" i="23"/>
  <c r="E568" i="23" s="1"/>
  <c r="V567" i="23"/>
  <c r="U567" i="23"/>
  <c r="Q567" i="23"/>
  <c r="G567" i="23"/>
  <c r="F567" i="23"/>
  <c r="D567" i="23"/>
  <c r="E567" i="23" s="1"/>
  <c r="V566" i="23"/>
  <c r="U566" i="23"/>
  <c r="Q566" i="23"/>
  <c r="G566" i="23"/>
  <c r="F566" i="23"/>
  <c r="D566" i="23"/>
  <c r="E566" i="23" s="1"/>
  <c r="V565" i="23"/>
  <c r="U565" i="23"/>
  <c r="Q565" i="23"/>
  <c r="G565" i="23"/>
  <c r="F565" i="23"/>
  <c r="D565" i="23"/>
  <c r="E565" i="23" s="1"/>
  <c r="V564" i="23"/>
  <c r="U564" i="23"/>
  <c r="Q564" i="23"/>
  <c r="G564" i="23"/>
  <c r="F564" i="23"/>
  <c r="D564" i="23"/>
  <c r="E564" i="23" s="1"/>
  <c r="V563" i="23"/>
  <c r="U563" i="23"/>
  <c r="Q563" i="23"/>
  <c r="G563" i="23"/>
  <c r="F563" i="23"/>
  <c r="D563" i="23"/>
  <c r="E563" i="23" s="1"/>
  <c r="V562" i="23"/>
  <c r="U562" i="23"/>
  <c r="Q562" i="23"/>
  <c r="G562" i="23"/>
  <c r="F562" i="23"/>
  <c r="D562" i="23"/>
  <c r="E562" i="23" s="1"/>
  <c r="V561" i="23"/>
  <c r="W561" i="23" s="1"/>
  <c r="U561" i="23"/>
  <c r="Q561" i="23"/>
  <c r="G561" i="23"/>
  <c r="F561" i="23"/>
  <c r="D561" i="23"/>
  <c r="E561" i="23" s="1"/>
  <c r="V560" i="23"/>
  <c r="U560" i="23"/>
  <c r="Q560" i="23"/>
  <c r="G560" i="23"/>
  <c r="F560" i="23"/>
  <c r="D560" i="23"/>
  <c r="E560" i="23" s="1"/>
  <c r="V559" i="23"/>
  <c r="U559" i="23"/>
  <c r="Q559" i="23"/>
  <c r="G559" i="23"/>
  <c r="F559" i="23"/>
  <c r="D559" i="23"/>
  <c r="E559" i="23" s="1"/>
  <c r="V558" i="23"/>
  <c r="W558" i="23" s="1"/>
  <c r="U558" i="23"/>
  <c r="Q558" i="23"/>
  <c r="G558" i="23"/>
  <c r="F558" i="23"/>
  <c r="D558" i="23"/>
  <c r="E558" i="23" s="1"/>
  <c r="V557" i="23"/>
  <c r="U557" i="23"/>
  <c r="Q557" i="23"/>
  <c r="G557" i="23"/>
  <c r="F557" i="23"/>
  <c r="D557" i="23"/>
  <c r="E557" i="23" s="1"/>
  <c r="V556" i="23"/>
  <c r="U556" i="23"/>
  <c r="Q556" i="23"/>
  <c r="G556" i="23"/>
  <c r="F556" i="23"/>
  <c r="D556" i="23"/>
  <c r="E556" i="23" s="1"/>
  <c r="V555" i="23"/>
  <c r="U555" i="23"/>
  <c r="Q555" i="23"/>
  <c r="G555" i="23"/>
  <c r="F555" i="23"/>
  <c r="D555" i="23"/>
  <c r="E555" i="23" s="1"/>
  <c r="V554" i="23"/>
  <c r="U554" i="23"/>
  <c r="Q554" i="23"/>
  <c r="G554" i="23"/>
  <c r="F554" i="23"/>
  <c r="D554" i="23"/>
  <c r="E554" i="23" s="1"/>
  <c r="V553" i="23"/>
  <c r="U553" i="23"/>
  <c r="Q553" i="23"/>
  <c r="G553" i="23"/>
  <c r="F553" i="23"/>
  <c r="D553" i="23"/>
  <c r="E553" i="23" s="1"/>
  <c r="V552" i="23"/>
  <c r="U552" i="23"/>
  <c r="Q552" i="23"/>
  <c r="G552" i="23"/>
  <c r="F552" i="23"/>
  <c r="D552" i="23"/>
  <c r="E552" i="23" s="1"/>
  <c r="V551" i="23"/>
  <c r="U551" i="23"/>
  <c r="W551" i="23" s="1"/>
  <c r="X551" i="23" s="1"/>
  <c r="Q551" i="23"/>
  <c r="G551" i="23"/>
  <c r="F551" i="23"/>
  <c r="D551" i="23"/>
  <c r="E551" i="23" s="1"/>
  <c r="V550" i="23"/>
  <c r="U550" i="23"/>
  <c r="W550" i="23" s="1"/>
  <c r="Q550" i="23"/>
  <c r="G550" i="23"/>
  <c r="F550" i="23"/>
  <c r="D550" i="23"/>
  <c r="E550" i="23" s="1"/>
  <c r="V549" i="23"/>
  <c r="U549" i="23"/>
  <c r="Q549" i="23"/>
  <c r="G549" i="23"/>
  <c r="F549" i="23"/>
  <c r="D549" i="23"/>
  <c r="E549" i="23" s="1"/>
  <c r="V548" i="23"/>
  <c r="U548" i="23"/>
  <c r="Q548" i="23"/>
  <c r="G548" i="23"/>
  <c r="F548" i="23"/>
  <c r="D548" i="23"/>
  <c r="E548" i="23" s="1"/>
  <c r="V547" i="23"/>
  <c r="U547" i="23"/>
  <c r="W547" i="23" s="1"/>
  <c r="X547" i="23" s="1"/>
  <c r="Q547" i="23"/>
  <c r="G547" i="23"/>
  <c r="F547" i="23"/>
  <c r="D547" i="23"/>
  <c r="E547" i="23" s="1"/>
  <c r="V546" i="23"/>
  <c r="U546" i="23"/>
  <c r="Q546" i="23"/>
  <c r="G546" i="23"/>
  <c r="F546" i="23"/>
  <c r="D546" i="23"/>
  <c r="E546" i="23" s="1"/>
  <c r="V545" i="23"/>
  <c r="U545" i="23"/>
  <c r="Q545" i="23"/>
  <c r="G545" i="23"/>
  <c r="F545" i="23"/>
  <c r="D545" i="23"/>
  <c r="E545" i="23" s="1"/>
  <c r="V544" i="23"/>
  <c r="U544" i="23"/>
  <c r="Q544" i="23"/>
  <c r="G544" i="23"/>
  <c r="F544" i="23"/>
  <c r="D544" i="23"/>
  <c r="E544" i="23" s="1"/>
  <c r="V543" i="23"/>
  <c r="U543" i="23"/>
  <c r="W543" i="23" s="1"/>
  <c r="Q543" i="23"/>
  <c r="G543" i="23"/>
  <c r="F543" i="23"/>
  <c r="D543" i="23"/>
  <c r="E543" i="23" s="1"/>
  <c r="V542" i="23"/>
  <c r="U542" i="23"/>
  <c r="Q542" i="23"/>
  <c r="G542" i="23"/>
  <c r="F542" i="23"/>
  <c r="D542" i="23"/>
  <c r="E542" i="23" s="1"/>
  <c r="V541" i="23"/>
  <c r="U541" i="23"/>
  <c r="Q541" i="23"/>
  <c r="G541" i="23"/>
  <c r="F541" i="23"/>
  <c r="D541" i="23"/>
  <c r="E541" i="23" s="1"/>
  <c r="V540" i="23"/>
  <c r="U540" i="23"/>
  <c r="Q540" i="23"/>
  <c r="G540" i="23"/>
  <c r="F540" i="23"/>
  <c r="D540" i="23"/>
  <c r="E540" i="23" s="1"/>
  <c r="V539" i="23"/>
  <c r="U539" i="23"/>
  <c r="Q539" i="23"/>
  <c r="G539" i="23"/>
  <c r="F539" i="23"/>
  <c r="D539" i="23"/>
  <c r="E539" i="23" s="1"/>
  <c r="V538" i="23"/>
  <c r="U538" i="23"/>
  <c r="Q538" i="23"/>
  <c r="G538" i="23"/>
  <c r="F538" i="23"/>
  <c r="D538" i="23"/>
  <c r="E538" i="23" s="1"/>
  <c r="V537" i="23"/>
  <c r="U537" i="23"/>
  <c r="Q537" i="23"/>
  <c r="G537" i="23"/>
  <c r="F537" i="23"/>
  <c r="D537" i="23"/>
  <c r="E537" i="23" s="1"/>
  <c r="V536" i="23"/>
  <c r="U536" i="23"/>
  <c r="Q536" i="23"/>
  <c r="G536" i="23"/>
  <c r="F536" i="23"/>
  <c r="D536" i="23"/>
  <c r="E536" i="23" s="1"/>
  <c r="V535" i="23"/>
  <c r="U535" i="23"/>
  <c r="Q535" i="23"/>
  <c r="G535" i="23"/>
  <c r="F535" i="23"/>
  <c r="D535" i="23"/>
  <c r="E535" i="23" s="1"/>
  <c r="V534" i="23"/>
  <c r="U534" i="23"/>
  <c r="Q534" i="23"/>
  <c r="G534" i="23"/>
  <c r="F534" i="23"/>
  <c r="D534" i="23"/>
  <c r="E534" i="23" s="1"/>
  <c r="V533" i="23"/>
  <c r="U533" i="23"/>
  <c r="Q533" i="23"/>
  <c r="G533" i="23"/>
  <c r="F533" i="23"/>
  <c r="D533" i="23"/>
  <c r="E533" i="23" s="1"/>
  <c r="V532" i="23"/>
  <c r="U532" i="23"/>
  <c r="Q532" i="23"/>
  <c r="G532" i="23"/>
  <c r="F532" i="23"/>
  <c r="D532" i="23"/>
  <c r="E532" i="23" s="1"/>
  <c r="V531" i="23"/>
  <c r="U531" i="23"/>
  <c r="Q531" i="23"/>
  <c r="G531" i="23"/>
  <c r="F531" i="23"/>
  <c r="D531" i="23"/>
  <c r="E531" i="23" s="1"/>
  <c r="V530" i="23"/>
  <c r="U530" i="23"/>
  <c r="Q530" i="23"/>
  <c r="G530" i="23"/>
  <c r="F530" i="23"/>
  <c r="D530" i="23"/>
  <c r="E530" i="23" s="1"/>
  <c r="V529" i="23"/>
  <c r="U529" i="23"/>
  <c r="Q529" i="23"/>
  <c r="G529" i="23"/>
  <c r="F529" i="23"/>
  <c r="D529" i="23"/>
  <c r="E529" i="23" s="1"/>
  <c r="V528" i="23"/>
  <c r="U528" i="23"/>
  <c r="Q528" i="23"/>
  <c r="G528" i="23"/>
  <c r="F528" i="23"/>
  <c r="D528" i="23"/>
  <c r="E528" i="23" s="1"/>
  <c r="V527" i="23"/>
  <c r="U527" i="23"/>
  <c r="Q527" i="23"/>
  <c r="G527" i="23"/>
  <c r="F527" i="23"/>
  <c r="D527" i="23"/>
  <c r="E527" i="23" s="1"/>
  <c r="V526" i="23"/>
  <c r="U526" i="23"/>
  <c r="Q526" i="23"/>
  <c r="G526" i="23"/>
  <c r="F526" i="23"/>
  <c r="D526" i="23"/>
  <c r="E526" i="23" s="1"/>
  <c r="V525" i="23"/>
  <c r="W525" i="23" s="1"/>
  <c r="U525" i="23"/>
  <c r="Q525" i="23"/>
  <c r="G525" i="23"/>
  <c r="F525" i="23"/>
  <c r="D525" i="23"/>
  <c r="E525" i="23" s="1"/>
  <c r="V524" i="23"/>
  <c r="U524" i="23"/>
  <c r="Q524" i="23"/>
  <c r="G524" i="23"/>
  <c r="F524" i="23"/>
  <c r="D524" i="23"/>
  <c r="E524" i="23" s="1"/>
  <c r="V523" i="23"/>
  <c r="U523" i="23"/>
  <c r="W523" i="23" s="1"/>
  <c r="Q523" i="23"/>
  <c r="G523" i="23"/>
  <c r="F523" i="23"/>
  <c r="D523" i="23"/>
  <c r="E523" i="23" s="1"/>
  <c r="V522" i="23"/>
  <c r="U522" i="23"/>
  <c r="Q522" i="23"/>
  <c r="G522" i="23"/>
  <c r="F522" i="23"/>
  <c r="D522" i="23"/>
  <c r="E522" i="23" s="1"/>
  <c r="V521" i="23"/>
  <c r="U521" i="23"/>
  <c r="Q521" i="23"/>
  <c r="G521" i="23"/>
  <c r="F521" i="23"/>
  <c r="D521" i="23"/>
  <c r="E521" i="23" s="1"/>
  <c r="V520" i="23"/>
  <c r="U520" i="23"/>
  <c r="Q520" i="23"/>
  <c r="G520" i="23"/>
  <c r="F520" i="23"/>
  <c r="D520" i="23"/>
  <c r="E520" i="23" s="1"/>
  <c r="V519" i="23"/>
  <c r="U519" i="23"/>
  <c r="Q519" i="23"/>
  <c r="G519" i="23"/>
  <c r="F519" i="23"/>
  <c r="D519" i="23"/>
  <c r="E519" i="23" s="1"/>
  <c r="V518" i="23"/>
  <c r="U518" i="23"/>
  <c r="Q518" i="23"/>
  <c r="G518" i="23"/>
  <c r="F518" i="23"/>
  <c r="D518" i="23"/>
  <c r="E518" i="23" s="1"/>
  <c r="V517" i="23"/>
  <c r="U517" i="23"/>
  <c r="Q517" i="23"/>
  <c r="G517" i="23"/>
  <c r="F517" i="23"/>
  <c r="D517" i="23"/>
  <c r="E517" i="23" s="1"/>
  <c r="V516" i="23"/>
  <c r="U516" i="23"/>
  <c r="Q516" i="23"/>
  <c r="G516" i="23"/>
  <c r="F516" i="23"/>
  <c r="D516" i="23"/>
  <c r="E516" i="23" s="1"/>
  <c r="V515" i="23"/>
  <c r="U515" i="23"/>
  <c r="Q515" i="23"/>
  <c r="G515" i="23"/>
  <c r="F515" i="23"/>
  <c r="D515" i="23"/>
  <c r="E515" i="23" s="1"/>
  <c r="V514" i="23"/>
  <c r="U514" i="23"/>
  <c r="Q514" i="23"/>
  <c r="G514" i="23"/>
  <c r="F514" i="23"/>
  <c r="D514" i="23"/>
  <c r="E514" i="23" s="1"/>
  <c r="V513" i="23"/>
  <c r="U513" i="23"/>
  <c r="Q513" i="23"/>
  <c r="G513" i="23"/>
  <c r="F513" i="23"/>
  <c r="D513" i="23"/>
  <c r="E513" i="23" s="1"/>
  <c r="V512" i="23"/>
  <c r="U512" i="23"/>
  <c r="Q512" i="23"/>
  <c r="G512" i="23"/>
  <c r="F512" i="23"/>
  <c r="D512" i="23"/>
  <c r="E512" i="23" s="1"/>
  <c r="V511" i="23"/>
  <c r="U511" i="23"/>
  <c r="W511" i="23" s="1"/>
  <c r="X511" i="23" s="1"/>
  <c r="Q511" i="23"/>
  <c r="G511" i="23"/>
  <c r="F511" i="23"/>
  <c r="D511" i="23"/>
  <c r="E511" i="23" s="1"/>
  <c r="V510" i="23"/>
  <c r="U510" i="23"/>
  <c r="Q510" i="23"/>
  <c r="G510" i="23"/>
  <c r="F510" i="23"/>
  <c r="D510" i="23"/>
  <c r="E510" i="23" s="1"/>
  <c r="V509" i="23"/>
  <c r="U509" i="23"/>
  <c r="Q509" i="23"/>
  <c r="G509" i="23"/>
  <c r="F509" i="23"/>
  <c r="D509" i="23"/>
  <c r="E509" i="23" s="1"/>
  <c r="W508" i="23"/>
  <c r="X508" i="23" s="1"/>
  <c r="V508" i="23"/>
  <c r="U508" i="23"/>
  <c r="Q508" i="23"/>
  <c r="G508" i="23"/>
  <c r="F508" i="23"/>
  <c r="D508" i="23"/>
  <c r="E508" i="23" s="1"/>
  <c r="V507" i="23"/>
  <c r="U507" i="23"/>
  <c r="Q507" i="23"/>
  <c r="G507" i="23"/>
  <c r="F507" i="23"/>
  <c r="D507" i="23"/>
  <c r="E507" i="23" s="1"/>
  <c r="V506" i="23"/>
  <c r="U506" i="23"/>
  <c r="Q506" i="23"/>
  <c r="G506" i="23"/>
  <c r="F506" i="23"/>
  <c r="D506" i="23"/>
  <c r="E506" i="23" s="1"/>
  <c r="V505" i="23"/>
  <c r="U505" i="23"/>
  <c r="Q505" i="23"/>
  <c r="G505" i="23"/>
  <c r="F505" i="23"/>
  <c r="D505" i="23"/>
  <c r="E505" i="23" s="1"/>
  <c r="V504" i="23"/>
  <c r="U504" i="23"/>
  <c r="Q504" i="23"/>
  <c r="G504" i="23"/>
  <c r="F504" i="23"/>
  <c r="D504" i="23"/>
  <c r="E504" i="23" s="1"/>
  <c r="V503" i="23"/>
  <c r="U503" i="23"/>
  <c r="Q503" i="23"/>
  <c r="G503" i="23"/>
  <c r="F503" i="23"/>
  <c r="D503" i="23"/>
  <c r="E503" i="23" s="1"/>
  <c r="V502" i="23"/>
  <c r="U502" i="23"/>
  <c r="W502" i="23" s="1"/>
  <c r="Q502" i="23"/>
  <c r="G502" i="23"/>
  <c r="F502" i="23"/>
  <c r="D502" i="23"/>
  <c r="E502" i="23" s="1"/>
  <c r="V501" i="23"/>
  <c r="U501" i="23"/>
  <c r="Q501" i="23"/>
  <c r="G501" i="23"/>
  <c r="F501" i="23"/>
  <c r="D501" i="23"/>
  <c r="E501" i="23" s="1"/>
  <c r="V500" i="23"/>
  <c r="U500" i="23"/>
  <c r="W500" i="23" s="1"/>
  <c r="X500" i="23" s="1"/>
  <c r="Q500" i="23"/>
  <c r="G500" i="23"/>
  <c r="F500" i="23"/>
  <c r="D500" i="23"/>
  <c r="E500" i="23" s="1"/>
  <c r="V499" i="23"/>
  <c r="U499" i="23"/>
  <c r="Q499" i="23"/>
  <c r="G499" i="23"/>
  <c r="F499" i="23"/>
  <c r="D499" i="23"/>
  <c r="E499" i="23" s="1"/>
  <c r="V498" i="23"/>
  <c r="U498" i="23"/>
  <c r="Q498" i="23"/>
  <c r="G498" i="23"/>
  <c r="F498" i="23"/>
  <c r="D498" i="23"/>
  <c r="E498" i="23" s="1"/>
  <c r="V497" i="23"/>
  <c r="U497" i="23"/>
  <c r="Q497" i="23"/>
  <c r="G497" i="23"/>
  <c r="F497" i="23"/>
  <c r="D497" i="23"/>
  <c r="E497" i="23" s="1"/>
  <c r="V496" i="23"/>
  <c r="U496" i="23"/>
  <c r="Q496" i="23"/>
  <c r="G496" i="23"/>
  <c r="F496" i="23"/>
  <c r="D496" i="23"/>
  <c r="E496" i="23" s="1"/>
  <c r="V495" i="23"/>
  <c r="U495" i="23"/>
  <c r="Q495" i="23"/>
  <c r="G495" i="23"/>
  <c r="F495" i="23"/>
  <c r="D495" i="23"/>
  <c r="E495" i="23" s="1"/>
  <c r="V494" i="23"/>
  <c r="U494" i="23"/>
  <c r="Q494" i="23"/>
  <c r="G494" i="23"/>
  <c r="F494" i="23"/>
  <c r="D494" i="23"/>
  <c r="E494" i="23" s="1"/>
  <c r="V493" i="23"/>
  <c r="U493" i="23"/>
  <c r="Q493" i="23"/>
  <c r="G493" i="23"/>
  <c r="F493" i="23"/>
  <c r="D493" i="23"/>
  <c r="E493" i="23" s="1"/>
  <c r="V492" i="23"/>
  <c r="U492" i="23"/>
  <c r="Q492" i="23"/>
  <c r="G492" i="23"/>
  <c r="F492" i="23"/>
  <c r="D492" i="23"/>
  <c r="E492" i="23" s="1"/>
  <c r="V491" i="23"/>
  <c r="U491" i="23"/>
  <c r="Q491" i="23"/>
  <c r="G491" i="23"/>
  <c r="F491" i="23"/>
  <c r="D491" i="23"/>
  <c r="E491" i="23" s="1"/>
  <c r="V490" i="23"/>
  <c r="U490" i="23"/>
  <c r="Q490" i="23"/>
  <c r="G490" i="23"/>
  <c r="F490" i="23"/>
  <c r="D490" i="23"/>
  <c r="E490" i="23" s="1"/>
  <c r="V489" i="23"/>
  <c r="W489" i="23" s="1"/>
  <c r="U489" i="23"/>
  <c r="Q489" i="23"/>
  <c r="G489" i="23"/>
  <c r="F489" i="23"/>
  <c r="D489" i="23"/>
  <c r="E489" i="23" s="1"/>
  <c r="V488" i="23"/>
  <c r="U488" i="23"/>
  <c r="Q488" i="23"/>
  <c r="G488" i="23"/>
  <c r="F488" i="23"/>
  <c r="D488" i="23"/>
  <c r="E488" i="23" s="1"/>
  <c r="V487" i="23"/>
  <c r="U487" i="23"/>
  <c r="Q487" i="23"/>
  <c r="G487" i="23"/>
  <c r="F487" i="23"/>
  <c r="D487" i="23"/>
  <c r="E487" i="23" s="1"/>
  <c r="V486" i="23"/>
  <c r="U486" i="23"/>
  <c r="Q486" i="23"/>
  <c r="G486" i="23"/>
  <c r="F486" i="23"/>
  <c r="D486" i="23"/>
  <c r="E486" i="23" s="1"/>
  <c r="V485" i="23"/>
  <c r="U485" i="23"/>
  <c r="Q485" i="23"/>
  <c r="G485" i="23"/>
  <c r="F485" i="23"/>
  <c r="D485" i="23"/>
  <c r="E485" i="23" s="1"/>
  <c r="V484" i="23"/>
  <c r="U484" i="23"/>
  <c r="W484" i="23" s="1"/>
  <c r="Q484" i="23"/>
  <c r="G484" i="23"/>
  <c r="F484" i="23"/>
  <c r="D484" i="23"/>
  <c r="E484" i="23" s="1"/>
  <c r="V483" i="23"/>
  <c r="U483" i="23"/>
  <c r="Q483" i="23"/>
  <c r="G483" i="23"/>
  <c r="F483" i="23"/>
  <c r="D483" i="23"/>
  <c r="E483" i="23" s="1"/>
  <c r="V482" i="23"/>
  <c r="U482" i="23"/>
  <c r="W482" i="23" s="1"/>
  <c r="Q482" i="23"/>
  <c r="G482" i="23"/>
  <c r="F482" i="23"/>
  <c r="D482" i="23"/>
  <c r="E482" i="23" s="1"/>
  <c r="V481" i="23"/>
  <c r="U481" i="23"/>
  <c r="Q481" i="23"/>
  <c r="G481" i="23"/>
  <c r="F481" i="23"/>
  <c r="D481" i="23"/>
  <c r="E481" i="23" s="1"/>
  <c r="V480" i="23"/>
  <c r="U480" i="23"/>
  <c r="Q480" i="23"/>
  <c r="G480" i="23"/>
  <c r="F480" i="23"/>
  <c r="D480" i="23"/>
  <c r="E480" i="23" s="1"/>
  <c r="V479" i="23"/>
  <c r="U479" i="23"/>
  <c r="W479" i="23" s="1"/>
  <c r="X479" i="23" s="1"/>
  <c r="Q479" i="23"/>
  <c r="G479" i="23"/>
  <c r="F479" i="23"/>
  <c r="D479" i="23"/>
  <c r="E479" i="23" s="1"/>
  <c r="V478" i="23"/>
  <c r="U478" i="23"/>
  <c r="Q478" i="23"/>
  <c r="G478" i="23"/>
  <c r="F478" i="23"/>
  <c r="D478" i="23"/>
  <c r="E478" i="23" s="1"/>
  <c r="V477" i="23"/>
  <c r="U477" i="23"/>
  <c r="Q477" i="23"/>
  <c r="G477" i="23"/>
  <c r="F477" i="23"/>
  <c r="D477" i="23"/>
  <c r="E477" i="23" s="1"/>
  <c r="V476" i="23"/>
  <c r="U476" i="23"/>
  <c r="Q476" i="23"/>
  <c r="G476" i="23"/>
  <c r="F476" i="23"/>
  <c r="D476" i="23"/>
  <c r="E476" i="23" s="1"/>
  <c r="V475" i="23"/>
  <c r="U475" i="23"/>
  <c r="Q475" i="23"/>
  <c r="G475" i="23"/>
  <c r="F475" i="23"/>
  <c r="D475" i="23"/>
  <c r="E475" i="23" s="1"/>
  <c r="V474" i="23"/>
  <c r="U474" i="23"/>
  <c r="Q474" i="23"/>
  <c r="G474" i="23"/>
  <c r="F474" i="23"/>
  <c r="D474" i="23"/>
  <c r="E474" i="23" s="1"/>
  <c r="V473" i="23"/>
  <c r="U473" i="23"/>
  <c r="Q473" i="23"/>
  <c r="G473" i="23"/>
  <c r="F473" i="23"/>
  <c r="D473" i="23"/>
  <c r="E473" i="23" s="1"/>
  <c r="V472" i="23"/>
  <c r="U472" i="23"/>
  <c r="Q472" i="23"/>
  <c r="G472" i="23"/>
  <c r="F472" i="23"/>
  <c r="D472" i="23"/>
  <c r="E472" i="23" s="1"/>
  <c r="V471" i="23"/>
  <c r="U471" i="23"/>
  <c r="W471" i="23" s="1"/>
  <c r="Q471" i="23"/>
  <c r="G471" i="23"/>
  <c r="F471" i="23"/>
  <c r="D471" i="23"/>
  <c r="E471" i="23" s="1"/>
  <c r="V470" i="23"/>
  <c r="U470" i="23"/>
  <c r="Q470" i="23"/>
  <c r="G470" i="23"/>
  <c r="F470" i="23"/>
  <c r="D470" i="23"/>
  <c r="E470" i="23" s="1"/>
  <c r="V469" i="23"/>
  <c r="U469" i="23"/>
  <c r="W469" i="23" s="1"/>
  <c r="X469" i="23" s="1"/>
  <c r="Q469" i="23"/>
  <c r="G469" i="23"/>
  <c r="F469" i="23"/>
  <c r="D469" i="23"/>
  <c r="E469" i="23" s="1"/>
  <c r="V468" i="23"/>
  <c r="U468" i="23"/>
  <c r="Q468" i="23"/>
  <c r="G468" i="23"/>
  <c r="F468" i="23"/>
  <c r="D468" i="23"/>
  <c r="E468" i="23" s="1"/>
  <c r="V467" i="23"/>
  <c r="U467" i="23"/>
  <c r="Q467" i="23"/>
  <c r="G467" i="23"/>
  <c r="F467" i="23"/>
  <c r="D467" i="23"/>
  <c r="E467" i="23" s="1"/>
  <c r="V466" i="23"/>
  <c r="U466" i="23"/>
  <c r="Q466" i="23"/>
  <c r="G466" i="23"/>
  <c r="F466" i="23"/>
  <c r="D466" i="23"/>
  <c r="E466" i="23" s="1"/>
  <c r="V465" i="23"/>
  <c r="U465" i="23"/>
  <c r="Q465" i="23"/>
  <c r="G465" i="23"/>
  <c r="F465" i="23"/>
  <c r="D465" i="23"/>
  <c r="E465" i="23" s="1"/>
  <c r="V464" i="23"/>
  <c r="U464" i="23"/>
  <c r="Q464" i="23"/>
  <c r="G464" i="23"/>
  <c r="F464" i="23"/>
  <c r="D464" i="23"/>
  <c r="E464" i="23" s="1"/>
  <c r="V463" i="23"/>
  <c r="U463" i="23"/>
  <c r="Q463" i="23"/>
  <c r="G463" i="23"/>
  <c r="F463" i="23"/>
  <c r="D463" i="23"/>
  <c r="E463" i="23" s="1"/>
  <c r="W462" i="23"/>
  <c r="V462" i="23"/>
  <c r="U462" i="23"/>
  <c r="Q462" i="23"/>
  <c r="G462" i="23"/>
  <c r="F462" i="23"/>
  <c r="D462" i="23"/>
  <c r="E462" i="23" s="1"/>
  <c r="V461" i="23"/>
  <c r="U461" i="23"/>
  <c r="Q461" i="23"/>
  <c r="G461" i="23"/>
  <c r="F461" i="23"/>
  <c r="D461" i="23"/>
  <c r="E461" i="23" s="1"/>
  <c r="V460" i="23"/>
  <c r="U460" i="23"/>
  <c r="Q460" i="23"/>
  <c r="G460" i="23"/>
  <c r="F460" i="23"/>
  <c r="D460" i="23"/>
  <c r="E460" i="23" s="1"/>
  <c r="V459" i="23"/>
  <c r="U459" i="23"/>
  <c r="Q459" i="23"/>
  <c r="G459" i="23"/>
  <c r="F459" i="23"/>
  <c r="D459" i="23"/>
  <c r="E459" i="23" s="1"/>
  <c r="V458" i="23"/>
  <c r="U458" i="23"/>
  <c r="W458" i="23" s="1"/>
  <c r="Q458" i="23"/>
  <c r="G458" i="23"/>
  <c r="F458" i="23"/>
  <c r="D458" i="23"/>
  <c r="E458" i="23" s="1"/>
  <c r="V457" i="23"/>
  <c r="U457" i="23"/>
  <c r="Q457" i="23"/>
  <c r="G457" i="23"/>
  <c r="F457" i="23"/>
  <c r="D457" i="23"/>
  <c r="E457" i="23" s="1"/>
  <c r="V456" i="23"/>
  <c r="U456" i="23"/>
  <c r="Q456" i="23"/>
  <c r="G456" i="23"/>
  <c r="F456" i="23"/>
  <c r="D456" i="23"/>
  <c r="E456" i="23" s="1"/>
  <c r="V455" i="23"/>
  <c r="U455" i="23"/>
  <c r="Q455" i="23"/>
  <c r="G455" i="23"/>
  <c r="F455" i="23"/>
  <c r="D455" i="23"/>
  <c r="E455" i="23" s="1"/>
  <c r="V454" i="23"/>
  <c r="U454" i="23"/>
  <c r="Q454" i="23"/>
  <c r="G454" i="23"/>
  <c r="F454" i="23"/>
  <c r="D454" i="23"/>
  <c r="E454" i="23" s="1"/>
  <c r="V453" i="23"/>
  <c r="W453" i="23" s="1"/>
  <c r="U453" i="23"/>
  <c r="Q453" i="23"/>
  <c r="G453" i="23"/>
  <c r="F453" i="23"/>
  <c r="D453" i="23"/>
  <c r="E453" i="23" s="1"/>
  <c r="V452" i="23"/>
  <c r="U452" i="23"/>
  <c r="Q452" i="23"/>
  <c r="G452" i="23"/>
  <c r="F452" i="23"/>
  <c r="D452" i="23"/>
  <c r="E452" i="23" s="1"/>
  <c r="V451" i="23"/>
  <c r="W451" i="23" s="1"/>
  <c r="X451" i="23" s="1"/>
  <c r="U451" i="23"/>
  <c r="Q451" i="23"/>
  <c r="G451" i="23"/>
  <c r="F451" i="23"/>
  <c r="D451" i="23"/>
  <c r="E451" i="23" s="1"/>
  <c r="V450" i="23"/>
  <c r="U450" i="23"/>
  <c r="Q450" i="23"/>
  <c r="G450" i="23"/>
  <c r="F450" i="23"/>
  <c r="D450" i="23"/>
  <c r="E450" i="23" s="1"/>
  <c r="V449" i="23"/>
  <c r="U449" i="23"/>
  <c r="Q449" i="23"/>
  <c r="G449" i="23"/>
  <c r="F449" i="23"/>
  <c r="D449" i="23"/>
  <c r="E449" i="23" s="1"/>
  <c r="V448" i="23"/>
  <c r="U448" i="23"/>
  <c r="Q448" i="23"/>
  <c r="G448" i="23"/>
  <c r="F448" i="23"/>
  <c r="D448" i="23"/>
  <c r="E448" i="23" s="1"/>
  <c r="V447" i="23"/>
  <c r="U447" i="23"/>
  <c r="Q447" i="23"/>
  <c r="G447" i="23"/>
  <c r="F447" i="23"/>
  <c r="D447" i="23"/>
  <c r="E447" i="23" s="1"/>
  <c r="V446" i="23"/>
  <c r="U446" i="23"/>
  <c r="W446" i="23" s="1"/>
  <c r="X446" i="23" s="1"/>
  <c r="Q446" i="23"/>
  <c r="G446" i="23"/>
  <c r="F446" i="23"/>
  <c r="D446" i="23"/>
  <c r="E446" i="23" s="1"/>
  <c r="V445" i="23"/>
  <c r="U445" i="23"/>
  <c r="Q445" i="23"/>
  <c r="G445" i="23"/>
  <c r="F445" i="23"/>
  <c r="D445" i="23"/>
  <c r="E445" i="23" s="1"/>
  <c r="V444" i="23"/>
  <c r="U444" i="23"/>
  <c r="Q444" i="23"/>
  <c r="G444" i="23"/>
  <c r="F444" i="23"/>
  <c r="D444" i="23"/>
  <c r="E444" i="23" s="1"/>
  <c r="W443" i="23"/>
  <c r="V443" i="23"/>
  <c r="U443" i="23"/>
  <c r="Q443" i="23"/>
  <c r="G443" i="23"/>
  <c r="F443" i="23"/>
  <c r="D443" i="23"/>
  <c r="E443" i="23" s="1"/>
  <c r="V442" i="23"/>
  <c r="U442" i="23"/>
  <c r="Q442" i="23"/>
  <c r="G442" i="23"/>
  <c r="F442" i="23"/>
  <c r="D442" i="23"/>
  <c r="E442" i="23" s="1"/>
  <c r="V441" i="23"/>
  <c r="U441" i="23"/>
  <c r="Q441" i="23"/>
  <c r="G441" i="23"/>
  <c r="F441" i="23"/>
  <c r="D441" i="23"/>
  <c r="E441" i="23" s="1"/>
  <c r="V440" i="23"/>
  <c r="U440" i="23"/>
  <c r="W440" i="23" s="1"/>
  <c r="Q440" i="23"/>
  <c r="G440" i="23"/>
  <c r="F440" i="23"/>
  <c r="D440" i="23"/>
  <c r="E440" i="23" s="1"/>
  <c r="V439" i="23"/>
  <c r="U439" i="23"/>
  <c r="Q439" i="23"/>
  <c r="G439" i="23"/>
  <c r="F439" i="23"/>
  <c r="D439" i="23"/>
  <c r="E439" i="23" s="1"/>
  <c r="V438" i="23"/>
  <c r="U438" i="23"/>
  <c r="Q438" i="23"/>
  <c r="G438" i="23"/>
  <c r="F438" i="23"/>
  <c r="D438" i="23"/>
  <c r="E438" i="23" s="1"/>
  <c r="V437" i="23"/>
  <c r="U437" i="23"/>
  <c r="Q437" i="23"/>
  <c r="G437" i="23"/>
  <c r="F437" i="23"/>
  <c r="D437" i="23"/>
  <c r="E437" i="23" s="1"/>
  <c r="V436" i="23"/>
  <c r="U436" i="23"/>
  <c r="Q436" i="23"/>
  <c r="G436" i="23"/>
  <c r="F436" i="23"/>
  <c r="D436" i="23"/>
  <c r="E436" i="23" s="1"/>
  <c r="V435" i="23"/>
  <c r="U435" i="23"/>
  <c r="Q435" i="23"/>
  <c r="G435" i="23"/>
  <c r="F435" i="23"/>
  <c r="D435" i="23"/>
  <c r="E435" i="23" s="1"/>
  <c r="V434" i="23"/>
  <c r="U434" i="23"/>
  <c r="Q434" i="23"/>
  <c r="G434" i="23"/>
  <c r="F434" i="23"/>
  <c r="D434" i="23"/>
  <c r="E434" i="23" s="1"/>
  <c r="V433" i="23"/>
  <c r="U433" i="23"/>
  <c r="Q433" i="23"/>
  <c r="G433" i="23"/>
  <c r="F433" i="23"/>
  <c r="D433" i="23"/>
  <c r="E433" i="23" s="1"/>
  <c r="V432" i="23"/>
  <c r="U432" i="23"/>
  <c r="Q432" i="23"/>
  <c r="G432" i="23"/>
  <c r="F432" i="23"/>
  <c r="D432" i="23"/>
  <c r="E432" i="23" s="1"/>
  <c r="V431" i="23"/>
  <c r="U431" i="23"/>
  <c r="Q431" i="23"/>
  <c r="G431" i="23"/>
  <c r="F431" i="23"/>
  <c r="D431" i="23"/>
  <c r="E431" i="23" s="1"/>
  <c r="V430" i="23"/>
  <c r="U430" i="23"/>
  <c r="Q430" i="23"/>
  <c r="G430" i="23"/>
  <c r="F430" i="23"/>
  <c r="D430" i="23"/>
  <c r="E430" i="23" s="1"/>
  <c r="V429" i="23"/>
  <c r="U429" i="23"/>
  <c r="Q429" i="23"/>
  <c r="G429" i="23"/>
  <c r="F429" i="23"/>
  <c r="D429" i="23"/>
  <c r="E429" i="23" s="1"/>
  <c r="V428" i="23"/>
  <c r="W428" i="23" s="1"/>
  <c r="X428" i="23" s="1"/>
  <c r="U428" i="23"/>
  <c r="Q428" i="23"/>
  <c r="G428" i="23"/>
  <c r="F428" i="23"/>
  <c r="D428" i="23"/>
  <c r="E428" i="23" s="1"/>
  <c r="V427" i="23"/>
  <c r="U427" i="23"/>
  <c r="Q427" i="23"/>
  <c r="G427" i="23"/>
  <c r="F427" i="23"/>
  <c r="D427" i="23"/>
  <c r="E427" i="23" s="1"/>
  <c r="V426" i="23"/>
  <c r="U426" i="23"/>
  <c r="Q426" i="23"/>
  <c r="G426" i="23"/>
  <c r="F426" i="23"/>
  <c r="D426" i="23"/>
  <c r="E426" i="23" s="1"/>
  <c r="V425" i="23"/>
  <c r="U425" i="23"/>
  <c r="Q425" i="23"/>
  <c r="G425" i="23"/>
  <c r="F425" i="23"/>
  <c r="D425" i="23"/>
  <c r="E425" i="23" s="1"/>
  <c r="V424" i="23"/>
  <c r="U424" i="23"/>
  <c r="Q424" i="23"/>
  <c r="G424" i="23"/>
  <c r="F424" i="23"/>
  <c r="D424" i="23"/>
  <c r="E424" i="23" s="1"/>
  <c r="V423" i="23"/>
  <c r="U423" i="23"/>
  <c r="Q423" i="23"/>
  <c r="G423" i="23"/>
  <c r="F423" i="23"/>
  <c r="D423" i="23"/>
  <c r="E423" i="23" s="1"/>
  <c r="V422" i="23"/>
  <c r="W422" i="23" s="1"/>
  <c r="X422" i="23" s="1"/>
  <c r="U422" i="23"/>
  <c r="Q422" i="23"/>
  <c r="G422" i="23"/>
  <c r="F422" i="23"/>
  <c r="D422" i="23"/>
  <c r="E422" i="23" s="1"/>
  <c r="V421" i="23"/>
  <c r="U421" i="23"/>
  <c r="Q421" i="23"/>
  <c r="G421" i="23"/>
  <c r="F421" i="23"/>
  <c r="D421" i="23"/>
  <c r="E421" i="23" s="1"/>
  <c r="V420" i="23"/>
  <c r="U420" i="23"/>
  <c r="Q420" i="23"/>
  <c r="G420" i="23"/>
  <c r="F420" i="23"/>
  <c r="D420" i="23"/>
  <c r="E420" i="23" s="1"/>
  <c r="V419" i="23"/>
  <c r="U419" i="23"/>
  <c r="Q419" i="23"/>
  <c r="G419" i="23"/>
  <c r="F419" i="23"/>
  <c r="D419" i="23"/>
  <c r="E419" i="23" s="1"/>
  <c r="V418" i="23"/>
  <c r="U418" i="23"/>
  <c r="Q418" i="23"/>
  <c r="G418" i="23"/>
  <c r="F418" i="23"/>
  <c r="D418" i="23"/>
  <c r="E418" i="23" s="1"/>
  <c r="V417" i="23"/>
  <c r="U417" i="23"/>
  <c r="W417" i="23" s="1"/>
  <c r="Q417" i="23"/>
  <c r="G417" i="23"/>
  <c r="F417" i="23"/>
  <c r="D417" i="23"/>
  <c r="E417" i="23" s="1"/>
  <c r="V416" i="23"/>
  <c r="U416" i="23"/>
  <c r="Q416" i="23"/>
  <c r="G416" i="23"/>
  <c r="F416" i="23"/>
  <c r="D416" i="23"/>
  <c r="E416" i="23" s="1"/>
  <c r="V415" i="23"/>
  <c r="U415" i="23"/>
  <c r="Q415" i="23"/>
  <c r="G415" i="23"/>
  <c r="F415" i="23"/>
  <c r="D415" i="23"/>
  <c r="E415" i="23" s="1"/>
  <c r="V414" i="23"/>
  <c r="U414" i="23"/>
  <c r="Q414" i="23"/>
  <c r="G414" i="23"/>
  <c r="F414" i="23"/>
  <c r="D414" i="23"/>
  <c r="E414" i="23" s="1"/>
  <c r="V413" i="23"/>
  <c r="U413" i="23"/>
  <c r="Q413" i="23"/>
  <c r="G413" i="23"/>
  <c r="F413" i="23"/>
  <c r="D413" i="23"/>
  <c r="E413" i="23" s="1"/>
  <c r="V412" i="23"/>
  <c r="W412" i="23" s="1"/>
  <c r="U412" i="23"/>
  <c r="Q412" i="23"/>
  <c r="G412" i="23"/>
  <c r="F412" i="23"/>
  <c r="D412" i="23"/>
  <c r="E412" i="23" s="1"/>
  <c r="V411" i="23"/>
  <c r="U411" i="23"/>
  <c r="Q411" i="23"/>
  <c r="G411" i="23"/>
  <c r="F411" i="23"/>
  <c r="D411" i="23"/>
  <c r="E411" i="23" s="1"/>
  <c r="V410" i="23"/>
  <c r="U410" i="23"/>
  <c r="Q410" i="23"/>
  <c r="G410" i="23"/>
  <c r="F410" i="23"/>
  <c r="D410" i="23"/>
  <c r="E410" i="23" s="1"/>
  <c r="V409" i="23"/>
  <c r="U409" i="23"/>
  <c r="Q409" i="23"/>
  <c r="G409" i="23"/>
  <c r="F409" i="23"/>
  <c r="D409" i="23"/>
  <c r="E409" i="23" s="1"/>
  <c r="V408" i="23"/>
  <c r="U408" i="23"/>
  <c r="Q408" i="23"/>
  <c r="G408" i="23"/>
  <c r="F408" i="23"/>
  <c r="D408" i="23"/>
  <c r="E408" i="23" s="1"/>
  <c r="V407" i="23"/>
  <c r="U407" i="23"/>
  <c r="W407" i="23" s="1"/>
  <c r="X407" i="23" s="1"/>
  <c r="Q407" i="23"/>
  <c r="G407" i="23"/>
  <c r="F407" i="23"/>
  <c r="D407" i="23"/>
  <c r="E407" i="23" s="1"/>
  <c r="V406" i="23"/>
  <c r="U406" i="23"/>
  <c r="Q406" i="23"/>
  <c r="G406" i="23"/>
  <c r="F406" i="23"/>
  <c r="D406" i="23"/>
  <c r="E406" i="23" s="1"/>
  <c r="V405" i="23"/>
  <c r="U405" i="23"/>
  <c r="W405" i="23" s="1"/>
  <c r="Q405" i="23"/>
  <c r="G405" i="23"/>
  <c r="F405" i="23"/>
  <c r="D405" i="23"/>
  <c r="E405" i="23" s="1"/>
  <c r="V404" i="23"/>
  <c r="U404" i="23"/>
  <c r="Q404" i="23"/>
  <c r="G404" i="23"/>
  <c r="F404" i="23"/>
  <c r="D404" i="23"/>
  <c r="E404" i="23" s="1"/>
  <c r="V403" i="23"/>
  <c r="U403" i="23"/>
  <c r="W403" i="23" s="1"/>
  <c r="X403" i="23" s="1"/>
  <c r="Q403" i="23"/>
  <c r="G403" i="23"/>
  <c r="F403" i="23"/>
  <c r="D403" i="23"/>
  <c r="E403" i="23" s="1"/>
  <c r="V402" i="23"/>
  <c r="U402" i="23"/>
  <c r="Q402" i="23"/>
  <c r="G402" i="23"/>
  <c r="F402" i="23"/>
  <c r="D402" i="23"/>
  <c r="E402" i="23" s="1"/>
  <c r="V401" i="23"/>
  <c r="U401" i="23"/>
  <c r="Q401" i="23"/>
  <c r="G401" i="23"/>
  <c r="F401" i="23"/>
  <c r="D401" i="23"/>
  <c r="E401" i="23" s="1"/>
  <c r="V400" i="23"/>
  <c r="U400" i="23"/>
  <c r="Q400" i="23"/>
  <c r="G400" i="23"/>
  <c r="F400" i="23"/>
  <c r="D400" i="23"/>
  <c r="E400" i="23" s="1"/>
  <c r="V399" i="23"/>
  <c r="U399" i="23"/>
  <c r="Q399" i="23"/>
  <c r="G399" i="23"/>
  <c r="F399" i="23"/>
  <c r="D399" i="23"/>
  <c r="E399" i="23" s="1"/>
  <c r="V398" i="23"/>
  <c r="U398" i="23"/>
  <c r="Q398" i="23"/>
  <c r="G398" i="23"/>
  <c r="F398" i="23"/>
  <c r="D398" i="23"/>
  <c r="E398" i="23" s="1"/>
  <c r="V397" i="23"/>
  <c r="U397" i="23"/>
  <c r="Q397" i="23"/>
  <c r="G397" i="23"/>
  <c r="F397" i="23"/>
  <c r="D397" i="23"/>
  <c r="E397" i="23" s="1"/>
  <c r="V396" i="23"/>
  <c r="U396" i="23"/>
  <c r="Q396" i="23"/>
  <c r="G396" i="23"/>
  <c r="F396" i="23"/>
  <c r="D396" i="23"/>
  <c r="E396" i="23" s="1"/>
  <c r="V395" i="23"/>
  <c r="U395" i="23"/>
  <c r="W395" i="23" s="1"/>
  <c r="Q395" i="23"/>
  <c r="G395" i="23"/>
  <c r="F395" i="23"/>
  <c r="D395" i="23"/>
  <c r="E395" i="23" s="1"/>
  <c r="V394" i="23"/>
  <c r="W394" i="23" s="1"/>
  <c r="X394" i="23" s="1"/>
  <c r="U394" i="23"/>
  <c r="Q394" i="23"/>
  <c r="G394" i="23"/>
  <c r="F394" i="23"/>
  <c r="D394" i="23"/>
  <c r="E394" i="23" s="1"/>
  <c r="V393" i="23"/>
  <c r="U393" i="23"/>
  <c r="W393" i="23" s="1"/>
  <c r="Q393" i="23"/>
  <c r="G393" i="23"/>
  <c r="F393" i="23"/>
  <c r="D393" i="23"/>
  <c r="E393" i="23" s="1"/>
  <c r="V392" i="23"/>
  <c r="U392" i="23"/>
  <c r="Q392" i="23"/>
  <c r="G392" i="23"/>
  <c r="F392" i="23"/>
  <c r="D392" i="23"/>
  <c r="E392" i="23" s="1"/>
  <c r="V391" i="23"/>
  <c r="U391" i="23"/>
  <c r="Q391" i="23"/>
  <c r="G391" i="23"/>
  <c r="F391" i="23"/>
  <c r="D391" i="23"/>
  <c r="E391" i="23" s="1"/>
  <c r="V390" i="23"/>
  <c r="U390" i="23"/>
  <c r="Q390" i="23"/>
  <c r="G390" i="23"/>
  <c r="F390" i="23"/>
  <c r="D390" i="23"/>
  <c r="E390" i="23" s="1"/>
  <c r="V389" i="23"/>
  <c r="U389" i="23"/>
  <c r="Q389" i="23"/>
  <c r="G389" i="23"/>
  <c r="F389" i="23"/>
  <c r="D389" i="23"/>
  <c r="E389" i="23" s="1"/>
  <c r="V388" i="23"/>
  <c r="U388" i="23"/>
  <c r="W388" i="23" s="1"/>
  <c r="Q388" i="23"/>
  <c r="G388" i="23"/>
  <c r="F388" i="23"/>
  <c r="D388" i="23"/>
  <c r="E388" i="23" s="1"/>
  <c r="V387" i="23"/>
  <c r="U387" i="23"/>
  <c r="Q387" i="23"/>
  <c r="G387" i="23"/>
  <c r="F387" i="23"/>
  <c r="D387" i="23"/>
  <c r="E387" i="23" s="1"/>
  <c r="V386" i="23"/>
  <c r="U386" i="23"/>
  <c r="Q386" i="23"/>
  <c r="G386" i="23"/>
  <c r="F386" i="23"/>
  <c r="D386" i="23"/>
  <c r="E386" i="23" s="1"/>
  <c r="V385" i="23"/>
  <c r="U385" i="23"/>
  <c r="Q385" i="23"/>
  <c r="G385" i="23"/>
  <c r="F385" i="23"/>
  <c r="D385" i="23"/>
  <c r="E385" i="23" s="1"/>
  <c r="V384" i="23"/>
  <c r="U384" i="23"/>
  <c r="Q384" i="23"/>
  <c r="G384" i="23"/>
  <c r="F384" i="23"/>
  <c r="D384" i="23"/>
  <c r="E384" i="23" s="1"/>
  <c r="V383" i="23"/>
  <c r="U383" i="23"/>
  <c r="Q383" i="23"/>
  <c r="G383" i="23"/>
  <c r="F383" i="23"/>
  <c r="D383" i="23"/>
  <c r="E383" i="23" s="1"/>
  <c r="V382" i="23"/>
  <c r="U382" i="23"/>
  <c r="W382" i="23" s="1"/>
  <c r="X382" i="23" s="1"/>
  <c r="Q382" i="23"/>
  <c r="G382" i="23"/>
  <c r="F382" i="23"/>
  <c r="D382" i="23"/>
  <c r="E382" i="23" s="1"/>
  <c r="V381" i="23"/>
  <c r="U381" i="23"/>
  <c r="Q381" i="23"/>
  <c r="G381" i="23"/>
  <c r="F381" i="23"/>
  <c r="D381" i="23"/>
  <c r="E381" i="23" s="1"/>
  <c r="V380" i="23"/>
  <c r="U380" i="23"/>
  <c r="Q380" i="23"/>
  <c r="G380" i="23"/>
  <c r="F380" i="23"/>
  <c r="D380" i="23"/>
  <c r="E380" i="23" s="1"/>
  <c r="V379" i="23"/>
  <c r="U379" i="23"/>
  <c r="Q379" i="23"/>
  <c r="G379" i="23"/>
  <c r="F379" i="23"/>
  <c r="D379" i="23"/>
  <c r="E379" i="23" s="1"/>
  <c r="V378" i="23"/>
  <c r="U378" i="23"/>
  <c r="W378" i="23" s="1"/>
  <c r="X378" i="23" s="1"/>
  <c r="Q378" i="23"/>
  <c r="G378" i="23"/>
  <c r="F378" i="23"/>
  <c r="D378" i="23"/>
  <c r="E378" i="23" s="1"/>
  <c r="V377" i="23"/>
  <c r="U377" i="23"/>
  <c r="Q377" i="23"/>
  <c r="G377" i="23"/>
  <c r="F377" i="23"/>
  <c r="D377" i="23"/>
  <c r="E377" i="23" s="1"/>
  <c r="V376" i="23"/>
  <c r="U376" i="23"/>
  <c r="Q376" i="23"/>
  <c r="G376" i="23"/>
  <c r="F376" i="23"/>
  <c r="D376" i="23"/>
  <c r="E376" i="23" s="1"/>
  <c r="V375" i="23"/>
  <c r="U375" i="23"/>
  <c r="Q375" i="23"/>
  <c r="G375" i="23"/>
  <c r="F375" i="23"/>
  <c r="D375" i="23"/>
  <c r="E375" i="23" s="1"/>
  <c r="V374" i="23"/>
  <c r="U374" i="23"/>
  <c r="Q374" i="23"/>
  <c r="G374" i="23"/>
  <c r="F374" i="23"/>
  <c r="D374" i="23"/>
  <c r="E374" i="23" s="1"/>
  <c r="V373" i="23"/>
  <c r="U373" i="23"/>
  <c r="Q373" i="23"/>
  <c r="G373" i="23"/>
  <c r="F373" i="23"/>
  <c r="D373" i="23"/>
  <c r="E373" i="23" s="1"/>
  <c r="W372" i="23"/>
  <c r="X372" i="23" s="1"/>
  <c r="V372" i="23"/>
  <c r="U372" i="23"/>
  <c r="Q372" i="23"/>
  <c r="G372" i="23"/>
  <c r="F372" i="23"/>
  <c r="D372" i="23"/>
  <c r="E372" i="23" s="1"/>
  <c r="V371" i="23"/>
  <c r="U371" i="23"/>
  <c r="Q371" i="23"/>
  <c r="G371" i="23"/>
  <c r="F371" i="23"/>
  <c r="D371" i="23"/>
  <c r="E371" i="23" s="1"/>
  <c r="V370" i="23"/>
  <c r="U370" i="23"/>
  <c r="Q370" i="23"/>
  <c r="G370" i="23"/>
  <c r="F370" i="23"/>
  <c r="D370" i="23"/>
  <c r="E370" i="23" s="1"/>
  <c r="V369" i="23"/>
  <c r="U369" i="23"/>
  <c r="Q369" i="23"/>
  <c r="G369" i="23"/>
  <c r="F369" i="23"/>
  <c r="D369" i="23"/>
  <c r="E369" i="23" s="1"/>
  <c r="V368" i="23"/>
  <c r="U368" i="23"/>
  <c r="Q368" i="23"/>
  <c r="G368" i="23"/>
  <c r="F368" i="23"/>
  <c r="D368" i="23"/>
  <c r="E368" i="23" s="1"/>
  <c r="V367" i="23"/>
  <c r="U367" i="23"/>
  <c r="Q367" i="23"/>
  <c r="G367" i="23"/>
  <c r="F367" i="23"/>
  <c r="D367" i="23"/>
  <c r="E367" i="23" s="1"/>
  <c r="V366" i="23"/>
  <c r="U366" i="23"/>
  <c r="W366" i="23" s="1"/>
  <c r="X366" i="23" s="1"/>
  <c r="Q366" i="23"/>
  <c r="G366" i="23"/>
  <c r="F366" i="23"/>
  <c r="D366" i="23"/>
  <c r="E366" i="23" s="1"/>
  <c r="V365" i="23"/>
  <c r="U365" i="23"/>
  <c r="Q365" i="23"/>
  <c r="G365" i="23"/>
  <c r="F365" i="23"/>
  <c r="D365" i="23"/>
  <c r="E365" i="23" s="1"/>
  <c r="V364" i="23"/>
  <c r="U364" i="23"/>
  <c r="Q364" i="23"/>
  <c r="G364" i="23"/>
  <c r="F364" i="23"/>
  <c r="D364" i="23"/>
  <c r="E364" i="23" s="1"/>
  <c r="W363" i="23"/>
  <c r="V363" i="23"/>
  <c r="U363" i="23"/>
  <c r="Q363" i="23"/>
  <c r="G363" i="23"/>
  <c r="F363" i="23"/>
  <c r="D363" i="23"/>
  <c r="E363" i="23" s="1"/>
  <c r="V362" i="23"/>
  <c r="U362" i="23"/>
  <c r="Q362" i="23"/>
  <c r="G362" i="23"/>
  <c r="F362" i="23"/>
  <c r="D362" i="23"/>
  <c r="E362" i="23" s="1"/>
  <c r="V361" i="23"/>
  <c r="U361" i="23"/>
  <c r="Q361" i="23"/>
  <c r="G361" i="23"/>
  <c r="F361" i="23"/>
  <c r="D361" i="23"/>
  <c r="E361" i="23" s="1"/>
  <c r="V360" i="23"/>
  <c r="U360" i="23"/>
  <c r="W360" i="23" s="1"/>
  <c r="X360" i="23" s="1"/>
  <c r="Q360" i="23"/>
  <c r="G360" i="23"/>
  <c r="F360" i="23"/>
  <c r="D360" i="23"/>
  <c r="E360" i="23" s="1"/>
  <c r="V359" i="23"/>
  <c r="U359" i="23"/>
  <c r="Q359" i="23"/>
  <c r="G359" i="23"/>
  <c r="F359" i="23"/>
  <c r="D359" i="23"/>
  <c r="E359" i="23" s="1"/>
  <c r="V358" i="23"/>
  <c r="U358" i="23"/>
  <c r="Q358" i="23"/>
  <c r="G358" i="23"/>
  <c r="F358" i="23"/>
  <c r="D358" i="23"/>
  <c r="E358" i="23" s="1"/>
  <c r="V357" i="23"/>
  <c r="U357" i="23"/>
  <c r="W357" i="23" s="1"/>
  <c r="Q357" i="23"/>
  <c r="G357" i="23"/>
  <c r="F357" i="23"/>
  <c r="D357" i="23"/>
  <c r="E357" i="23" s="1"/>
  <c r="V356" i="23"/>
  <c r="U356" i="23"/>
  <c r="Q356" i="23"/>
  <c r="G356" i="23"/>
  <c r="F356" i="23"/>
  <c r="D356" i="23"/>
  <c r="E356" i="23" s="1"/>
  <c r="V355" i="23"/>
  <c r="U355" i="23"/>
  <c r="W355" i="23" s="1"/>
  <c r="X355" i="23" s="1"/>
  <c r="Q355" i="23"/>
  <c r="G355" i="23"/>
  <c r="F355" i="23"/>
  <c r="D355" i="23"/>
  <c r="E355" i="23" s="1"/>
  <c r="V354" i="23"/>
  <c r="U354" i="23"/>
  <c r="Q354" i="23"/>
  <c r="G354" i="23"/>
  <c r="F354" i="23"/>
  <c r="D354" i="23"/>
  <c r="E354" i="23" s="1"/>
  <c r="V353" i="23"/>
  <c r="U353" i="23"/>
  <c r="Q353" i="23"/>
  <c r="G353" i="23"/>
  <c r="F353" i="23"/>
  <c r="D353" i="23"/>
  <c r="E353" i="23" s="1"/>
  <c r="V352" i="23"/>
  <c r="U352" i="23"/>
  <c r="Q352" i="23"/>
  <c r="G352" i="23"/>
  <c r="F352" i="23"/>
  <c r="D352" i="23"/>
  <c r="E352" i="23" s="1"/>
  <c r="V351" i="23"/>
  <c r="U351" i="23"/>
  <c r="Q351" i="23"/>
  <c r="G351" i="23"/>
  <c r="F351" i="23"/>
  <c r="D351" i="23"/>
  <c r="E351" i="23" s="1"/>
  <c r="V350" i="23"/>
  <c r="U350" i="23"/>
  <c r="Q350" i="23"/>
  <c r="G350" i="23"/>
  <c r="F350" i="23"/>
  <c r="D350" i="23"/>
  <c r="E350" i="23" s="1"/>
  <c r="V349" i="23"/>
  <c r="U349" i="23"/>
  <c r="W349" i="23" s="1"/>
  <c r="Q349" i="23"/>
  <c r="G349" i="23"/>
  <c r="F349" i="23"/>
  <c r="D349" i="23"/>
  <c r="E349" i="23" s="1"/>
  <c r="V348" i="23"/>
  <c r="W348" i="23" s="1"/>
  <c r="X348" i="23" s="1"/>
  <c r="U348" i="23"/>
  <c r="Q348" i="23"/>
  <c r="G348" i="23"/>
  <c r="F348" i="23"/>
  <c r="D348" i="23"/>
  <c r="E348" i="23" s="1"/>
  <c r="V347" i="23"/>
  <c r="U347" i="23"/>
  <c r="Q347" i="23"/>
  <c r="G347" i="23"/>
  <c r="F347" i="23"/>
  <c r="D347" i="23"/>
  <c r="E347" i="23" s="1"/>
  <c r="V346" i="23"/>
  <c r="U346" i="23"/>
  <c r="Q346" i="23"/>
  <c r="G346" i="23"/>
  <c r="F346" i="23"/>
  <c r="D346" i="23"/>
  <c r="E346" i="23" s="1"/>
  <c r="V345" i="23"/>
  <c r="U345" i="23"/>
  <c r="W345" i="23" s="1"/>
  <c r="X345" i="23" s="1"/>
  <c r="Q345" i="23"/>
  <c r="G345" i="23"/>
  <c r="F345" i="23"/>
  <c r="D345" i="23"/>
  <c r="E345" i="23" s="1"/>
  <c r="V344" i="23"/>
  <c r="U344" i="23"/>
  <c r="Q344" i="23"/>
  <c r="G344" i="23"/>
  <c r="F344" i="23"/>
  <c r="D344" i="23"/>
  <c r="E344" i="23" s="1"/>
  <c r="V343" i="23"/>
  <c r="U343" i="23"/>
  <c r="Q343" i="23"/>
  <c r="G343" i="23"/>
  <c r="F343" i="23"/>
  <c r="D343" i="23"/>
  <c r="E343" i="23" s="1"/>
  <c r="V342" i="23"/>
  <c r="U342" i="23"/>
  <c r="W342" i="23" s="1"/>
  <c r="X342" i="23" s="1"/>
  <c r="Q342" i="23"/>
  <c r="G342" i="23"/>
  <c r="F342" i="23"/>
  <c r="D342" i="23"/>
  <c r="E342" i="23" s="1"/>
  <c r="V341" i="23"/>
  <c r="U341" i="23"/>
  <c r="Q341" i="23"/>
  <c r="G341" i="23"/>
  <c r="F341" i="23"/>
  <c r="D341" i="23"/>
  <c r="E341" i="23" s="1"/>
  <c r="V340" i="23"/>
  <c r="U340" i="23"/>
  <c r="Q340" i="23"/>
  <c r="G340" i="23"/>
  <c r="F340" i="23"/>
  <c r="D340" i="23"/>
  <c r="E340" i="23" s="1"/>
  <c r="V339" i="23"/>
  <c r="W339" i="23" s="1"/>
  <c r="X339" i="23" s="1"/>
  <c r="U339" i="23"/>
  <c r="Q339" i="23"/>
  <c r="G339" i="23"/>
  <c r="F339" i="23"/>
  <c r="D339" i="23"/>
  <c r="E339" i="23" s="1"/>
  <c r="V338" i="23"/>
  <c r="U338" i="23"/>
  <c r="Q338" i="23"/>
  <c r="G338" i="23"/>
  <c r="F338" i="23"/>
  <c r="D338" i="23"/>
  <c r="E338" i="23" s="1"/>
  <c r="V337" i="23"/>
  <c r="U337" i="23"/>
  <c r="Q337" i="23"/>
  <c r="G337" i="23"/>
  <c r="F337" i="23"/>
  <c r="D337" i="23"/>
  <c r="E337" i="23" s="1"/>
  <c r="V336" i="23"/>
  <c r="U336" i="23"/>
  <c r="W336" i="23" s="1"/>
  <c r="X336" i="23" s="1"/>
  <c r="Q336" i="23"/>
  <c r="G336" i="23"/>
  <c r="F336" i="23"/>
  <c r="D336" i="23"/>
  <c r="E336" i="23" s="1"/>
  <c r="V335" i="23"/>
  <c r="U335" i="23"/>
  <c r="Q335" i="23"/>
  <c r="G335" i="23"/>
  <c r="F335" i="23"/>
  <c r="D335" i="23"/>
  <c r="E335" i="23" s="1"/>
  <c r="V334" i="23"/>
  <c r="U334" i="23"/>
  <c r="W334" i="23" s="1"/>
  <c r="Q334" i="23"/>
  <c r="G334" i="23"/>
  <c r="F334" i="23"/>
  <c r="D334" i="23"/>
  <c r="E334" i="23" s="1"/>
  <c r="V333" i="23"/>
  <c r="W333" i="23" s="1"/>
  <c r="X333" i="23" s="1"/>
  <c r="U333" i="23"/>
  <c r="Q333" i="23"/>
  <c r="G333" i="23"/>
  <c r="F333" i="23"/>
  <c r="D333" i="23"/>
  <c r="E333" i="23" s="1"/>
  <c r="V332" i="23"/>
  <c r="U332" i="23"/>
  <c r="Q332" i="23"/>
  <c r="G332" i="23"/>
  <c r="F332" i="23"/>
  <c r="D332" i="23"/>
  <c r="E332" i="23" s="1"/>
  <c r="V331" i="23"/>
  <c r="U331" i="23"/>
  <c r="Q331" i="23"/>
  <c r="G331" i="23"/>
  <c r="F331" i="23"/>
  <c r="D331" i="23"/>
  <c r="E331" i="23" s="1"/>
  <c r="V330" i="23"/>
  <c r="U330" i="23"/>
  <c r="W330" i="23" s="1"/>
  <c r="X330" i="23" s="1"/>
  <c r="Q330" i="23"/>
  <c r="G330" i="23"/>
  <c r="F330" i="23"/>
  <c r="D330" i="23"/>
  <c r="E330" i="23" s="1"/>
  <c r="V329" i="23"/>
  <c r="U329" i="23"/>
  <c r="Q329" i="23"/>
  <c r="G329" i="23"/>
  <c r="F329" i="23"/>
  <c r="D329" i="23"/>
  <c r="E329" i="23" s="1"/>
  <c r="V328" i="23"/>
  <c r="U328" i="23"/>
  <c r="Q328" i="23"/>
  <c r="G328" i="23"/>
  <c r="F328" i="23"/>
  <c r="D328" i="23"/>
  <c r="E328" i="23" s="1"/>
  <c r="V327" i="23"/>
  <c r="U327" i="23"/>
  <c r="W327" i="23" s="1"/>
  <c r="X327" i="23" s="1"/>
  <c r="Q327" i="23"/>
  <c r="G327" i="23"/>
  <c r="F327" i="23"/>
  <c r="D327" i="23"/>
  <c r="E327" i="23" s="1"/>
  <c r="V326" i="23"/>
  <c r="U326" i="23"/>
  <c r="Q326" i="23"/>
  <c r="G326" i="23"/>
  <c r="F326" i="23"/>
  <c r="D326" i="23"/>
  <c r="E326" i="23" s="1"/>
  <c r="V325" i="23"/>
  <c r="U325" i="23"/>
  <c r="Q325" i="23"/>
  <c r="G325" i="23"/>
  <c r="F325" i="23"/>
  <c r="D325" i="23"/>
  <c r="E325" i="23" s="1"/>
  <c r="V324" i="23"/>
  <c r="U324" i="23"/>
  <c r="Q324" i="23"/>
  <c r="G324" i="23"/>
  <c r="F324" i="23"/>
  <c r="D324" i="23"/>
  <c r="E324" i="23" s="1"/>
  <c r="V323" i="23"/>
  <c r="U323" i="23"/>
  <c r="W323" i="23" s="1"/>
  <c r="Q323" i="23"/>
  <c r="G323" i="23"/>
  <c r="F323" i="23"/>
  <c r="D323" i="23"/>
  <c r="E323" i="23" s="1"/>
  <c r="V322" i="23"/>
  <c r="U322" i="23"/>
  <c r="Q322" i="23"/>
  <c r="G322" i="23"/>
  <c r="F322" i="23"/>
  <c r="D322" i="23"/>
  <c r="E322" i="23" s="1"/>
  <c r="V321" i="23"/>
  <c r="U321" i="23"/>
  <c r="W321" i="23" s="1"/>
  <c r="X321" i="23" s="1"/>
  <c r="Q321" i="23"/>
  <c r="G321" i="23"/>
  <c r="F321" i="23"/>
  <c r="D321" i="23"/>
  <c r="E321" i="23" s="1"/>
  <c r="V320" i="23"/>
  <c r="U320" i="23"/>
  <c r="Q320" i="23"/>
  <c r="G320" i="23"/>
  <c r="F320" i="23"/>
  <c r="D320" i="23"/>
  <c r="E320" i="23" s="1"/>
  <c r="V319" i="23"/>
  <c r="U319" i="23"/>
  <c r="W319" i="23" s="1"/>
  <c r="X319" i="23" s="1"/>
  <c r="Q319" i="23"/>
  <c r="G319" i="23"/>
  <c r="F319" i="23"/>
  <c r="D319" i="23"/>
  <c r="E319" i="23" s="1"/>
  <c r="V318" i="23"/>
  <c r="U318" i="23"/>
  <c r="Q318" i="23"/>
  <c r="G318" i="23"/>
  <c r="F318" i="23"/>
  <c r="D318" i="23"/>
  <c r="E318" i="23" s="1"/>
  <c r="V317" i="23"/>
  <c r="U317" i="23"/>
  <c r="Q317" i="23"/>
  <c r="G317" i="23"/>
  <c r="F317" i="23"/>
  <c r="D317" i="23"/>
  <c r="E317" i="23" s="1"/>
  <c r="V316" i="23"/>
  <c r="U316" i="23"/>
  <c r="Q316" i="23"/>
  <c r="G316" i="23"/>
  <c r="F316" i="23"/>
  <c r="D316" i="23"/>
  <c r="E316" i="23" s="1"/>
  <c r="V315" i="23"/>
  <c r="U315" i="23"/>
  <c r="W315" i="23" s="1"/>
  <c r="X315" i="23" s="1"/>
  <c r="Q315" i="23"/>
  <c r="G315" i="23"/>
  <c r="F315" i="23"/>
  <c r="D315" i="23"/>
  <c r="E315" i="23" s="1"/>
  <c r="V314" i="23"/>
  <c r="W314" i="23" s="1"/>
  <c r="U314" i="23"/>
  <c r="Q314" i="23"/>
  <c r="G314" i="23"/>
  <c r="F314" i="23"/>
  <c r="D314" i="23"/>
  <c r="E314" i="23" s="1"/>
  <c r="V313" i="23"/>
  <c r="U313" i="23"/>
  <c r="Q313" i="23"/>
  <c r="G313" i="23"/>
  <c r="F313" i="23"/>
  <c r="D313" i="23"/>
  <c r="E313" i="23" s="1"/>
  <c r="W312" i="23"/>
  <c r="X312" i="23" s="1"/>
  <c r="V312" i="23"/>
  <c r="U312" i="23"/>
  <c r="Q312" i="23"/>
  <c r="G312" i="23"/>
  <c r="F312" i="23"/>
  <c r="D312" i="23"/>
  <c r="E312" i="23" s="1"/>
  <c r="V311" i="23"/>
  <c r="U311" i="23"/>
  <c r="W311" i="23" s="1"/>
  <c r="Q311" i="23"/>
  <c r="G311" i="23"/>
  <c r="F311" i="23"/>
  <c r="D311" i="23"/>
  <c r="E311" i="23" s="1"/>
  <c r="V310" i="23"/>
  <c r="U310" i="23"/>
  <c r="Q310" i="23"/>
  <c r="G310" i="23"/>
  <c r="F310" i="23"/>
  <c r="D310" i="23"/>
  <c r="E310" i="23" s="1"/>
  <c r="V309" i="23"/>
  <c r="U309" i="23"/>
  <c r="W309" i="23" s="1"/>
  <c r="X309" i="23" s="1"/>
  <c r="Q309" i="23"/>
  <c r="G309" i="23"/>
  <c r="F309" i="23"/>
  <c r="D309" i="23"/>
  <c r="E309" i="23" s="1"/>
  <c r="V308" i="23"/>
  <c r="U308" i="23"/>
  <c r="Q308" i="23"/>
  <c r="G308" i="23"/>
  <c r="F308" i="23"/>
  <c r="D308" i="23"/>
  <c r="E308" i="23" s="1"/>
  <c r="V307" i="23"/>
  <c r="U307" i="23"/>
  <c r="Q307" i="23"/>
  <c r="G307" i="23"/>
  <c r="F307" i="23"/>
  <c r="D307" i="23"/>
  <c r="E307" i="23" s="1"/>
  <c r="V306" i="23"/>
  <c r="U306" i="23"/>
  <c r="Q306" i="23"/>
  <c r="G306" i="23"/>
  <c r="F306" i="23"/>
  <c r="D306" i="23"/>
  <c r="E306" i="23" s="1"/>
  <c r="V305" i="23"/>
  <c r="U305" i="23"/>
  <c r="W305" i="23" s="1"/>
  <c r="Q305" i="23"/>
  <c r="G305" i="23"/>
  <c r="F305" i="23"/>
  <c r="D305" i="23"/>
  <c r="E305" i="23" s="1"/>
  <c r="V304" i="23"/>
  <c r="U304" i="23"/>
  <c r="Q304" i="23"/>
  <c r="G304" i="23"/>
  <c r="F304" i="23"/>
  <c r="D304" i="23"/>
  <c r="E304" i="23" s="1"/>
  <c r="V303" i="23"/>
  <c r="W303" i="23" s="1"/>
  <c r="X303" i="23" s="1"/>
  <c r="U303" i="23"/>
  <c r="Q303" i="23"/>
  <c r="G303" i="23"/>
  <c r="F303" i="23"/>
  <c r="D303" i="23"/>
  <c r="E303" i="23" s="1"/>
  <c r="V302" i="23"/>
  <c r="U302" i="23"/>
  <c r="Q302" i="23"/>
  <c r="G302" i="23"/>
  <c r="F302" i="23"/>
  <c r="D302" i="23"/>
  <c r="E302" i="23" s="1"/>
  <c r="V301" i="23"/>
  <c r="U301" i="23"/>
  <c r="Q301" i="23"/>
  <c r="G301" i="23"/>
  <c r="F301" i="23"/>
  <c r="D301" i="23"/>
  <c r="E301" i="23" s="1"/>
  <c r="V300" i="23"/>
  <c r="U300" i="23"/>
  <c r="W300" i="23" s="1"/>
  <c r="X300" i="23" s="1"/>
  <c r="Q300" i="23"/>
  <c r="G300" i="23"/>
  <c r="F300" i="23"/>
  <c r="D300" i="23"/>
  <c r="E300" i="23" s="1"/>
  <c r="V299" i="23"/>
  <c r="U299" i="23"/>
  <c r="Q299" i="23"/>
  <c r="G299" i="23"/>
  <c r="F299" i="23"/>
  <c r="D299" i="23"/>
  <c r="E299" i="23" s="1"/>
  <c r="V298" i="23"/>
  <c r="U298" i="23"/>
  <c r="Q298" i="23"/>
  <c r="G298" i="23"/>
  <c r="F298" i="23"/>
  <c r="D298" i="23"/>
  <c r="E298" i="23" s="1"/>
  <c r="W297" i="23"/>
  <c r="X297" i="23" s="1"/>
  <c r="V297" i="23"/>
  <c r="U297" i="23"/>
  <c r="Q297" i="23"/>
  <c r="G297" i="23"/>
  <c r="F297" i="23"/>
  <c r="D297" i="23"/>
  <c r="E297" i="23" s="1"/>
  <c r="V296" i="23"/>
  <c r="U296" i="23"/>
  <c r="Q296" i="23"/>
  <c r="G296" i="23"/>
  <c r="F296" i="23"/>
  <c r="D296" i="23"/>
  <c r="E296" i="23" s="1"/>
  <c r="V295" i="23"/>
  <c r="U295" i="23"/>
  <c r="Q295" i="23"/>
  <c r="G295" i="23"/>
  <c r="F295" i="23"/>
  <c r="D295" i="23"/>
  <c r="E295" i="23" s="1"/>
  <c r="V294" i="23"/>
  <c r="U294" i="23"/>
  <c r="W294" i="23" s="1"/>
  <c r="X294" i="23" s="1"/>
  <c r="Q294" i="23"/>
  <c r="G294" i="23"/>
  <c r="F294" i="23"/>
  <c r="D294" i="23"/>
  <c r="E294" i="23" s="1"/>
  <c r="V293" i="23"/>
  <c r="U293" i="23"/>
  <c r="Q293" i="23"/>
  <c r="G293" i="23"/>
  <c r="F293" i="23"/>
  <c r="D293" i="23"/>
  <c r="E293" i="23" s="1"/>
  <c r="V292" i="23"/>
  <c r="U292" i="23"/>
  <c r="W292" i="23" s="1"/>
  <c r="Q292" i="23"/>
  <c r="G292" i="23"/>
  <c r="F292" i="23"/>
  <c r="D292" i="23"/>
  <c r="E292" i="23" s="1"/>
  <c r="V291" i="23"/>
  <c r="U291" i="23"/>
  <c r="Q291" i="23"/>
  <c r="G291" i="23"/>
  <c r="F291" i="23"/>
  <c r="D291" i="23"/>
  <c r="E291" i="23" s="1"/>
  <c r="V290" i="23"/>
  <c r="U290" i="23"/>
  <c r="Q290" i="23"/>
  <c r="G290" i="23"/>
  <c r="F290" i="23"/>
  <c r="D290" i="23"/>
  <c r="E290" i="23" s="1"/>
  <c r="V289" i="23"/>
  <c r="U289" i="23"/>
  <c r="W289" i="23" s="1"/>
  <c r="X289" i="23" s="1"/>
  <c r="Q289" i="23"/>
  <c r="G289" i="23"/>
  <c r="F289" i="23"/>
  <c r="D289" i="23"/>
  <c r="E289" i="23" s="1"/>
  <c r="W288" i="23"/>
  <c r="X288" i="23" s="1"/>
  <c r="V288" i="23"/>
  <c r="U288" i="23"/>
  <c r="Q288" i="23"/>
  <c r="G288" i="23"/>
  <c r="F288" i="23"/>
  <c r="D288" i="23"/>
  <c r="E288" i="23" s="1"/>
  <c r="V287" i="23"/>
  <c r="U287" i="23"/>
  <c r="W287" i="23" s="1"/>
  <c r="Q287" i="23"/>
  <c r="G287" i="23"/>
  <c r="F287" i="23"/>
  <c r="D287" i="23"/>
  <c r="E287" i="23" s="1"/>
  <c r="V286" i="23"/>
  <c r="W286" i="23" s="1"/>
  <c r="X286" i="23" s="1"/>
  <c r="U286" i="23"/>
  <c r="Q286" i="23"/>
  <c r="G286" i="23"/>
  <c r="F286" i="23"/>
  <c r="D286" i="23"/>
  <c r="E286" i="23" s="1"/>
  <c r="V285" i="23"/>
  <c r="U285" i="23"/>
  <c r="Q285" i="23"/>
  <c r="G285" i="23"/>
  <c r="F285" i="23"/>
  <c r="D285" i="23"/>
  <c r="E285" i="23" s="1"/>
  <c r="V284" i="23"/>
  <c r="U284" i="23"/>
  <c r="Q284" i="23"/>
  <c r="G284" i="23"/>
  <c r="F284" i="23"/>
  <c r="D284" i="23"/>
  <c r="E284" i="23" s="1"/>
  <c r="V283" i="23"/>
  <c r="W283" i="23" s="1"/>
  <c r="X283" i="23" s="1"/>
  <c r="U283" i="23"/>
  <c r="Q283" i="23"/>
  <c r="G283" i="23"/>
  <c r="F283" i="23"/>
  <c r="D283" i="23"/>
  <c r="E283" i="23" s="1"/>
  <c r="V282" i="23"/>
  <c r="U282" i="23"/>
  <c r="W282" i="23" s="1"/>
  <c r="X282" i="23" s="1"/>
  <c r="Q282" i="23"/>
  <c r="G282" i="23"/>
  <c r="F282" i="23"/>
  <c r="D282" i="23"/>
  <c r="E282" i="23" s="1"/>
  <c r="V281" i="23"/>
  <c r="U281" i="23"/>
  <c r="Q281" i="23"/>
  <c r="G281" i="23"/>
  <c r="F281" i="23"/>
  <c r="D281" i="23"/>
  <c r="E281" i="23" s="1"/>
  <c r="V280" i="23"/>
  <c r="U280" i="23"/>
  <c r="W280" i="23" s="1"/>
  <c r="Q280" i="23"/>
  <c r="G280" i="23"/>
  <c r="F280" i="23"/>
  <c r="D280" i="23"/>
  <c r="E280" i="23" s="1"/>
  <c r="V279" i="23"/>
  <c r="W279" i="23" s="1"/>
  <c r="X279" i="23" s="1"/>
  <c r="U279" i="23"/>
  <c r="Q279" i="23"/>
  <c r="G279" i="23"/>
  <c r="F279" i="23"/>
  <c r="D279" i="23"/>
  <c r="E279" i="23" s="1"/>
  <c r="V278" i="23"/>
  <c r="U278" i="23"/>
  <c r="W278" i="23" s="1"/>
  <c r="Q278" i="23"/>
  <c r="G278" i="23"/>
  <c r="F278" i="23"/>
  <c r="D278" i="23"/>
  <c r="E278" i="23" s="1"/>
  <c r="V277" i="23"/>
  <c r="U277" i="23"/>
  <c r="Q277" i="23"/>
  <c r="G277" i="23"/>
  <c r="F277" i="23"/>
  <c r="D277" i="23"/>
  <c r="E277" i="23" s="1"/>
  <c r="V276" i="23"/>
  <c r="U276" i="23"/>
  <c r="Q276" i="23"/>
  <c r="G276" i="23"/>
  <c r="F276" i="23"/>
  <c r="D276" i="23"/>
  <c r="E276" i="23" s="1"/>
  <c r="W275" i="23"/>
  <c r="V275" i="23"/>
  <c r="U275" i="23"/>
  <c r="Q275" i="23"/>
  <c r="G275" i="23"/>
  <c r="F275" i="23"/>
  <c r="D275" i="23"/>
  <c r="E275" i="23" s="1"/>
  <c r="V274" i="23"/>
  <c r="U274" i="23"/>
  <c r="W274" i="23" s="1"/>
  <c r="Q274" i="23"/>
  <c r="G274" i="23"/>
  <c r="F274" i="23"/>
  <c r="D274" i="23"/>
  <c r="E274" i="23" s="1"/>
  <c r="V273" i="23"/>
  <c r="U273" i="23"/>
  <c r="Q273" i="23"/>
  <c r="G273" i="23"/>
  <c r="F273" i="23"/>
  <c r="D273" i="23"/>
  <c r="E273" i="23" s="1"/>
  <c r="V272" i="23"/>
  <c r="U272" i="23"/>
  <c r="Q272" i="23"/>
  <c r="G272" i="23"/>
  <c r="F272" i="23"/>
  <c r="D272" i="23"/>
  <c r="E272" i="23" s="1"/>
  <c r="V271" i="23"/>
  <c r="U271" i="23"/>
  <c r="W271" i="23" s="1"/>
  <c r="Q271" i="23"/>
  <c r="G271" i="23"/>
  <c r="F271" i="23"/>
  <c r="D271" i="23"/>
  <c r="E271" i="23" s="1"/>
  <c r="V270" i="23"/>
  <c r="U270" i="23"/>
  <c r="Q270" i="23"/>
  <c r="G270" i="23"/>
  <c r="F270" i="23"/>
  <c r="D270" i="23"/>
  <c r="E270" i="23" s="1"/>
  <c r="V269" i="23"/>
  <c r="U269" i="23"/>
  <c r="Q269" i="23"/>
  <c r="G269" i="23"/>
  <c r="F269" i="23"/>
  <c r="D269" i="23"/>
  <c r="E269" i="23" s="1"/>
  <c r="V268" i="23"/>
  <c r="U268" i="23"/>
  <c r="Q268" i="23"/>
  <c r="G268" i="23"/>
  <c r="F268" i="23"/>
  <c r="D268" i="23"/>
  <c r="E268" i="23" s="1"/>
  <c r="V267" i="23"/>
  <c r="U267" i="23"/>
  <c r="Q267" i="23"/>
  <c r="G267" i="23"/>
  <c r="F267" i="23"/>
  <c r="D267" i="23"/>
  <c r="E267" i="23" s="1"/>
  <c r="V266" i="23"/>
  <c r="U266" i="23"/>
  <c r="Q266" i="23"/>
  <c r="G266" i="23"/>
  <c r="F266" i="23"/>
  <c r="D266" i="23"/>
  <c r="E266" i="23" s="1"/>
  <c r="V265" i="23"/>
  <c r="U265" i="23"/>
  <c r="Q265" i="23"/>
  <c r="G265" i="23"/>
  <c r="F265" i="23"/>
  <c r="D265" i="23"/>
  <c r="E265" i="23" s="1"/>
  <c r="V264" i="23"/>
  <c r="U264" i="23"/>
  <c r="Q264" i="23"/>
  <c r="G264" i="23"/>
  <c r="F264" i="23"/>
  <c r="D264" i="23"/>
  <c r="E264" i="23" s="1"/>
  <c r="V263" i="23"/>
  <c r="U263" i="23"/>
  <c r="Q263" i="23"/>
  <c r="G263" i="23"/>
  <c r="F263" i="23"/>
  <c r="D263" i="23"/>
  <c r="E263" i="23" s="1"/>
  <c r="V262" i="23"/>
  <c r="U262" i="23"/>
  <c r="Q262" i="23"/>
  <c r="G262" i="23"/>
  <c r="F262" i="23"/>
  <c r="D262" i="23"/>
  <c r="E262" i="23" s="1"/>
  <c r="V261" i="23"/>
  <c r="U261" i="23"/>
  <c r="Q261" i="23"/>
  <c r="G261" i="23"/>
  <c r="F261" i="23"/>
  <c r="D261" i="23"/>
  <c r="E261" i="23" s="1"/>
  <c r="V260" i="23"/>
  <c r="U260" i="23"/>
  <c r="Q260" i="23"/>
  <c r="G260" i="23"/>
  <c r="F260" i="23"/>
  <c r="D260" i="23"/>
  <c r="E260" i="23" s="1"/>
  <c r="V259" i="23"/>
  <c r="U259" i="23"/>
  <c r="Q259" i="23"/>
  <c r="G259" i="23"/>
  <c r="F259" i="23"/>
  <c r="D259" i="23"/>
  <c r="E259" i="23" s="1"/>
  <c r="V258" i="23"/>
  <c r="U258" i="23"/>
  <c r="Q258" i="23"/>
  <c r="G258" i="23"/>
  <c r="F258" i="23"/>
  <c r="D258" i="23"/>
  <c r="E258" i="23" s="1"/>
  <c r="V257" i="23"/>
  <c r="U257" i="23"/>
  <c r="Q257" i="23"/>
  <c r="G257" i="23"/>
  <c r="F257" i="23"/>
  <c r="D257" i="23"/>
  <c r="E257" i="23" s="1"/>
  <c r="V256" i="23"/>
  <c r="U256" i="23"/>
  <c r="Q256" i="23"/>
  <c r="G256" i="23"/>
  <c r="F256" i="23"/>
  <c r="D256" i="23"/>
  <c r="E256" i="23" s="1"/>
  <c r="V255" i="23"/>
  <c r="U255" i="23"/>
  <c r="Q255" i="23"/>
  <c r="G255" i="23"/>
  <c r="F255" i="23"/>
  <c r="D255" i="23"/>
  <c r="E255" i="23" s="1"/>
  <c r="V254" i="23"/>
  <c r="U254" i="23"/>
  <c r="Q254" i="23"/>
  <c r="G254" i="23"/>
  <c r="F254" i="23"/>
  <c r="D254" i="23"/>
  <c r="E254" i="23" s="1"/>
  <c r="V253" i="23"/>
  <c r="U253" i="23"/>
  <c r="Q253" i="23"/>
  <c r="G253" i="23"/>
  <c r="F253" i="23"/>
  <c r="D253" i="23"/>
  <c r="E253" i="23" s="1"/>
  <c r="V252" i="23"/>
  <c r="U252" i="23"/>
  <c r="Q252" i="23"/>
  <c r="G252" i="23"/>
  <c r="F252" i="23"/>
  <c r="D252" i="23"/>
  <c r="E252" i="23" s="1"/>
  <c r="V251" i="23"/>
  <c r="U251" i="23"/>
  <c r="Q251" i="23"/>
  <c r="G251" i="23"/>
  <c r="F251" i="23"/>
  <c r="D251" i="23"/>
  <c r="E251" i="23" s="1"/>
  <c r="V250" i="23"/>
  <c r="U250" i="23"/>
  <c r="Q250" i="23"/>
  <c r="G250" i="23"/>
  <c r="F250" i="23"/>
  <c r="D250" i="23"/>
  <c r="E250" i="23" s="1"/>
  <c r="W249" i="23"/>
  <c r="V249" i="23"/>
  <c r="U249" i="23"/>
  <c r="Q249" i="23"/>
  <c r="G249" i="23"/>
  <c r="F249" i="23"/>
  <c r="D249" i="23"/>
  <c r="E249" i="23" s="1"/>
  <c r="V248" i="23"/>
  <c r="U248" i="23"/>
  <c r="Q248" i="23"/>
  <c r="G248" i="23"/>
  <c r="F248" i="23"/>
  <c r="D248" i="23"/>
  <c r="E248" i="23" s="1"/>
  <c r="W247" i="23"/>
  <c r="V247" i="23"/>
  <c r="U247" i="23"/>
  <c r="Q247" i="23"/>
  <c r="G247" i="23"/>
  <c r="F247" i="23"/>
  <c r="D247" i="23"/>
  <c r="E247" i="23" s="1"/>
  <c r="V246" i="23"/>
  <c r="U246" i="23"/>
  <c r="Q246" i="23"/>
  <c r="G246" i="23"/>
  <c r="F246" i="23"/>
  <c r="D246" i="23"/>
  <c r="E246" i="23" s="1"/>
  <c r="V245" i="23"/>
  <c r="U245" i="23"/>
  <c r="Q245" i="23"/>
  <c r="G245" i="23"/>
  <c r="F245" i="23"/>
  <c r="D245" i="23"/>
  <c r="E245" i="23" s="1"/>
  <c r="V244" i="23"/>
  <c r="W244" i="23" s="1"/>
  <c r="X244" i="23" s="1"/>
  <c r="U244" i="23"/>
  <c r="Q244" i="23"/>
  <c r="G244" i="23"/>
  <c r="F244" i="23"/>
  <c r="D244" i="23"/>
  <c r="E244" i="23" s="1"/>
  <c r="V243" i="23"/>
  <c r="U243" i="23"/>
  <c r="Q243" i="23"/>
  <c r="G243" i="23"/>
  <c r="F243" i="23"/>
  <c r="D243" i="23"/>
  <c r="E243" i="23" s="1"/>
  <c r="V242" i="23"/>
  <c r="U242" i="23"/>
  <c r="Q242" i="23"/>
  <c r="G242" i="23"/>
  <c r="F242" i="23"/>
  <c r="D242" i="23"/>
  <c r="E242" i="23" s="1"/>
  <c r="V241" i="23"/>
  <c r="U241" i="23"/>
  <c r="Q241" i="23"/>
  <c r="G241" i="23"/>
  <c r="F241" i="23"/>
  <c r="D241" i="23"/>
  <c r="E241" i="23" s="1"/>
  <c r="V240" i="23"/>
  <c r="W240" i="23" s="1"/>
  <c r="X240" i="23" s="1"/>
  <c r="U240" i="23"/>
  <c r="Q240" i="23"/>
  <c r="G240" i="23"/>
  <c r="F240" i="23"/>
  <c r="D240" i="23"/>
  <c r="E240" i="23" s="1"/>
  <c r="V239" i="23"/>
  <c r="U239" i="23"/>
  <c r="Q239" i="23"/>
  <c r="G239" i="23"/>
  <c r="F239" i="23"/>
  <c r="D239" i="23"/>
  <c r="E239" i="23" s="1"/>
  <c r="V238" i="23"/>
  <c r="W238" i="23" s="1"/>
  <c r="X238" i="23" s="1"/>
  <c r="U238" i="23"/>
  <c r="Q238" i="23"/>
  <c r="G238" i="23"/>
  <c r="F238" i="23"/>
  <c r="D238" i="23"/>
  <c r="E238" i="23" s="1"/>
  <c r="V237" i="23"/>
  <c r="U237" i="23"/>
  <c r="Q237" i="23"/>
  <c r="G237" i="23"/>
  <c r="F237" i="23"/>
  <c r="D237" i="23"/>
  <c r="E237" i="23" s="1"/>
  <c r="V236" i="23"/>
  <c r="U236" i="23"/>
  <c r="Q236" i="23"/>
  <c r="G236" i="23"/>
  <c r="F236" i="23"/>
  <c r="D236" i="23"/>
  <c r="E236" i="23" s="1"/>
  <c r="V235" i="23"/>
  <c r="W235" i="23" s="1"/>
  <c r="X235" i="23" s="1"/>
  <c r="U235" i="23"/>
  <c r="Q235" i="23"/>
  <c r="G235" i="23"/>
  <c r="F235" i="23"/>
  <c r="D235" i="23"/>
  <c r="E235" i="23" s="1"/>
  <c r="V234" i="23"/>
  <c r="U234" i="23"/>
  <c r="Q234" i="23"/>
  <c r="G234" i="23"/>
  <c r="F234" i="23"/>
  <c r="D234" i="23"/>
  <c r="E234" i="23" s="1"/>
  <c r="V233" i="23"/>
  <c r="U233" i="23"/>
  <c r="W233" i="23" s="1"/>
  <c r="Q233" i="23"/>
  <c r="G233" i="23"/>
  <c r="F233" i="23"/>
  <c r="D233" i="23"/>
  <c r="E233" i="23" s="1"/>
  <c r="V232" i="23"/>
  <c r="U232" i="23"/>
  <c r="Q232" i="23"/>
  <c r="G232" i="23"/>
  <c r="F232" i="23"/>
  <c r="D232" i="23"/>
  <c r="E232" i="23" s="1"/>
  <c r="V231" i="23"/>
  <c r="U231" i="23"/>
  <c r="Q231" i="23"/>
  <c r="G231" i="23"/>
  <c r="F231" i="23"/>
  <c r="D231" i="23"/>
  <c r="E231" i="23" s="1"/>
  <c r="V230" i="23"/>
  <c r="W230" i="23" s="1"/>
  <c r="U230" i="23"/>
  <c r="Q230" i="23"/>
  <c r="G230" i="23"/>
  <c r="F230" i="23"/>
  <c r="D230" i="23"/>
  <c r="E230" i="23" s="1"/>
  <c r="V229" i="23"/>
  <c r="U229" i="23"/>
  <c r="Q229" i="23"/>
  <c r="G229" i="23"/>
  <c r="F229" i="23"/>
  <c r="D229" i="23"/>
  <c r="E229" i="23" s="1"/>
  <c r="V228" i="23"/>
  <c r="W228" i="23" s="1"/>
  <c r="X228" i="23" s="1"/>
  <c r="U228" i="23"/>
  <c r="Q228" i="23"/>
  <c r="G228" i="23"/>
  <c r="F228" i="23"/>
  <c r="D228" i="23"/>
  <c r="E228" i="23" s="1"/>
  <c r="V227" i="23"/>
  <c r="U227" i="23"/>
  <c r="Q227" i="23"/>
  <c r="G227" i="23"/>
  <c r="F227" i="23"/>
  <c r="D227" i="23"/>
  <c r="E227" i="23" s="1"/>
  <c r="V226" i="23"/>
  <c r="U226" i="23"/>
  <c r="Q226" i="23"/>
  <c r="G226" i="23"/>
  <c r="F226" i="23"/>
  <c r="D226" i="23"/>
  <c r="E226" i="23" s="1"/>
  <c r="V225" i="23"/>
  <c r="U225" i="23"/>
  <c r="Q225" i="23"/>
  <c r="G225" i="23"/>
  <c r="F225" i="23"/>
  <c r="D225" i="23"/>
  <c r="E225" i="23" s="1"/>
  <c r="V224" i="23"/>
  <c r="U224" i="23"/>
  <c r="Q224" i="23"/>
  <c r="G224" i="23"/>
  <c r="F224" i="23"/>
  <c r="D224" i="23"/>
  <c r="E224" i="23" s="1"/>
  <c r="V223" i="23"/>
  <c r="U223" i="23"/>
  <c r="Q223" i="23"/>
  <c r="G223" i="23"/>
  <c r="F223" i="23"/>
  <c r="D223" i="23"/>
  <c r="E223" i="23" s="1"/>
  <c r="V222" i="23"/>
  <c r="W222" i="23" s="1"/>
  <c r="X222" i="23" s="1"/>
  <c r="U222" i="23"/>
  <c r="Q222" i="23"/>
  <c r="G222" i="23"/>
  <c r="F222" i="23"/>
  <c r="D222" i="23"/>
  <c r="E222" i="23" s="1"/>
  <c r="V221" i="23"/>
  <c r="U221" i="23"/>
  <c r="W221" i="23" s="1"/>
  <c r="Q221" i="23"/>
  <c r="G221" i="23"/>
  <c r="F221" i="23"/>
  <c r="D221" i="23"/>
  <c r="E221" i="23" s="1"/>
  <c r="V220" i="23"/>
  <c r="U220" i="23"/>
  <c r="Q220" i="23"/>
  <c r="G220" i="23"/>
  <c r="F220" i="23"/>
  <c r="D220" i="23"/>
  <c r="E220" i="23" s="1"/>
  <c r="V219" i="23"/>
  <c r="W219" i="23" s="1"/>
  <c r="X219" i="23" s="1"/>
  <c r="U219" i="23"/>
  <c r="Q219" i="23"/>
  <c r="G219" i="23"/>
  <c r="F219" i="23"/>
  <c r="D219" i="23"/>
  <c r="E219" i="23" s="1"/>
  <c r="V218" i="23"/>
  <c r="U218" i="23"/>
  <c r="Q218" i="23"/>
  <c r="G218" i="23"/>
  <c r="F218" i="23"/>
  <c r="D218" i="23"/>
  <c r="E218" i="23" s="1"/>
  <c r="V217" i="23"/>
  <c r="W217" i="23" s="1"/>
  <c r="X217" i="23" s="1"/>
  <c r="U217" i="23"/>
  <c r="Q217" i="23"/>
  <c r="G217" i="23"/>
  <c r="F217" i="23"/>
  <c r="D217" i="23"/>
  <c r="E217" i="23" s="1"/>
  <c r="V216" i="23"/>
  <c r="U216" i="23"/>
  <c r="Q216" i="23"/>
  <c r="G216" i="23"/>
  <c r="F216" i="23"/>
  <c r="D216" i="23"/>
  <c r="E216" i="23" s="1"/>
  <c r="V215" i="23"/>
  <c r="U215" i="23"/>
  <c r="Q215" i="23"/>
  <c r="G215" i="23"/>
  <c r="F215" i="23"/>
  <c r="D215" i="23"/>
  <c r="E215" i="23" s="1"/>
  <c r="V214" i="23"/>
  <c r="U214" i="23"/>
  <c r="Q214" i="23"/>
  <c r="G214" i="23"/>
  <c r="F214" i="23"/>
  <c r="D214" i="23"/>
  <c r="E214" i="23" s="1"/>
  <c r="V213" i="23"/>
  <c r="W213" i="23" s="1"/>
  <c r="X213" i="23" s="1"/>
  <c r="U213" i="23"/>
  <c r="Q213" i="23"/>
  <c r="G213" i="23"/>
  <c r="F213" i="23"/>
  <c r="D213" i="23"/>
  <c r="E213" i="23" s="1"/>
  <c r="V212" i="23"/>
  <c r="U212" i="23"/>
  <c r="W212" i="23" s="1"/>
  <c r="Q212" i="23"/>
  <c r="G212" i="23"/>
  <c r="F212" i="23"/>
  <c r="D212" i="23"/>
  <c r="E212" i="23" s="1"/>
  <c r="V211" i="23"/>
  <c r="U211" i="23"/>
  <c r="Q211" i="23"/>
  <c r="G211" i="23"/>
  <c r="F211" i="23"/>
  <c r="D211" i="23"/>
  <c r="E211" i="23" s="1"/>
  <c r="V210" i="23"/>
  <c r="U210" i="23"/>
  <c r="Q210" i="23"/>
  <c r="G210" i="23"/>
  <c r="F210" i="23"/>
  <c r="D210" i="23"/>
  <c r="E210" i="23" s="1"/>
  <c r="V209" i="23"/>
  <c r="U209" i="23"/>
  <c r="Q209" i="23"/>
  <c r="G209" i="23"/>
  <c r="F209" i="23"/>
  <c r="D209" i="23"/>
  <c r="E209" i="23" s="1"/>
  <c r="V208" i="23"/>
  <c r="U208" i="23"/>
  <c r="Q208" i="23"/>
  <c r="G208" i="23"/>
  <c r="F208" i="23"/>
  <c r="D208" i="23"/>
  <c r="E208" i="23" s="1"/>
  <c r="V207" i="23"/>
  <c r="U207" i="23"/>
  <c r="Q207" i="23"/>
  <c r="G207" i="23"/>
  <c r="F207" i="23"/>
  <c r="D207" i="23"/>
  <c r="E207" i="23" s="1"/>
  <c r="V206" i="23"/>
  <c r="U206" i="23"/>
  <c r="Q206" i="23"/>
  <c r="G206" i="23"/>
  <c r="F206" i="23"/>
  <c r="D206" i="23"/>
  <c r="E206" i="23" s="1"/>
  <c r="V205" i="23"/>
  <c r="U205" i="23"/>
  <c r="Q205" i="23"/>
  <c r="G205" i="23"/>
  <c r="F205" i="23"/>
  <c r="D205" i="23"/>
  <c r="E205" i="23" s="1"/>
  <c r="V204" i="23"/>
  <c r="U204" i="23"/>
  <c r="Q204" i="23"/>
  <c r="G204" i="23"/>
  <c r="F204" i="23"/>
  <c r="D204" i="23"/>
  <c r="E204" i="23" s="1"/>
  <c r="V203" i="23"/>
  <c r="U203" i="23"/>
  <c r="Q203" i="23"/>
  <c r="G203" i="23"/>
  <c r="F203" i="23"/>
  <c r="D203" i="23"/>
  <c r="E203" i="23" s="1"/>
  <c r="V202" i="23"/>
  <c r="U202" i="23"/>
  <c r="Q202" i="23"/>
  <c r="G202" i="23"/>
  <c r="F202" i="23"/>
  <c r="D202" i="23"/>
  <c r="E202" i="23" s="1"/>
  <c r="V201" i="23"/>
  <c r="U201" i="23"/>
  <c r="Q201" i="23"/>
  <c r="G201" i="23"/>
  <c r="F201" i="23"/>
  <c r="D201" i="23"/>
  <c r="E201" i="23" s="1"/>
  <c r="V200" i="23"/>
  <c r="U200" i="23"/>
  <c r="Q200" i="23"/>
  <c r="G200" i="23"/>
  <c r="F200" i="23"/>
  <c r="D200" i="23"/>
  <c r="E200" i="23" s="1"/>
  <c r="V199" i="23"/>
  <c r="U199" i="23"/>
  <c r="Q199" i="23"/>
  <c r="G199" i="23"/>
  <c r="F199" i="23"/>
  <c r="D199" i="23"/>
  <c r="E199" i="23" s="1"/>
  <c r="V198" i="23"/>
  <c r="U198" i="23"/>
  <c r="Q198" i="23"/>
  <c r="G198" i="23"/>
  <c r="F198" i="23"/>
  <c r="D198" i="23"/>
  <c r="E198" i="23" s="1"/>
  <c r="V197" i="23"/>
  <c r="U197" i="23"/>
  <c r="Q197" i="23"/>
  <c r="G197" i="23"/>
  <c r="F197" i="23"/>
  <c r="D197" i="23"/>
  <c r="E197" i="23" s="1"/>
  <c r="V196" i="23"/>
  <c r="U196" i="23"/>
  <c r="Q196" i="23"/>
  <c r="G196" i="23"/>
  <c r="F196" i="23"/>
  <c r="D196" i="23"/>
  <c r="E196" i="23" s="1"/>
  <c r="V195" i="23"/>
  <c r="U195" i="23"/>
  <c r="Q195" i="23"/>
  <c r="G195" i="23"/>
  <c r="F195" i="23"/>
  <c r="D195" i="23"/>
  <c r="E195" i="23" s="1"/>
  <c r="V194" i="23"/>
  <c r="U194" i="23"/>
  <c r="W194" i="23" s="1"/>
  <c r="Q194" i="23"/>
  <c r="G194" i="23"/>
  <c r="F194" i="23"/>
  <c r="D194" i="23"/>
  <c r="E194" i="23" s="1"/>
  <c r="V193" i="23"/>
  <c r="U193" i="23"/>
  <c r="Q193" i="23"/>
  <c r="G193" i="23"/>
  <c r="F193" i="23"/>
  <c r="D193" i="23"/>
  <c r="E193" i="23" s="1"/>
  <c r="V192" i="23"/>
  <c r="U192" i="23"/>
  <c r="Q192" i="23"/>
  <c r="G192" i="23"/>
  <c r="F192" i="23"/>
  <c r="D192" i="23"/>
  <c r="E192" i="23" s="1"/>
  <c r="V191" i="23"/>
  <c r="U191" i="23"/>
  <c r="Q191" i="23"/>
  <c r="G191" i="23"/>
  <c r="F191" i="23"/>
  <c r="D191" i="23"/>
  <c r="E191" i="23" s="1"/>
  <c r="V190" i="23"/>
  <c r="U190" i="23"/>
  <c r="Q190" i="23"/>
  <c r="G190" i="23"/>
  <c r="F190" i="23"/>
  <c r="D190" i="23"/>
  <c r="E190" i="23" s="1"/>
  <c r="V189" i="23"/>
  <c r="U189" i="23"/>
  <c r="Q189" i="23"/>
  <c r="G189" i="23"/>
  <c r="F189" i="23"/>
  <c r="D189" i="23"/>
  <c r="E189" i="23" s="1"/>
  <c r="V188" i="23"/>
  <c r="U188" i="23"/>
  <c r="Q188" i="23"/>
  <c r="G188" i="23"/>
  <c r="F188" i="23"/>
  <c r="D188" i="23"/>
  <c r="E188" i="23" s="1"/>
  <c r="W187" i="23"/>
  <c r="X187" i="23" s="1"/>
  <c r="V187" i="23"/>
  <c r="U187" i="23"/>
  <c r="Q187" i="23"/>
  <c r="G187" i="23"/>
  <c r="F187" i="23"/>
  <c r="D187" i="23"/>
  <c r="E187" i="23" s="1"/>
  <c r="V186" i="23"/>
  <c r="U186" i="23"/>
  <c r="Q186" i="23"/>
  <c r="G186" i="23"/>
  <c r="F186" i="23"/>
  <c r="D186" i="23"/>
  <c r="E186" i="23" s="1"/>
  <c r="V185" i="23"/>
  <c r="U185" i="23"/>
  <c r="Q185" i="23"/>
  <c r="G185" i="23"/>
  <c r="F185" i="23"/>
  <c r="D185" i="23"/>
  <c r="E185" i="23" s="1"/>
  <c r="V184" i="23"/>
  <c r="U184" i="23"/>
  <c r="Q184" i="23"/>
  <c r="G184" i="23"/>
  <c r="F184" i="23"/>
  <c r="D184" i="23"/>
  <c r="E184" i="23" s="1"/>
  <c r="V183" i="23"/>
  <c r="U183" i="23"/>
  <c r="Q183" i="23"/>
  <c r="G183" i="23"/>
  <c r="F183" i="23"/>
  <c r="D183" i="23"/>
  <c r="E183" i="23" s="1"/>
  <c r="V182" i="23"/>
  <c r="U182" i="23"/>
  <c r="Q182" i="23"/>
  <c r="G182" i="23"/>
  <c r="F182" i="23"/>
  <c r="D182" i="23"/>
  <c r="E182" i="23" s="1"/>
  <c r="V181" i="23"/>
  <c r="U181" i="23"/>
  <c r="Q181" i="23"/>
  <c r="G181" i="23"/>
  <c r="F181" i="23"/>
  <c r="D181" i="23"/>
  <c r="E181" i="23" s="1"/>
  <c r="V180" i="23"/>
  <c r="U180" i="23"/>
  <c r="Q180" i="23"/>
  <c r="G180" i="23"/>
  <c r="F180" i="23"/>
  <c r="D180" i="23"/>
  <c r="E180" i="23" s="1"/>
  <c r="V179" i="23"/>
  <c r="U179" i="23"/>
  <c r="Q179" i="23"/>
  <c r="G179" i="23"/>
  <c r="F179" i="23"/>
  <c r="D179" i="23"/>
  <c r="E179" i="23" s="1"/>
  <c r="V178" i="23"/>
  <c r="U178" i="23"/>
  <c r="Q178" i="23"/>
  <c r="G178" i="23"/>
  <c r="F178" i="23"/>
  <c r="D178" i="23"/>
  <c r="E178" i="23" s="1"/>
  <c r="V177" i="23"/>
  <c r="U177" i="23"/>
  <c r="Q177" i="23"/>
  <c r="G177" i="23"/>
  <c r="F177" i="23"/>
  <c r="D177" i="23"/>
  <c r="E177" i="23" s="1"/>
  <c r="V176" i="23"/>
  <c r="U176" i="23"/>
  <c r="Q176" i="23"/>
  <c r="G176" i="23"/>
  <c r="F176" i="23"/>
  <c r="D176" i="23"/>
  <c r="E176" i="23" s="1"/>
  <c r="V175" i="23"/>
  <c r="U175" i="23"/>
  <c r="Q175" i="23"/>
  <c r="G175" i="23"/>
  <c r="F175" i="23"/>
  <c r="D175" i="23"/>
  <c r="E175" i="23" s="1"/>
  <c r="V174" i="23"/>
  <c r="U174" i="23"/>
  <c r="Q174" i="23"/>
  <c r="G174" i="23"/>
  <c r="F174" i="23"/>
  <c r="D174" i="23"/>
  <c r="E174" i="23" s="1"/>
  <c r="V173" i="23"/>
  <c r="U173" i="23"/>
  <c r="Q173" i="23"/>
  <c r="G173" i="23"/>
  <c r="F173" i="23"/>
  <c r="D173" i="23"/>
  <c r="E173" i="23" s="1"/>
  <c r="V172" i="23"/>
  <c r="W172" i="23" s="1"/>
  <c r="X172" i="23" s="1"/>
  <c r="U172" i="23"/>
  <c r="Q172" i="23"/>
  <c r="G172" i="23"/>
  <c r="F172" i="23"/>
  <c r="D172" i="23"/>
  <c r="E172" i="23" s="1"/>
  <c r="V171" i="23"/>
  <c r="W171" i="23" s="1"/>
  <c r="X171" i="23" s="1"/>
  <c r="U171" i="23"/>
  <c r="Q171" i="23"/>
  <c r="G171" i="23"/>
  <c r="F171" i="23"/>
  <c r="D171" i="23"/>
  <c r="E171" i="23" s="1"/>
  <c r="V170" i="23"/>
  <c r="U170" i="23"/>
  <c r="Q170" i="23"/>
  <c r="G170" i="23"/>
  <c r="F170" i="23"/>
  <c r="D170" i="23"/>
  <c r="E170" i="23" s="1"/>
  <c r="V169" i="23"/>
  <c r="U169" i="23"/>
  <c r="W169" i="23" s="1"/>
  <c r="X169" i="23" s="1"/>
  <c r="Q169" i="23"/>
  <c r="G169" i="23"/>
  <c r="F169" i="23"/>
  <c r="D169" i="23"/>
  <c r="E169" i="23" s="1"/>
  <c r="V168" i="23"/>
  <c r="U168" i="23"/>
  <c r="Q168" i="23"/>
  <c r="G168" i="23"/>
  <c r="F168" i="23"/>
  <c r="D168" i="23"/>
  <c r="E168" i="23" s="1"/>
  <c r="V167" i="23"/>
  <c r="U167" i="23"/>
  <c r="Q167" i="23"/>
  <c r="G167" i="23"/>
  <c r="F167" i="23"/>
  <c r="D167" i="23"/>
  <c r="E167" i="23" s="1"/>
  <c r="V166" i="23"/>
  <c r="U166" i="23"/>
  <c r="Q166" i="23"/>
  <c r="G166" i="23"/>
  <c r="F166" i="23"/>
  <c r="D166" i="23"/>
  <c r="E166" i="23" s="1"/>
  <c r="V165" i="23"/>
  <c r="U165" i="23"/>
  <c r="Q165" i="23"/>
  <c r="G165" i="23"/>
  <c r="F165" i="23"/>
  <c r="D165" i="23"/>
  <c r="E165" i="23" s="1"/>
  <c r="V164" i="23"/>
  <c r="U164" i="23"/>
  <c r="Q164" i="23"/>
  <c r="G164" i="23"/>
  <c r="F164" i="23"/>
  <c r="D164" i="23"/>
  <c r="E164" i="23" s="1"/>
  <c r="V163" i="23"/>
  <c r="W163" i="23" s="1"/>
  <c r="X163" i="23" s="1"/>
  <c r="U163" i="23"/>
  <c r="Q163" i="23"/>
  <c r="G163" i="23"/>
  <c r="F163" i="23"/>
  <c r="D163" i="23"/>
  <c r="E163" i="23" s="1"/>
  <c r="V162" i="23"/>
  <c r="W162" i="23" s="1"/>
  <c r="X162" i="23" s="1"/>
  <c r="U162" i="23"/>
  <c r="Q162" i="23"/>
  <c r="G162" i="23"/>
  <c r="F162" i="23"/>
  <c r="D162" i="23"/>
  <c r="E162" i="23" s="1"/>
  <c r="V161" i="23"/>
  <c r="U161" i="23"/>
  <c r="Q161" i="23"/>
  <c r="G161" i="23"/>
  <c r="F161" i="23"/>
  <c r="D161" i="23"/>
  <c r="E161" i="23" s="1"/>
  <c r="V160" i="23"/>
  <c r="W160" i="23" s="1"/>
  <c r="X160" i="23" s="1"/>
  <c r="U160" i="23"/>
  <c r="Q160" i="23"/>
  <c r="G160" i="23"/>
  <c r="F160" i="23"/>
  <c r="D160" i="23"/>
  <c r="E160" i="23" s="1"/>
  <c r="V159" i="23"/>
  <c r="W159" i="23" s="1"/>
  <c r="X159" i="23" s="1"/>
  <c r="U159" i="23"/>
  <c r="Q159" i="23"/>
  <c r="G159" i="23"/>
  <c r="F159" i="23"/>
  <c r="D159" i="23"/>
  <c r="E159" i="23" s="1"/>
  <c r="V158" i="23"/>
  <c r="U158" i="23"/>
  <c r="W158" i="23" s="1"/>
  <c r="Q158" i="23"/>
  <c r="G158" i="23"/>
  <c r="F158" i="23"/>
  <c r="D158" i="23"/>
  <c r="E158" i="23" s="1"/>
  <c r="V157" i="23"/>
  <c r="W157" i="23" s="1"/>
  <c r="U157" i="23"/>
  <c r="Q157" i="23"/>
  <c r="G157" i="23"/>
  <c r="F157" i="23"/>
  <c r="D157" i="23"/>
  <c r="E157" i="23" s="1"/>
  <c r="V156" i="23"/>
  <c r="U156" i="23"/>
  <c r="Q156" i="23"/>
  <c r="G156" i="23"/>
  <c r="F156" i="23"/>
  <c r="D156" i="23"/>
  <c r="E156" i="23" s="1"/>
  <c r="V155" i="23"/>
  <c r="U155" i="23"/>
  <c r="Q155" i="23"/>
  <c r="G155" i="23"/>
  <c r="F155" i="23"/>
  <c r="D155" i="23"/>
  <c r="E155" i="23" s="1"/>
  <c r="V154" i="23"/>
  <c r="U154" i="23"/>
  <c r="Q154" i="23"/>
  <c r="G154" i="23"/>
  <c r="F154" i="23"/>
  <c r="D154" i="23"/>
  <c r="E154" i="23" s="1"/>
  <c r="V153" i="23"/>
  <c r="U153" i="23"/>
  <c r="Q153" i="23"/>
  <c r="G153" i="23"/>
  <c r="F153" i="23"/>
  <c r="D153" i="23"/>
  <c r="E153" i="23" s="1"/>
  <c r="V152" i="23"/>
  <c r="U152" i="23"/>
  <c r="Q152" i="23"/>
  <c r="G152" i="23"/>
  <c r="F152" i="23"/>
  <c r="D152" i="23"/>
  <c r="E152" i="23" s="1"/>
  <c r="V151" i="23"/>
  <c r="U151" i="23"/>
  <c r="Q151" i="23"/>
  <c r="G151" i="23"/>
  <c r="F151" i="23"/>
  <c r="D151" i="23"/>
  <c r="E151" i="23" s="1"/>
  <c r="V150" i="23"/>
  <c r="U150" i="23"/>
  <c r="Q150" i="23"/>
  <c r="G150" i="23"/>
  <c r="F150" i="23"/>
  <c r="D150" i="23"/>
  <c r="E150" i="23" s="1"/>
  <c r="V149" i="23"/>
  <c r="U149" i="23"/>
  <c r="Q149" i="23"/>
  <c r="G149" i="23"/>
  <c r="F149" i="23"/>
  <c r="D149" i="23"/>
  <c r="E149" i="23" s="1"/>
  <c r="V148" i="23"/>
  <c r="U148" i="23"/>
  <c r="Q148" i="23"/>
  <c r="G148" i="23"/>
  <c r="F148" i="23"/>
  <c r="D148" i="23"/>
  <c r="E148" i="23" s="1"/>
  <c r="V147" i="23"/>
  <c r="U147" i="23"/>
  <c r="Q147" i="23"/>
  <c r="G147" i="23"/>
  <c r="F147" i="23"/>
  <c r="D147" i="23"/>
  <c r="E147" i="23" s="1"/>
  <c r="V146" i="23"/>
  <c r="U146" i="23"/>
  <c r="Q146" i="23"/>
  <c r="G146" i="23"/>
  <c r="F146" i="23"/>
  <c r="D146" i="23"/>
  <c r="E146" i="23" s="1"/>
  <c r="V145" i="23"/>
  <c r="U145" i="23"/>
  <c r="Q145" i="23"/>
  <c r="G145" i="23"/>
  <c r="F145" i="23"/>
  <c r="D145" i="23"/>
  <c r="E145" i="23" s="1"/>
  <c r="V144" i="23"/>
  <c r="W144" i="23" s="1"/>
  <c r="X144" i="23" s="1"/>
  <c r="U144" i="23"/>
  <c r="Q144" i="23"/>
  <c r="G144" i="23"/>
  <c r="F144" i="23"/>
  <c r="D144" i="23"/>
  <c r="E144" i="23" s="1"/>
  <c r="V143" i="23"/>
  <c r="U143" i="23"/>
  <c r="Q143" i="23"/>
  <c r="G143" i="23"/>
  <c r="F143" i="23"/>
  <c r="D143" i="23"/>
  <c r="E143" i="23" s="1"/>
  <c r="V142" i="23"/>
  <c r="U142" i="23"/>
  <c r="Q142" i="23"/>
  <c r="G142" i="23"/>
  <c r="F142" i="23"/>
  <c r="D142" i="23"/>
  <c r="E142" i="23" s="1"/>
  <c r="V141" i="23"/>
  <c r="U141" i="23"/>
  <c r="Q141" i="23"/>
  <c r="G141" i="23"/>
  <c r="F141" i="23"/>
  <c r="D141" i="23"/>
  <c r="E141" i="23" s="1"/>
  <c r="V140" i="23"/>
  <c r="U140" i="23"/>
  <c r="Q140" i="23"/>
  <c r="G140" i="23"/>
  <c r="F140" i="23"/>
  <c r="D140" i="23"/>
  <c r="E140" i="23" s="1"/>
  <c r="V139" i="23"/>
  <c r="U139" i="23"/>
  <c r="Q139" i="23"/>
  <c r="G139" i="23"/>
  <c r="F139" i="23"/>
  <c r="D139" i="23"/>
  <c r="E139" i="23" s="1"/>
  <c r="V138" i="23"/>
  <c r="W138" i="23" s="1"/>
  <c r="X138" i="23" s="1"/>
  <c r="U138" i="23"/>
  <c r="Q138" i="23"/>
  <c r="G138" i="23"/>
  <c r="F138" i="23"/>
  <c r="D138" i="23"/>
  <c r="E138" i="23" s="1"/>
  <c r="V137" i="23"/>
  <c r="U137" i="23"/>
  <c r="Q137" i="23"/>
  <c r="G137" i="23"/>
  <c r="F137" i="23"/>
  <c r="D137" i="23"/>
  <c r="E137" i="23" s="1"/>
  <c r="V136" i="23"/>
  <c r="W136" i="23" s="1"/>
  <c r="X136" i="23" s="1"/>
  <c r="U136" i="23"/>
  <c r="Q136" i="23"/>
  <c r="G136" i="23"/>
  <c r="F136" i="23"/>
  <c r="D136" i="23"/>
  <c r="E136" i="23" s="1"/>
  <c r="V135" i="23"/>
  <c r="U135" i="23"/>
  <c r="Q135" i="23"/>
  <c r="G135" i="23"/>
  <c r="F135" i="23"/>
  <c r="D135" i="23"/>
  <c r="E135" i="23" s="1"/>
  <c r="V134" i="23"/>
  <c r="W134" i="23" s="1"/>
  <c r="X134" i="23" s="1"/>
  <c r="U134" i="23"/>
  <c r="Q134" i="23"/>
  <c r="G134" i="23"/>
  <c r="F134" i="23"/>
  <c r="D134" i="23"/>
  <c r="E134" i="23" s="1"/>
  <c r="V133" i="23"/>
  <c r="U133" i="23"/>
  <c r="Q133" i="23"/>
  <c r="G133" i="23"/>
  <c r="F133" i="23"/>
  <c r="D133" i="23"/>
  <c r="E133" i="23" s="1"/>
  <c r="V132" i="23"/>
  <c r="U132" i="23"/>
  <c r="Q132" i="23"/>
  <c r="G132" i="23"/>
  <c r="F132" i="23"/>
  <c r="D132" i="23"/>
  <c r="E132" i="23" s="1"/>
  <c r="V131" i="23"/>
  <c r="U131" i="23"/>
  <c r="Q131" i="23"/>
  <c r="G131" i="23"/>
  <c r="F131" i="23"/>
  <c r="D131" i="23"/>
  <c r="E131" i="23" s="1"/>
  <c r="V130" i="23"/>
  <c r="U130" i="23"/>
  <c r="Q130" i="23"/>
  <c r="G130" i="23"/>
  <c r="F130" i="23"/>
  <c r="D130" i="23"/>
  <c r="E130" i="23" s="1"/>
  <c r="V129" i="23"/>
  <c r="U129" i="23"/>
  <c r="Q129" i="23"/>
  <c r="G129" i="23"/>
  <c r="F129" i="23"/>
  <c r="D129" i="23"/>
  <c r="E129" i="23" s="1"/>
  <c r="V128" i="23"/>
  <c r="U128" i="23"/>
  <c r="Q128" i="23"/>
  <c r="G128" i="23"/>
  <c r="F128" i="23"/>
  <c r="D128" i="23"/>
  <c r="E128" i="23" s="1"/>
  <c r="V127" i="23"/>
  <c r="W127" i="23" s="1"/>
  <c r="X127" i="23" s="1"/>
  <c r="U127" i="23"/>
  <c r="Q127" i="23"/>
  <c r="G127" i="23"/>
  <c r="F127" i="23"/>
  <c r="D127" i="23"/>
  <c r="E127" i="23" s="1"/>
  <c r="V126" i="23"/>
  <c r="W126" i="23" s="1"/>
  <c r="X126" i="23" s="1"/>
  <c r="U126" i="23"/>
  <c r="Q126" i="23"/>
  <c r="G126" i="23"/>
  <c r="F126" i="23"/>
  <c r="D126" i="23"/>
  <c r="E126" i="23" s="1"/>
  <c r="V125" i="23"/>
  <c r="U125" i="23"/>
  <c r="Q125" i="23"/>
  <c r="G125" i="23"/>
  <c r="F125" i="23"/>
  <c r="D125" i="23"/>
  <c r="E125" i="23" s="1"/>
  <c r="V124" i="23"/>
  <c r="W124" i="23" s="1"/>
  <c r="X124" i="23" s="1"/>
  <c r="U124" i="23"/>
  <c r="Q124" i="23"/>
  <c r="G124" i="23"/>
  <c r="F124" i="23"/>
  <c r="D124" i="23"/>
  <c r="E124" i="23" s="1"/>
  <c r="V123" i="23"/>
  <c r="W123" i="23" s="1"/>
  <c r="X123" i="23" s="1"/>
  <c r="U123" i="23"/>
  <c r="Q123" i="23"/>
  <c r="G123" i="23"/>
  <c r="F123" i="23"/>
  <c r="D123" i="23"/>
  <c r="E123" i="23" s="1"/>
  <c r="V122" i="23"/>
  <c r="W122" i="23" s="1"/>
  <c r="X122" i="23" s="1"/>
  <c r="U122" i="23"/>
  <c r="Q122" i="23"/>
  <c r="G122" i="23"/>
  <c r="F122" i="23"/>
  <c r="D122" i="23"/>
  <c r="E122" i="23" s="1"/>
  <c r="V121" i="23"/>
  <c r="U121" i="23"/>
  <c r="Q121" i="23"/>
  <c r="G121" i="23"/>
  <c r="F121" i="23"/>
  <c r="D121" i="23"/>
  <c r="E121" i="23" s="1"/>
  <c r="V120" i="23"/>
  <c r="U120" i="23"/>
  <c r="Q120" i="23"/>
  <c r="G120" i="23"/>
  <c r="F120" i="23"/>
  <c r="D120" i="23"/>
  <c r="E120" i="23" s="1"/>
  <c r="V119" i="23"/>
  <c r="U119" i="23"/>
  <c r="Q119" i="23"/>
  <c r="G119" i="23"/>
  <c r="F119" i="23"/>
  <c r="D119" i="23"/>
  <c r="E119" i="23" s="1"/>
  <c r="V118" i="23"/>
  <c r="U118" i="23"/>
  <c r="Q118" i="23"/>
  <c r="G118" i="23"/>
  <c r="F118" i="23"/>
  <c r="D118" i="23"/>
  <c r="E118" i="23" s="1"/>
  <c r="V117" i="23"/>
  <c r="U117" i="23"/>
  <c r="Q117" i="23"/>
  <c r="G117" i="23"/>
  <c r="F117" i="23"/>
  <c r="D117" i="23"/>
  <c r="E117" i="23" s="1"/>
  <c r="V116" i="23"/>
  <c r="U116" i="23"/>
  <c r="Q116" i="23"/>
  <c r="G116" i="23"/>
  <c r="F116" i="23"/>
  <c r="D116" i="23"/>
  <c r="E116" i="23" s="1"/>
  <c r="V115" i="23"/>
  <c r="W115" i="23" s="1"/>
  <c r="U115" i="23"/>
  <c r="Q115" i="23"/>
  <c r="G115" i="23"/>
  <c r="F115" i="23"/>
  <c r="D115" i="23"/>
  <c r="E115" i="23" s="1"/>
  <c r="V114" i="23"/>
  <c r="U114" i="23"/>
  <c r="Q114" i="23"/>
  <c r="G114" i="23"/>
  <c r="F114" i="23"/>
  <c r="D114" i="23"/>
  <c r="E114" i="23" s="1"/>
  <c r="V113" i="23"/>
  <c r="W113" i="23" s="1"/>
  <c r="X113" i="23" s="1"/>
  <c r="U113" i="23"/>
  <c r="Q113" i="23"/>
  <c r="G113" i="23"/>
  <c r="F113" i="23"/>
  <c r="D113" i="23"/>
  <c r="E113" i="23" s="1"/>
  <c r="V112" i="23"/>
  <c r="U112" i="23"/>
  <c r="Q112" i="23"/>
  <c r="G112" i="23"/>
  <c r="F112" i="23"/>
  <c r="D112" i="23"/>
  <c r="E112" i="23" s="1"/>
  <c r="V111" i="23"/>
  <c r="W111" i="23" s="1"/>
  <c r="X111" i="23" s="1"/>
  <c r="U111" i="23"/>
  <c r="Q111" i="23"/>
  <c r="G111" i="23"/>
  <c r="F111" i="23"/>
  <c r="D111" i="23"/>
  <c r="E111" i="23" s="1"/>
  <c r="V110" i="23"/>
  <c r="U110" i="23"/>
  <c r="Q110" i="23"/>
  <c r="G110" i="23"/>
  <c r="F110" i="23"/>
  <c r="D110" i="23"/>
  <c r="E110" i="23" s="1"/>
  <c r="V109" i="23"/>
  <c r="U109" i="23"/>
  <c r="Q109" i="23"/>
  <c r="G109" i="23"/>
  <c r="F109" i="23"/>
  <c r="D109" i="23"/>
  <c r="E109" i="23" s="1"/>
  <c r="V108" i="23"/>
  <c r="U108" i="23"/>
  <c r="Q108" i="23"/>
  <c r="G108" i="23"/>
  <c r="F108" i="23"/>
  <c r="D108" i="23"/>
  <c r="E108" i="23" s="1"/>
  <c r="V107" i="23"/>
  <c r="U107" i="23"/>
  <c r="Q107" i="23"/>
  <c r="G107" i="23"/>
  <c r="F107" i="23"/>
  <c r="D107" i="23"/>
  <c r="E107" i="23" s="1"/>
  <c r="V106" i="23"/>
  <c r="U106" i="23"/>
  <c r="Q106" i="23"/>
  <c r="G106" i="23"/>
  <c r="F106" i="23"/>
  <c r="D106" i="23"/>
  <c r="E106" i="23" s="1"/>
  <c r="V105" i="23"/>
  <c r="U105" i="23"/>
  <c r="Q105" i="23"/>
  <c r="G105" i="23"/>
  <c r="F105" i="23"/>
  <c r="D105" i="23"/>
  <c r="E105" i="23" s="1"/>
  <c r="V104" i="23"/>
  <c r="U104" i="23"/>
  <c r="Q104" i="23"/>
  <c r="G104" i="23"/>
  <c r="F104" i="23"/>
  <c r="D104" i="23"/>
  <c r="E104" i="23" s="1"/>
  <c r="V103" i="23"/>
  <c r="W103" i="23" s="1"/>
  <c r="X103" i="23" s="1"/>
  <c r="U103" i="23"/>
  <c r="Q103" i="23"/>
  <c r="G103" i="23"/>
  <c r="F103" i="23"/>
  <c r="D103" i="23"/>
  <c r="E103" i="23" s="1"/>
  <c r="V102" i="23"/>
  <c r="U102" i="23"/>
  <c r="Q102" i="23"/>
  <c r="G102" i="23"/>
  <c r="F102" i="23"/>
  <c r="D102" i="23"/>
  <c r="E102" i="23" s="1"/>
  <c r="V101" i="23"/>
  <c r="W101" i="23" s="1"/>
  <c r="X101" i="23" s="1"/>
  <c r="U101" i="23"/>
  <c r="Q101" i="23"/>
  <c r="G101" i="23"/>
  <c r="F101" i="23"/>
  <c r="D101" i="23"/>
  <c r="E101" i="23" s="1"/>
  <c r="V100" i="23"/>
  <c r="U100" i="23"/>
  <c r="Q100" i="23"/>
  <c r="G100" i="23"/>
  <c r="F100" i="23"/>
  <c r="D100" i="23"/>
  <c r="E100" i="23" s="1"/>
  <c r="V99" i="23"/>
  <c r="W99" i="23" s="1"/>
  <c r="X99" i="23" s="1"/>
  <c r="U99" i="23"/>
  <c r="Q99" i="23"/>
  <c r="G99" i="23"/>
  <c r="F99" i="23"/>
  <c r="D99" i="23"/>
  <c r="E99" i="23" s="1"/>
  <c r="V98" i="23"/>
  <c r="U98" i="23"/>
  <c r="Q98" i="23"/>
  <c r="G98" i="23"/>
  <c r="F98" i="23"/>
  <c r="D98" i="23"/>
  <c r="E98" i="23" s="1"/>
  <c r="V97" i="23"/>
  <c r="U97" i="23"/>
  <c r="Q97" i="23"/>
  <c r="G97" i="23"/>
  <c r="F97" i="23"/>
  <c r="D97" i="23"/>
  <c r="E97" i="23" s="1"/>
  <c r="V96" i="23"/>
  <c r="U96" i="23"/>
  <c r="Q96" i="23"/>
  <c r="G96" i="23"/>
  <c r="F96" i="23"/>
  <c r="D96" i="23"/>
  <c r="E96" i="23" s="1"/>
  <c r="V95" i="23"/>
  <c r="U95" i="23"/>
  <c r="Q95" i="23"/>
  <c r="G95" i="23"/>
  <c r="F95" i="23"/>
  <c r="D95" i="23"/>
  <c r="E95" i="23" s="1"/>
  <c r="V94" i="23"/>
  <c r="U94" i="23"/>
  <c r="Q94" i="23"/>
  <c r="G94" i="23"/>
  <c r="F94" i="23"/>
  <c r="D94" i="23"/>
  <c r="E94" i="23" s="1"/>
  <c r="V93" i="23"/>
  <c r="U93" i="23"/>
  <c r="Q93" i="23"/>
  <c r="G93" i="23"/>
  <c r="F93" i="23"/>
  <c r="D93" i="23"/>
  <c r="E93" i="23" s="1"/>
  <c r="V92" i="23"/>
  <c r="U92" i="23"/>
  <c r="Q92" i="23"/>
  <c r="G92" i="23"/>
  <c r="F92" i="23"/>
  <c r="D92" i="23"/>
  <c r="E92" i="23" s="1"/>
  <c r="V91" i="23"/>
  <c r="W91" i="23" s="1"/>
  <c r="U91" i="23"/>
  <c r="Q91" i="23"/>
  <c r="G91" i="23"/>
  <c r="F91" i="23"/>
  <c r="D91" i="23"/>
  <c r="E91" i="23" s="1"/>
  <c r="V90" i="23"/>
  <c r="W90" i="23" s="1"/>
  <c r="X90" i="23" s="1"/>
  <c r="U90" i="23"/>
  <c r="Q90" i="23"/>
  <c r="G90" i="23"/>
  <c r="F90" i="23"/>
  <c r="D90" i="23"/>
  <c r="E90" i="23" s="1"/>
  <c r="V89" i="23"/>
  <c r="W89" i="23" s="1"/>
  <c r="X89" i="23" s="1"/>
  <c r="U89" i="23"/>
  <c r="Q89" i="23"/>
  <c r="G89" i="23"/>
  <c r="F89" i="23"/>
  <c r="D89" i="23"/>
  <c r="E89" i="23" s="1"/>
  <c r="V88" i="23"/>
  <c r="W88" i="23" s="1"/>
  <c r="X88" i="23" s="1"/>
  <c r="U88" i="23"/>
  <c r="Q88" i="23"/>
  <c r="G88" i="23"/>
  <c r="F88" i="23"/>
  <c r="D88" i="23"/>
  <c r="E88" i="23" s="1"/>
  <c r="V87" i="23"/>
  <c r="W87" i="23" s="1"/>
  <c r="X87" i="23" s="1"/>
  <c r="U87" i="23"/>
  <c r="Q87" i="23"/>
  <c r="G87" i="23"/>
  <c r="F87" i="23"/>
  <c r="D87" i="23"/>
  <c r="E87" i="23" s="1"/>
  <c r="V86" i="23"/>
  <c r="W86" i="23" s="1"/>
  <c r="X86" i="23" s="1"/>
  <c r="U86" i="23"/>
  <c r="Q86" i="23"/>
  <c r="G86" i="23"/>
  <c r="F86" i="23"/>
  <c r="D86" i="23"/>
  <c r="E86" i="23" s="1"/>
  <c r="V85" i="23"/>
  <c r="U85" i="23"/>
  <c r="Q85" i="23"/>
  <c r="G85" i="23"/>
  <c r="F85" i="23"/>
  <c r="D85" i="23"/>
  <c r="E85" i="23" s="1"/>
  <c r="V84" i="23"/>
  <c r="U84" i="23"/>
  <c r="Q84" i="23"/>
  <c r="G84" i="23"/>
  <c r="F84" i="23"/>
  <c r="D84" i="23"/>
  <c r="E84" i="23" s="1"/>
  <c r="V83" i="23"/>
  <c r="U83" i="23"/>
  <c r="Q83" i="23"/>
  <c r="G83" i="23"/>
  <c r="F83" i="23"/>
  <c r="D83" i="23"/>
  <c r="E83" i="23" s="1"/>
  <c r="V82" i="23"/>
  <c r="U82" i="23"/>
  <c r="Q82" i="23"/>
  <c r="G82" i="23"/>
  <c r="F82" i="23"/>
  <c r="D82" i="23"/>
  <c r="E82" i="23" s="1"/>
  <c r="V81" i="23"/>
  <c r="U81" i="23"/>
  <c r="Q81" i="23"/>
  <c r="G81" i="23"/>
  <c r="F81" i="23"/>
  <c r="D81" i="23"/>
  <c r="E81" i="23" s="1"/>
  <c r="V80" i="23"/>
  <c r="U80" i="23"/>
  <c r="Q80" i="23"/>
  <c r="G80" i="23"/>
  <c r="F80" i="23"/>
  <c r="D80" i="23"/>
  <c r="E80" i="23" s="1"/>
  <c r="V79" i="23"/>
  <c r="U79" i="23"/>
  <c r="Q79" i="23"/>
  <c r="G79" i="23"/>
  <c r="F79" i="23"/>
  <c r="D79" i="23"/>
  <c r="E79" i="23" s="1"/>
  <c r="V78" i="23"/>
  <c r="W78" i="23" s="1"/>
  <c r="X78" i="23" s="1"/>
  <c r="U78" i="23"/>
  <c r="Q78" i="23"/>
  <c r="G78" i="23"/>
  <c r="F78" i="23"/>
  <c r="D78" i="23"/>
  <c r="E78" i="23" s="1"/>
  <c r="V77" i="23"/>
  <c r="U77" i="23"/>
  <c r="Q77" i="23"/>
  <c r="G77" i="23"/>
  <c r="F77" i="23"/>
  <c r="D77" i="23"/>
  <c r="E77" i="23" s="1"/>
  <c r="V76" i="23"/>
  <c r="W76" i="23" s="1"/>
  <c r="X76" i="23" s="1"/>
  <c r="U76" i="23"/>
  <c r="Q76" i="23"/>
  <c r="G76" i="23"/>
  <c r="F76" i="23"/>
  <c r="D76" i="23"/>
  <c r="E76" i="23" s="1"/>
  <c r="V75" i="23"/>
  <c r="U75" i="23"/>
  <c r="Q75" i="23"/>
  <c r="G75" i="23"/>
  <c r="F75" i="23"/>
  <c r="D75" i="23"/>
  <c r="E75" i="23" s="1"/>
  <c r="V74" i="23"/>
  <c r="W74" i="23" s="1"/>
  <c r="X74" i="23" s="1"/>
  <c r="U74" i="23"/>
  <c r="Q74" i="23"/>
  <c r="G74" i="23"/>
  <c r="F74" i="23"/>
  <c r="D74" i="23"/>
  <c r="E74" i="23" s="1"/>
  <c r="V73" i="23"/>
  <c r="U73" i="23"/>
  <c r="Q73" i="23"/>
  <c r="G73" i="23"/>
  <c r="F73" i="23"/>
  <c r="D73" i="23"/>
  <c r="E73" i="23" s="1"/>
  <c r="V72" i="23"/>
  <c r="U72" i="23"/>
  <c r="Q72" i="23"/>
  <c r="G72" i="23"/>
  <c r="F72" i="23"/>
  <c r="D72" i="23"/>
  <c r="E72" i="23" s="1"/>
  <c r="V71" i="23"/>
  <c r="U71" i="23"/>
  <c r="Q71" i="23"/>
  <c r="G71" i="23"/>
  <c r="F71" i="23"/>
  <c r="D71" i="23"/>
  <c r="E71" i="23" s="1"/>
  <c r="V70" i="23"/>
  <c r="U70" i="23"/>
  <c r="Q70" i="23"/>
  <c r="G70" i="23"/>
  <c r="F70" i="23"/>
  <c r="D70" i="23"/>
  <c r="E70" i="23" s="1"/>
  <c r="V69" i="23"/>
  <c r="U69" i="23"/>
  <c r="Q69" i="23"/>
  <c r="G69" i="23"/>
  <c r="F69" i="23"/>
  <c r="D69" i="23"/>
  <c r="E69" i="23" s="1"/>
  <c r="V68" i="23"/>
  <c r="U68" i="23"/>
  <c r="Q68" i="23"/>
  <c r="G68" i="23"/>
  <c r="F68" i="23"/>
  <c r="D68" i="23"/>
  <c r="E68" i="23" s="1"/>
  <c r="V67" i="23"/>
  <c r="U67" i="23"/>
  <c r="Q67" i="23"/>
  <c r="G67" i="23"/>
  <c r="F67" i="23"/>
  <c r="D67" i="23"/>
  <c r="E67" i="23" s="1"/>
  <c r="V66" i="23"/>
  <c r="W66" i="23" s="1"/>
  <c r="X66" i="23" s="1"/>
  <c r="U66" i="23"/>
  <c r="Q66" i="23"/>
  <c r="G66" i="23"/>
  <c r="F66" i="23"/>
  <c r="D66" i="23"/>
  <c r="E66" i="23" s="1"/>
  <c r="V65" i="23"/>
  <c r="U65" i="23"/>
  <c r="Q65" i="23"/>
  <c r="G65" i="23"/>
  <c r="F65" i="23"/>
  <c r="D65" i="23"/>
  <c r="E65" i="23" s="1"/>
  <c r="V64" i="23"/>
  <c r="W64" i="23" s="1"/>
  <c r="X64" i="23" s="1"/>
  <c r="U64" i="23"/>
  <c r="Q64" i="23"/>
  <c r="G64" i="23"/>
  <c r="F64" i="23"/>
  <c r="D64" i="23"/>
  <c r="E64" i="23" s="1"/>
  <c r="V63" i="23"/>
  <c r="U63" i="23"/>
  <c r="Q63" i="23"/>
  <c r="G63" i="23"/>
  <c r="F63" i="23"/>
  <c r="D63" i="23"/>
  <c r="E63" i="23" s="1"/>
  <c r="V62" i="23"/>
  <c r="W62" i="23" s="1"/>
  <c r="X62" i="23" s="1"/>
  <c r="U62" i="23"/>
  <c r="Q62" i="23"/>
  <c r="G62" i="23"/>
  <c r="F62" i="23"/>
  <c r="D62" i="23"/>
  <c r="E62" i="23" s="1"/>
  <c r="V61" i="23"/>
  <c r="U61" i="23"/>
  <c r="Q61" i="23"/>
  <c r="G61" i="23"/>
  <c r="F61" i="23"/>
  <c r="D61" i="23"/>
  <c r="E61" i="23" s="1"/>
  <c r="V60" i="23"/>
  <c r="U60" i="23"/>
  <c r="Q60" i="23"/>
  <c r="G60" i="23"/>
  <c r="F60" i="23"/>
  <c r="D60" i="23"/>
  <c r="E60" i="23" s="1"/>
  <c r="V59" i="23"/>
  <c r="U59" i="23"/>
  <c r="Q59" i="23"/>
  <c r="G59" i="23"/>
  <c r="F59" i="23"/>
  <c r="D59" i="23"/>
  <c r="E59" i="23" s="1"/>
  <c r="V58" i="23"/>
  <c r="U58" i="23"/>
  <c r="Q58" i="23"/>
  <c r="G58" i="23"/>
  <c r="F58" i="23"/>
  <c r="D58" i="23"/>
  <c r="E58" i="23" s="1"/>
  <c r="V57" i="23"/>
  <c r="U57" i="23"/>
  <c r="Q57" i="23"/>
  <c r="G57" i="23"/>
  <c r="F57" i="23"/>
  <c r="D57" i="23"/>
  <c r="E57" i="23" s="1"/>
  <c r="V56" i="23"/>
  <c r="U56" i="23"/>
  <c r="Q56" i="23"/>
  <c r="G56" i="23"/>
  <c r="F56" i="23"/>
  <c r="D56" i="23"/>
  <c r="E56" i="23" s="1"/>
  <c r="V55" i="23"/>
  <c r="W55" i="23" s="1"/>
  <c r="X55" i="23" s="1"/>
  <c r="U55" i="23"/>
  <c r="Q55" i="23"/>
  <c r="G55" i="23"/>
  <c r="F55" i="23"/>
  <c r="D55" i="23"/>
  <c r="E55" i="23" s="1"/>
  <c r="V54" i="23"/>
  <c r="W54" i="23" s="1"/>
  <c r="X54" i="23" s="1"/>
  <c r="U54" i="23"/>
  <c r="Q54" i="23"/>
  <c r="G54" i="23"/>
  <c r="F54" i="23"/>
  <c r="D54" i="23"/>
  <c r="E54" i="23" s="1"/>
  <c r="V53" i="23"/>
  <c r="W53" i="23" s="1"/>
  <c r="X53" i="23" s="1"/>
  <c r="U53" i="23"/>
  <c r="Q53" i="23"/>
  <c r="G53" i="23"/>
  <c r="F53" i="23"/>
  <c r="D53" i="23"/>
  <c r="E53" i="23" s="1"/>
  <c r="V52" i="23"/>
  <c r="W52" i="23" s="1"/>
  <c r="X52" i="23" s="1"/>
  <c r="U52" i="23"/>
  <c r="Q52" i="23"/>
  <c r="G52" i="23"/>
  <c r="F52" i="23"/>
  <c r="D52" i="23"/>
  <c r="E52" i="23" s="1"/>
  <c r="V51" i="23"/>
  <c r="W51" i="23" s="1"/>
  <c r="X51" i="23" s="1"/>
  <c r="U51" i="23"/>
  <c r="Q51" i="23"/>
  <c r="G51" i="23"/>
  <c r="F51" i="23"/>
  <c r="D51" i="23"/>
  <c r="E51" i="23" s="1"/>
  <c r="V50" i="23"/>
  <c r="W50" i="23" s="1"/>
  <c r="X50" i="23" s="1"/>
  <c r="U50" i="23"/>
  <c r="Q50" i="23"/>
  <c r="G50" i="23"/>
  <c r="F50" i="23"/>
  <c r="D50" i="23"/>
  <c r="E50" i="23" s="1"/>
  <c r="V49" i="23"/>
  <c r="U49" i="23"/>
  <c r="Q49" i="23"/>
  <c r="G49" i="23"/>
  <c r="F49" i="23"/>
  <c r="D49" i="23"/>
  <c r="E49" i="23" s="1"/>
  <c r="V48" i="23"/>
  <c r="U48" i="23"/>
  <c r="Q48" i="23"/>
  <c r="G48" i="23"/>
  <c r="F48" i="23"/>
  <c r="D48" i="23"/>
  <c r="E48" i="23" s="1"/>
  <c r="V47" i="23"/>
  <c r="U47" i="23"/>
  <c r="Q47" i="23"/>
  <c r="G47" i="23"/>
  <c r="F47" i="23"/>
  <c r="D47" i="23"/>
  <c r="E47" i="23" s="1"/>
  <c r="V46" i="23"/>
  <c r="U46" i="23"/>
  <c r="Q46" i="23"/>
  <c r="G46" i="23"/>
  <c r="F46" i="23"/>
  <c r="D46" i="23"/>
  <c r="E46" i="23" s="1"/>
  <c r="V45" i="23"/>
  <c r="U45" i="23"/>
  <c r="Q45" i="23"/>
  <c r="G45" i="23"/>
  <c r="F45" i="23"/>
  <c r="D45" i="23"/>
  <c r="E45" i="23" s="1"/>
  <c r="V44" i="23"/>
  <c r="U44" i="23"/>
  <c r="Q44" i="23"/>
  <c r="G44" i="23"/>
  <c r="F44" i="23"/>
  <c r="D44" i="23"/>
  <c r="E44" i="23" s="1"/>
  <c r="V43" i="23"/>
  <c r="W43" i="23" s="1"/>
  <c r="U43" i="23"/>
  <c r="Q43" i="23"/>
  <c r="G43" i="23"/>
  <c r="F43" i="23"/>
  <c r="D43" i="23"/>
  <c r="E43" i="23" s="1"/>
  <c r="V42" i="23"/>
  <c r="U42" i="23"/>
  <c r="Q42" i="23"/>
  <c r="G42" i="23"/>
  <c r="F42" i="23"/>
  <c r="D42" i="23"/>
  <c r="E42" i="23" s="1"/>
  <c r="V41" i="23"/>
  <c r="W41" i="23" s="1"/>
  <c r="X41" i="23" s="1"/>
  <c r="U41" i="23"/>
  <c r="Q41" i="23"/>
  <c r="G41" i="23"/>
  <c r="F41" i="23"/>
  <c r="D41" i="23"/>
  <c r="E41" i="23" s="1"/>
  <c r="V40" i="23"/>
  <c r="U40" i="23"/>
  <c r="Q40" i="23"/>
  <c r="G40" i="23"/>
  <c r="F40" i="23"/>
  <c r="D40" i="23"/>
  <c r="E40" i="23" s="1"/>
  <c r="V39" i="23"/>
  <c r="W39" i="23" s="1"/>
  <c r="X39" i="23" s="1"/>
  <c r="U39" i="23"/>
  <c r="Q39" i="23"/>
  <c r="G39" i="23"/>
  <c r="F39" i="23"/>
  <c r="D39" i="23"/>
  <c r="E39" i="23" s="1"/>
  <c r="V38" i="23"/>
  <c r="U38" i="23"/>
  <c r="Q38" i="23"/>
  <c r="G38" i="23"/>
  <c r="F38" i="23"/>
  <c r="D38" i="23"/>
  <c r="E38" i="23" s="1"/>
  <c r="V37" i="23"/>
  <c r="U37" i="23"/>
  <c r="Q37" i="23"/>
  <c r="G37" i="23"/>
  <c r="F37" i="23"/>
  <c r="D37" i="23"/>
  <c r="E37" i="23" s="1"/>
  <c r="V36" i="23"/>
  <c r="U36" i="23"/>
  <c r="Q36" i="23"/>
  <c r="G36" i="23"/>
  <c r="F36" i="23"/>
  <c r="D36" i="23"/>
  <c r="E36" i="23" s="1"/>
  <c r="V35" i="23"/>
  <c r="U35" i="23"/>
  <c r="Q35" i="23"/>
  <c r="G35" i="23"/>
  <c r="F35" i="23"/>
  <c r="D35" i="23"/>
  <c r="E35" i="23" s="1"/>
  <c r="V34" i="23"/>
  <c r="U34" i="23"/>
  <c r="Q34" i="23"/>
  <c r="G34" i="23"/>
  <c r="F34" i="23"/>
  <c r="D34" i="23"/>
  <c r="E34" i="23" s="1"/>
  <c r="V33" i="23"/>
  <c r="U33" i="23"/>
  <c r="Q33" i="23"/>
  <c r="G33" i="23"/>
  <c r="F33" i="23"/>
  <c r="D33" i="23"/>
  <c r="E33" i="23" s="1"/>
  <c r="V32" i="23"/>
  <c r="U32" i="23"/>
  <c r="Q32" i="23"/>
  <c r="G32" i="23"/>
  <c r="F32" i="23"/>
  <c r="D32" i="23"/>
  <c r="E32" i="23" s="1"/>
  <c r="V31" i="23"/>
  <c r="W31" i="23" s="1"/>
  <c r="X31" i="23" s="1"/>
  <c r="U31" i="23"/>
  <c r="Q31" i="23"/>
  <c r="G31" i="23"/>
  <c r="F31" i="23"/>
  <c r="D31" i="23"/>
  <c r="E31" i="23" s="1"/>
  <c r="V30" i="23"/>
  <c r="U30" i="23"/>
  <c r="Q30" i="23"/>
  <c r="G30" i="23"/>
  <c r="F30" i="23"/>
  <c r="D30" i="23"/>
  <c r="E30" i="23" s="1"/>
  <c r="V29" i="23"/>
  <c r="W29" i="23" s="1"/>
  <c r="X29" i="23" s="1"/>
  <c r="U29" i="23"/>
  <c r="Q29" i="23"/>
  <c r="G29" i="23"/>
  <c r="F29" i="23"/>
  <c r="D29" i="23"/>
  <c r="E29" i="23" s="1"/>
  <c r="V28" i="23"/>
  <c r="U28" i="23"/>
  <c r="Q28" i="23"/>
  <c r="G28" i="23"/>
  <c r="F28" i="23"/>
  <c r="D28" i="23"/>
  <c r="E28" i="23" s="1"/>
  <c r="V27" i="23"/>
  <c r="W27" i="23" s="1"/>
  <c r="X27" i="23" s="1"/>
  <c r="U27" i="23"/>
  <c r="Q27" i="23"/>
  <c r="G27" i="23"/>
  <c r="F27" i="23"/>
  <c r="D27" i="23"/>
  <c r="E27" i="23" s="1"/>
  <c r="V26" i="23"/>
  <c r="U26" i="23"/>
  <c r="Q26" i="23"/>
  <c r="G26" i="23"/>
  <c r="F26" i="23"/>
  <c r="D26" i="23"/>
  <c r="E26" i="23" s="1"/>
  <c r="V25" i="23"/>
  <c r="U25" i="23"/>
  <c r="Q25" i="23"/>
  <c r="G25" i="23"/>
  <c r="F25" i="23"/>
  <c r="D25" i="23"/>
  <c r="E25" i="23" s="1"/>
  <c r="V24" i="23"/>
  <c r="U24" i="23"/>
  <c r="Q24" i="23"/>
  <c r="G24" i="23"/>
  <c r="F24" i="23"/>
  <c r="D24" i="23"/>
  <c r="E24" i="23" s="1"/>
  <c r="V23" i="23"/>
  <c r="U23" i="23"/>
  <c r="Q23" i="23"/>
  <c r="G23" i="23"/>
  <c r="F23" i="23"/>
  <c r="D23" i="23"/>
  <c r="E23" i="23" s="1"/>
  <c r="V22" i="23"/>
  <c r="U22" i="23"/>
  <c r="Q22" i="23"/>
  <c r="G22" i="23"/>
  <c r="F22" i="23"/>
  <c r="D22" i="23"/>
  <c r="E22" i="23" s="1"/>
  <c r="V21" i="23"/>
  <c r="U21" i="23"/>
  <c r="Q21" i="23"/>
  <c r="G21" i="23"/>
  <c r="F21" i="23"/>
  <c r="D21" i="23"/>
  <c r="E21" i="23" s="1"/>
  <c r="V20" i="23"/>
  <c r="W20" i="23" s="1"/>
  <c r="X20" i="23" s="1"/>
  <c r="U20" i="23"/>
  <c r="Q20" i="23"/>
  <c r="G20" i="23"/>
  <c r="F20" i="23"/>
  <c r="D20" i="23"/>
  <c r="E20" i="23" s="1"/>
  <c r="V19" i="23"/>
  <c r="W19" i="23" s="1"/>
  <c r="X19" i="23" s="1"/>
  <c r="U19" i="23"/>
  <c r="Q19" i="23"/>
  <c r="G19" i="23"/>
  <c r="F19" i="23"/>
  <c r="D19" i="23"/>
  <c r="E19" i="23" s="1"/>
  <c r="V18" i="23"/>
  <c r="W18" i="23" s="1"/>
  <c r="X18" i="23" s="1"/>
  <c r="U18" i="23"/>
  <c r="Q18" i="23"/>
  <c r="G18" i="23"/>
  <c r="F18" i="23"/>
  <c r="D18" i="23"/>
  <c r="E18" i="23" s="1"/>
  <c r="V17" i="23"/>
  <c r="W17" i="23" s="1"/>
  <c r="X17" i="23" s="1"/>
  <c r="U17" i="23"/>
  <c r="Q17" i="23"/>
  <c r="G17" i="23"/>
  <c r="F17" i="23"/>
  <c r="D17" i="23"/>
  <c r="E17" i="23" s="1"/>
  <c r="V16" i="23"/>
  <c r="U16" i="23"/>
  <c r="Q16" i="23"/>
  <c r="G16" i="23"/>
  <c r="F16" i="23"/>
  <c r="D16" i="23"/>
  <c r="E16" i="23" s="1"/>
  <c r="V15" i="23"/>
  <c r="U15" i="23"/>
  <c r="W15" i="23" s="1"/>
  <c r="X15" i="23" s="1"/>
  <c r="Q15" i="23"/>
  <c r="G15" i="23"/>
  <c r="F15" i="23"/>
  <c r="D15" i="23"/>
  <c r="E15" i="23" s="1"/>
  <c r="V14" i="23"/>
  <c r="U14" i="23"/>
  <c r="Q14" i="23"/>
  <c r="G14" i="23"/>
  <c r="F14" i="23"/>
  <c r="D14" i="23"/>
  <c r="E14" i="23" s="1"/>
  <c r="V13" i="23"/>
  <c r="U13" i="23"/>
  <c r="W13" i="23" s="1"/>
  <c r="Q13" i="23"/>
  <c r="G13" i="23"/>
  <c r="F13" i="23"/>
  <c r="D13" i="23"/>
  <c r="E13" i="23" s="1"/>
  <c r="V12" i="23"/>
  <c r="U12" i="23"/>
  <c r="Q12" i="23"/>
  <c r="G12" i="23"/>
  <c r="F12" i="23"/>
  <c r="D12" i="23"/>
  <c r="E12" i="23" s="1"/>
  <c r="V11" i="23"/>
  <c r="U11" i="23"/>
  <c r="W11" i="23" s="1"/>
  <c r="X11" i="23" s="1"/>
  <c r="Q11" i="23"/>
  <c r="G11" i="23"/>
  <c r="F11" i="23"/>
  <c r="D11" i="23"/>
  <c r="E11" i="23" s="1"/>
  <c r="V10" i="23"/>
  <c r="U10" i="23"/>
  <c r="Q10" i="23"/>
  <c r="G10" i="23"/>
  <c r="F10" i="23"/>
  <c r="D10" i="23"/>
  <c r="E10" i="23" s="1"/>
  <c r="V9" i="23"/>
  <c r="U9" i="23"/>
  <c r="Q9" i="23"/>
  <c r="G9" i="23"/>
  <c r="F9" i="23"/>
  <c r="D9" i="23"/>
  <c r="E9" i="23" s="1"/>
  <c r="V8" i="23"/>
  <c r="U8" i="23"/>
  <c r="Q8" i="23"/>
  <c r="G8" i="23"/>
  <c r="F8" i="23"/>
  <c r="D8" i="23"/>
  <c r="E8" i="23" s="1"/>
  <c r="V7" i="23"/>
  <c r="U7" i="23"/>
  <c r="Q7" i="23"/>
  <c r="G7" i="23"/>
  <c r="F7" i="23"/>
  <c r="D7" i="23"/>
  <c r="E7" i="23" s="1"/>
  <c r="V6" i="23"/>
  <c r="W6" i="23" s="1"/>
  <c r="X6" i="23" s="1"/>
  <c r="U6" i="23"/>
  <c r="Q6" i="23"/>
  <c r="G6" i="23"/>
  <c r="F6" i="23"/>
  <c r="D6" i="23"/>
  <c r="E6" i="23" s="1"/>
  <c r="V5" i="23"/>
  <c r="U5" i="23"/>
  <c r="Q5" i="23"/>
  <c r="G5" i="23"/>
  <c r="F5" i="23"/>
  <c r="D5" i="23"/>
  <c r="E5" i="23" s="1"/>
  <c r="V4" i="23"/>
  <c r="U4" i="23"/>
  <c r="Q4" i="23"/>
  <c r="G4" i="23"/>
  <c r="F4" i="23"/>
  <c r="D4" i="23"/>
  <c r="E4" i="23" s="1"/>
  <c r="V3" i="23"/>
  <c r="U3" i="23"/>
  <c r="Q3" i="23"/>
  <c r="G3" i="23"/>
  <c r="F3" i="23"/>
  <c r="D3" i="23"/>
  <c r="E3" i="23" s="1"/>
  <c r="V2" i="23"/>
  <c r="Q2" i="23"/>
  <c r="G2" i="23"/>
  <c r="F2" i="23"/>
  <c r="D2" i="23"/>
  <c r="E2" i="23" s="1"/>
  <c r="U633" i="21"/>
  <c r="T633" i="21"/>
  <c r="P633" i="21"/>
  <c r="F633" i="21"/>
  <c r="E633" i="21"/>
  <c r="D633" i="21"/>
  <c r="U632" i="21"/>
  <c r="T632" i="21"/>
  <c r="W632" i="21" s="1"/>
  <c r="P632" i="21"/>
  <c r="F632" i="21"/>
  <c r="E632" i="21"/>
  <c r="D632" i="21"/>
  <c r="U631" i="21"/>
  <c r="T631" i="21"/>
  <c r="P631" i="21"/>
  <c r="F631" i="21"/>
  <c r="E631" i="21"/>
  <c r="D631" i="21"/>
  <c r="U630" i="21"/>
  <c r="T630" i="21"/>
  <c r="W630" i="21" s="1"/>
  <c r="P630" i="21"/>
  <c r="F630" i="21"/>
  <c r="E630" i="21"/>
  <c r="D630" i="21"/>
  <c r="U629" i="21"/>
  <c r="T629" i="21"/>
  <c r="W629" i="21" s="1"/>
  <c r="P629" i="21"/>
  <c r="F629" i="21"/>
  <c r="E629" i="21"/>
  <c r="D629" i="21"/>
  <c r="U628" i="21"/>
  <c r="T628" i="21"/>
  <c r="P628" i="21"/>
  <c r="F628" i="21"/>
  <c r="E628" i="21"/>
  <c r="D628" i="21"/>
  <c r="U627" i="21"/>
  <c r="T627" i="21"/>
  <c r="W627" i="21" s="1"/>
  <c r="P627" i="21"/>
  <c r="F627" i="21"/>
  <c r="E627" i="21"/>
  <c r="D627" i="21"/>
  <c r="U626" i="21"/>
  <c r="T626" i="21"/>
  <c r="W626" i="21" s="1"/>
  <c r="P626" i="21"/>
  <c r="F626" i="21"/>
  <c r="E626" i="21"/>
  <c r="D626" i="21"/>
  <c r="U625" i="21"/>
  <c r="T625" i="21"/>
  <c r="P625" i="21"/>
  <c r="F625" i="21"/>
  <c r="E625" i="21"/>
  <c r="D625" i="21"/>
  <c r="U624" i="21"/>
  <c r="T624" i="21"/>
  <c r="W624" i="21" s="1"/>
  <c r="P624" i="21"/>
  <c r="F624" i="21"/>
  <c r="E624" i="21"/>
  <c r="D624" i="21"/>
  <c r="U623" i="21"/>
  <c r="T623" i="21"/>
  <c r="W623" i="21" s="1"/>
  <c r="P623" i="21"/>
  <c r="F623" i="21"/>
  <c r="E623" i="21"/>
  <c r="D623" i="21"/>
  <c r="U622" i="21"/>
  <c r="T622" i="21"/>
  <c r="P622" i="21"/>
  <c r="F622" i="21"/>
  <c r="E622" i="21"/>
  <c r="D622" i="21"/>
  <c r="U621" i="21"/>
  <c r="T621" i="21"/>
  <c r="W621" i="21" s="1"/>
  <c r="P621" i="21"/>
  <c r="F621" i="21"/>
  <c r="E621" i="21"/>
  <c r="D621" i="21"/>
  <c r="U620" i="21"/>
  <c r="T620" i="21"/>
  <c r="W620" i="21" s="1"/>
  <c r="P620" i="21"/>
  <c r="F620" i="21"/>
  <c r="E620" i="21"/>
  <c r="D620" i="21"/>
  <c r="U619" i="21"/>
  <c r="T619" i="21"/>
  <c r="P619" i="21"/>
  <c r="F619" i="21"/>
  <c r="E619" i="21"/>
  <c r="D619" i="21"/>
  <c r="U618" i="21"/>
  <c r="T618" i="21"/>
  <c r="W618" i="21" s="1"/>
  <c r="P618" i="21"/>
  <c r="F618" i="21"/>
  <c r="E618" i="21"/>
  <c r="D618" i="21"/>
  <c r="U617" i="21"/>
  <c r="T617" i="21"/>
  <c r="W617" i="21" s="1"/>
  <c r="P617" i="21"/>
  <c r="F617" i="21"/>
  <c r="E617" i="21"/>
  <c r="D617" i="21"/>
  <c r="U616" i="21"/>
  <c r="T616" i="21"/>
  <c r="P616" i="21"/>
  <c r="F616" i="21"/>
  <c r="E616" i="21"/>
  <c r="D616" i="21"/>
  <c r="U615" i="21"/>
  <c r="T615" i="21"/>
  <c r="W615" i="21" s="1"/>
  <c r="P615" i="21"/>
  <c r="F615" i="21"/>
  <c r="E615" i="21"/>
  <c r="D615" i="21"/>
  <c r="U614" i="21"/>
  <c r="T614" i="21"/>
  <c r="W614" i="21" s="1"/>
  <c r="P614" i="21"/>
  <c r="F614" i="21"/>
  <c r="E614" i="21"/>
  <c r="D614" i="21"/>
  <c r="U613" i="21"/>
  <c r="T613" i="21"/>
  <c r="P613" i="21"/>
  <c r="F613" i="21"/>
  <c r="E613" i="21"/>
  <c r="D613" i="21"/>
  <c r="U612" i="21"/>
  <c r="T612" i="21"/>
  <c r="W612" i="21" s="1"/>
  <c r="P612" i="21"/>
  <c r="F612" i="21"/>
  <c r="E612" i="21"/>
  <c r="D612" i="21"/>
  <c r="U611" i="21"/>
  <c r="T611" i="21"/>
  <c r="W611" i="21" s="1"/>
  <c r="P611" i="21"/>
  <c r="F611" i="21"/>
  <c r="E611" i="21"/>
  <c r="D611" i="21"/>
  <c r="U610" i="21"/>
  <c r="T610" i="21"/>
  <c r="P610" i="21"/>
  <c r="F610" i="21"/>
  <c r="E610" i="21"/>
  <c r="D610" i="21"/>
  <c r="U609" i="21"/>
  <c r="T609" i="21"/>
  <c r="W609" i="21" s="1"/>
  <c r="P609" i="21"/>
  <c r="F609" i="21"/>
  <c r="E609" i="21"/>
  <c r="D609" i="21"/>
  <c r="U608" i="21"/>
  <c r="T608" i="21"/>
  <c r="W608" i="21" s="1"/>
  <c r="P608" i="21"/>
  <c r="F608" i="21"/>
  <c r="E608" i="21"/>
  <c r="D608" i="21"/>
  <c r="U607" i="21"/>
  <c r="T607" i="21"/>
  <c r="P607" i="21"/>
  <c r="F607" i="21"/>
  <c r="E607" i="21"/>
  <c r="D607" i="21"/>
  <c r="U606" i="21"/>
  <c r="T606" i="21"/>
  <c r="P606" i="21"/>
  <c r="F606" i="21"/>
  <c r="E606" i="21"/>
  <c r="D606" i="21"/>
  <c r="U605" i="21"/>
  <c r="T605" i="21"/>
  <c r="P605" i="21"/>
  <c r="F605" i="21"/>
  <c r="E605" i="21"/>
  <c r="D605" i="21"/>
  <c r="U604" i="21"/>
  <c r="T604" i="21"/>
  <c r="P604" i="21"/>
  <c r="F604" i="21"/>
  <c r="E604" i="21"/>
  <c r="D604" i="21"/>
  <c r="U603" i="21"/>
  <c r="T603" i="21"/>
  <c r="P603" i="21"/>
  <c r="F603" i="21"/>
  <c r="E603" i="21"/>
  <c r="D603" i="21"/>
  <c r="U602" i="21"/>
  <c r="T602" i="21"/>
  <c r="P602" i="21"/>
  <c r="F602" i="21"/>
  <c r="E602" i="21"/>
  <c r="D602" i="21"/>
  <c r="U601" i="21"/>
  <c r="T601" i="21"/>
  <c r="P601" i="21"/>
  <c r="F601" i="21"/>
  <c r="E601" i="21"/>
  <c r="D601" i="21"/>
  <c r="U600" i="21"/>
  <c r="T600" i="21"/>
  <c r="P600" i="21"/>
  <c r="F600" i="21"/>
  <c r="E600" i="21"/>
  <c r="D600" i="21"/>
  <c r="U599" i="21"/>
  <c r="T599" i="21"/>
  <c r="P599" i="21"/>
  <c r="F599" i="21"/>
  <c r="E599" i="21"/>
  <c r="D599" i="21"/>
  <c r="U598" i="21"/>
  <c r="T598" i="21"/>
  <c r="P598" i="21"/>
  <c r="F598" i="21"/>
  <c r="E598" i="21"/>
  <c r="D598" i="21"/>
  <c r="U597" i="21"/>
  <c r="T597" i="21"/>
  <c r="P597" i="21"/>
  <c r="F597" i="21"/>
  <c r="E597" i="21"/>
  <c r="D597" i="21"/>
  <c r="U596" i="21"/>
  <c r="T596" i="21"/>
  <c r="P596" i="21"/>
  <c r="F596" i="21"/>
  <c r="E596" i="21"/>
  <c r="D596" i="21"/>
  <c r="U595" i="21"/>
  <c r="T595" i="21"/>
  <c r="P595" i="21"/>
  <c r="F595" i="21"/>
  <c r="E595" i="21"/>
  <c r="D595" i="21"/>
  <c r="U594" i="21"/>
  <c r="T594" i="21"/>
  <c r="P594" i="21"/>
  <c r="F594" i="21"/>
  <c r="E594" i="21"/>
  <c r="D594" i="21"/>
  <c r="U593" i="21"/>
  <c r="T593" i="21"/>
  <c r="P593" i="21"/>
  <c r="F593" i="21"/>
  <c r="E593" i="21"/>
  <c r="D593" i="21"/>
  <c r="U592" i="21"/>
  <c r="T592" i="21"/>
  <c r="P592" i="21"/>
  <c r="F592" i="21"/>
  <c r="E592" i="21"/>
  <c r="D592" i="21"/>
  <c r="U591" i="21"/>
  <c r="T591" i="21"/>
  <c r="P591" i="21"/>
  <c r="F591" i="21"/>
  <c r="E591" i="21"/>
  <c r="D591" i="21"/>
  <c r="U590" i="21"/>
  <c r="T590" i="21"/>
  <c r="P590" i="21"/>
  <c r="F590" i="21"/>
  <c r="E590" i="21"/>
  <c r="D590" i="21"/>
  <c r="U589" i="21"/>
  <c r="T589" i="21"/>
  <c r="P589" i="21"/>
  <c r="F589" i="21"/>
  <c r="E589" i="21"/>
  <c r="D589" i="21"/>
  <c r="U588" i="21"/>
  <c r="T588" i="21"/>
  <c r="P588" i="21"/>
  <c r="F588" i="21"/>
  <c r="E588" i="21"/>
  <c r="D588" i="21"/>
  <c r="U587" i="21"/>
  <c r="T587" i="21"/>
  <c r="P587" i="21"/>
  <c r="F587" i="21"/>
  <c r="E587" i="21"/>
  <c r="D587" i="21"/>
  <c r="U586" i="21"/>
  <c r="T586" i="21"/>
  <c r="P586" i="21"/>
  <c r="F586" i="21"/>
  <c r="E586" i="21"/>
  <c r="D586" i="21"/>
  <c r="U585" i="21"/>
  <c r="T585" i="21"/>
  <c r="P585" i="21"/>
  <c r="F585" i="21"/>
  <c r="E585" i="21"/>
  <c r="D585" i="21"/>
  <c r="U584" i="21"/>
  <c r="T584" i="21"/>
  <c r="P584" i="21"/>
  <c r="F584" i="21"/>
  <c r="E584" i="21"/>
  <c r="D584" i="21"/>
  <c r="U583" i="21"/>
  <c r="T583" i="21"/>
  <c r="P583" i="21"/>
  <c r="F583" i="21"/>
  <c r="E583" i="21"/>
  <c r="D583" i="21"/>
  <c r="U582" i="21"/>
  <c r="T582" i="21"/>
  <c r="P582" i="21"/>
  <c r="F582" i="21"/>
  <c r="E582" i="21"/>
  <c r="D582" i="21"/>
  <c r="U581" i="21"/>
  <c r="T581" i="21"/>
  <c r="P581" i="21"/>
  <c r="F581" i="21"/>
  <c r="E581" i="21"/>
  <c r="D581" i="21"/>
  <c r="U580" i="21"/>
  <c r="T580" i="21"/>
  <c r="P580" i="21"/>
  <c r="F580" i="21"/>
  <c r="E580" i="21"/>
  <c r="D580" i="21"/>
  <c r="U579" i="21"/>
  <c r="T579" i="21"/>
  <c r="P579" i="21"/>
  <c r="F579" i="21"/>
  <c r="E579" i="21"/>
  <c r="D579" i="21"/>
  <c r="U578" i="21"/>
  <c r="T578" i="21"/>
  <c r="P578" i="21"/>
  <c r="F578" i="21"/>
  <c r="E578" i="21"/>
  <c r="D578" i="21"/>
  <c r="U577" i="21"/>
  <c r="T577" i="21"/>
  <c r="P577" i="21"/>
  <c r="F577" i="21"/>
  <c r="E577" i="21"/>
  <c r="D577" i="21"/>
  <c r="U576" i="21"/>
  <c r="T576" i="21"/>
  <c r="P576" i="21"/>
  <c r="F576" i="21"/>
  <c r="E576" i="21"/>
  <c r="D576" i="21"/>
  <c r="U575" i="21"/>
  <c r="T575" i="21"/>
  <c r="P575" i="21"/>
  <c r="F575" i="21"/>
  <c r="E575" i="21"/>
  <c r="D575" i="21"/>
  <c r="U574" i="21"/>
  <c r="T574" i="21"/>
  <c r="P574" i="21"/>
  <c r="F574" i="21"/>
  <c r="E574" i="21"/>
  <c r="D574" i="21"/>
  <c r="U573" i="21"/>
  <c r="T573" i="21"/>
  <c r="P573" i="21"/>
  <c r="F573" i="21"/>
  <c r="E573" i="21"/>
  <c r="D573" i="21"/>
  <c r="U572" i="21"/>
  <c r="T572" i="21"/>
  <c r="P572" i="21"/>
  <c r="F572" i="21"/>
  <c r="E572" i="21"/>
  <c r="D572" i="21"/>
  <c r="U571" i="21"/>
  <c r="T571" i="21"/>
  <c r="P571" i="21"/>
  <c r="F571" i="21"/>
  <c r="E571" i="21"/>
  <c r="D571" i="21"/>
  <c r="U570" i="21"/>
  <c r="T570" i="21"/>
  <c r="P570" i="21"/>
  <c r="F570" i="21"/>
  <c r="E570" i="21"/>
  <c r="D570" i="21"/>
  <c r="U569" i="21"/>
  <c r="T569" i="21"/>
  <c r="P569" i="21"/>
  <c r="F569" i="21"/>
  <c r="E569" i="21"/>
  <c r="D569" i="21"/>
  <c r="U568" i="21"/>
  <c r="T568" i="21"/>
  <c r="P568" i="21"/>
  <c r="F568" i="21"/>
  <c r="E568" i="21"/>
  <c r="D568" i="21"/>
  <c r="U567" i="21"/>
  <c r="T567" i="21"/>
  <c r="P567" i="21"/>
  <c r="F567" i="21"/>
  <c r="E567" i="21"/>
  <c r="D567" i="21"/>
  <c r="U566" i="21"/>
  <c r="T566" i="21"/>
  <c r="P566" i="21"/>
  <c r="F566" i="21"/>
  <c r="E566" i="21"/>
  <c r="D566" i="21"/>
  <c r="U565" i="21"/>
  <c r="T565" i="21"/>
  <c r="P565" i="21"/>
  <c r="F565" i="21"/>
  <c r="E565" i="21"/>
  <c r="D565" i="21"/>
  <c r="U564" i="21"/>
  <c r="T564" i="21"/>
  <c r="P564" i="21"/>
  <c r="F564" i="21"/>
  <c r="E564" i="21"/>
  <c r="D564" i="21"/>
  <c r="U563" i="21"/>
  <c r="T563" i="21"/>
  <c r="P563" i="21"/>
  <c r="F563" i="21"/>
  <c r="E563" i="21"/>
  <c r="D563" i="21"/>
  <c r="U562" i="21"/>
  <c r="T562" i="21"/>
  <c r="P562" i="21"/>
  <c r="F562" i="21"/>
  <c r="E562" i="21"/>
  <c r="D562" i="21"/>
  <c r="U561" i="21"/>
  <c r="T561" i="21"/>
  <c r="P561" i="21"/>
  <c r="F561" i="21"/>
  <c r="E561" i="21"/>
  <c r="D561" i="21"/>
  <c r="U560" i="21"/>
  <c r="T560" i="21"/>
  <c r="P560" i="21"/>
  <c r="F560" i="21"/>
  <c r="E560" i="21"/>
  <c r="D560" i="21"/>
  <c r="U559" i="21"/>
  <c r="T559" i="21"/>
  <c r="P559" i="21"/>
  <c r="F559" i="21"/>
  <c r="E559" i="21"/>
  <c r="D559" i="21"/>
  <c r="U558" i="21"/>
  <c r="T558" i="21"/>
  <c r="P558" i="21"/>
  <c r="F558" i="21"/>
  <c r="E558" i="21"/>
  <c r="D558" i="21"/>
  <c r="U557" i="21"/>
  <c r="T557" i="21"/>
  <c r="P557" i="21"/>
  <c r="F557" i="21"/>
  <c r="E557" i="21"/>
  <c r="D557" i="21"/>
  <c r="U556" i="21"/>
  <c r="T556" i="21"/>
  <c r="P556" i="21"/>
  <c r="F556" i="21"/>
  <c r="E556" i="21"/>
  <c r="D556" i="21"/>
  <c r="U555" i="21"/>
  <c r="T555" i="21"/>
  <c r="P555" i="21"/>
  <c r="F555" i="21"/>
  <c r="E555" i="21"/>
  <c r="D555" i="21"/>
  <c r="U554" i="21"/>
  <c r="T554" i="21"/>
  <c r="P554" i="21"/>
  <c r="F554" i="21"/>
  <c r="E554" i="21"/>
  <c r="D554" i="21"/>
  <c r="U553" i="21"/>
  <c r="T553" i="21"/>
  <c r="P553" i="21"/>
  <c r="F553" i="21"/>
  <c r="E553" i="21"/>
  <c r="D553" i="21"/>
  <c r="U552" i="21"/>
  <c r="T552" i="21"/>
  <c r="P552" i="21"/>
  <c r="F552" i="21"/>
  <c r="E552" i="21"/>
  <c r="D552" i="21"/>
  <c r="U551" i="21"/>
  <c r="T551" i="21"/>
  <c r="P551" i="21"/>
  <c r="F551" i="21"/>
  <c r="E551" i="21"/>
  <c r="D551" i="21"/>
  <c r="U550" i="21"/>
  <c r="T550" i="21"/>
  <c r="P550" i="21"/>
  <c r="F550" i="21"/>
  <c r="E550" i="21"/>
  <c r="D550" i="21"/>
  <c r="U549" i="21"/>
  <c r="T549" i="21"/>
  <c r="P549" i="21"/>
  <c r="F549" i="21"/>
  <c r="E549" i="21"/>
  <c r="D549" i="21"/>
  <c r="U548" i="21"/>
  <c r="T548" i="21"/>
  <c r="P548" i="21"/>
  <c r="F548" i="21"/>
  <c r="E548" i="21"/>
  <c r="D548" i="21"/>
  <c r="U547" i="21"/>
  <c r="T547" i="21"/>
  <c r="P547" i="21"/>
  <c r="F547" i="21"/>
  <c r="E547" i="21"/>
  <c r="D547" i="21"/>
  <c r="U546" i="21"/>
  <c r="T546" i="21"/>
  <c r="P546" i="21"/>
  <c r="F546" i="21"/>
  <c r="E546" i="21"/>
  <c r="D546" i="21"/>
  <c r="U545" i="21"/>
  <c r="T545" i="21"/>
  <c r="P545" i="21"/>
  <c r="F545" i="21"/>
  <c r="E545" i="21"/>
  <c r="D545" i="21"/>
  <c r="U544" i="21"/>
  <c r="T544" i="21"/>
  <c r="P544" i="21"/>
  <c r="F544" i="21"/>
  <c r="E544" i="21"/>
  <c r="D544" i="21"/>
  <c r="U543" i="21"/>
  <c r="T543" i="21"/>
  <c r="P543" i="21"/>
  <c r="F543" i="21"/>
  <c r="E543" i="21"/>
  <c r="D543" i="21"/>
  <c r="U542" i="21"/>
  <c r="T542" i="21"/>
  <c r="P542" i="21"/>
  <c r="F542" i="21"/>
  <c r="E542" i="21"/>
  <c r="D542" i="21"/>
  <c r="U541" i="21"/>
  <c r="T541" i="21"/>
  <c r="P541" i="21"/>
  <c r="F541" i="21"/>
  <c r="E541" i="21"/>
  <c r="D541" i="21"/>
  <c r="U540" i="21"/>
  <c r="T540" i="21"/>
  <c r="P540" i="21"/>
  <c r="F540" i="21"/>
  <c r="E540" i="21"/>
  <c r="D540" i="21"/>
  <c r="U539" i="21"/>
  <c r="T539" i="21"/>
  <c r="P539" i="21"/>
  <c r="F539" i="21"/>
  <c r="E539" i="21"/>
  <c r="D539" i="21"/>
  <c r="U538" i="21"/>
  <c r="T538" i="21"/>
  <c r="P538" i="21"/>
  <c r="F538" i="21"/>
  <c r="E538" i="21"/>
  <c r="D538" i="21"/>
  <c r="U537" i="21"/>
  <c r="T537" i="21"/>
  <c r="P537" i="21"/>
  <c r="F537" i="21"/>
  <c r="E537" i="21"/>
  <c r="D537" i="21"/>
  <c r="U536" i="21"/>
  <c r="T536" i="21"/>
  <c r="P536" i="21"/>
  <c r="F536" i="21"/>
  <c r="E536" i="21"/>
  <c r="D536" i="21"/>
  <c r="U535" i="21"/>
  <c r="T535" i="21"/>
  <c r="P535" i="21"/>
  <c r="F535" i="21"/>
  <c r="E535" i="21"/>
  <c r="D535" i="21"/>
  <c r="U534" i="21"/>
  <c r="T534" i="21"/>
  <c r="P534" i="21"/>
  <c r="F534" i="21"/>
  <c r="E534" i="21"/>
  <c r="D534" i="21"/>
  <c r="U533" i="21"/>
  <c r="T533" i="21"/>
  <c r="P533" i="21"/>
  <c r="F533" i="21"/>
  <c r="E533" i="21"/>
  <c r="D533" i="21"/>
  <c r="U532" i="21"/>
  <c r="T532" i="21"/>
  <c r="P532" i="21"/>
  <c r="F532" i="21"/>
  <c r="E532" i="21"/>
  <c r="D532" i="21"/>
  <c r="U531" i="21"/>
  <c r="T531" i="21"/>
  <c r="P531" i="21"/>
  <c r="F531" i="21"/>
  <c r="E531" i="21"/>
  <c r="D531" i="21"/>
  <c r="U530" i="21"/>
  <c r="T530" i="21"/>
  <c r="P530" i="21"/>
  <c r="F530" i="21"/>
  <c r="E530" i="21"/>
  <c r="D530" i="21"/>
  <c r="U529" i="21"/>
  <c r="T529" i="21"/>
  <c r="P529" i="21"/>
  <c r="F529" i="21"/>
  <c r="E529" i="21"/>
  <c r="D529" i="21"/>
  <c r="U528" i="21"/>
  <c r="T528" i="21"/>
  <c r="P528" i="21"/>
  <c r="F528" i="21"/>
  <c r="E528" i="21"/>
  <c r="D528" i="21"/>
  <c r="U527" i="21"/>
  <c r="T527" i="21"/>
  <c r="P527" i="21"/>
  <c r="F527" i="21"/>
  <c r="E527" i="21"/>
  <c r="D527" i="21"/>
  <c r="U526" i="21"/>
  <c r="T526" i="21"/>
  <c r="P526" i="21"/>
  <c r="F526" i="21"/>
  <c r="E526" i="21"/>
  <c r="D526" i="21"/>
  <c r="U525" i="21"/>
  <c r="T525" i="21"/>
  <c r="P525" i="21"/>
  <c r="F525" i="21"/>
  <c r="E525" i="21"/>
  <c r="D525" i="21"/>
  <c r="U524" i="21"/>
  <c r="T524" i="21"/>
  <c r="P524" i="21"/>
  <c r="F524" i="21"/>
  <c r="E524" i="21"/>
  <c r="D524" i="21"/>
  <c r="U523" i="21"/>
  <c r="T523" i="21"/>
  <c r="P523" i="21"/>
  <c r="F523" i="21"/>
  <c r="E523" i="21"/>
  <c r="D523" i="21"/>
  <c r="U522" i="21"/>
  <c r="T522" i="21"/>
  <c r="P522" i="21"/>
  <c r="F522" i="21"/>
  <c r="E522" i="21"/>
  <c r="D522" i="21"/>
  <c r="U521" i="21"/>
  <c r="T521" i="21"/>
  <c r="P521" i="21"/>
  <c r="F521" i="21"/>
  <c r="E521" i="21"/>
  <c r="D521" i="21"/>
  <c r="U520" i="21"/>
  <c r="T520" i="21"/>
  <c r="P520" i="21"/>
  <c r="F520" i="21"/>
  <c r="E520" i="21"/>
  <c r="D520" i="21"/>
  <c r="U519" i="21"/>
  <c r="T519" i="21"/>
  <c r="P519" i="21"/>
  <c r="F519" i="21"/>
  <c r="E519" i="21"/>
  <c r="D519" i="21"/>
  <c r="U518" i="21"/>
  <c r="T518" i="21"/>
  <c r="P518" i="21"/>
  <c r="F518" i="21"/>
  <c r="E518" i="21"/>
  <c r="D518" i="21"/>
  <c r="U517" i="21"/>
  <c r="T517" i="21"/>
  <c r="P517" i="21"/>
  <c r="F517" i="21"/>
  <c r="E517" i="21"/>
  <c r="D517" i="21"/>
  <c r="U516" i="21"/>
  <c r="T516" i="21"/>
  <c r="P516" i="21"/>
  <c r="F516" i="21"/>
  <c r="E516" i="21"/>
  <c r="D516" i="21"/>
  <c r="U515" i="21"/>
  <c r="T515" i="21"/>
  <c r="P515" i="21"/>
  <c r="F515" i="21"/>
  <c r="E515" i="21"/>
  <c r="D515" i="21"/>
  <c r="U514" i="21"/>
  <c r="T514" i="21"/>
  <c r="P514" i="21"/>
  <c r="F514" i="21"/>
  <c r="E514" i="21"/>
  <c r="D514" i="21"/>
  <c r="U513" i="21"/>
  <c r="T513" i="21"/>
  <c r="P513" i="21"/>
  <c r="F513" i="21"/>
  <c r="E513" i="21"/>
  <c r="D513" i="21"/>
  <c r="U512" i="21"/>
  <c r="T512" i="21"/>
  <c r="P512" i="21"/>
  <c r="F512" i="21"/>
  <c r="E512" i="21"/>
  <c r="D512" i="21"/>
  <c r="U511" i="21"/>
  <c r="T511" i="21"/>
  <c r="P511" i="21"/>
  <c r="F511" i="21"/>
  <c r="E511" i="21"/>
  <c r="D511" i="21"/>
  <c r="U510" i="21"/>
  <c r="T510" i="21"/>
  <c r="P510" i="21"/>
  <c r="F510" i="21"/>
  <c r="E510" i="21"/>
  <c r="D510" i="21"/>
  <c r="U509" i="21"/>
  <c r="T509" i="21"/>
  <c r="P509" i="21"/>
  <c r="F509" i="21"/>
  <c r="E509" i="21"/>
  <c r="D509" i="21"/>
  <c r="U508" i="21"/>
  <c r="T508" i="21"/>
  <c r="P508" i="21"/>
  <c r="F508" i="21"/>
  <c r="E508" i="21"/>
  <c r="D508" i="21"/>
  <c r="U507" i="21"/>
  <c r="T507" i="21"/>
  <c r="P507" i="21"/>
  <c r="F507" i="21"/>
  <c r="E507" i="21"/>
  <c r="D507" i="21"/>
  <c r="U506" i="21"/>
  <c r="T506" i="21"/>
  <c r="P506" i="21"/>
  <c r="F506" i="21"/>
  <c r="E506" i="21"/>
  <c r="D506" i="21"/>
  <c r="U505" i="21"/>
  <c r="T505" i="21"/>
  <c r="P505" i="21"/>
  <c r="F505" i="21"/>
  <c r="E505" i="21"/>
  <c r="D505" i="21"/>
  <c r="U504" i="21"/>
  <c r="T504" i="21"/>
  <c r="P504" i="21"/>
  <c r="F504" i="21"/>
  <c r="E504" i="21"/>
  <c r="D504" i="21"/>
  <c r="U503" i="21"/>
  <c r="T503" i="21"/>
  <c r="P503" i="21"/>
  <c r="F503" i="21"/>
  <c r="E503" i="21"/>
  <c r="D503" i="21"/>
  <c r="U502" i="21"/>
  <c r="T502" i="21"/>
  <c r="P502" i="21"/>
  <c r="F502" i="21"/>
  <c r="E502" i="21"/>
  <c r="D502" i="21"/>
  <c r="U501" i="21"/>
  <c r="T501" i="21"/>
  <c r="P501" i="21"/>
  <c r="F501" i="21"/>
  <c r="E501" i="21"/>
  <c r="D501" i="21"/>
  <c r="U500" i="21"/>
  <c r="T500" i="21"/>
  <c r="P500" i="21"/>
  <c r="F500" i="21"/>
  <c r="E500" i="21"/>
  <c r="D500" i="21"/>
  <c r="U499" i="21"/>
  <c r="T499" i="21"/>
  <c r="P499" i="21"/>
  <c r="F499" i="21"/>
  <c r="E499" i="21"/>
  <c r="D499" i="21"/>
  <c r="U498" i="21"/>
  <c r="T498" i="21"/>
  <c r="P498" i="21"/>
  <c r="F498" i="21"/>
  <c r="E498" i="21"/>
  <c r="D498" i="21"/>
  <c r="U497" i="21"/>
  <c r="T497" i="21"/>
  <c r="P497" i="21"/>
  <c r="F497" i="21"/>
  <c r="E497" i="21"/>
  <c r="D497" i="21"/>
  <c r="U496" i="21"/>
  <c r="T496" i="21"/>
  <c r="P496" i="21"/>
  <c r="F496" i="21"/>
  <c r="E496" i="21"/>
  <c r="D496" i="21"/>
  <c r="U495" i="21"/>
  <c r="T495" i="21"/>
  <c r="P495" i="21"/>
  <c r="F495" i="21"/>
  <c r="E495" i="21"/>
  <c r="D495" i="21"/>
  <c r="U494" i="21"/>
  <c r="T494" i="21"/>
  <c r="P494" i="21"/>
  <c r="F494" i="21"/>
  <c r="E494" i="21"/>
  <c r="D494" i="21"/>
  <c r="U493" i="21"/>
  <c r="T493" i="21"/>
  <c r="P493" i="21"/>
  <c r="F493" i="21"/>
  <c r="E493" i="21"/>
  <c r="D493" i="21"/>
  <c r="U492" i="21"/>
  <c r="T492" i="21"/>
  <c r="P492" i="21"/>
  <c r="F492" i="21"/>
  <c r="E492" i="21"/>
  <c r="D492" i="21"/>
  <c r="U491" i="21"/>
  <c r="T491" i="21"/>
  <c r="P491" i="21"/>
  <c r="F491" i="21"/>
  <c r="E491" i="21"/>
  <c r="D491" i="21"/>
  <c r="U490" i="21"/>
  <c r="T490" i="21"/>
  <c r="P490" i="21"/>
  <c r="F490" i="21"/>
  <c r="E490" i="21"/>
  <c r="D490" i="21"/>
  <c r="U489" i="21"/>
  <c r="T489" i="21"/>
  <c r="P489" i="21"/>
  <c r="F489" i="21"/>
  <c r="E489" i="21"/>
  <c r="D489" i="21"/>
  <c r="U488" i="21"/>
  <c r="T488" i="21"/>
  <c r="P488" i="21"/>
  <c r="F488" i="21"/>
  <c r="E488" i="21"/>
  <c r="D488" i="21"/>
  <c r="U487" i="21"/>
  <c r="T487" i="21"/>
  <c r="P487" i="21"/>
  <c r="F487" i="21"/>
  <c r="E487" i="21"/>
  <c r="D487" i="21"/>
  <c r="U486" i="21"/>
  <c r="T486" i="21"/>
  <c r="P486" i="21"/>
  <c r="F486" i="21"/>
  <c r="E486" i="21"/>
  <c r="D486" i="21"/>
  <c r="U485" i="21"/>
  <c r="T485" i="21"/>
  <c r="P485" i="21"/>
  <c r="F485" i="21"/>
  <c r="E485" i="21"/>
  <c r="D485" i="21"/>
  <c r="U484" i="21"/>
  <c r="T484" i="21"/>
  <c r="P484" i="21"/>
  <c r="F484" i="21"/>
  <c r="E484" i="21"/>
  <c r="D484" i="21"/>
  <c r="U483" i="21"/>
  <c r="T483" i="21"/>
  <c r="P483" i="21"/>
  <c r="F483" i="21"/>
  <c r="E483" i="21"/>
  <c r="D483" i="21"/>
  <c r="U482" i="21"/>
  <c r="T482" i="21"/>
  <c r="P482" i="21"/>
  <c r="F482" i="21"/>
  <c r="E482" i="21"/>
  <c r="D482" i="21"/>
  <c r="U481" i="21"/>
  <c r="T481" i="21"/>
  <c r="P481" i="21"/>
  <c r="F481" i="21"/>
  <c r="E481" i="21"/>
  <c r="D481" i="21"/>
  <c r="U480" i="21"/>
  <c r="T480" i="21"/>
  <c r="P480" i="21"/>
  <c r="F480" i="21"/>
  <c r="E480" i="21"/>
  <c r="D480" i="21"/>
  <c r="U479" i="21"/>
  <c r="T479" i="21"/>
  <c r="P479" i="21"/>
  <c r="F479" i="21"/>
  <c r="E479" i="21"/>
  <c r="D479" i="21"/>
  <c r="U478" i="21"/>
  <c r="T478" i="21"/>
  <c r="P478" i="21"/>
  <c r="F478" i="21"/>
  <c r="E478" i="21"/>
  <c r="D478" i="21"/>
  <c r="U477" i="21"/>
  <c r="T477" i="21"/>
  <c r="P477" i="21"/>
  <c r="F477" i="21"/>
  <c r="E477" i="21"/>
  <c r="D477" i="21"/>
  <c r="U476" i="21"/>
  <c r="T476" i="21"/>
  <c r="P476" i="21"/>
  <c r="F476" i="21"/>
  <c r="E476" i="21"/>
  <c r="D476" i="21"/>
  <c r="U475" i="21"/>
  <c r="T475" i="21"/>
  <c r="P475" i="21"/>
  <c r="F475" i="21"/>
  <c r="E475" i="21"/>
  <c r="D475" i="21"/>
  <c r="U474" i="21"/>
  <c r="T474" i="21"/>
  <c r="P474" i="21"/>
  <c r="F474" i="21"/>
  <c r="E474" i="21"/>
  <c r="D474" i="21"/>
  <c r="U473" i="21"/>
  <c r="T473" i="21"/>
  <c r="P473" i="21"/>
  <c r="F473" i="21"/>
  <c r="E473" i="21"/>
  <c r="D473" i="21"/>
  <c r="U472" i="21"/>
  <c r="T472" i="21"/>
  <c r="P472" i="21"/>
  <c r="F472" i="21"/>
  <c r="E472" i="21"/>
  <c r="D472" i="21"/>
  <c r="U471" i="21"/>
  <c r="T471" i="21"/>
  <c r="P471" i="21"/>
  <c r="F471" i="21"/>
  <c r="E471" i="21"/>
  <c r="D471" i="21"/>
  <c r="U470" i="21"/>
  <c r="T470" i="21"/>
  <c r="P470" i="21"/>
  <c r="F470" i="21"/>
  <c r="E470" i="21"/>
  <c r="D470" i="21"/>
  <c r="U469" i="21"/>
  <c r="T469" i="21"/>
  <c r="P469" i="21"/>
  <c r="F469" i="21"/>
  <c r="E469" i="21"/>
  <c r="D469" i="21"/>
  <c r="U468" i="21"/>
  <c r="T468" i="21"/>
  <c r="P468" i="21"/>
  <c r="F468" i="21"/>
  <c r="E468" i="21"/>
  <c r="D468" i="21"/>
  <c r="U467" i="21"/>
  <c r="T467" i="21"/>
  <c r="P467" i="21"/>
  <c r="F467" i="21"/>
  <c r="E467" i="21"/>
  <c r="D467" i="21"/>
  <c r="U466" i="21"/>
  <c r="T466" i="21"/>
  <c r="P466" i="21"/>
  <c r="F466" i="21"/>
  <c r="E466" i="21"/>
  <c r="D466" i="21"/>
  <c r="U465" i="21"/>
  <c r="T465" i="21"/>
  <c r="P465" i="21"/>
  <c r="F465" i="21"/>
  <c r="E465" i="21"/>
  <c r="D465" i="21"/>
  <c r="U464" i="21"/>
  <c r="T464" i="21"/>
  <c r="P464" i="21"/>
  <c r="F464" i="21"/>
  <c r="E464" i="21"/>
  <c r="D464" i="21"/>
  <c r="U463" i="21"/>
  <c r="T463" i="21"/>
  <c r="P463" i="21"/>
  <c r="F463" i="21"/>
  <c r="E463" i="21"/>
  <c r="D463" i="21"/>
  <c r="U462" i="21"/>
  <c r="T462" i="21"/>
  <c r="P462" i="21"/>
  <c r="F462" i="21"/>
  <c r="E462" i="21"/>
  <c r="D462" i="21"/>
  <c r="U461" i="21"/>
  <c r="T461" i="21"/>
  <c r="P461" i="21"/>
  <c r="F461" i="21"/>
  <c r="E461" i="21"/>
  <c r="D461" i="21"/>
  <c r="U460" i="21"/>
  <c r="T460" i="21"/>
  <c r="P460" i="21"/>
  <c r="F460" i="21"/>
  <c r="E460" i="21"/>
  <c r="D460" i="21"/>
  <c r="U459" i="21"/>
  <c r="T459" i="21"/>
  <c r="P459" i="21"/>
  <c r="F459" i="21"/>
  <c r="E459" i="21"/>
  <c r="D459" i="21"/>
  <c r="U458" i="21"/>
  <c r="T458" i="21"/>
  <c r="P458" i="21"/>
  <c r="F458" i="21"/>
  <c r="E458" i="21"/>
  <c r="D458" i="21"/>
  <c r="U457" i="21"/>
  <c r="T457" i="21"/>
  <c r="P457" i="21"/>
  <c r="F457" i="21"/>
  <c r="E457" i="21"/>
  <c r="D457" i="21"/>
  <c r="U456" i="21"/>
  <c r="T456" i="21"/>
  <c r="P456" i="21"/>
  <c r="F456" i="21"/>
  <c r="E456" i="21"/>
  <c r="D456" i="21"/>
  <c r="U455" i="21"/>
  <c r="T455" i="21"/>
  <c r="P455" i="21"/>
  <c r="F455" i="21"/>
  <c r="E455" i="21"/>
  <c r="D455" i="21"/>
  <c r="U454" i="21"/>
  <c r="T454" i="21"/>
  <c r="P454" i="21"/>
  <c r="F454" i="21"/>
  <c r="E454" i="21"/>
  <c r="D454" i="21"/>
  <c r="U453" i="21"/>
  <c r="T453" i="21"/>
  <c r="P453" i="21"/>
  <c r="F453" i="21"/>
  <c r="E453" i="21"/>
  <c r="D453" i="21"/>
  <c r="U452" i="21"/>
  <c r="T452" i="21"/>
  <c r="P452" i="21"/>
  <c r="F452" i="21"/>
  <c r="E452" i="21"/>
  <c r="D452" i="21"/>
  <c r="U451" i="21"/>
  <c r="T451" i="21"/>
  <c r="P451" i="21"/>
  <c r="F451" i="21"/>
  <c r="E451" i="21"/>
  <c r="D451" i="21"/>
  <c r="U450" i="21"/>
  <c r="T450" i="21"/>
  <c r="P450" i="21"/>
  <c r="F450" i="21"/>
  <c r="E450" i="21"/>
  <c r="D450" i="21"/>
  <c r="U449" i="21"/>
  <c r="T449" i="21"/>
  <c r="P449" i="21"/>
  <c r="F449" i="21"/>
  <c r="E449" i="21"/>
  <c r="D449" i="21"/>
  <c r="U448" i="21"/>
  <c r="T448" i="21"/>
  <c r="P448" i="21"/>
  <c r="F448" i="21"/>
  <c r="E448" i="21"/>
  <c r="D448" i="21"/>
  <c r="U447" i="21"/>
  <c r="T447" i="21"/>
  <c r="P447" i="21"/>
  <c r="F447" i="21"/>
  <c r="E447" i="21"/>
  <c r="D447" i="21"/>
  <c r="U446" i="21"/>
  <c r="T446" i="21"/>
  <c r="P446" i="21"/>
  <c r="F446" i="21"/>
  <c r="E446" i="21"/>
  <c r="D446" i="21"/>
  <c r="U445" i="21"/>
  <c r="T445" i="21"/>
  <c r="P445" i="21"/>
  <c r="F445" i="21"/>
  <c r="E445" i="21"/>
  <c r="D445" i="21"/>
  <c r="U444" i="21"/>
  <c r="T444" i="21"/>
  <c r="P444" i="21"/>
  <c r="F444" i="21"/>
  <c r="E444" i="21"/>
  <c r="D444" i="21"/>
  <c r="U443" i="21"/>
  <c r="T443" i="21"/>
  <c r="P443" i="21"/>
  <c r="F443" i="21"/>
  <c r="E443" i="21"/>
  <c r="D443" i="21"/>
  <c r="U442" i="21"/>
  <c r="T442" i="21"/>
  <c r="P442" i="21"/>
  <c r="F442" i="21"/>
  <c r="E442" i="21"/>
  <c r="D442" i="21"/>
  <c r="U441" i="21"/>
  <c r="T441" i="21"/>
  <c r="P441" i="21"/>
  <c r="F441" i="21"/>
  <c r="E441" i="21"/>
  <c r="D441" i="21"/>
  <c r="U440" i="21"/>
  <c r="T440" i="21"/>
  <c r="P440" i="21"/>
  <c r="F440" i="21"/>
  <c r="E440" i="21"/>
  <c r="D440" i="21"/>
  <c r="U439" i="21"/>
  <c r="T439" i="21"/>
  <c r="P439" i="21"/>
  <c r="F439" i="21"/>
  <c r="E439" i="21"/>
  <c r="D439" i="21"/>
  <c r="U438" i="21"/>
  <c r="T438" i="21"/>
  <c r="P438" i="21"/>
  <c r="F438" i="21"/>
  <c r="E438" i="21"/>
  <c r="D438" i="21"/>
  <c r="U437" i="21"/>
  <c r="T437" i="21"/>
  <c r="P437" i="21"/>
  <c r="F437" i="21"/>
  <c r="E437" i="21"/>
  <c r="D437" i="21"/>
  <c r="U436" i="21"/>
  <c r="T436" i="21"/>
  <c r="P436" i="21"/>
  <c r="F436" i="21"/>
  <c r="E436" i="21"/>
  <c r="D436" i="21"/>
  <c r="U435" i="21"/>
  <c r="T435" i="21"/>
  <c r="P435" i="21"/>
  <c r="F435" i="21"/>
  <c r="E435" i="21"/>
  <c r="D435" i="21"/>
  <c r="U434" i="21"/>
  <c r="T434" i="21"/>
  <c r="P434" i="21"/>
  <c r="F434" i="21"/>
  <c r="E434" i="21"/>
  <c r="D434" i="21"/>
  <c r="U433" i="21"/>
  <c r="T433" i="21"/>
  <c r="P433" i="21"/>
  <c r="F433" i="21"/>
  <c r="E433" i="21"/>
  <c r="D433" i="21"/>
  <c r="U432" i="21"/>
  <c r="T432" i="21"/>
  <c r="P432" i="21"/>
  <c r="F432" i="21"/>
  <c r="E432" i="21"/>
  <c r="D432" i="21"/>
  <c r="U431" i="21"/>
  <c r="T431" i="21"/>
  <c r="P431" i="21"/>
  <c r="F431" i="21"/>
  <c r="E431" i="21"/>
  <c r="D431" i="21"/>
  <c r="U430" i="21"/>
  <c r="T430" i="21"/>
  <c r="P430" i="21"/>
  <c r="F430" i="21"/>
  <c r="E430" i="21"/>
  <c r="D430" i="21"/>
  <c r="U429" i="21"/>
  <c r="T429" i="21"/>
  <c r="P429" i="21"/>
  <c r="F429" i="21"/>
  <c r="E429" i="21"/>
  <c r="D429" i="21"/>
  <c r="U428" i="21"/>
  <c r="T428" i="21"/>
  <c r="P428" i="21"/>
  <c r="F428" i="21"/>
  <c r="E428" i="21"/>
  <c r="D428" i="21"/>
  <c r="U427" i="21"/>
  <c r="T427" i="21"/>
  <c r="P427" i="21"/>
  <c r="F427" i="21"/>
  <c r="E427" i="21"/>
  <c r="D427" i="21"/>
  <c r="U426" i="21"/>
  <c r="T426" i="21"/>
  <c r="P426" i="21"/>
  <c r="F426" i="21"/>
  <c r="E426" i="21"/>
  <c r="D426" i="21"/>
  <c r="U425" i="21"/>
  <c r="T425" i="21"/>
  <c r="P425" i="21"/>
  <c r="F425" i="21"/>
  <c r="E425" i="21"/>
  <c r="D425" i="21"/>
  <c r="U424" i="21"/>
  <c r="T424" i="21"/>
  <c r="P424" i="21"/>
  <c r="F424" i="21"/>
  <c r="E424" i="21"/>
  <c r="D424" i="21"/>
  <c r="U423" i="21"/>
  <c r="T423" i="21"/>
  <c r="P423" i="21"/>
  <c r="F423" i="21"/>
  <c r="E423" i="21"/>
  <c r="D423" i="21"/>
  <c r="U422" i="21"/>
  <c r="T422" i="21"/>
  <c r="P422" i="21"/>
  <c r="F422" i="21"/>
  <c r="E422" i="21"/>
  <c r="D422" i="21"/>
  <c r="U421" i="21"/>
  <c r="T421" i="21"/>
  <c r="P421" i="21"/>
  <c r="F421" i="21"/>
  <c r="E421" i="21"/>
  <c r="D421" i="21"/>
  <c r="U420" i="21"/>
  <c r="T420" i="21"/>
  <c r="P420" i="21"/>
  <c r="F420" i="21"/>
  <c r="E420" i="21"/>
  <c r="D420" i="21"/>
  <c r="U419" i="21"/>
  <c r="T419" i="21"/>
  <c r="P419" i="21"/>
  <c r="F419" i="21"/>
  <c r="E419" i="21"/>
  <c r="D419" i="21"/>
  <c r="U418" i="21"/>
  <c r="T418" i="21"/>
  <c r="P418" i="21"/>
  <c r="F418" i="21"/>
  <c r="E418" i="21"/>
  <c r="D418" i="21"/>
  <c r="U417" i="21"/>
  <c r="T417" i="21"/>
  <c r="P417" i="21"/>
  <c r="F417" i="21"/>
  <c r="E417" i="21"/>
  <c r="D417" i="21"/>
  <c r="U416" i="21"/>
  <c r="T416" i="21"/>
  <c r="P416" i="21"/>
  <c r="F416" i="21"/>
  <c r="E416" i="21"/>
  <c r="D416" i="21"/>
  <c r="U415" i="21"/>
  <c r="T415" i="21"/>
  <c r="P415" i="21"/>
  <c r="F415" i="21"/>
  <c r="E415" i="21"/>
  <c r="D415" i="21"/>
  <c r="U414" i="21"/>
  <c r="T414" i="21"/>
  <c r="P414" i="21"/>
  <c r="F414" i="21"/>
  <c r="E414" i="21"/>
  <c r="D414" i="21"/>
  <c r="U413" i="21"/>
  <c r="T413" i="21"/>
  <c r="P413" i="21"/>
  <c r="F413" i="21"/>
  <c r="E413" i="21"/>
  <c r="D413" i="21"/>
  <c r="U412" i="21"/>
  <c r="T412" i="21"/>
  <c r="P412" i="21"/>
  <c r="F412" i="21"/>
  <c r="E412" i="21"/>
  <c r="D412" i="21"/>
  <c r="U411" i="21"/>
  <c r="T411" i="21"/>
  <c r="P411" i="21"/>
  <c r="F411" i="21"/>
  <c r="E411" i="21"/>
  <c r="D411" i="21"/>
  <c r="U410" i="21"/>
  <c r="T410" i="21"/>
  <c r="P410" i="21"/>
  <c r="F410" i="21"/>
  <c r="E410" i="21"/>
  <c r="D410" i="21"/>
  <c r="U409" i="21"/>
  <c r="T409" i="21"/>
  <c r="P409" i="21"/>
  <c r="F409" i="21"/>
  <c r="E409" i="21"/>
  <c r="D409" i="21"/>
  <c r="U408" i="21"/>
  <c r="T408" i="21"/>
  <c r="P408" i="21"/>
  <c r="F408" i="21"/>
  <c r="E408" i="21"/>
  <c r="D408" i="21"/>
  <c r="U407" i="21"/>
  <c r="T407" i="21"/>
  <c r="P407" i="21"/>
  <c r="F407" i="21"/>
  <c r="E407" i="21"/>
  <c r="D407" i="21"/>
  <c r="U406" i="21"/>
  <c r="T406" i="21"/>
  <c r="P406" i="21"/>
  <c r="F406" i="21"/>
  <c r="E406" i="21"/>
  <c r="D406" i="21"/>
  <c r="U405" i="21"/>
  <c r="T405" i="21"/>
  <c r="P405" i="21"/>
  <c r="F405" i="21"/>
  <c r="E405" i="21"/>
  <c r="D405" i="21"/>
  <c r="U404" i="21"/>
  <c r="T404" i="21"/>
  <c r="P404" i="21"/>
  <c r="F404" i="21"/>
  <c r="E404" i="21"/>
  <c r="D404" i="21"/>
  <c r="U403" i="21"/>
  <c r="T403" i="21"/>
  <c r="P403" i="21"/>
  <c r="F403" i="21"/>
  <c r="E403" i="21"/>
  <c r="D403" i="21"/>
  <c r="U402" i="21"/>
  <c r="T402" i="21"/>
  <c r="P402" i="21"/>
  <c r="F402" i="21"/>
  <c r="E402" i="21"/>
  <c r="D402" i="21"/>
  <c r="U401" i="21"/>
  <c r="T401" i="21"/>
  <c r="P401" i="21"/>
  <c r="F401" i="21"/>
  <c r="E401" i="21"/>
  <c r="D401" i="21"/>
  <c r="U400" i="21"/>
  <c r="T400" i="21"/>
  <c r="P400" i="21"/>
  <c r="F400" i="21"/>
  <c r="E400" i="21"/>
  <c r="D400" i="21"/>
  <c r="U399" i="21"/>
  <c r="T399" i="21"/>
  <c r="P399" i="21"/>
  <c r="F399" i="21"/>
  <c r="E399" i="21"/>
  <c r="D399" i="21"/>
  <c r="U398" i="21"/>
  <c r="T398" i="21"/>
  <c r="P398" i="21"/>
  <c r="F398" i="21"/>
  <c r="E398" i="21"/>
  <c r="D398" i="21"/>
  <c r="U397" i="21"/>
  <c r="T397" i="21"/>
  <c r="P397" i="21"/>
  <c r="F397" i="21"/>
  <c r="E397" i="21"/>
  <c r="D397" i="21"/>
  <c r="U396" i="21"/>
  <c r="T396" i="21"/>
  <c r="P396" i="21"/>
  <c r="F396" i="21"/>
  <c r="E396" i="21"/>
  <c r="D396" i="21"/>
  <c r="U395" i="21"/>
  <c r="T395" i="21"/>
  <c r="P395" i="21"/>
  <c r="F395" i="21"/>
  <c r="E395" i="21"/>
  <c r="D395" i="21"/>
  <c r="U394" i="21"/>
  <c r="T394" i="21"/>
  <c r="P394" i="21"/>
  <c r="F394" i="21"/>
  <c r="E394" i="21"/>
  <c r="D394" i="21"/>
  <c r="U393" i="21"/>
  <c r="T393" i="21"/>
  <c r="P393" i="21"/>
  <c r="F393" i="21"/>
  <c r="E393" i="21"/>
  <c r="D393" i="21"/>
  <c r="U392" i="21"/>
  <c r="T392" i="21"/>
  <c r="P392" i="21"/>
  <c r="F392" i="21"/>
  <c r="E392" i="21"/>
  <c r="D392" i="21"/>
  <c r="U391" i="21"/>
  <c r="T391" i="21"/>
  <c r="P391" i="21"/>
  <c r="F391" i="21"/>
  <c r="E391" i="21"/>
  <c r="D391" i="21"/>
  <c r="U390" i="21"/>
  <c r="T390" i="21"/>
  <c r="P390" i="21"/>
  <c r="F390" i="21"/>
  <c r="E390" i="21"/>
  <c r="D390" i="21"/>
  <c r="U389" i="21"/>
  <c r="T389" i="21"/>
  <c r="P389" i="21"/>
  <c r="F389" i="21"/>
  <c r="E389" i="21"/>
  <c r="D389" i="21"/>
  <c r="U388" i="21"/>
  <c r="T388" i="21"/>
  <c r="P388" i="21"/>
  <c r="F388" i="21"/>
  <c r="E388" i="21"/>
  <c r="D388" i="21"/>
  <c r="U387" i="21"/>
  <c r="T387" i="21"/>
  <c r="P387" i="21"/>
  <c r="F387" i="21"/>
  <c r="E387" i="21"/>
  <c r="D387" i="21"/>
  <c r="U386" i="21"/>
  <c r="T386" i="21"/>
  <c r="P386" i="21"/>
  <c r="F386" i="21"/>
  <c r="E386" i="21"/>
  <c r="D386" i="21"/>
  <c r="U385" i="21"/>
  <c r="T385" i="21"/>
  <c r="P385" i="21"/>
  <c r="F385" i="21"/>
  <c r="E385" i="21"/>
  <c r="D385" i="21"/>
  <c r="U384" i="21"/>
  <c r="T384" i="21"/>
  <c r="P384" i="21"/>
  <c r="F384" i="21"/>
  <c r="E384" i="21"/>
  <c r="D384" i="21"/>
  <c r="U383" i="21"/>
  <c r="T383" i="21"/>
  <c r="P383" i="21"/>
  <c r="F383" i="21"/>
  <c r="E383" i="21"/>
  <c r="D383" i="21"/>
  <c r="U382" i="21"/>
  <c r="T382" i="21"/>
  <c r="P382" i="21"/>
  <c r="F382" i="21"/>
  <c r="E382" i="21"/>
  <c r="D382" i="21"/>
  <c r="U381" i="21"/>
  <c r="T381" i="21"/>
  <c r="P381" i="21"/>
  <c r="F381" i="21"/>
  <c r="E381" i="21"/>
  <c r="D381" i="21"/>
  <c r="U380" i="21"/>
  <c r="T380" i="21"/>
  <c r="P380" i="21"/>
  <c r="F380" i="21"/>
  <c r="E380" i="21"/>
  <c r="D380" i="21"/>
  <c r="U379" i="21"/>
  <c r="T379" i="21"/>
  <c r="P379" i="21"/>
  <c r="F379" i="21"/>
  <c r="E379" i="21"/>
  <c r="D379" i="21"/>
  <c r="U378" i="21"/>
  <c r="T378" i="21"/>
  <c r="P378" i="21"/>
  <c r="F378" i="21"/>
  <c r="E378" i="21"/>
  <c r="D378" i="21"/>
  <c r="U377" i="21"/>
  <c r="T377" i="21"/>
  <c r="P377" i="21"/>
  <c r="F377" i="21"/>
  <c r="E377" i="21"/>
  <c r="D377" i="21"/>
  <c r="U376" i="21"/>
  <c r="T376" i="21"/>
  <c r="P376" i="21"/>
  <c r="F376" i="21"/>
  <c r="E376" i="21"/>
  <c r="D376" i="21"/>
  <c r="U375" i="21"/>
  <c r="T375" i="21"/>
  <c r="P375" i="21"/>
  <c r="F375" i="21"/>
  <c r="E375" i="21"/>
  <c r="D375" i="21"/>
  <c r="U374" i="21"/>
  <c r="T374" i="21"/>
  <c r="P374" i="21"/>
  <c r="F374" i="21"/>
  <c r="E374" i="21"/>
  <c r="D374" i="21"/>
  <c r="U373" i="21"/>
  <c r="T373" i="21"/>
  <c r="P373" i="21"/>
  <c r="F373" i="21"/>
  <c r="E373" i="21"/>
  <c r="D373" i="21"/>
  <c r="U372" i="21"/>
  <c r="T372" i="21"/>
  <c r="P372" i="21"/>
  <c r="F372" i="21"/>
  <c r="E372" i="21"/>
  <c r="D372" i="21"/>
  <c r="U371" i="21"/>
  <c r="T371" i="21"/>
  <c r="P371" i="21"/>
  <c r="F371" i="21"/>
  <c r="E371" i="21"/>
  <c r="D371" i="21"/>
  <c r="U370" i="21"/>
  <c r="T370" i="21"/>
  <c r="P370" i="21"/>
  <c r="F370" i="21"/>
  <c r="E370" i="21"/>
  <c r="D370" i="21"/>
  <c r="U369" i="21"/>
  <c r="T369" i="21"/>
  <c r="P369" i="21"/>
  <c r="F369" i="21"/>
  <c r="E369" i="21"/>
  <c r="D369" i="21"/>
  <c r="U368" i="21"/>
  <c r="T368" i="21"/>
  <c r="P368" i="21"/>
  <c r="F368" i="21"/>
  <c r="E368" i="21"/>
  <c r="D368" i="21"/>
  <c r="U367" i="21"/>
  <c r="T367" i="21"/>
  <c r="P367" i="21"/>
  <c r="F367" i="21"/>
  <c r="E367" i="21"/>
  <c r="D367" i="21"/>
  <c r="U366" i="21"/>
  <c r="T366" i="21"/>
  <c r="P366" i="21"/>
  <c r="F366" i="21"/>
  <c r="E366" i="21"/>
  <c r="D366" i="21"/>
  <c r="U365" i="21"/>
  <c r="T365" i="21"/>
  <c r="P365" i="21"/>
  <c r="F365" i="21"/>
  <c r="E365" i="21"/>
  <c r="D365" i="21"/>
  <c r="U364" i="21"/>
  <c r="T364" i="21"/>
  <c r="P364" i="21"/>
  <c r="F364" i="21"/>
  <c r="E364" i="21"/>
  <c r="D364" i="21"/>
  <c r="U363" i="21"/>
  <c r="T363" i="21"/>
  <c r="P363" i="21"/>
  <c r="F363" i="21"/>
  <c r="E363" i="21"/>
  <c r="D363" i="21"/>
  <c r="U362" i="21"/>
  <c r="T362" i="21"/>
  <c r="P362" i="21"/>
  <c r="F362" i="21"/>
  <c r="E362" i="21"/>
  <c r="D362" i="21"/>
  <c r="U361" i="21"/>
  <c r="T361" i="21"/>
  <c r="P361" i="21"/>
  <c r="F361" i="21"/>
  <c r="E361" i="21"/>
  <c r="D361" i="21"/>
  <c r="U360" i="21"/>
  <c r="T360" i="21"/>
  <c r="P360" i="21"/>
  <c r="F360" i="21"/>
  <c r="E360" i="21"/>
  <c r="D360" i="21"/>
  <c r="U359" i="21"/>
  <c r="T359" i="21"/>
  <c r="P359" i="21"/>
  <c r="F359" i="21"/>
  <c r="E359" i="21"/>
  <c r="D359" i="21"/>
  <c r="U358" i="21"/>
  <c r="T358" i="21"/>
  <c r="P358" i="21"/>
  <c r="F358" i="21"/>
  <c r="E358" i="21"/>
  <c r="D358" i="21"/>
  <c r="U357" i="21"/>
  <c r="T357" i="21"/>
  <c r="P357" i="21"/>
  <c r="F357" i="21"/>
  <c r="E357" i="21"/>
  <c r="D357" i="21"/>
  <c r="U356" i="21"/>
  <c r="T356" i="21"/>
  <c r="P356" i="21"/>
  <c r="F356" i="21"/>
  <c r="E356" i="21"/>
  <c r="D356" i="21"/>
  <c r="U355" i="21"/>
  <c r="T355" i="21"/>
  <c r="P355" i="21"/>
  <c r="F355" i="21"/>
  <c r="E355" i="21"/>
  <c r="D355" i="21"/>
  <c r="U354" i="21"/>
  <c r="T354" i="21"/>
  <c r="P354" i="21"/>
  <c r="F354" i="21"/>
  <c r="E354" i="21"/>
  <c r="D354" i="21"/>
  <c r="U353" i="21"/>
  <c r="T353" i="21"/>
  <c r="P353" i="21"/>
  <c r="F353" i="21"/>
  <c r="E353" i="21"/>
  <c r="D353" i="21"/>
  <c r="U352" i="21"/>
  <c r="T352" i="21"/>
  <c r="P352" i="21"/>
  <c r="F352" i="21"/>
  <c r="E352" i="21"/>
  <c r="D352" i="21"/>
  <c r="U351" i="21"/>
  <c r="T351" i="21"/>
  <c r="P351" i="21"/>
  <c r="F351" i="21"/>
  <c r="E351" i="21"/>
  <c r="D351" i="21"/>
  <c r="U350" i="21"/>
  <c r="T350" i="21"/>
  <c r="P350" i="21"/>
  <c r="F350" i="21"/>
  <c r="E350" i="21"/>
  <c r="D350" i="21"/>
  <c r="U349" i="21"/>
  <c r="T349" i="21"/>
  <c r="P349" i="21"/>
  <c r="F349" i="21"/>
  <c r="E349" i="21"/>
  <c r="D349" i="21"/>
  <c r="U348" i="21"/>
  <c r="T348" i="21"/>
  <c r="P348" i="21"/>
  <c r="F348" i="21"/>
  <c r="E348" i="21"/>
  <c r="D348" i="21"/>
  <c r="U347" i="21"/>
  <c r="T347" i="21"/>
  <c r="P347" i="21"/>
  <c r="F347" i="21"/>
  <c r="E347" i="21"/>
  <c r="D347" i="21"/>
  <c r="U346" i="21"/>
  <c r="T346" i="21"/>
  <c r="P346" i="21"/>
  <c r="F346" i="21"/>
  <c r="E346" i="21"/>
  <c r="D346" i="21"/>
  <c r="U345" i="21"/>
  <c r="T345" i="21"/>
  <c r="P345" i="21"/>
  <c r="F345" i="21"/>
  <c r="E345" i="21"/>
  <c r="D345" i="21"/>
  <c r="U344" i="21"/>
  <c r="T344" i="21"/>
  <c r="P344" i="21"/>
  <c r="F344" i="21"/>
  <c r="E344" i="21"/>
  <c r="D344" i="21"/>
  <c r="U343" i="21"/>
  <c r="T343" i="21"/>
  <c r="P343" i="21"/>
  <c r="F343" i="21"/>
  <c r="E343" i="21"/>
  <c r="D343" i="21"/>
  <c r="U342" i="21"/>
  <c r="T342" i="21"/>
  <c r="P342" i="21"/>
  <c r="F342" i="21"/>
  <c r="E342" i="21"/>
  <c r="D342" i="21"/>
  <c r="U341" i="21"/>
  <c r="T341" i="21"/>
  <c r="P341" i="21"/>
  <c r="F341" i="21"/>
  <c r="E341" i="21"/>
  <c r="D341" i="21"/>
  <c r="U340" i="21"/>
  <c r="T340" i="21"/>
  <c r="P340" i="21"/>
  <c r="F340" i="21"/>
  <c r="E340" i="21"/>
  <c r="D340" i="21"/>
  <c r="U339" i="21"/>
  <c r="T339" i="21"/>
  <c r="P339" i="21"/>
  <c r="F339" i="21"/>
  <c r="E339" i="21"/>
  <c r="D339" i="21"/>
  <c r="U338" i="21"/>
  <c r="T338" i="21"/>
  <c r="P338" i="21"/>
  <c r="F338" i="21"/>
  <c r="E338" i="21"/>
  <c r="D338" i="21"/>
  <c r="U337" i="21"/>
  <c r="T337" i="21"/>
  <c r="P337" i="21"/>
  <c r="F337" i="21"/>
  <c r="E337" i="21"/>
  <c r="D337" i="21"/>
  <c r="U336" i="21"/>
  <c r="T336" i="21"/>
  <c r="P336" i="21"/>
  <c r="F336" i="21"/>
  <c r="E336" i="21"/>
  <c r="D336" i="21"/>
  <c r="U335" i="21"/>
  <c r="T335" i="21"/>
  <c r="P335" i="21"/>
  <c r="F335" i="21"/>
  <c r="E335" i="21"/>
  <c r="D335" i="21"/>
  <c r="U334" i="21"/>
  <c r="T334" i="21"/>
  <c r="P334" i="21"/>
  <c r="F334" i="21"/>
  <c r="E334" i="21"/>
  <c r="D334" i="21"/>
  <c r="U333" i="21"/>
  <c r="T333" i="21"/>
  <c r="P333" i="21"/>
  <c r="F333" i="21"/>
  <c r="E333" i="21"/>
  <c r="D333" i="21"/>
  <c r="U332" i="21"/>
  <c r="T332" i="21"/>
  <c r="P332" i="21"/>
  <c r="F332" i="21"/>
  <c r="E332" i="21"/>
  <c r="D332" i="21"/>
  <c r="U331" i="21"/>
  <c r="T331" i="21"/>
  <c r="P331" i="21"/>
  <c r="F331" i="21"/>
  <c r="E331" i="21"/>
  <c r="D331" i="21"/>
  <c r="U330" i="21"/>
  <c r="T330" i="21"/>
  <c r="P330" i="21"/>
  <c r="F330" i="21"/>
  <c r="E330" i="21"/>
  <c r="D330" i="21"/>
  <c r="U329" i="21"/>
  <c r="T329" i="21"/>
  <c r="P329" i="21"/>
  <c r="F329" i="21"/>
  <c r="E329" i="21"/>
  <c r="D329" i="21"/>
  <c r="U328" i="21"/>
  <c r="T328" i="21"/>
  <c r="P328" i="21"/>
  <c r="F328" i="21"/>
  <c r="E328" i="21"/>
  <c r="D328" i="21"/>
  <c r="U327" i="21"/>
  <c r="T327" i="21"/>
  <c r="P327" i="21"/>
  <c r="F327" i="21"/>
  <c r="E327" i="21"/>
  <c r="D327" i="21"/>
  <c r="U326" i="21"/>
  <c r="T326" i="21"/>
  <c r="P326" i="21"/>
  <c r="F326" i="21"/>
  <c r="E326" i="21"/>
  <c r="D326" i="21"/>
  <c r="U325" i="21"/>
  <c r="T325" i="21"/>
  <c r="P325" i="21"/>
  <c r="F325" i="21"/>
  <c r="E325" i="21"/>
  <c r="D325" i="21"/>
  <c r="U324" i="21"/>
  <c r="T324" i="21"/>
  <c r="P324" i="21"/>
  <c r="F324" i="21"/>
  <c r="E324" i="21"/>
  <c r="D324" i="21"/>
  <c r="U323" i="21"/>
  <c r="T323" i="21"/>
  <c r="P323" i="21"/>
  <c r="F323" i="21"/>
  <c r="E323" i="21"/>
  <c r="D323" i="21"/>
  <c r="U322" i="21"/>
  <c r="T322" i="21"/>
  <c r="P322" i="21"/>
  <c r="F322" i="21"/>
  <c r="E322" i="21"/>
  <c r="D322" i="21"/>
  <c r="U321" i="21"/>
  <c r="T321" i="21"/>
  <c r="P321" i="21"/>
  <c r="F321" i="21"/>
  <c r="E321" i="21"/>
  <c r="D321" i="21"/>
  <c r="U320" i="21"/>
  <c r="T320" i="21"/>
  <c r="P320" i="21"/>
  <c r="F320" i="21"/>
  <c r="E320" i="21"/>
  <c r="D320" i="21"/>
  <c r="U319" i="21"/>
  <c r="T319" i="21"/>
  <c r="P319" i="21"/>
  <c r="F319" i="21"/>
  <c r="E319" i="21"/>
  <c r="D319" i="21"/>
  <c r="U318" i="21"/>
  <c r="T318" i="21"/>
  <c r="P318" i="21"/>
  <c r="F318" i="21"/>
  <c r="E318" i="21"/>
  <c r="D318" i="21"/>
  <c r="U317" i="21"/>
  <c r="T317" i="21"/>
  <c r="P317" i="21"/>
  <c r="F317" i="21"/>
  <c r="E317" i="21"/>
  <c r="D317" i="21"/>
  <c r="U316" i="21"/>
  <c r="T316" i="21"/>
  <c r="P316" i="21"/>
  <c r="F316" i="21"/>
  <c r="E316" i="21"/>
  <c r="D316" i="21"/>
  <c r="U315" i="21"/>
  <c r="T315" i="21"/>
  <c r="P315" i="21"/>
  <c r="F315" i="21"/>
  <c r="E315" i="21"/>
  <c r="D315" i="21"/>
  <c r="U314" i="21"/>
  <c r="T314" i="21"/>
  <c r="P314" i="21"/>
  <c r="F314" i="21"/>
  <c r="E314" i="21"/>
  <c r="D314" i="21"/>
  <c r="U313" i="21"/>
  <c r="T313" i="21"/>
  <c r="P313" i="21"/>
  <c r="F313" i="21"/>
  <c r="E313" i="21"/>
  <c r="D313" i="21"/>
  <c r="U312" i="21"/>
  <c r="T312" i="21"/>
  <c r="P312" i="21"/>
  <c r="F312" i="21"/>
  <c r="E312" i="21"/>
  <c r="D312" i="21"/>
  <c r="U311" i="21"/>
  <c r="T311" i="21"/>
  <c r="P311" i="21"/>
  <c r="F311" i="21"/>
  <c r="E311" i="21"/>
  <c r="D311" i="21"/>
  <c r="U310" i="21"/>
  <c r="T310" i="21"/>
  <c r="P310" i="21"/>
  <c r="F310" i="21"/>
  <c r="E310" i="21"/>
  <c r="D310" i="21"/>
  <c r="U309" i="21"/>
  <c r="T309" i="21"/>
  <c r="P309" i="21"/>
  <c r="F309" i="21"/>
  <c r="E309" i="21"/>
  <c r="D309" i="21"/>
  <c r="U308" i="21"/>
  <c r="T308" i="21"/>
  <c r="P308" i="21"/>
  <c r="F308" i="21"/>
  <c r="E308" i="21"/>
  <c r="D308" i="21"/>
  <c r="U307" i="21"/>
  <c r="T307" i="21"/>
  <c r="P307" i="21"/>
  <c r="F307" i="21"/>
  <c r="E307" i="21"/>
  <c r="D307" i="21"/>
  <c r="U306" i="21"/>
  <c r="T306" i="21"/>
  <c r="P306" i="21"/>
  <c r="F306" i="21"/>
  <c r="E306" i="21"/>
  <c r="D306" i="21"/>
  <c r="U305" i="21"/>
  <c r="T305" i="21"/>
  <c r="P305" i="21"/>
  <c r="F305" i="21"/>
  <c r="E305" i="21"/>
  <c r="D305" i="21"/>
  <c r="U304" i="21"/>
  <c r="T304" i="21"/>
  <c r="P304" i="21"/>
  <c r="F304" i="21"/>
  <c r="E304" i="21"/>
  <c r="D304" i="21"/>
  <c r="U303" i="21"/>
  <c r="T303" i="21"/>
  <c r="P303" i="21"/>
  <c r="F303" i="21"/>
  <c r="E303" i="21"/>
  <c r="D303" i="21"/>
  <c r="U302" i="21"/>
  <c r="T302" i="21"/>
  <c r="P302" i="21"/>
  <c r="F302" i="21"/>
  <c r="E302" i="21"/>
  <c r="D302" i="21"/>
  <c r="U301" i="21"/>
  <c r="T301" i="21"/>
  <c r="P301" i="21"/>
  <c r="F301" i="21"/>
  <c r="E301" i="21"/>
  <c r="D301" i="21"/>
  <c r="U300" i="21"/>
  <c r="T300" i="21"/>
  <c r="P300" i="21"/>
  <c r="F300" i="21"/>
  <c r="E300" i="21"/>
  <c r="D300" i="21"/>
  <c r="U299" i="21"/>
  <c r="T299" i="21"/>
  <c r="P299" i="21"/>
  <c r="F299" i="21"/>
  <c r="E299" i="21"/>
  <c r="D299" i="21"/>
  <c r="U298" i="21"/>
  <c r="T298" i="21"/>
  <c r="P298" i="21"/>
  <c r="F298" i="21"/>
  <c r="E298" i="21"/>
  <c r="D298" i="21"/>
  <c r="U297" i="21"/>
  <c r="T297" i="21"/>
  <c r="P297" i="21"/>
  <c r="F297" i="21"/>
  <c r="E297" i="21"/>
  <c r="D297" i="21"/>
  <c r="U296" i="21"/>
  <c r="T296" i="21"/>
  <c r="P296" i="21"/>
  <c r="F296" i="21"/>
  <c r="E296" i="21"/>
  <c r="D296" i="21"/>
  <c r="U295" i="21"/>
  <c r="T295" i="21"/>
  <c r="P295" i="21"/>
  <c r="F295" i="21"/>
  <c r="E295" i="21"/>
  <c r="D295" i="21"/>
  <c r="U294" i="21"/>
  <c r="T294" i="21"/>
  <c r="P294" i="21"/>
  <c r="F294" i="21"/>
  <c r="E294" i="21"/>
  <c r="D294" i="21"/>
  <c r="U293" i="21"/>
  <c r="T293" i="21"/>
  <c r="P293" i="21"/>
  <c r="F293" i="21"/>
  <c r="E293" i="21"/>
  <c r="D293" i="21"/>
  <c r="U292" i="21"/>
  <c r="T292" i="21"/>
  <c r="P292" i="21"/>
  <c r="F292" i="21"/>
  <c r="E292" i="21"/>
  <c r="D292" i="21"/>
  <c r="U291" i="21"/>
  <c r="T291" i="21"/>
  <c r="P291" i="21"/>
  <c r="F291" i="21"/>
  <c r="E291" i="21"/>
  <c r="D291" i="21"/>
  <c r="U290" i="21"/>
  <c r="T290" i="21"/>
  <c r="P290" i="21"/>
  <c r="F290" i="21"/>
  <c r="E290" i="21"/>
  <c r="D290" i="21"/>
  <c r="U289" i="21"/>
  <c r="T289" i="21"/>
  <c r="P289" i="21"/>
  <c r="F289" i="21"/>
  <c r="E289" i="21"/>
  <c r="D289" i="21"/>
  <c r="U288" i="21"/>
  <c r="T288" i="21"/>
  <c r="P288" i="21"/>
  <c r="F288" i="21"/>
  <c r="E288" i="21"/>
  <c r="D288" i="21"/>
  <c r="U287" i="21"/>
  <c r="T287" i="21"/>
  <c r="P287" i="21"/>
  <c r="F287" i="21"/>
  <c r="E287" i="21"/>
  <c r="D287" i="21"/>
  <c r="U286" i="21"/>
  <c r="T286" i="21"/>
  <c r="P286" i="21"/>
  <c r="F286" i="21"/>
  <c r="E286" i="21"/>
  <c r="D286" i="21"/>
  <c r="U285" i="21"/>
  <c r="T285" i="21"/>
  <c r="P285" i="21"/>
  <c r="F285" i="21"/>
  <c r="E285" i="21"/>
  <c r="D285" i="21"/>
  <c r="U284" i="21"/>
  <c r="T284" i="21"/>
  <c r="P284" i="21"/>
  <c r="F284" i="21"/>
  <c r="E284" i="21"/>
  <c r="D284" i="21"/>
  <c r="U283" i="21"/>
  <c r="T283" i="21"/>
  <c r="P283" i="21"/>
  <c r="F283" i="21"/>
  <c r="E283" i="21"/>
  <c r="D283" i="21"/>
  <c r="U282" i="21"/>
  <c r="T282" i="21"/>
  <c r="P282" i="21"/>
  <c r="F282" i="21"/>
  <c r="E282" i="21"/>
  <c r="D282" i="21"/>
  <c r="U281" i="21"/>
  <c r="T281" i="21"/>
  <c r="P281" i="21"/>
  <c r="F281" i="21"/>
  <c r="E281" i="21"/>
  <c r="D281" i="21"/>
  <c r="U280" i="21"/>
  <c r="T280" i="21"/>
  <c r="P280" i="21"/>
  <c r="F280" i="21"/>
  <c r="E280" i="21"/>
  <c r="D280" i="21"/>
  <c r="U279" i="21"/>
  <c r="T279" i="21"/>
  <c r="P279" i="21"/>
  <c r="F279" i="21"/>
  <c r="E279" i="21"/>
  <c r="D279" i="21"/>
  <c r="U278" i="21"/>
  <c r="T278" i="21"/>
  <c r="P278" i="21"/>
  <c r="F278" i="21"/>
  <c r="E278" i="21"/>
  <c r="D278" i="21"/>
  <c r="U277" i="21"/>
  <c r="T277" i="21"/>
  <c r="P277" i="21"/>
  <c r="F277" i="21"/>
  <c r="E277" i="21"/>
  <c r="D277" i="21"/>
  <c r="U276" i="21"/>
  <c r="T276" i="21"/>
  <c r="P276" i="21"/>
  <c r="F276" i="21"/>
  <c r="E276" i="21"/>
  <c r="D276" i="21"/>
  <c r="U275" i="21"/>
  <c r="T275" i="21"/>
  <c r="P275" i="21"/>
  <c r="F275" i="21"/>
  <c r="E275" i="21"/>
  <c r="D275" i="21"/>
  <c r="U274" i="21"/>
  <c r="T274" i="21"/>
  <c r="P274" i="21"/>
  <c r="F274" i="21"/>
  <c r="E274" i="21"/>
  <c r="D274" i="21"/>
  <c r="U273" i="21"/>
  <c r="T273" i="21"/>
  <c r="P273" i="21"/>
  <c r="F273" i="21"/>
  <c r="E273" i="21"/>
  <c r="D273" i="21"/>
  <c r="U272" i="21"/>
  <c r="T272" i="21"/>
  <c r="P272" i="21"/>
  <c r="F272" i="21"/>
  <c r="E272" i="21"/>
  <c r="D272" i="21"/>
  <c r="U271" i="21"/>
  <c r="T271" i="21"/>
  <c r="P271" i="21"/>
  <c r="F271" i="21"/>
  <c r="E271" i="21"/>
  <c r="D271" i="21"/>
  <c r="U270" i="21"/>
  <c r="T270" i="21"/>
  <c r="P270" i="21"/>
  <c r="F270" i="21"/>
  <c r="E270" i="21"/>
  <c r="D270" i="21"/>
  <c r="U269" i="21"/>
  <c r="T269" i="21"/>
  <c r="P269" i="21"/>
  <c r="F269" i="21"/>
  <c r="E269" i="21"/>
  <c r="D269" i="21"/>
  <c r="U268" i="21"/>
  <c r="T268" i="21"/>
  <c r="P268" i="21"/>
  <c r="F268" i="21"/>
  <c r="E268" i="21"/>
  <c r="D268" i="21"/>
  <c r="U267" i="21"/>
  <c r="T267" i="21"/>
  <c r="P267" i="21"/>
  <c r="F267" i="21"/>
  <c r="E267" i="21"/>
  <c r="D267" i="21"/>
  <c r="U266" i="21"/>
  <c r="T266" i="21"/>
  <c r="P266" i="21"/>
  <c r="F266" i="21"/>
  <c r="E266" i="21"/>
  <c r="D266" i="21"/>
  <c r="U265" i="21"/>
  <c r="T265" i="21"/>
  <c r="P265" i="21"/>
  <c r="F265" i="21"/>
  <c r="E265" i="21"/>
  <c r="D265" i="21"/>
  <c r="U264" i="21"/>
  <c r="T264" i="21"/>
  <c r="P264" i="21"/>
  <c r="F264" i="21"/>
  <c r="E264" i="21"/>
  <c r="D264" i="21"/>
  <c r="U263" i="21"/>
  <c r="T263" i="21"/>
  <c r="P263" i="21"/>
  <c r="F263" i="21"/>
  <c r="E263" i="21"/>
  <c r="D263" i="21"/>
  <c r="U262" i="21"/>
  <c r="T262" i="21"/>
  <c r="P262" i="21"/>
  <c r="F262" i="21"/>
  <c r="E262" i="21"/>
  <c r="D262" i="21"/>
  <c r="U261" i="21"/>
  <c r="T261" i="21"/>
  <c r="P261" i="21"/>
  <c r="F261" i="21"/>
  <c r="E261" i="21"/>
  <c r="D261" i="21"/>
  <c r="U260" i="21"/>
  <c r="T260" i="21"/>
  <c r="P260" i="21"/>
  <c r="F260" i="21"/>
  <c r="E260" i="21"/>
  <c r="D260" i="21"/>
  <c r="U259" i="21"/>
  <c r="T259" i="21"/>
  <c r="P259" i="21"/>
  <c r="F259" i="21"/>
  <c r="E259" i="21"/>
  <c r="D259" i="21"/>
  <c r="U258" i="21"/>
  <c r="T258" i="21"/>
  <c r="P258" i="21"/>
  <c r="F258" i="21"/>
  <c r="E258" i="21"/>
  <c r="D258" i="21"/>
  <c r="U257" i="21"/>
  <c r="T257" i="21"/>
  <c r="P257" i="21"/>
  <c r="F257" i="21"/>
  <c r="E257" i="21"/>
  <c r="D257" i="21"/>
  <c r="U256" i="21"/>
  <c r="T256" i="21"/>
  <c r="P256" i="21"/>
  <c r="F256" i="21"/>
  <c r="E256" i="21"/>
  <c r="D256" i="21"/>
  <c r="U255" i="21"/>
  <c r="T255" i="21"/>
  <c r="P255" i="21"/>
  <c r="F255" i="21"/>
  <c r="E255" i="21"/>
  <c r="D255" i="21"/>
  <c r="U254" i="21"/>
  <c r="T254" i="21"/>
  <c r="P254" i="21"/>
  <c r="F254" i="21"/>
  <c r="E254" i="21"/>
  <c r="D254" i="21"/>
  <c r="U253" i="21"/>
  <c r="T253" i="21"/>
  <c r="P253" i="21"/>
  <c r="F253" i="21"/>
  <c r="E253" i="21"/>
  <c r="D253" i="21"/>
  <c r="U252" i="21"/>
  <c r="T252" i="21"/>
  <c r="P252" i="21"/>
  <c r="F252" i="21"/>
  <c r="E252" i="21"/>
  <c r="D252" i="21"/>
  <c r="U251" i="21"/>
  <c r="T251" i="21"/>
  <c r="P251" i="21"/>
  <c r="F251" i="21"/>
  <c r="E251" i="21"/>
  <c r="D251" i="21"/>
  <c r="U250" i="21"/>
  <c r="T250" i="21"/>
  <c r="P250" i="21"/>
  <c r="F250" i="21"/>
  <c r="E250" i="21"/>
  <c r="D250" i="21"/>
  <c r="U249" i="21"/>
  <c r="T249" i="21"/>
  <c r="P249" i="21"/>
  <c r="F249" i="21"/>
  <c r="E249" i="21"/>
  <c r="D249" i="21"/>
  <c r="U248" i="21"/>
  <c r="T248" i="21"/>
  <c r="P248" i="21"/>
  <c r="F248" i="21"/>
  <c r="E248" i="21"/>
  <c r="D248" i="21"/>
  <c r="U247" i="21"/>
  <c r="T247" i="21"/>
  <c r="P247" i="21"/>
  <c r="F247" i="21"/>
  <c r="E247" i="21"/>
  <c r="D247" i="21"/>
  <c r="U246" i="21"/>
  <c r="T246" i="21"/>
  <c r="P246" i="21"/>
  <c r="F246" i="21"/>
  <c r="E246" i="21"/>
  <c r="D246" i="21"/>
  <c r="U245" i="21"/>
  <c r="T245" i="21"/>
  <c r="P245" i="21"/>
  <c r="F245" i="21"/>
  <c r="E245" i="21"/>
  <c r="D245" i="21"/>
  <c r="U244" i="21"/>
  <c r="T244" i="21"/>
  <c r="P244" i="21"/>
  <c r="F244" i="21"/>
  <c r="E244" i="21"/>
  <c r="D244" i="21"/>
  <c r="U243" i="21"/>
  <c r="T243" i="21"/>
  <c r="P243" i="21"/>
  <c r="F243" i="21"/>
  <c r="E243" i="21"/>
  <c r="D243" i="21"/>
  <c r="U242" i="21"/>
  <c r="T242" i="21"/>
  <c r="P242" i="21"/>
  <c r="F242" i="21"/>
  <c r="E242" i="21"/>
  <c r="D242" i="21"/>
  <c r="U241" i="21"/>
  <c r="T241" i="21"/>
  <c r="P241" i="21"/>
  <c r="F241" i="21"/>
  <c r="E241" i="21"/>
  <c r="D241" i="21"/>
  <c r="U240" i="21"/>
  <c r="T240" i="21"/>
  <c r="P240" i="21"/>
  <c r="F240" i="21"/>
  <c r="E240" i="21"/>
  <c r="D240" i="21"/>
  <c r="U239" i="21"/>
  <c r="T239" i="21"/>
  <c r="P239" i="21"/>
  <c r="F239" i="21"/>
  <c r="E239" i="21"/>
  <c r="D239" i="21"/>
  <c r="U238" i="21"/>
  <c r="T238" i="21"/>
  <c r="P238" i="21"/>
  <c r="F238" i="21"/>
  <c r="E238" i="21"/>
  <c r="D238" i="21"/>
  <c r="U237" i="21"/>
  <c r="T237" i="21"/>
  <c r="P237" i="21"/>
  <c r="F237" i="21"/>
  <c r="E237" i="21"/>
  <c r="D237" i="21"/>
  <c r="U236" i="21"/>
  <c r="T236" i="21"/>
  <c r="P236" i="21"/>
  <c r="F236" i="21"/>
  <c r="E236" i="21"/>
  <c r="D236" i="21"/>
  <c r="U235" i="21"/>
  <c r="T235" i="21"/>
  <c r="P235" i="21"/>
  <c r="F235" i="21"/>
  <c r="E235" i="21"/>
  <c r="D235" i="21"/>
  <c r="U234" i="21"/>
  <c r="T234" i="21"/>
  <c r="P234" i="21"/>
  <c r="F234" i="21"/>
  <c r="E234" i="21"/>
  <c r="D234" i="21"/>
  <c r="U233" i="21"/>
  <c r="T233" i="21"/>
  <c r="P233" i="21"/>
  <c r="F233" i="21"/>
  <c r="E233" i="21"/>
  <c r="D233" i="21"/>
  <c r="U232" i="21"/>
  <c r="T232" i="21"/>
  <c r="P232" i="21"/>
  <c r="F232" i="21"/>
  <c r="E232" i="21"/>
  <c r="D232" i="21"/>
  <c r="U231" i="21"/>
  <c r="T231" i="21"/>
  <c r="P231" i="21"/>
  <c r="F231" i="21"/>
  <c r="E231" i="21"/>
  <c r="D231" i="21"/>
  <c r="U230" i="21"/>
  <c r="T230" i="21"/>
  <c r="P230" i="21"/>
  <c r="F230" i="21"/>
  <c r="E230" i="21"/>
  <c r="D230" i="21"/>
  <c r="U229" i="21"/>
  <c r="T229" i="21"/>
  <c r="P229" i="21"/>
  <c r="F229" i="21"/>
  <c r="E229" i="21"/>
  <c r="D229" i="21"/>
  <c r="U228" i="21"/>
  <c r="T228" i="21"/>
  <c r="P228" i="21"/>
  <c r="F228" i="21"/>
  <c r="E228" i="21"/>
  <c r="D228" i="21"/>
  <c r="U227" i="21"/>
  <c r="T227" i="21"/>
  <c r="P227" i="21"/>
  <c r="F227" i="21"/>
  <c r="E227" i="21"/>
  <c r="D227" i="21"/>
  <c r="U226" i="21"/>
  <c r="T226" i="21"/>
  <c r="P226" i="21"/>
  <c r="F226" i="21"/>
  <c r="E226" i="21"/>
  <c r="D226" i="21"/>
  <c r="U225" i="21"/>
  <c r="T225" i="21"/>
  <c r="P225" i="21"/>
  <c r="F225" i="21"/>
  <c r="E225" i="21"/>
  <c r="D225" i="21"/>
  <c r="U224" i="21"/>
  <c r="T224" i="21"/>
  <c r="P224" i="21"/>
  <c r="F224" i="21"/>
  <c r="E224" i="21"/>
  <c r="D224" i="21"/>
  <c r="U223" i="21"/>
  <c r="T223" i="21"/>
  <c r="P223" i="21"/>
  <c r="F223" i="21"/>
  <c r="E223" i="21"/>
  <c r="D223" i="21"/>
  <c r="U222" i="21"/>
  <c r="T222" i="21"/>
  <c r="P222" i="21"/>
  <c r="F222" i="21"/>
  <c r="E222" i="21"/>
  <c r="D222" i="21"/>
  <c r="U221" i="21"/>
  <c r="T221" i="21"/>
  <c r="P221" i="21"/>
  <c r="F221" i="21"/>
  <c r="E221" i="21"/>
  <c r="D221" i="21"/>
  <c r="U220" i="21"/>
  <c r="T220" i="21"/>
  <c r="P220" i="21"/>
  <c r="F220" i="21"/>
  <c r="E220" i="21"/>
  <c r="D220" i="21"/>
  <c r="U219" i="21"/>
  <c r="T219" i="21"/>
  <c r="P219" i="21"/>
  <c r="F219" i="21"/>
  <c r="E219" i="21"/>
  <c r="D219" i="21"/>
  <c r="U218" i="21"/>
  <c r="T218" i="21"/>
  <c r="P218" i="21"/>
  <c r="F218" i="21"/>
  <c r="E218" i="21"/>
  <c r="D218" i="21"/>
  <c r="U217" i="21"/>
  <c r="T217" i="21"/>
  <c r="P217" i="21"/>
  <c r="F217" i="21"/>
  <c r="E217" i="21"/>
  <c r="D217" i="21"/>
  <c r="U216" i="21"/>
  <c r="T216" i="21"/>
  <c r="P216" i="21"/>
  <c r="F216" i="21"/>
  <c r="E216" i="21"/>
  <c r="D216" i="21"/>
  <c r="U215" i="21"/>
  <c r="T215" i="21"/>
  <c r="P215" i="21"/>
  <c r="F215" i="21"/>
  <c r="E215" i="21"/>
  <c r="D215" i="21"/>
  <c r="U214" i="21"/>
  <c r="T214" i="21"/>
  <c r="P214" i="21"/>
  <c r="F214" i="21"/>
  <c r="E214" i="21"/>
  <c r="D214" i="21"/>
  <c r="U213" i="21"/>
  <c r="T213" i="21"/>
  <c r="P213" i="21"/>
  <c r="F213" i="21"/>
  <c r="E213" i="21"/>
  <c r="D213" i="21"/>
  <c r="U212" i="21"/>
  <c r="T212" i="21"/>
  <c r="P212" i="21"/>
  <c r="F212" i="21"/>
  <c r="E212" i="21"/>
  <c r="D212" i="21"/>
  <c r="U211" i="21"/>
  <c r="T211" i="21"/>
  <c r="P211" i="21"/>
  <c r="F211" i="21"/>
  <c r="E211" i="21"/>
  <c r="D211" i="21"/>
  <c r="U210" i="21"/>
  <c r="T210" i="21"/>
  <c r="P210" i="21"/>
  <c r="F210" i="21"/>
  <c r="E210" i="21"/>
  <c r="D210" i="21"/>
  <c r="U209" i="21"/>
  <c r="T209" i="21"/>
  <c r="P209" i="21"/>
  <c r="F209" i="21"/>
  <c r="E209" i="21"/>
  <c r="D209" i="21"/>
  <c r="U208" i="21"/>
  <c r="T208" i="21"/>
  <c r="P208" i="21"/>
  <c r="F208" i="21"/>
  <c r="E208" i="21"/>
  <c r="D208" i="21"/>
  <c r="U207" i="21"/>
  <c r="T207" i="21"/>
  <c r="P207" i="21"/>
  <c r="F207" i="21"/>
  <c r="E207" i="21"/>
  <c r="D207" i="21"/>
  <c r="U206" i="21"/>
  <c r="T206" i="21"/>
  <c r="P206" i="21"/>
  <c r="F206" i="21"/>
  <c r="E206" i="21"/>
  <c r="D206" i="21"/>
  <c r="U205" i="21"/>
  <c r="T205" i="21"/>
  <c r="P205" i="21"/>
  <c r="F205" i="21"/>
  <c r="E205" i="21"/>
  <c r="D205" i="21"/>
  <c r="U204" i="21"/>
  <c r="T204" i="21"/>
  <c r="P204" i="21"/>
  <c r="F204" i="21"/>
  <c r="E204" i="21"/>
  <c r="D204" i="21"/>
  <c r="U203" i="21"/>
  <c r="T203" i="21"/>
  <c r="P203" i="21"/>
  <c r="F203" i="21"/>
  <c r="E203" i="21"/>
  <c r="D203" i="21"/>
  <c r="U202" i="21"/>
  <c r="T202" i="21"/>
  <c r="P202" i="21"/>
  <c r="F202" i="21"/>
  <c r="E202" i="21"/>
  <c r="D202" i="21"/>
  <c r="U201" i="21"/>
  <c r="T201" i="21"/>
  <c r="P201" i="21"/>
  <c r="F201" i="21"/>
  <c r="E201" i="21"/>
  <c r="D201" i="21"/>
  <c r="U200" i="21"/>
  <c r="T200" i="21"/>
  <c r="P200" i="21"/>
  <c r="F200" i="21"/>
  <c r="E200" i="21"/>
  <c r="D200" i="21"/>
  <c r="U199" i="21"/>
  <c r="T199" i="21"/>
  <c r="P199" i="21"/>
  <c r="F199" i="21"/>
  <c r="E199" i="21"/>
  <c r="D199" i="21"/>
  <c r="U198" i="21"/>
  <c r="T198" i="21"/>
  <c r="P198" i="21"/>
  <c r="F198" i="21"/>
  <c r="E198" i="21"/>
  <c r="D198" i="21"/>
  <c r="U197" i="21"/>
  <c r="T197" i="21"/>
  <c r="P197" i="21"/>
  <c r="F197" i="21"/>
  <c r="E197" i="21"/>
  <c r="D197" i="21"/>
  <c r="U196" i="21"/>
  <c r="T196" i="21"/>
  <c r="P196" i="21"/>
  <c r="F196" i="21"/>
  <c r="E196" i="21"/>
  <c r="D196" i="21"/>
  <c r="U195" i="21"/>
  <c r="T195" i="21"/>
  <c r="P195" i="21"/>
  <c r="F195" i="21"/>
  <c r="E195" i="21"/>
  <c r="D195" i="21"/>
  <c r="U194" i="21"/>
  <c r="T194" i="21"/>
  <c r="P194" i="21"/>
  <c r="F194" i="21"/>
  <c r="E194" i="21"/>
  <c r="D194" i="21"/>
  <c r="U193" i="21"/>
  <c r="T193" i="21"/>
  <c r="P193" i="21"/>
  <c r="F193" i="21"/>
  <c r="E193" i="21"/>
  <c r="D193" i="21"/>
  <c r="U192" i="21"/>
  <c r="T192" i="21"/>
  <c r="P192" i="21"/>
  <c r="F192" i="21"/>
  <c r="E192" i="21"/>
  <c r="D192" i="21"/>
  <c r="U191" i="21"/>
  <c r="T191" i="21"/>
  <c r="P191" i="21"/>
  <c r="F191" i="21"/>
  <c r="E191" i="21"/>
  <c r="D191" i="21"/>
  <c r="U190" i="21"/>
  <c r="T190" i="21"/>
  <c r="P190" i="21"/>
  <c r="F190" i="21"/>
  <c r="E190" i="21"/>
  <c r="D190" i="21"/>
  <c r="U189" i="21"/>
  <c r="T189" i="21"/>
  <c r="P189" i="21"/>
  <c r="F189" i="21"/>
  <c r="E189" i="21"/>
  <c r="D189" i="21"/>
  <c r="U188" i="21"/>
  <c r="T188" i="21"/>
  <c r="P188" i="21"/>
  <c r="F188" i="21"/>
  <c r="E188" i="21"/>
  <c r="D188" i="21"/>
  <c r="U187" i="21"/>
  <c r="T187" i="21"/>
  <c r="P187" i="21"/>
  <c r="F187" i="21"/>
  <c r="E187" i="21"/>
  <c r="D187" i="21"/>
  <c r="U186" i="21"/>
  <c r="T186" i="21"/>
  <c r="P186" i="21"/>
  <c r="F186" i="21"/>
  <c r="E186" i="21"/>
  <c r="D186" i="21"/>
  <c r="U185" i="21"/>
  <c r="T185" i="21"/>
  <c r="P185" i="21"/>
  <c r="F185" i="21"/>
  <c r="E185" i="21"/>
  <c r="D185" i="21"/>
  <c r="U184" i="21"/>
  <c r="T184" i="21"/>
  <c r="P184" i="21"/>
  <c r="F184" i="21"/>
  <c r="E184" i="21"/>
  <c r="D184" i="21"/>
  <c r="U183" i="21"/>
  <c r="T183" i="21"/>
  <c r="P183" i="21"/>
  <c r="F183" i="21"/>
  <c r="E183" i="21"/>
  <c r="D183" i="21"/>
  <c r="U182" i="21"/>
  <c r="T182" i="21"/>
  <c r="P182" i="21"/>
  <c r="F182" i="21"/>
  <c r="E182" i="21"/>
  <c r="D182" i="21"/>
  <c r="U181" i="21"/>
  <c r="T181" i="21"/>
  <c r="P181" i="21"/>
  <c r="F181" i="21"/>
  <c r="E181" i="21"/>
  <c r="D181" i="21"/>
  <c r="U180" i="21"/>
  <c r="T180" i="21"/>
  <c r="P180" i="21"/>
  <c r="F180" i="21"/>
  <c r="E180" i="21"/>
  <c r="D180" i="21"/>
  <c r="U179" i="21"/>
  <c r="T179" i="21"/>
  <c r="P179" i="21"/>
  <c r="F179" i="21"/>
  <c r="E179" i="21"/>
  <c r="D179" i="21"/>
  <c r="U178" i="21"/>
  <c r="T178" i="21"/>
  <c r="P178" i="21"/>
  <c r="F178" i="21"/>
  <c r="E178" i="21"/>
  <c r="D178" i="21"/>
  <c r="U177" i="21"/>
  <c r="T177" i="21"/>
  <c r="P177" i="21"/>
  <c r="F177" i="21"/>
  <c r="E177" i="21"/>
  <c r="D177" i="21"/>
  <c r="U176" i="21"/>
  <c r="T176" i="21"/>
  <c r="P176" i="21"/>
  <c r="F176" i="21"/>
  <c r="E176" i="21"/>
  <c r="D176" i="21"/>
  <c r="U175" i="21"/>
  <c r="T175" i="21"/>
  <c r="P175" i="21"/>
  <c r="F175" i="21"/>
  <c r="E175" i="21"/>
  <c r="D175" i="21"/>
  <c r="U174" i="21"/>
  <c r="T174" i="21"/>
  <c r="P174" i="21"/>
  <c r="F174" i="21"/>
  <c r="E174" i="21"/>
  <c r="D174" i="21"/>
  <c r="U173" i="21"/>
  <c r="T173" i="21"/>
  <c r="P173" i="21"/>
  <c r="F173" i="21"/>
  <c r="E173" i="21"/>
  <c r="D173" i="21"/>
  <c r="U172" i="21"/>
  <c r="T172" i="21"/>
  <c r="P172" i="21"/>
  <c r="F172" i="21"/>
  <c r="E172" i="21"/>
  <c r="D172" i="21"/>
  <c r="U171" i="21"/>
  <c r="T171" i="21"/>
  <c r="P171" i="21"/>
  <c r="F171" i="21"/>
  <c r="E171" i="21"/>
  <c r="D171" i="21"/>
  <c r="U170" i="21"/>
  <c r="T170" i="21"/>
  <c r="P170" i="21"/>
  <c r="F170" i="21"/>
  <c r="E170" i="21"/>
  <c r="D170" i="21"/>
  <c r="U169" i="21"/>
  <c r="T169" i="21"/>
  <c r="P169" i="21"/>
  <c r="F169" i="21"/>
  <c r="E169" i="21"/>
  <c r="D169" i="21"/>
  <c r="U168" i="21"/>
  <c r="T168" i="21"/>
  <c r="P168" i="21"/>
  <c r="F168" i="21"/>
  <c r="E168" i="21"/>
  <c r="D168" i="21"/>
  <c r="U167" i="21"/>
  <c r="T167" i="21"/>
  <c r="P167" i="21"/>
  <c r="F167" i="21"/>
  <c r="E167" i="21"/>
  <c r="D167" i="21"/>
  <c r="U166" i="21"/>
  <c r="T166" i="21"/>
  <c r="P166" i="21"/>
  <c r="F166" i="21"/>
  <c r="E166" i="21"/>
  <c r="D166" i="21"/>
  <c r="U165" i="21"/>
  <c r="T165" i="21"/>
  <c r="P165" i="21"/>
  <c r="F165" i="21"/>
  <c r="E165" i="21"/>
  <c r="D165" i="21"/>
  <c r="U164" i="21"/>
  <c r="T164" i="21"/>
  <c r="P164" i="21"/>
  <c r="F164" i="21"/>
  <c r="E164" i="21"/>
  <c r="D164" i="21"/>
  <c r="U163" i="21"/>
  <c r="T163" i="21"/>
  <c r="P163" i="21"/>
  <c r="F163" i="21"/>
  <c r="E163" i="21"/>
  <c r="D163" i="21"/>
  <c r="U162" i="21"/>
  <c r="T162" i="21"/>
  <c r="P162" i="21"/>
  <c r="F162" i="21"/>
  <c r="E162" i="21"/>
  <c r="D162" i="21"/>
  <c r="U161" i="21"/>
  <c r="T161" i="21"/>
  <c r="P161" i="21"/>
  <c r="F161" i="21"/>
  <c r="E161" i="21"/>
  <c r="D161" i="21"/>
  <c r="U160" i="21"/>
  <c r="T160" i="21"/>
  <c r="P160" i="21"/>
  <c r="F160" i="21"/>
  <c r="E160" i="21"/>
  <c r="D160" i="21"/>
  <c r="U159" i="21"/>
  <c r="T159" i="21"/>
  <c r="P159" i="21"/>
  <c r="F159" i="21"/>
  <c r="E159" i="21"/>
  <c r="D159" i="21"/>
  <c r="U158" i="21"/>
  <c r="T158" i="21"/>
  <c r="P158" i="21"/>
  <c r="F158" i="21"/>
  <c r="E158" i="21"/>
  <c r="D158" i="21"/>
  <c r="U157" i="21"/>
  <c r="T157" i="21"/>
  <c r="P157" i="21"/>
  <c r="F157" i="21"/>
  <c r="E157" i="21"/>
  <c r="D157" i="21"/>
  <c r="U156" i="21"/>
  <c r="T156" i="21"/>
  <c r="P156" i="21"/>
  <c r="F156" i="21"/>
  <c r="E156" i="21"/>
  <c r="D156" i="21"/>
  <c r="U155" i="21"/>
  <c r="T155" i="21"/>
  <c r="P155" i="21"/>
  <c r="F155" i="21"/>
  <c r="E155" i="21"/>
  <c r="D155" i="21"/>
  <c r="U154" i="21"/>
  <c r="T154" i="21"/>
  <c r="P154" i="21"/>
  <c r="F154" i="21"/>
  <c r="E154" i="21"/>
  <c r="D154" i="21"/>
  <c r="U153" i="21"/>
  <c r="T153" i="21"/>
  <c r="P153" i="21"/>
  <c r="F153" i="21"/>
  <c r="E153" i="21"/>
  <c r="D153" i="21"/>
  <c r="U152" i="21"/>
  <c r="T152" i="21"/>
  <c r="P152" i="21"/>
  <c r="F152" i="21"/>
  <c r="E152" i="21"/>
  <c r="D152" i="21"/>
  <c r="U151" i="21"/>
  <c r="T151" i="21"/>
  <c r="P151" i="21"/>
  <c r="F151" i="21"/>
  <c r="E151" i="21"/>
  <c r="D151" i="21"/>
  <c r="U150" i="21"/>
  <c r="T150" i="21"/>
  <c r="P150" i="21"/>
  <c r="F150" i="21"/>
  <c r="E150" i="21"/>
  <c r="D150" i="21"/>
  <c r="U149" i="21"/>
  <c r="T149" i="21"/>
  <c r="P149" i="21"/>
  <c r="F149" i="21"/>
  <c r="E149" i="21"/>
  <c r="D149" i="21"/>
  <c r="U148" i="21"/>
  <c r="T148" i="21"/>
  <c r="P148" i="21"/>
  <c r="F148" i="21"/>
  <c r="E148" i="21"/>
  <c r="D148" i="21"/>
  <c r="U147" i="21"/>
  <c r="T147" i="21"/>
  <c r="P147" i="21"/>
  <c r="F147" i="21"/>
  <c r="E147" i="21"/>
  <c r="D147" i="21"/>
  <c r="U146" i="21"/>
  <c r="T146" i="21"/>
  <c r="P146" i="21"/>
  <c r="F146" i="21"/>
  <c r="E146" i="21"/>
  <c r="D146" i="21"/>
  <c r="U145" i="21"/>
  <c r="T145" i="21"/>
  <c r="P145" i="21"/>
  <c r="F145" i="21"/>
  <c r="E145" i="21"/>
  <c r="D145" i="21"/>
  <c r="U144" i="21"/>
  <c r="T144" i="21"/>
  <c r="P144" i="21"/>
  <c r="F144" i="21"/>
  <c r="E144" i="21"/>
  <c r="D144" i="21"/>
  <c r="U143" i="21"/>
  <c r="T143" i="21"/>
  <c r="P143" i="21"/>
  <c r="F143" i="21"/>
  <c r="E143" i="21"/>
  <c r="D143" i="21"/>
  <c r="U142" i="21"/>
  <c r="T142" i="21"/>
  <c r="P142" i="21"/>
  <c r="F142" i="21"/>
  <c r="E142" i="21"/>
  <c r="D142" i="21"/>
  <c r="U141" i="21"/>
  <c r="T141" i="21"/>
  <c r="P141" i="21"/>
  <c r="F141" i="21"/>
  <c r="E141" i="21"/>
  <c r="D141" i="21"/>
  <c r="U140" i="21"/>
  <c r="T140" i="21"/>
  <c r="P140" i="21"/>
  <c r="F140" i="21"/>
  <c r="E140" i="21"/>
  <c r="D140" i="21"/>
  <c r="U139" i="21"/>
  <c r="T139" i="21"/>
  <c r="P139" i="21"/>
  <c r="F139" i="21"/>
  <c r="E139" i="21"/>
  <c r="D139" i="21"/>
  <c r="U138" i="21"/>
  <c r="T138" i="21"/>
  <c r="P138" i="21"/>
  <c r="F138" i="21"/>
  <c r="E138" i="21"/>
  <c r="D138" i="21"/>
  <c r="U137" i="21"/>
  <c r="T137" i="21"/>
  <c r="P137" i="21"/>
  <c r="F137" i="21"/>
  <c r="E137" i="21"/>
  <c r="D137" i="21"/>
  <c r="U136" i="21"/>
  <c r="T136" i="21"/>
  <c r="P136" i="21"/>
  <c r="F136" i="21"/>
  <c r="E136" i="21"/>
  <c r="D136" i="21"/>
  <c r="U135" i="21"/>
  <c r="T135" i="21"/>
  <c r="P135" i="21"/>
  <c r="F135" i="21"/>
  <c r="E135" i="21"/>
  <c r="D135" i="21"/>
  <c r="U134" i="21"/>
  <c r="T134" i="21"/>
  <c r="P134" i="21"/>
  <c r="F134" i="21"/>
  <c r="E134" i="21"/>
  <c r="D134" i="21"/>
  <c r="U133" i="21"/>
  <c r="T133" i="21"/>
  <c r="P133" i="21"/>
  <c r="F133" i="21"/>
  <c r="E133" i="21"/>
  <c r="D133" i="21"/>
  <c r="U132" i="21"/>
  <c r="T132" i="21"/>
  <c r="P132" i="21"/>
  <c r="F132" i="21"/>
  <c r="E132" i="21"/>
  <c r="D132" i="21"/>
  <c r="U131" i="21"/>
  <c r="T131" i="21"/>
  <c r="P131" i="21"/>
  <c r="F131" i="21"/>
  <c r="E131" i="21"/>
  <c r="D131" i="21"/>
  <c r="U130" i="21"/>
  <c r="T130" i="21"/>
  <c r="P130" i="21"/>
  <c r="F130" i="21"/>
  <c r="E130" i="21"/>
  <c r="D130" i="21"/>
  <c r="U129" i="21"/>
  <c r="T129" i="21"/>
  <c r="P129" i="21"/>
  <c r="F129" i="21"/>
  <c r="E129" i="21"/>
  <c r="D129" i="21"/>
  <c r="U128" i="21"/>
  <c r="T128" i="21"/>
  <c r="P128" i="21"/>
  <c r="F128" i="21"/>
  <c r="E128" i="21"/>
  <c r="D128" i="21"/>
  <c r="U127" i="21"/>
  <c r="T127" i="21"/>
  <c r="P127" i="21"/>
  <c r="F127" i="21"/>
  <c r="E127" i="21"/>
  <c r="D127" i="21"/>
  <c r="U126" i="21"/>
  <c r="T126" i="21"/>
  <c r="P126" i="21"/>
  <c r="F126" i="21"/>
  <c r="E126" i="21"/>
  <c r="D126" i="21"/>
  <c r="U125" i="21"/>
  <c r="T125" i="21"/>
  <c r="P125" i="21"/>
  <c r="F125" i="21"/>
  <c r="E125" i="21"/>
  <c r="D125" i="21"/>
  <c r="U124" i="21"/>
  <c r="T124" i="21"/>
  <c r="P124" i="21"/>
  <c r="F124" i="21"/>
  <c r="E124" i="21"/>
  <c r="D124" i="21"/>
  <c r="U123" i="21"/>
  <c r="T123" i="21"/>
  <c r="P123" i="21"/>
  <c r="F123" i="21"/>
  <c r="E123" i="21"/>
  <c r="D123" i="21"/>
  <c r="U122" i="21"/>
  <c r="T122" i="21"/>
  <c r="P122" i="21"/>
  <c r="F122" i="21"/>
  <c r="E122" i="21"/>
  <c r="D122" i="21"/>
  <c r="U121" i="21"/>
  <c r="T121" i="21"/>
  <c r="P121" i="21"/>
  <c r="F121" i="21"/>
  <c r="E121" i="21"/>
  <c r="D121" i="21"/>
  <c r="U120" i="21"/>
  <c r="T120" i="21"/>
  <c r="P120" i="21"/>
  <c r="F120" i="21"/>
  <c r="E120" i="21"/>
  <c r="D120" i="21"/>
  <c r="U119" i="21"/>
  <c r="T119" i="21"/>
  <c r="P119" i="21"/>
  <c r="F119" i="21"/>
  <c r="E119" i="21"/>
  <c r="D119" i="21"/>
  <c r="U118" i="21"/>
  <c r="T118" i="21"/>
  <c r="P118" i="21"/>
  <c r="F118" i="21"/>
  <c r="E118" i="21"/>
  <c r="D118" i="21"/>
  <c r="U117" i="21"/>
  <c r="T117" i="21"/>
  <c r="P117" i="21"/>
  <c r="F117" i="21"/>
  <c r="E117" i="21"/>
  <c r="D117" i="21"/>
  <c r="U116" i="21"/>
  <c r="T116" i="21"/>
  <c r="P116" i="21"/>
  <c r="F116" i="21"/>
  <c r="E116" i="21"/>
  <c r="D116" i="21"/>
  <c r="U115" i="21"/>
  <c r="T115" i="21"/>
  <c r="P115" i="21"/>
  <c r="F115" i="21"/>
  <c r="E115" i="21"/>
  <c r="D115" i="21"/>
  <c r="U114" i="21"/>
  <c r="T114" i="21"/>
  <c r="P114" i="21"/>
  <c r="F114" i="21"/>
  <c r="E114" i="21"/>
  <c r="D114" i="21"/>
  <c r="U113" i="21"/>
  <c r="T113" i="21"/>
  <c r="P113" i="21"/>
  <c r="F113" i="21"/>
  <c r="E113" i="21"/>
  <c r="D113" i="21"/>
  <c r="U112" i="21"/>
  <c r="T112" i="21"/>
  <c r="P112" i="21"/>
  <c r="F112" i="21"/>
  <c r="E112" i="21"/>
  <c r="D112" i="21"/>
  <c r="U111" i="21"/>
  <c r="T111" i="21"/>
  <c r="P111" i="21"/>
  <c r="F111" i="21"/>
  <c r="E111" i="21"/>
  <c r="D111" i="21"/>
  <c r="U110" i="21"/>
  <c r="T110" i="21"/>
  <c r="P110" i="21"/>
  <c r="F110" i="21"/>
  <c r="E110" i="21"/>
  <c r="D110" i="21"/>
  <c r="U109" i="21"/>
  <c r="T109" i="21"/>
  <c r="P109" i="21"/>
  <c r="F109" i="21"/>
  <c r="E109" i="21"/>
  <c r="D109" i="21"/>
  <c r="U108" i="21"/>
  <c r="T108" i="21"/>
  <c r="P108" i="21"/>
  <c r="F108" i="21"/>
  <c r="E108" i="21"/>
  <c r="D108" i="21"/>
  <c r="U107" i="21"/>
  <c r="T107" i="21"/>
  <c r="P107" i="21"/>
  <c r="F107" i="21"/>
  <c r="E107" i="21"/>
  <c r="D107" i="21"/>
  <c r="U106" i="21"/>
  <c r="T106" i="21"/>
  <c r="P106" i="21"/>
  <c r="F106" i="21"/>
  <c r="E106" i="21"/>
  <c r="D106" i="21"/>
  <c r="U105" i="21"/>
  <c r="T105" i="21"/>
  <c r="P105" i="21"/>
  <c r="F105" i="21"/>
  <c r="E105" i="21"/>
  <c r="D105" i="21"/>
  <c r="U104" i="21"/>
  <c r="T104" i="21"/>
  <c r="P104" i="21"/>
  <c r="F104" i="21"/>
  <c r="E104" i="21"/>
  <c r="D104" i="21"/>
  <c r="U103" i="21"/>
  <c r="T103" i="21"/>
  <c r="P103" i="21"/>
  <c r="F103" i="21"/>
  <c r="E103" i="21"/>
  <c r="D103" i="21"/>
  <c r="U102" i="21"/>
  <c r="T102" i="21"/>
  <c r="P102" i="21"/>
  <c r="F102" i="21"/>
  <c r="E102" i="21"/>
  <c r="D102" i="21"/>
  <c r="U101" i="21"/>
  <c r="T101" i="21"/>
  <c r="P101" i="21"/>
  <c r="F101" i="21"/>
  <c r="E101" i="21"/>
  <c r="D101" i="21"/>
  <c r="U100" i="21"/>
  <c r="T100" i="21"/>
  <c r="P100" i="21"/>
  <c r="F100" i="21"/>
  <c r="E100" i="21"/>
  <c r="D100" i="21"/>
  <c r="U99" i="21"/>
  <c r="T99" i="21"/>
  <c r="P99" i="21"/>
  <c r="F99" i="21"/>
  <c r="E99" i="21"/>
  <c r="D99" i="21"/>
  <c r="U98" i="21"/>
  <c r="T98" i="21"/>
  <c r="P98" i="21"/>
  <c r="F98" i="21"/>
  <c r="E98" i="21"/>
  <c r="D98" i="21"/>
  <c r="U97" i="21"/>
  <c r="T97" i="21"/>
  <c r="P97" i="21"/>
  <c r="F97" i="21"/>
  <c r="E97" i="21"/>
  <c r="D97" i="21"/>
  <c r="U96" i="21"/>
  <c r="T96" i="21"/>
  <c r="P96" i="21"/>
  <c r="F96" i="21"/>
  <c r="E96" i="21"/>
  <c r="D96" i="21"/>
  <c r="U95" i="21"/>
  <c r="T95" i="21"/>
  <c r="P95" i="21"/>
  <c r="F95" i="21"/>
  <c r="E95" i="21"/>
  <c r="D95" i="21"/>
  <c r="U94" i="21"/>
  <c r="T94" i="21"/>
  <c r="P94" i="21"/>
  <c r="F94" i="21"/>
  <c r="E94" i="21"/>
  <c r="D94" i="21"/>
  <c r="U93" i="21"/>
  <c r="T93" i="21"/>
  <c r="P93" i="21"/>
  <c r="F93" i="21"/>
  <c r="E93" i="21"/>
  <c r="D93" i="21"/>
  <c r="U92" i="21"/>
  <c r="T92" i="21"/>
  <c r="P92" i="21"/>
  <c r="F92" i="21"/>
  <c r="E92" i="21"/>
  <c r="D92" i="21"/>
  <c r="U91" i="21"/>
  <c r="T91" i="21"/>
  <c r="P91" i="21"/>
  <c r="F91" i="21"/>
  <c r="E91" i="21"/>
  <c r="D91" i="21"/>
  <c r="U90" i="21"/>
  <c r="T90" i="21"/>
  <c r="P90" i="21"/>
  <c r="F90" i="21"/>
  <c r="E90" i="21"/>
  <c r="D90" i="21"/>
  <c r="U89" i="21"/>
  <c r="T89" i="21"/>
  <c r="P89" i="21"/>
  <c r="F89" i="21"/>
  <c r="E89" i="21"/>
  <c r="D89" i="21"/>
  <c r="U88" i="21"/>
  <c r="T88" i="21"/>
  <c r="P88" i="21"/>
  <c r="F88" i="21"/>
  <c r="E88" i="21"/>
  <c r="D88" i="21"/>
  <c r="U87" i="21"/>
  <c r="T87" i="21"/>
  <c r="P87" i="21"/>
  <c r="F87" i="21"/>
  <c r="E87" i="21"/>
  <c r="D87" i="21"/>
  <c r="U86" i="21"/>
  <c r="T86" i="21"/>
  <c r="P86" i="21"/>
  <c r="F86" i="21"/>
  <c r="E86" i="21"/>
  <c r="D86" i="21"/>
  <c r="U85" i="21"/>
  <c r="T85" i="21"/>
  <c r="P85" i="21"/>
  <c r="F85" i="21"/>
  <c r="E85" i="21"/>
  <c r="D85" i="21"/>
  <c r="U84" i="21"/>
  <c r="T84" i="21"/>
  <c r="P84" i="21"/>
  <c r="F84" i="21"/>
  <c r="E84" i="21"/>
  <c r="D84" i="21"/>
  <c r="U83" i="21"/>
  <c r="T83" i="21"/>
  <c r="P83" i="21"/>
  <c r="F83" i="21"/>
  <c r="E83" i="21"/>
  <c r="D83" i="21"/>
  <c r="U82" i="21"/>
  <c r="T82" i="21"/>
  <c r="P82" i="21"/>
  <c r="F82" i="21"/>
  <c r="E82" i="21"/>
  <c r="D82" i="21"/>
  <c r="U81" i="21"/>
  <c r="T81" i="21"/>
  <c r="P81" i="21"/>
  <c r="F81" i="21"/>
  <c r="E81" i="21"/>
  <c r="D81" i="21"/>
  <c r="U80" i="21"/>
  <c r="T80" i="21"/>
  <c r="P80" i="21"/>
  <c r="F80" i="21"/>
  <c r="E80" i="21"/>
  <c r="D80" i="21"/>
  <c r="U79" i="21"/>
  <c r="T79" i="21"/>
  <c r="P79" i="21"/>
  <c r="F79" i="21"/>
  <c r="E79" i="21"/>
  <c r="D79" i="21"/>
  <c r="U78" i="21"/>
  <c r="T78" i="21"/>
  <c r="P78" i="21"/>
  <c r="F78" i="21"/>
  <c r="E78" i="21"/>
  <c r="D78" i="21"/>
  <c r="U77" i="21"/>
  <c r="T77" i="21"/>
  <c r="P77" i="21"/>
  <c r="F77" i="21"/>
  <c r="E77" i="21"/>
  <c r="D77" i="21"/>
  <c r="U76" i="21"/>
  <c r="T76" i="21"/>
  <c r="P76" i="21"/>
  <c r="F76" i="21"/>
  <c r="E76" i="21"/>
  <c r="D76" i="21"/>
  <c r="U75" i="21"/>
  <c r="T75" i="21"/>
  <c r="P75" i="21"/>
  <c r="F75" i="21"/>
  <c r="E75" i="21"/>
  <c r="D75" i="21"/>
  <c r="U74" i="21"/>
  <c r="T74" i="21"/>
  <c r="P74" i="21"/>
  <c r="F74" i="21"/>
  <c r="E74" i="21"/>
  <c r="D74" i="21"/>
  <c r="U73" i="21"/>
  <c r="T73" i="21"/>
  <c r="P73" i="21"/>
  <c r="F73" i="21"/>
  <c r="E73" i="21"/>
  <c r="D73" i="21"/>
  <c r="U72" i="21"/>
  <c r="T72" i="21"/>
  <c r="P72" i="21"/>
  <c r="F72" i="21"/>
  <c r="E72" i="21"/>
  <c r="D72" i="21"/>
  <c r="U71" i="21"/>
  <c r="T71" i="21"/>
  <c r="P71" i="21"/>
  <c r="F71" i="21"/>
  <c r="E71" i="21"/>
  <c r="D71" i="21"/>
  <c r="U70" i="21"/>
  <c r="T70" i="21"/>
  <c r="P70" i="21"/>
  <c r="F70" i="21"/>
  <c r="E70" i="21"/>
  <c r="D70" i="21"/>
  <c r="U69" i="21"/>
  <c r="T69" i="21"/>
  <c r="P69" i="21"/>
  <c r="F69" i="21"/>
  <c r="E69" i="21"/>
  <c r="D69" i="21"/>
  <c r="U68" i="21"/>
  <c r="T68" i="21"/>
  <c r="P68" i="21"/>
  <c r="F68" i="21"/>
  <c r="E68" i="21"/>
  <c r="D68" i="21"/>
  <c r="U67" i="21"/>
  <c r="T67" i="21"/>
  <c r="P67" i="21"/>
  <c r="F67" i="21"/>
  <c r="E67" i="21"/>
  <c r="D67" i="21"/>
  <c r="U66" i="21"/>
  <c r="T66" i="21"/>
  <c r="P66" i="21"/>
  <c r="F66" i="21"/>
  <c r="E66" i="21"/>
  <c r="D66" i="21"/>
  <c r="U65" i="21"/>
  <c r="T65" i="21"/>
  <c r="P65" i="21"/>
  <c r="F65" i="21"/>
  <c r="E65" i="21"/>
  <c r="D65" i="21"/>
  <c r="U64" i="21"/>
  <c r="T64" i="21"/>
  <c r="P64" i="21"/>
  <c r="F64" i="21"/>
  <c r="E64" i="21"/>
  <c r="D64" i="21"/>
  <c r="U63" i="21"/>
  <c r="T63" i="21"/>
  <c r="P63" i="21"/>
  <c r="F63" i="21"/>
  <c r="E63" i="21"/>
  <c r="D63" i="21"/>
  <c r="U62" i="21"/>
  <c r="T62" i="21"/>
  <c r="P62" i="21"/>
  <c r="F62" i="21"/>
  <c r="E62" i="21"/>
  <c r="D62" i="21"/>
  <c r="U61" i="21"/>
  <c r="T61" i="21"/>
  <c r="P61" i="21"/>
  <c r="F61" i="21"/>
  <c r="E61" i="21"/>
  <c r="D61" i="21"/>
  <c r="U60" i="21"/>
  <c r="T60" i="21"/>
  <c r="P60" i="21"/>
  <c r="F60" i="21"/>
  <c r="E60" i="21"/>
  <c r="D60" i="21"/>
  <c r="U59" i="21"/>
  <c r="T59" i="21"/>
  <c r="P59" i="21"/>
  <c r="F59" i="21"/>
  <c r="E59" i="21"/>
  <c r="D59" i="21"/>
  <c r="U58" i="21"/>
  <c r="T58" i="21"/>
  <c r="P58" i="21"/>
  <c r="F58" i="21"/>
  <c r="E58" i="21"/>
  <c r="D58" i="21"/>
  <c r="U57" i="21"/>
  <c r="T57" i="21"/>
  <c r="P57" i="21"/>
  <c r="F57" i="21"/>
  <c r="E57" i="21"/>
  <c r="D57" i="21"/>
  <c r="U56" i="21"/>
  <c r="T56" i="21"/>
  <c r="P56" i="21"/>
  <c r="F56" i="21"/>
  <c r="E56" i="21"/>
  <c r="D56" i="21"/>
  <c r="U55" i="21"/>
  <c r="T55" i="21"/>
  <c r="P55" i="21"/>
  <c r="F55" i="21"/>
  <c r="E55" i="21"/>
  <c r="D55" i="21"/>
  <c r="U54" i="21"/>
  <c r="T54" i="21"/>
  <c r="P54" i="21"/>
  <c r="F54" i="21"/>
  <c r="E54" i="21"/>
  <c r="D54" i="21"/>
  <c r="U53" i="21"/>
  <c r="T53" i="21"/>
  <c r="P53" i="21"/>
  <c r="F53" i="21"/>
  <c r="E53" i="21"/>
  <c r="D53" i="21"/>
  <c r="U52" i="21"/>
  <c r="T52" i="21"/>
  <c r="P52" i="21"/>
  <c r="F52" i="21"/>
  <c r="E52" i="21"/>
  <c r="D52" i="21"/>
  <c r="U51" i="21"/>
  <c r="T51" i="21"/>
  <c r="P51" i="21"/>
  <c r="F51" i="21"/>
  <c r="E51" i="21"/>
  <c r="D51" i="21"/>
  <c r="U50" i="21"/>
  <c r="T50" i="21"/>
  <c r="P50" i="21"/>
  <c r="F50" i="21"/>
  <c r="E50" i="21"/>
  <c r="D50" i="21"/>
  <c r="U49" i="21"/>
  <c r="T49" i="21"/>
  <c r="P49" i="21"/>
  <c r="F49" i="21"/>
  <c r="E49" i="21"/>
  <c r="D49" i="21"/>
  <c r="U48" i="21"/>
  <c r="T48" i="21"/>
  <c r="P48" i="21"/>
  <c r="F48" i="21"/>
  <c r="E48" i="21"/>
  <c r="D48" i="21"/>
  <c r="U47" i="21"/>
  <c r="T47" i="21"/>
  <c r="P47" i="21"/>
  <c r="F47" i="21"/>
  <c r="E47" i="21"/>
  <c r="D47" i="21"/>
  <c r="U46" i="21"/>
  <c r="T46" i="21"/>
  <c r="P46" i="21"/>
  <c r="F46" i="21"/>
  <c r="E46" i="21"/>
  <c r="D46" i="21"/>
  <c r="U45" i="21"/>
  <c r="T45" i="21"/>
  <c r="P45" i="21"/>
  <c r="F45" i="21"/>
  <c r="E45" i="21"/>
  <c r="D45" i="21"/>
  <c r="U44" i="21"/>
  <c r="T44" i="21"/>
  <c r="P44" i="21"/>
  <c r="F44" i="21"/>
  <c r="E44" i="21"/>
  <c r="D44" i="21"/>
  <c r="U43" i="21"/>
  <c r="T43" i="21"/>
  <c r="P43" i="21"/>
  <c r="F43" i="21"/>
  <c r="E43" i="21"/>
  <c r="D43" i="21"/>
  <c r="U42" i="21"/>
  <c r="T42" i="21"/>
  <c r="P42" i="21"/>
  <c r="F42" i="21"/>
  <c r="E42" i="21"/>
  <c r="D42" i="21"/>
  <c r="U41" i="21"/>
  <c r="T41" i="21"/>
  <c r="P41" i="21"/>
  <c r="F41" i="21"/>
  <c r="E41" i="21"/>
  <c r="D41" i="21"/>
  <c r="U40" i="21"/>
  <c r="T40" i="21"/>
  <c r="P40" i="21"/>
  <c r="F40" i="21"/>
  <c r="E40" i="21"/>
  <c r="D40" i="21"/>
  <c r="U39" i="21"/>
  <c r="T39" i="21"/>
  <c r="P39" i="21"/>
  <c r="F39" i="21"/>
  <c r="E39" i="21"/>
  <c r="D39" i="21"/>
  <c r="U38" i="21"/>
  <c r="T38" i="21"/>
  <c r="P38" i="21"/>
  <c r="F38" i="21"/>
  <c r="E38" i="21"/>
  <c r="D38" i="21"/>
  <c r="U37" i="21"/>
  <c r="T37" i="21"/>
  <c r="P37" i="21"/>
  <c r="F37" i="21"/>
  <c r="E37" i="21"/>
  <c r="D37" i="21"/>
  <c r="U36" i="21"/>
  <c r="T36" i="21"/>
  <c r="P36" i="21"/>
  <c r="F36" i="21"/>
  <c r="E36" i="21"/>
  <c r="D36" i="21"/>
  <c r="U35" i="21"/>
  <c r="T35" i="21"/>
  <c r="P35" i="21"/>
  <c r="F35" i="21"/>
  <c r="E35" i="21"/>
  <c r="D35" i="21"/>
  <c r="U34" i="21"/>
  <c r="T34" i="21"/>
  <c r="P34" i="21"/>
  <c r="F34" i="21"/>
  <c r="E34" i="21"/>
  <c r="D34" i="21"/>
  <c r="U33" i="21"/>
  <c r="T33" i="21"/>
  <c r="P33" i="21"/>
  <c r="F33" i="21"/>
  <c r="E33" i="21"/>
  <c r="D33" i="21"/>
  <c r="U32" i="21"/>
  <c r="T32" i="21"/>
  <c r="P32" i="21"/>
  <c r="F32" i="21"/>
  <c r="E32" i="21"/>
  <c r="D32" i="21"/>
  <c r="U31" i="21"/>
  <c r="T31" i="21"/>
  <c r="P31" i="21"/>
  <c r="F31" i="21"/>
  <c r="E31" i="21"/>
  <c r="D31" i="21"/>
  <c r="U30" i="21"/>
  <c r="T30" i="21"/>
  <c r="P30" i="21"/>
  <c r="F30" i="21"/>
  <c r="E30" i="21"/>
  <c r="D30" i="21"/>
  <c r="U29" i="21"/>
  <c r="T29" i="21"/>
  <c r="P29" i="21"/>
  <c r="F29" i="21"/>
  <c r="E29" i="21"/>
  <c r="D29" i="21"/>
  <c r="U28" i="21"/>
  <c r="T28" i="21"/>
  <c r="P28" i="21"/>
  <c r="F28" i="21"/>
  <c r="E28" i="21"/>
  <c r="D28" i="21"/>
  <c r="U27" i="21"/>
  <c r="T27" i="21"/>
  <c r="P27" i="21"/>
  <c r="F27" i="21"/>
  <c r="E27" i="21"/>
  <c r="D27" i="21"/>
  <c r="U26" i="21"/>
  <c r="T26" i="21"/>
  <c r="P26" i="21"/>
  <c r="F26" i="21"/>
  <c r="E26" i="21"/>
  <c r="D26" i="21"/>
  <c r="U25" i="21"/>
  <c r="T25" i="21"/>
  <c r="P25" i="21"/>
  <c r="F25" i="21"/>
  <c r="E25" i="21"/>
  <c r="D25" i="21"/>
  <c r="U24" i="21"/>
  <c r="T24" i="21"/>
  <c r="P24" i="21"/>
  <c r="F24" i="21"/>
  <c r="E24" i="21"/>
  <c r="D24" i="21"/>
  <c r="U23" i="21"/>
  <c r="T23" i="21"/>
  <c r="P23" i="21"/>
  <c r="F23" i="21"/>
  <c r="E23" i="21"/>
  <c r="D23" i="21"/>
  <c r="U22" i="21"/>
  <c r="T22" i="21"/>
  <c r="P22" i="21"/>
  <c r="F22" i="21"/>
  <c r="E22" i="21"/>
  <c r="D22" i="21"/>
  <c r="U21" i="21"/>
  <c r="T21" i="21"/>
  <c r="P21" i="21"/>
  <c r="F21" i="21"/>
  <c r="E21" i="21"/>
  <c r="D21" i="21"/>
  <c r="U20" i="21"/>
  <c r="T20" i="21"/>
  <c r="P20" i="21"/>
  <c r="F20" i="21"/>
  <c r="E20" i="21"/>
  <c r="D20" i="21"/>
  <c r="U19" i="21"/>
  <c r="T19" i="21"/>
  <c r="P19" i="21"/>
  <c r="F19" i="21"/>
  <c r="E19" i="21"/>
  <c r="D19" i="21"/>
  <c r="U18" i="21"/>
  <c r="T18" i="21"/>
  <c r="P18" i="21"/>
  <c r="F18" i="21"/>
  <c r="E18" i="21"/>
  <c r="D18" i="21"/>
  <c r="U17" i="21"/>
  <c r="T17" i="21"/>
  <c r="P17" i="21"/>
  <c r="F17" i="21"/>
  <c r="E17" i="21"/>
  <c r="D17" i="21"/>
  <c r="U16" i="21"/>
  <c r="T16" i="21"/>
  <c r="P16" i="21"/>
  <c r="F16" i="21"/>
  <c r="E16" i="21"/>
  <c r="D16" i="21"/>
  <c r="U15" i="21"/>
  <c r="T15" i="21"/>
  <c r="P15" i="21"/>
  <c r="F15" i="21"/>
  <c r="E15" i="21"/>
  <c r="D15" i="21"/>
  <c r="U14" i="21"/>
  <c r="T14" i="21"/>
  <c r="P14" i="21"/>
  <c r="F14" i="21"/>
  <c r="E14" i="21"/>
  <c r="D14" i="21"/>
  <c r="U13" i="21"/>
  <c r="T13" i="21"/>
  <c r="P13" i="21"/>
  <c r="F13" i="21"/>
  <c r="E13" i="21"/>
  <c r="D13" i="21"/>
  <c r="U12" i="21"/>
  <c r="T12" i="21"/>
  <c r="P12" i="21"/>
  <c r="F12" i="21"/>
  <c r="E12" i="21"/>
  <c r="D12" i="21"/>
  <c r="U11" i="21"/>
  <c r="T11" i="21"/>
  <c r="P11" i="21"/>
  <c r="F11" i="21"/>
  <c r="E11" i="21"/>
  <c r="D11" i="21"/>
  <c r="U10" i="21"/>
  <c r="T10" i="21"/>
  <c r="P10" i="21"/>
  <c r="F10" i="21"/>
  <c r="E10" i="21"/>
  <c r="D10" i="21"/>
  <c r="U9" i="21"/>
  <c r="T9" i="21"/>
  <c r="P9" i="21"/>
  <c r="F9" i="21"/>
  <c r="E9" i="21"/>
  <c r="D9" i="21"/>
  <c r="U8" i="21"/>
  <c r="T8" i="21"/>
  <c r="P8" i="21"/>
  <c r="F8" i="21"/>
  <c r="E8" i="21"/>
  <c r="D8" i="21"/>
  <c r="U7" i="21"/>
  <c r="T7" i="21"/>
  <c r="P7" i="21"/>
  <c r="F7" i="21"/>
  <c r="E7" i="21"/>
  <c r="D7" i="21"/>
  <c r="U6" i="21"/>
  <c r="T6" i="21"/>
  <c r="P6" i="21"/>
  <c r="F6" i="21"/>
  <c r="E6" i="21"/>
  <c r="D6" i="21"/>
  <c r="U5" i="21"/>
  <c r="T5" i="21"/>
  <c r="P5" i="21"/>
  <c r="F5" i="21"/>
  <c r="E5" i="21"/>
  <c r="D5" i="21"/>
  <c r="U4" i="21"/>
  <c r="T4" i="21"/>
  <c r="P4" i="21"/>
  <c r="F4" i="21"/>
  <c r="E4" i="21"/>
  <c r="D4" i="21"/>
  <c r="U3" i="21"/>
  <c r="T3" i="21"/>
  <c r="P3" i="21"/>
  <c r="F3" i="21"/>
  <c r="E3" i="21"/>
  <c r="D3" i="21"/>
  <c r="U2" i="21"/>
  <c r="P2" i="21"/>
  <c r="F2" i="21"/>
  <c r="E2" i="21"/>
  <c r="D2" i="21"/>
  <c r="U633" i="16"/>
  <c r="T633" i="16"/>
  <c r="W633" i="16" s="1"/>
  <c r="P633" i="16"/>
  <c r="F633" i="16"/>
  <c r="E633" i="16"/>
  <c r="D633" i="16"/>
  <c r="P633" i="14"/>
  <c r="O633" i="14"/>
  <c r="K633" i="14"/>
  <c r="E633" i="14"/>
  <c r="D633" i="14"/>
  <c r="P632" i="14"/>
  <c r="O632" i="14"/>
  <c r="K632" i="14"/>
  <c r="E632" i="14"/>
  <c r="D632" i="14"/>
  <c r="P631" i="14"/>
  <c r="O631" i="14"/>
  <c r="K631" i="14"/>
  <c r="E631" i="14"/>
  <c r="D631" i="14"/>
  <c r="P630" i="14"/>
  <c r="O630" i="14"/>
  <c r="K630" i="14"/>
  <c r="E630" i="14"/>
  <c r="D630" i="14"/>
  <c r="P629" i="14"/>
  <c r="O629" i="14"/>
  <c r="K629" i="14"/>
  <c r="E629" i="14"/>
  <c r="D629" i="14"/>
  <c r="P628" i="14"/>
  <c r="O628" i="14"/>
  <c r="K628" i="14"/>
  <c r="E628" i="14"/>
  <c r="D628" i="14"/>
  <c r="P627" i="14"/>
  <c r="O627" i="14"/>
  <c r="K627" i="14"/>
  <c r="E627" i="14"/>
  <c r="D627" i="14"/>
  <c r="P626" i="14"/>
  <c r="O626" i="14"/>
  <c r="K626" i="14"/>
  <c r="E626" i="14"/>
  <c r="D626" i="14"/>
  <c r="P625" i="14"/>
  <c r="O625" i="14"/>
  <c r="K625" i="14"/>
  <c r="E625" i="14"/>
  <c r="D625" i="14"/>
  <c r="P624" i="14"/>
  <c r="O624" i="14"/>
  <c r="K624" i="14"/>
  <c r="E624" i="14"/>
  <c r="D624" i="14"/>
  <c r="P623" i="14"/>
  <c r="O623" i="14"/>
  <c r="K623" i="14"/>
  <c r="E623" i="14"/>
  <c r="D623" i="14"/>
  <c r="P622" i="14"/>
  <c r="O622" i="14"/>
  <c r="K622" i="14"/>
  <c r="E622" i="14"/>
  <c r="D622" i="14"/>
  <c r="P621" i="14"/>
  <c r="O621" i="14"/>
  <c r="K621" i="14"/>
  <c r="E621" i="14"/>
  <c r="D621" i="14"/>
  <c r="P620" i="14"/>
  <c r="O620" i="14"/>
  <c r="K620" i="14"/>
  <c r="E620" i="14"/>
  <c r="D620" i="14"/>
  <c r="P619" i="14"/>
  <c r="O619" i="14"/>
  <c r="K619" i="14"/>
  <c r="E619" i="14"/>
  <c r="D619" i="14"/>
  <c r="P618" i="14"/>
  <c r="O618" i="14"/>
  <c r="K618" i="14"/>
  <c r="E618" i="14"/>
  <c r="D618" i="14"/>
  <c r="P617" i="14"/>
  <c r="O617" i="14"/>
  <c r="K617" i="14"/>
  <c r="E617" i="14"/>
  <c r="D617" i="14"/>
  <c r="P616" i="14"/>
  <c r="O616" i="14"/>
  <c r="K616" i="14"/>
  <c r="E616" i="14"/>
  <c r="D616" i="14"/>
  <c r="P615" i="14"/>
  <c r="O615" i="14"/>
  <c r="K615" i="14"/>
  <c r="E615" i="14"/>
  <c r="D615" i="14"/>
  <c r="P614" i="14"/>
  <c r="O614" i="14"/>
  <c r="K614" i="14"/>
  <c r="E614" i="14"/>
  <c r="D614" i="14"/>
  <c r="P613" i="14"/>
  <c r="O613" i="14"/>
  <c r="K613" i="14"/>
  <c r="E613" i="14"/>
  <c r="D613" i="14"/>
  <c r="P612" i="14"/>
  <c r="O612" i="14"/>
  <c r="K612" i="14"/>
  <c r="E612" i="14"/>
  <c r="D612" i="14"/>
  <c r="P611" i="14"/>
  <c r="O611" i="14"/>
  <c r="K611" i="14"/>
  <c r="E611" i="14"/>
  <c r="D611" i="14"/>
  <c r="P610" i="14"/>
  <c r="O610" i="14"/>
  <c r="K610" i="14"/>
  <c r="E610" i="14"/>
  <c r="D610" i="14"/>
  <c r="P609" i="14"/>
  <c r="O609" i="14"/>
  <c r="K609" i="14"/>
  <c r="E609" i="14"/>
  <c r="D609" i="14"/>
  <c r="P608" i="14"/>
  <c r="O608" i="14"/>
  <c r="K608" i="14"/>
  <c r="E608" i="14"/>
  <c r="D608" i="14"/>
  <c r="P607" i="14"/>
  <c r="O607" i="14"/>
  <c r="K607" i="14"/>
  <c r="E607" i="14"/>
  <c r="D607" i="14"/>
  <c r="P606" i="14"/>
  <c r="O606" i="14"/>
  <c r="K606" i="14"/>
  <c r="E606" i="14"/>
  <c r="D606" i="14"/>
  <c r="P605" i="14"/>
  <c r="O605" i="14"/>
  <c r="K605" i="14"/>
  <c r="E605" i="14"/>
  <c r="D605" i="14"/>
  <c r="P604" i="14"/>
  <c r="O604" i="14"/>
  <c r="K604" i="14"/>
  <c r="E604" i="14"/>
  <c r="D604" i="14"/>
  <c r="P603" i="14"/>
  <c r="O603" i="14"/>
  <c r="K603" i="14"/>
  <c r="E603" i="14"/>
  <c r="D603" i="14"/>
  <c r="P602" i="14"/>
  <c r="O602" i="14"/>
  <c r="K602" i="14"/>
  <c r="E602" i="14"/>
  <c r="D602" i="14"/>
  <c r="P601" i="14"/>
  <c r="O601" i="14"/>
  <c r="K601" i="14"/>
  <c r="E601" i="14"/>
  <c r="D601" i="14"/>
  <c r="P600" i="14"/>
  <c r="O600" i="14"/>
  <c r="K600" i="14"/>
  <c r="E600" i="14"/>
  <c r="D600" i="14"/>
  <c r="P599" i="14"/>
  <c r="O599" i="14"/>
  <c r="K599" i="14"/>
  <c r="E599" i="14"/>
  <c r="D599" i="14"/>
  <c r="P598" i="14"/>
  <c r="O598" i="14"/>
  <c r="K598" i="14"/>
  <c r="E598" i="14"/>
  <c r="D598" i="14"/>
  <c r="P597" i="14"/>
  <c r="O597" i="14"/>
  <c r="K597" i="14"/>
  <c r="E597" i="14"/>
  <c r="D597" i="14"/>
  <c r="P596" i="14"/>
  <c r="O596" i="14"/>
  <c r="K596" i="14"/>
  <c r="E596" i="14"/>
  <c r="D596" i="14"/>
  <c r="P595" i="14"/>
  <c r="O595" i="14"/>
  <c r="K595" i="14"/>
  <c r="E595" i="14"/>
  <c r="D595" i="14"/>
  <c r="P594" i="14"/>
  <c r="O594" i="14"/>
  <c r="K594" i="14"/>
  <c r="E594" i="14"/>
  <c r="D594" i="14"/>
  <c r="P593" i="14"/>
  <c r="O593" i="14"/>
  <c r="K593" i="14"/>
  <c r="E593" i="14"/>
  <c r="D593" i="14"/>
  <c r="P592" i="14"/>
  <c r="O592" i="14"/>
  <c r="K592" i="14"/>
  <c r="E592" i="14"/>
  <c r="D592" i="14"/>
  <c r="P591" i="14"/>
  <c r="O591" i="14"/>
  <c r="K591" i="14"/>
  <c r="E591" i="14"/>
  <c r="D591" i="14"/>
  <c r="P590" i="14"/>
  <c r="O590" i="14"/>
  <c r="K590" i="14"/>
  <c r="E590" i="14"/>
  <c r="D590" i="14"/>
  <c r="P589" i="14"/>
  <c r="O589" i="14"/>
  <c r="K589" i="14"/>
  <c r="E589" i="14"/>
  <c r="D589" i="14"/>
  <c r="P588" i="14"/>
  <c r="O588" i="14"/>
  <c r="K588" i="14"/>
  <c r="E588" i="14"/>
  <c r="D588" i="14"/>
  <c r="P587" i="14"/>
  <c r="O587" i="14"/>
  <c r="K587" i="14"/>
  <c r="E587" i="14"/>
  <c r="D587" i="14"/>
  <c r="P586" i="14"/>
  <c r="O586" i="14"/>
  <c r="K586" i="14"/>
  <c r="E586" i="14"/>
  <c r="D586" i="14"/>
  <c r="P585" i="14"/>
  <c r="O585" i="14"/>
  <c r="K585" i="14"/>
  <c r="E585" i="14"/>
  <c r="D585" i="14"/>
  <c r="P584" i="14"/>
  <c r="O584" i="14"/>
  <c r="K584" i="14"/>
  <c r="E584" i="14"/>
  <c r="D584" i="14"/>
  <c r="P583" i="14"/>
  <c r="O583" i="14"/>
  <c r="K583" i="14"/>
  <c r="E583" i="14"/>
  <c r="D583" i="14"/>
  <c r="P582" i="14"/>
  <c r="O582" i="14"/>
  <c r="K582" i="14"/>
  <c r="E582" i="14"/>
  <c r="D582" i="14"/>
  <c r="P581" i="14"/>
  <c r="O581" i="14"/>
  <c r="K581" i="14"/>
  <c r="E581" i="14"/>
  <c r="D581" i="14"/>
  <c r="P580" i="14"/>
  <c r="O580" i="14"/>
  <c r="K580" i="14"/>
  <c r="E580" i="14"/>
  <c r="D580" i="14"/>
  <c r="P579" i="14"/>
  <c r="O579" i="14"/>
  <c r="K579" i="14"/>
  <c r="E579" i="14"/>
  <c r="D579" i="14"/>
  <c r="P578" i="14"/>
  <c r="O578" i="14"/>
  <c r="K578" i="14"/>
  <c r="E578" i="14"/>
  <c r="D578" i="14"/>
  <c r="P577" i="14"/>
  <c r="O577" i="14"/>
  <c r="K577" i="14"/>
  <c r="E577" i="14"/>
  <c r="D577" i="14"/>
  <c r="P576" i="14"/>
  <c r="O576" i="14"/>
  <c r="K576" i="14"/>
  <c r="E576" i="14"/>
  <c r="D576" i="14"/>
  <c r="P575" i="14"/>
  <c r="O575" i="14"/>
  <c r="K575" i="14"/>
  <c r="E575" i="14"/>
  <c r="D575" i="14"/>
  <c r="P574" i="14"/>
  <c r="O574" i="14"/>
  <c r="K574" i="14"/>
  <c r="E574" i="14"/>
  <c r="D574" i="14"/>
  <c r="P573" i="14"/>
  <c r="O573" i="14"/>
  <c r="K573" i="14"/>
  <c r="E573" i="14"/>
  <c r="D573" i="14"/>
  <c r="P572" i="14"/>
  <c r="O572" i="14"/>
  <c r="K572" i="14"/>
  <c r="E572" i="14"/>
  <c r="D572" i="14"/>
  <c r="P571" i="14"/>
  <c r="O571" i="14"/>
  <c r="K571" i="14"/>
  <c r="E571" i="14"/>
  <c r="D571" i="14"/>
  <c r="P570" i="14"/>
  <c r="O570" i="14"/>
  <c r="K570" i="14"/>
  <c r="E570" i="14"/>
  <c r="D570" i="14"/>
  <c r="P569" i="14"/>
  <c r="O569" i="14"/>
  <c r="Q569" i="14" s="1"/>
  <c r="R569" i="14" s="1"/>
  <c r="K569" i="14"/>
  <c r="E569" i="14"/>
  <c r="D569" i="14"/>
  <c r="P568" i="14"/>
  <c r="O568" i="14"/>
  <c r="K568" i="14"/>
  <c r="E568" i="14"/>
  <c r="D568" i="14"/>
  <c r="P567" i="14"/>
  <c r="O567" i="14"/>
  <c r="K567" i="14"/>
  <c r="E567" i="14"/>
  <c r="D567" i="14"/>
  <c r="P566" i="14"/>
  <c r="O566" i="14"/>
  <c r="K566" i="14"/>
  <c r="E566" i="14"/>
  <c r="D566" i="14"/>
  <c r="P565" i="14"/>
  <c r="O565" i="14"/>
  <c r="K565" i="14"/>
  <c r="E565" i="14"/>
  <c r="D565" i="14"/>
  <c r="P564" i="14"/>
  <c r="O564" i="14"/>
  <c r="K564" i="14"/>
  <c r="E564" i="14"/>
  <c r="D564" i="14"/>
  <c r="P563" i="14"/>
  <c r="O563" i="14"/>
  <c r="K563" i="14"/>
  <c r="E563" i="14"/>
  <c r="D563" i="14"/>
  <c r="P562" i="14"/>
  <c r="O562" i="14"/>
  <c r="K562" i="14"/>
  <c r="E562" i="14"/>
  <c r="D562" i="14"/>
  <c r="P561" i="14"/>
  <c r="O561" i="14"/>
  <c r="K561" i="14"/>
  <c r="E561" i="14"/>
  <c r="D561" i="14"/>
  <c r="P560" i="14"/>
  <c r="O560" i="14"/>
  <c r="K560" i="14"/>
  <c r="E560" i="14"/>
  <c r="D560" i="14"/>
  <c r="P559" i="14"/>
  <c r="O559" i="14"/>
  <c r="K559" i="14"/>
  <c r="E559" i="14"/>
  <c r="D559" i="14"/>
  <c r="P558" i="14"/>
  <c r="O558" i="14"/>
  <c r="K558" i="14"/>
  <c r="E558" i="14"/>
  <c r="D558" i="14"/>
  <c r="P557" i="14"/>
  <c r="O557" i="14"/>
  <c r="K557" i="14"/>
  <c r="E557" i="14"/>
  <c r="D557" i="14"/>
  <c r="P556" i="14"/>
  <c r="O556" i="14"/>
  <c r="K556" i="14"/>
  <c r="E556" i="14"/>
  <c r="D556" i="14"/>
  <c r="P555" i="14"/>
  <c r="O555" i="14"/>
  <c r="K555" i="14"/>
  <c r="E555" i="14"/>
  <c r="D555" i="14"/>
  <c r="P554" i="14"/>
  <c r="O554" i="14"/>
  <c r="K554" i="14"/>
  <c r="E554" i="14"/>
  <c r="D554" i="14"/>
  <c r="P553" i="14"/>
  <c r="O553" i="14"/>
  <c r="K553" i="14"/>
  <c r="E553" i="14"/>
  <c r="D553" i="14"/>
  <c r="P552" i="14"/>
  <c r="O552" i="14"/>
  <c r="K552" i="14"/>
  <c r="E552" i="14"/>
  <c r="D552" i="14"/>
  <c r="P551" i="14"/>
  <c r="O551" i="14"/>
  <c r="K551" i="14"/>
  <c r="E551" i="14"/>
  <c r="D551" i="14"/>
  <c r="P550" i="14"/>
  <c r="O550" i="14"/>
  <c r="K550" i="14"/>
  <c r="E550" i="14"/>
  <c r="D550" i="14"/>
  <c r="P549" i="14"/>
  <c r="O549" i="14"/>
  <c r="K549" i="14"/>
  <c r="E549" i="14"/>
  <c r="D549" i="14"/>
  <c r="P548" i="14"/>
  <c r="O548" i="14"/>
  <c r="K548" i="14"/>
  <c r="E548" i="14"/>
  <c r="D548" i="14"/>
  <c r="P547" i="14"/>
  <c r="O547" i="14"/>
  <c r="K547" i="14"/>
  <c r="E547" i="14"/>
  <c r="D547" i="14"/>
  <c r="P546" i="14"/>
  <c r="O546" i="14"/>
  <c r="K546" i="14"/>
  <c r="E546" i="14"/>
  <c r="D546" i="14"/>
  <c r="P545" i="14"/>
  <c r="O545" i="14"/>
  <c r="K545" i="14"/>
  <c r="E545" i="14"/>
  <c r="D545" i="14"/>
  <c r="P544" i="14"/>
  <c r="O544" i="14"/>
  <c r="K544" i="14"/>
  <c r="E544" i="14"/>
  <c r="D544" i="14"/>
  <c r="P543" i="14"/>
  <c r="O543" i="14"/>
  <c r="Q543" i="14" s="1"/>
  <c r="R543" i="14" s="1"/>
  <c r="K543" i="14"/>
  <c r="E543" i="14"/>
  <c r="D543" i="14"/>
  <c r="P542" i="14"/>
  <c r="O542" i="14"/>
  <c r="K542" i="14"/>
  <c r="E542" i="14"/>
  <c r="D542" i="14"/>
  <c r="P541" i="14"/>
  <c r="O541" i="14"/>
  <c r="K541" i="14"/>
  <c r="E541" i="14"/>
  <c r="D541" i="14"/>
  <c r="P540" i="14"/>
  <c r="O540" i="14"/>
  <c r="K540" i="14"/>
  <c r="E540" i="14"/>
  <c r="D540" i="14"/>
  <c r="P539" i="14"/>
  <c r="O539" i="14"/>
  <c r="K539" i="14"/>
  <c r="E539" i="14"/>
  <c r="D539" i="14"/>
  <c r="P538" i="14"/>
  <c r="O538" i="14"/>
  <c r="K538" i="14"/>
  <c r="E538" i="14"/>
  <c r="D538" i="14"/>
  <c r="P537" i="14"/>
  <c r="O537" i="14"/>
  <c r="K537" i="14"/>
  <c r="E537" i="14"/>
  <c r="D537" i="14"/>
  <c r="P536" i="14"/>
  <c r="O536" i="14"/>
  <c r="K536" i="14"/>
  <c r="E536" i="14"/>
  <c r="D536" i="14"/>
  <c r="P535" i="14"/>
  <c r="O535" i="14"/>
  <c r="K535" i="14"/>
  <c r="E535" i="14"/>
  <c r="D535" i="14"/>
  <c r="P534" i="14"/>
  <c r="O534" i="14"/>
  <c r="K534" i="14"/>
  <c r="E534" i="14"/>
  <c r="D534" i="14"/>
  <c r="P533" i="14"/>
  <c r="O533" i="14"/>
  <c r="K533" i="14"/>
  <c r="E533" i="14"/>
  <c r="D533" i="14"/>
  <c r="P532" i="14"/>
  <c r="O532" i="14"/>
  <c r="K532" i="14"/>
  <c r="E532" i="14"/>
  <c r="D532" i="14"/>
  <c r="P531" i="14"/>
  <c r="O531" i="14"/>
  <c r="K531" i="14"/>
  <c r="E531" i="14"/>
  <c r="D531" i="14"/>
  <c r="P530" i="14"/>
  <c r="O530" i="14"/>
  <c r="K530" i="14"/>
  <c r="E530" i="14"/>
  <c r="D530" i="14"/>
  <c r="P529" i="14"/>
  <c r="O529" i="14"/>
  <c r="K529" i="14"/>
  <c r="E529" i="14"/>
  <c r="D529" i="14"/>
  <c r="P528" i="14"/>
  <c r="O528" i="14"/>
  <c r="K528" i="14"/>
  <c r="E528" i="14"/>
  <c r="D528" i="14"/>
  <c r="P527" i="14"/>
  <c r="O527" i="14"/>
  <c r="K527" i="14"/>
  <c r="E527" i="14"/>
  <c r="D527" i="14"/>
  <c r="P526" i="14"/>
  <c r="O526" i="14"/>
  <c r="K526" i="14"/>
  <c r="E526" i="14"/>
  <c r="D526" i="14"/>
  <c r="P525" i="14"/>
  <c r="O525" i="14"/>
  <c r="K525" i="14"/>
  <c r="E525" i="14"/>
  <c r="D525" i="14"/>
  <c r="P524" i="14"/>
  <c r="O524" i="14"/>
  <c r="K524" i="14"/>
  <c r="E524" i="14"/>
  <c r="D524" i="14"/>
  <c r="P523" i="14"/>
  <c r="O523" i="14"/>
  <c r="K523" i="14"/>
  <c r="E523" i="14"/>
  <c r="D523" i="14"/>
  <c r="P522" i="14"/>
  <c r="O522" i="14"/>
  <c r="Q522" i="14" s="1"/>
  <c r="R522" i="14" s="1"/>
  <c r="K522" i="14"/>
  <c r="E522" i="14"/>
  <c r="D522" i="14"/>
  <c r="P521" i="14"/>
  <c r="O521" i="14"/>
  <c r="K521" i="14"/>
  <c r="E521" i="14"/>
  <c r="D521" i="14"/>
  <c r="P520" i="14"/>
  <c r="O520" i="14"/>
  <c r="K520" i="14"/>
  <c r="E520" i="14"/>
  <c r="D520" i="14"/>
  <c r="P519" i="14"/>
  <c r="O519" i="14"/>
  <c r="K519" i="14"/>
  <c r="E519" i="14"/>
  <c r="D519" i="14"/>
  <c r="P518" i="14"/>
  <c r="O518" i="14"/>
  <c r="K518" i="14"/>
  <c r="E518" i="14"/>
  <c r="D518" i="14"/>
  <c r="P517" i="14"/>
  <c r="O517" i="14"/>
  <c r="K517" i="14"/>
  <c r="E517" i="14"/>
  <c r="D517" i="14"/>
  <c r="P516" i="14"/>
  <c r="O516" i="14"/>
  <c r="K516" i="14"/>
  <c r="E516" i="14"/>
  <c r="D516" i="14"/>
  <c r="P515" i="14"/>
  <c r="O515" i="14"/>
  <c r="K515" i="14"/>
  <c r="E515" i="14"/>
  <c r="D515" i="14"/>
  <c r="P514" i="14"/>
  <c r="O514" i="14"/>
  <c r="K514" i="14"/>
  <c r="E514" i="14"/>
  <c r="D514" i="14"/>
  <c r="P513" i="14"/>
  <c r="O513" i="14"/>
  <c r="K513" i="14"/>
  <c r="E513" i="14"/>
  <c r="D513" i="14"/>
  <c r="P512" i="14"/>
  <c r="O512" i="14"/>
  <c r="K512" i="14"/>
  <c r="E512" i="14"/>
  <c r="D512" i="14"/>
  <c r="P511" i="14"/>
  <c r="O511" i="14"/>
  <c r="K511" i="14"/>
  <c r="E511" i="14"/>
  <c r="D511" i="14"/>
  <c r="P510" i="14"/>
  <c r="O510" i="14"/>
  <c r="K510" i="14"/>
  <c r="E510" i="14"/>
  <c r="D510" i="14"/>
  <c r="P509" i="14"/>
  <c r="O509" i="14"/>
  <c r="K509" i="14"/>
  <c r="E509" i="14"/>
  <c r="D509" i="14"/>
  <c r="P508" i="14"/>
  <c r="O508" i="14"/>
  <c r="K508" i="14"/>
  <c r="E508" i="14"/>
  <c r="D508" i="14"/>
  <c r="P507" i="14"/>
  <c r="O507" i="14"/>
  <c r="K507" i="14"/>
  <c r="E507" i="14"/>
  <c r="D507" i="14"/>
  <c r="P506" i="14"/>
  <c r="O506" i="14"/>
  <c r="K506" i="14"/>
  <c r="E506" i="14"/>
  <c r="D506" i="14"/>
  <c r="P505" i="14"/>
  <c r="O505" i="14"/>
  <c r="K505" i="14"/>
  <c r="E505" i="14"/>
  <c r="D505" i="14"/>
  <c r="P504" i="14"/>
  <c r="O504" i="14"/>
  <c r="K504" i="14"/>
  <c r="E504" i="14"/>
  <c r="D504" i="14"/>
  <c r="P503" i="14"/>
  <c r="O503" i="14"/>
  <c r="K503" i="14"/>
  <c r="E503" i="14"/>
  <c r="D503" i="14"/>
  <c r="P502" i="14"/>
  <c r="O502" i="14"/>
  <c r="K502" i="14"/>
  <c r="E502" i="14"/>
  <c r="D502" i="14"/>
  <c r="P501" i="14"/>
  <c r="O501" i="14"/>
  <c r="K501" i="14"/>
  <c r="E501" i="14"/>
  <c r="D501" i="14"/>
  <c r="P500" i="14"/>
  <c r="O500" i="14"/>
  <c r="K500" i="14"/>
  <c r="E500" i="14"/>
  <c r="D500" i="14"/>
  <c r="P499" i="14"/>
  <c r="O499" i="14"/>
  <c r="K499" i="14"/>
  <c r="E499" i="14"/>
  <c r="D499" i="14"/>
  <c r="P498" i="14"/>
  <c r="O498" i="14"/>
  <c r="K498" i="14"/>
  <c r="E498" i="14"/>
  <c r="D498" i="14"/>
  <c r="P497" i="14"/>
  <c r="O497" i="14"/>
  <c r="K497" i="14"/>
  <c r="E497" i="14"/>
  <c r="D497" i="14"/>
  <c r="P496" i="14"/>
  <c r="O496" i="14"/>
  <c r="K496" i="14"/>
  <c r="E496" i="14"/>
  <c r="D496" i="14"/>
  <c r="P495" i="14"/>
  <c r="O495" i="14"/>
  <c r="K495" i="14"/>
  <c r="E495" i="14"/>
  <c r="D495" i="14"/>
  <c r="P494" i="14"/>
  <c r="O494" i="14"/>
  <c r="K494" i="14"/>
  <c r="E494" i="14"/>
  <c r="D494" i="14"/>
  <c r="P493" i="14"/>
  <c r="O493" i="14"/>
  <c r="K493" i="14"/>
  <c r="E493" i="14"/>
  <c r="D493" i="14"/>
  <c r="P492" i="14"/>
  <c r="O492" i="14"/>
  <c r="K492" i="14"/>
  <c r="E492" i="14"/>
  <c r="D492" i="14"/>
  <c r="P491" i="14"/>
  <c r="O491" i="14"/>
  <c r="K491" i="14"/>
  <c r="E491" i="14"/>
  <c r="D491" i="14"/>
  <c r="P490" i="14"/>
  <c r="O490" i="14"/>
  <c r="K490" i="14"/>
  <c r="E490" i="14"/>
  <c r="D490" i="14"/>
  <c r="P489" i="14"/>
  <c r="O489" i="14"/>
  <c r="K489" i="14"/>
  <c r="E489" i="14"/>
  <c r="D489" i="14"/>
  <c r="P488" i="14"/>
  <c r="O488" i="14"/>
  <c r="K488" i="14"/>
  <c r="E488" i="14"/>
  <c r="D488" i="14"/>
  <c r="P487" i="14"/>
  <c r="O487" i="14"/>
  <c r="K487" i="14"/>
  <c r="E487" i="14"/>
  <c r="D487" i="14"/>
  <c r="P486" i="14"/>
  <c r="O486" i="14"/>
  <c r="K486" i="14"/>
  <c r="E486" i="14"/>
  <c r="D486" i="14"/>
  <c r="P485" i="14"/>
  <c r="O485" i="14"/>
  <c r="K485" i="14"/>
  <c r="E485" i="14"/>
  <c r="D485" i="14"/>
  <c r="P484" i="14"/>
  <c r="O484" i="14"/>
  <c r="K484" i="14"/>
  <c r="E484" i="14"/>
  <c r="D484" i="14"/>
  <c r="P483" i="14"/>
  <c r="O483" i="14"/>
  <c r="K483" i="14"/>
  <c r="E483" i="14"/>
  <c r="D483" i="14"/>
  <c r="P482" i="14"/>
  <c r="O482" i="14"/>
  <c r="K482" i="14"/>
  <c r="E482" i="14"/>
  <c r="D482" i="14"/>
  <c r="P481" i="14"/>
  <c r="O481" i="14"/>
  <c r="K481" i="14"/>
  <c r="E481" i="14"/>
  <c r="D481" i="14"/>
  <c r="P480" i="14"/>
  <c r="O480" i="14"/>
  <c r="K480" i="14"/>
  <c r="E480" i="14"/>
  <c r="D480" i="14"/>
  <c r="P479" i="14"/>
  <c r="O479" i="14"/>
  <c r="K479" i="14"/>
  <c r="E479" i="14"/>
  <c r="D479" i="14"/>
  <c r="P478" i="14"/>
  <c r="O478" i="14"/>
  <c r="K478" i="14"/>
  <c r="E478" i="14"/>
  <c r="D478" i="14"/>
  <c r="P477" i="14"/>
  <c r="O477" i="14"/>
  <c r="K477" i="14"/>
  <c r="E477" i="14"/>
  <c r="D477" i="14"/>
  <c r="P476" i="14"/>
  <c r="O476" i="14"/>
  <c r="K476" i="14"/>
  <c r="E476" i="14"/>
  <c r="D476" i="14"/>
  <c r="P475" i="14"/>
  <c r="O475" i="14"/>
  <c r="K475" i="14"/>
  <c r="E475" i="14"/>
  <c r="D475" i="14"/>
  <c r="P474" i="14"/>
  <c r="O474" i="14"/>
  <c r="Q474" i="14" s="1"/>
  <c r="R474" i="14" s="1"/>
  <c r="K474" i="14"/>
  <c r="E474" i="14"/>
  <c r="D474" i="14"/>
  <c r="P473" i="14"/>
  <c r="O473" i="14"/>
  <c r="K473" i="14"/>
  <c r="E473" i="14"/>
  <c r="D473" i="14"/>
  <c r="P472" i="14"/>
  <c r="O472" i="14"/>
  <c r="K472" i="14"/>
  <c r="E472" i="14"/>
  <c r="D472" i="14"/>
  <c r="P471" i="14"/>
  <c r="O471" i="14"/>
  <c r="K471" i="14"/>
  <c r="E471" i="14"/>
  <c r="D471" i="14"/>
  <c r="P470" i="14"/>
  <c r="O470" i="14"/>
  <c r="K470" i="14"/>
  <c r="E470" i="14"/>
  <c r="D470" i="14"/>
  <c r="P469" i="14"/>
  <c r="O469" i="14"/>
  <c r="K469" i="14"/>
  <c r="E469" i="14"/>
  <c r="D469" i="14"/>
  <c r="P468" i="14"/>
  <c r="O468" i="14"/>
  <c r="K468" i="14"/>
  <c r="E468" i="14"/>
  <c r="D468" i="14"/>
  <c r="P467" i="14"/>
  <c r="O467" i="14"/>
  <c r="K467" i="14"/>
  <c r="E467" i="14"/>
  <c r="D467" i="14"/>
  <c r="P466" i="14"/>
  <c r="O466" i="14"/>
  <c r="K466" i="14"/>
  <c r="E466" i="14"/>
  <c r="D466" i="14"/>
  <c r="P465" i="14"/>
  <c r="O465" i="14"/>
  <c r="K465" i="14"/>
  <c r="E465" i="14"/>
  <c r="D465" i="14"/>
  <c r="P464" i="14"/>
  <c r="O464" i="14"/>
  <c r="K464" i="14"/>
  <c r="E464" i="14"/>
  <c r="D464" i="14"/>
  <c r="P463" i="14"/>
  <c r="O463" i="14"/>
  <c r="K463" i="14"/>
  <c r="E463" i="14"/>
  <c r="D463" i="14"/>
  <c r="P462" i="14"/>
  <c r="O462" i="14"/>
  <c r="K462" i="14"/>
  <c r="E462" i="14"/>
  <c r="D462" i="14"/>
  <c r="P461" i="14"/>
  <c r="O461" i="14"/>
  <c r="K461" i="14"/>
  <c r="E461" i="14"/>
  <c r="D461" i="14"/>
  <c r="P460" i="14"/>
  <c r="O460" i="14"/>
  <c r="K460" i="14"/>
  <c r="E460" i="14"/>
  <c r="D460" i="14"/>
  <c r="P459" i="14"/>
  <c r="O459" i="14"/>
  <c r="K459" i="14"/>
  <c r="E459" i="14"/>
  <c r="D459" i="14"/>
  <c r="P458" i="14"/>
  <c r="O458" i="14"/>
  <c r="K458" i="14"/>
  <c r="E458" i="14"/>
  <c r="D458" i="14"/>
  <c r="P457" i="14"/>
  <c r="O457" i="14"/>
  <c r="K457" i="14"/>
  <c r="E457" i="14"/>
  <c r="D457" i="14"/>
  <c r="P456" i="14"/>
  <c r="O456" i="14"/>
  <c r="K456" i="14"/>
  <c r="E456" i="14"/>
  <c r="D456" i="14"/>
  <c r="P455" i="14"/>
  <c r="O455" i="14"/>
  <c r="K455" i="14"/>
  <c r="E455" i="14"/>
  <c r="D455" i="14"/>
  <c r="P454" i="14"/>
  <c r="O454" i="14"/>
  <c r="K454" i="14"/>
  <c r="E454" i="14"/>
  <c r="D454" i="14"/>
  <c r="P453" i="14"/>
  <c r="O453" i="14"/>
  <c r="K453" i="14"/>
  <c r="E453" i="14"/>
  <c r="D453" i="14"/>
  <c r="P452" i="14"/>
  <c r="O452" i="14"/>
  <c r="K452" i="14"/>
  <c r="E452" i="14"/>
  <c r="D452" i="14"/>
  <c r="P451" i="14"/>
  <c r="O451" i="14"/>
  <c r="K451" i="14"/>
  <c r="E451" i="14"/>
  <c r="D451" i="14"/>
  <c r="P450" i="14"/>
  <c r="O450" i="14"/>
  <c r="K450" i="14"/>
  <c r="E450" i="14"/>
  <c r="D450" i="14"/>
  <c r="P449" i="14"/>
  <c r="O449" i="14"/>
  <c r="K449" i="14"/>
  <c r="E449" i="14"/>
  <c r="D449" i="14"/>
  <c r="P448" i="14"/>
  <c r="O448" i="14"/>
  <c r="K448" i="14"/>
  <c r="E448" i="14"/>
  <c r="D448" i="14"/>
  <c r="P447" i="14"/>
  <c r="O447" i="14"/>
  <c r="K447" i="14"/>
  <c r="E447" i="14"/>
  <c r="D447" i="14"/>
  <c r="P446" i="14"/>
  <c r="O446" i="14"/>
  <c r="K446" i="14"/>
  <c r="E446" i="14"/>
  <c r="D446" i="14"/>
  <c r="P445" i="14"/>
  <c r="O445" i="14"/>
  <c r="K445" i="14"/>
  <c r="E445" i="14"/>
  <c r="D445" i="14"/>
  <c r="P444" i="14"/>
  <c r="O444" i="14"/>
  <c r="K444" i="14"/>
  <c r="E444" i="14"/>
  <c r="D444" i="14"/>
  <c r="P443" i="14"/>
  <c r="O443" i="14"/>
  <c r="K443" i="14"/>
  <c r="E443" i="14"/>
  <c r="D443" i="14"/>
  <c r="P442" i="14"/>
  <c r="O442" i="14"/>
  <c r="K442" i="14"/>
  <c r="E442" i="14"/>
  <c r="D442" i="14"/>
  <c r="P441" i="14"/>
  <c r="O441" i="14"/>
  <c r="K441" i="14"/>
  <c r="E441" i="14"/>
  <c r="D441" i="14"/>
  <c r="P440" i="14"/>
  <c r="O440" i="14"/>
  <c r="K440" i="14"/>
  <c r="E440" i="14"/>
  <c r="D440" i="14"/>
  <c r="P439" i="14"/>
  <c r="O439" i="14"/>
  <c r="K439" i="14"/>
  <c r="E439" i="14"/>
  <c r="D439" i="14"/>
  <c r="P438" i="14"/>
  <c r="O438" i="14"/>
  <c r="K438" i="14"/>
  <c r="E438" i="14"/>
  <c r="D438" i="14"/>
  <c r="P437" i="14"/>
  <c r="O437" i="14"/>
  <c r="K437" i="14"/>
  <c r="E437" i="14"/>
  <c r="D437" i="14"/>
  <c r="P436" i="14"/>
  <c r="O436" i="14"/>
  <c r="K436" i="14"/>
  <c r="E436" i="14"/>
  <c r="D436" i="14"/>
  <c r="P435" i="14"/>
  <c r="O435" i="14"/>
  <c r="K435" i="14"/>
  <c r="E435" i="14"/>
  <c r="D435" i="14"/>
  <c r="P434" i="14"/>
  <c r="O434" i="14"/>
  <c r="K434" i="14"/>
  <c r="E434" i="14"/>
  <c r="D434" i="14"/>
  <c r="P433" i="14"/>
  <c r="O433" i="14"/>
  <c r="K433" i="14"/>
  <c r="E433" i="14"/>
  <c r="D433" i="14"/>
  <c r="P432" i="14"/>
  <c r="O432" i="14"/>
  <c r="K432" i="14"/>
  <c r="E432" i="14"/>
  <c r="D432" i="14"/>
  <c r="P431" i="14"/>
  <c r="O431" i="14"/>
  <c r="K431" i="14"/>
  <c r="E431" i="14"/>
  <c r="D431" i="14"/>
  <c r="P430" i="14"/>
  <c r="O430" i="14"/>
  <c r="K430" i="14"/>
  <c r="E430" i="14"/>
  <c r="D430" i="14"/>
  <c r="P429" i="14"/>
  <c r="O429" i="14"/>
  <c r="K429" i="14"/>
  <c r="E429" i="14"/>
  <c r="D429" i="14"/>
  <c r="P428" i="14"/>
  <c r="O428" i="14"/>
  <c r="K428" i="14"/>
  <c r="E428" i="14"/>
  <c r="D428" i="14"/>
  <c r="P427" i="14"/>
  <c r="O427" i="14"/>
  <c r="K427" i="14"/>
  <c r="E427" i="14"/>
  <c r="D427" i="14"/>
  <c r="P426" i="14"/>
  <c r="O426" i="14"/>
  <c r="K426" i="14"/>
  <c r="E426" i="14"/>
  <c r="D426" i="14"/>
  <c r="P425" i="14"/>
  <c r="O425" i="14"/>
  <c r="Q425" i="14" s="1"/>
  <c r="R425" i="14" s="1"/>
  <c r="K425" i="14"/>
  <c r="E425" i="14"/>
  <c r="D425" i="14"/>
  <c r="P424" i="14"/>
  <c r="O424" i="14"/>
  <c r="K424" i="14"/>
  <c r="E424" i="14"/>
  <c r="D424" i="14"/>
  <c r="P423" i="14"/>
  <c r="O423" i="14"/>
  <c r="K423" i="14"/>
  <c r="E423" i="14"/>
  <c r="D423" i="14"/>
  <c r="P422" i="14"/>
  <c r="O422" i="14"/>
  <c r="K422" i="14"/>
  <c r="E422" i="14"/>
  <c r="D422" i="14"/>
  <c r="P421" i="14"/>
  <c r="O421" i="14"/>
  <c r="K421" i="14"/>
  <c r="E421" i="14"/>
  <c r="D421" i="14"/>
  <c r="P420" i="14"/>
  <c r="O420" i="14"/>
  <c r="K420" i="14"/>
  <c r="E420" i="14"/>
  <c r="D420" i="14"/>
  <c r="P419" i="14"/>
  <c r="O419" i="14"/>
  <c r="K419" i="14"/>
  <c r="E419" i="14"/>
  <c r="D419" i="14"/>
  <c r="P418" i="14"/>
  <c r="O418" i="14"/>
  <c r="K418" i="14"/>
  <c r="E418" i="14"/>
  <c r="D418" i="14"/>
  <c r="P417" i="14"/>
  <c r="O417" i="14"/>
  <c r="K417" i="14"/>
  <c r="E417" i="14"/>
  <c r="D417" i="14"/>
  <c r="P416" i="14"/>
  <c r="O416" i="14"/>
  <c r="K416" i="14"/>
  <c r="E416" i="14"/>
  <c r="D416" i="14"/>
  <c r="P415" i="14"/>
  <c r="O415" i="14"/>
  <c r="K415" i="14"/>
  <c r="E415" i="14"/>
  <c r="D415" i="14"/>
  <c r="P414" i="14"/>
  <c r="O414" i="14"/>
  <c r="K414" i="14"/>
  <c r="E414" i="14"/>
  <c r="D414" i="14"/>
  <c r="P413" i="14"/>
  <c r="O413" i="14"/>
  <c r="K413" i="14"/>
  <c r="E413" i="14"/>
  <c r="D413" i="14"/>
  <c r="P412" i="14"/>
  <c r="O412" i="14"/>
  <c r="K412" i="14"/>
  <c r="E412" i="14"/>
  <c r="D412" i="14"/>
  <c r="P411" i="14"/>
  <c r="O411" i="14"/>
  <c r="K411" i="14"/>
  <c r="E411" i="14"/>
  <c r="D411" i="14"/>
  <c r="P410" i="14"/>
  <c r="O410" i="14"/>
  <c r="K410" i="14"/>
  <c r="E410" i="14"/>
  <c r="D410" i="14"/>
  <c r="P409" i="14"/>
  <c r="O409" i="14"/>
  <c r="K409" i="14"/>
  <c r="E409" i="14"/>
  <c r="D409" i="14"/>
  <c r="P408" i="14"/>
  <c r="O408" i="14"/>
  <c r="K408" i="14"/>
  <c r="E408" i="14"/>
  <c r="D408" i="14"/>
  <c r="P407" i="14"/>
  <c r="O407" i="14"/>
  <c r="K407" i="14"/>
  <c r="E407" i="14"/>
  <c r="D407" i="14"/>
  <c r="P406" i="14"/>
  <c r="O406" i="14"/>
  <c r="K406" i="14"/>
  <c r="E406" i="14"/>
  <c r="D406" i="14"/>
  <c r="P405" i="14"/>
  <c r="O405" i="14"/>
  <c r="K405" i="14"/>
  <c r="E405" i="14"/>
  <c r="D405" i="14"/>
  <c r="P404" i="14"/>
  <c r="O404" i="14"/>
  <c r="K404" i="14"/>
  <c r="E404" i="14"/>
  <c r="D404" i="14"/>
  <c r="P403" i="14"/>
  <c r="O403" i="14"/>
  <c r="K403" i="14"/>
  <c r="E403" i="14"/>
  <c r="D403" i="14"/>
  <c r="P402" i="14"/>
  <c r="O402" i="14"/>
  <c r="Q402" i="14" s="1"/>
  <c r="R402" i="14" s="1"/>
  <c r="K402" i="14"/>
  <c r="E402" i="14"/>
  <c r="D402" i="14"/>
  <c r="P401" i="14"/>
  <c r="O401" i="14"/>
  <c r="Q401" i="14" s="1"/>
  <c r="R401" i="14" s="1"/>
  <c r="K401" i="14"/>
  <c r="E401" i="14"/>
  <c r="D401" i="14"/>
  <c r="P400" i="14"/>
  <c r="O400" i="14"/>
  <c r="K400" i="14"/>
  <c r="E400" i="14"/>
  <c r="D400" i="14"/>
  <c r="P399" i="14"/>
  <c r="O399" i="14"/>
  <c r="K399" i="14"/>
  <c r="E399" i="14"/>
  <c r="D399" i="14"/>
  <c r="P398" i="14"/>
  <c r="O398" i="14"/>
  <c r="K398" i="14"/>
  <c r="E398" i="14"/>
  <c r="D398" i="14"/>
  <c r="P397" i="14"/>
  <c r="O397" i="14"/>
  <c r="K397" i="14"/>
  <c r="E397" i="14"/>
  <c r="D397" i="14"/>
  <c r="P396" i="14"/>
  <c r="O396" i="14"/>
  <c r="K396" i="14"/>
  <c r="E396" i="14"/>
  <c r="D396" i="14"/>
  <c r="P395" i="14"/>
  <c r="O395" i="14"/>
  <c r="K395" i="14"/>
  <c r="E395" i="14"/>
  <c r="D395" i="14"/>
  <c r="P394" i="14"/>
  <c r="O394" i="14"/>
  <c r="K394" i="14"/>
  <c r="E394" i="14"/>
  <c r="D394" i="14"/>
  <c r="P393" i="14"/>
  <c r="O393" i="14"/>
  <c r="K393" i="14"/>
  <c r="E393" i="14"/>
  <c r="D393" i="14"/>
  <c r="P392" i="14"/>
  <c r="O392" i="14"/>
  <c r="K392" i="14"/>
  <c r="E392" i="14"/>
  <c r="D392" i="14"/>
  <c r="P391" i="14"/>
  <c r="O391" i="14"/>
  <c r="K391" i="14"/>
  <c r="E391" i="14"/>
  <c r="D391" i="14"/>
  <c r="P390" i="14"/>
  <c r="O390" i="14"/>
  <c r="K390" i="14"/>
  <c r="E390" i="14"/>
  <c r="D390" i="14"/>
  <c r="P389" i="14"/>
  <c r="O389" i="14"/>
  <c r="K389" i="14"/>
  <c r="E389" i="14"/>
  <c r="D389" i="14"/>
  <c r="P388" i="14"/>
  <c r="O388" i="14"/>
  <c r="K388" i="14"/>
  <c r="E388" i="14"/>
  <c r="D388" i="14"/>
  <c r="P387" i="14"/>
  <c r="O387" i="14"/>
  <c r="K387" i="14"/>
  <c r="E387" i="14"/>
  <c r="D387" i="14"/>
  <c r="P386" i="14"/>
  <c r="O386" i="14"/>
  <c r="K386" i="14"/>
  <c r="E386" i="14"/>
  <c r="D386" i="14"/>
  <c r="P385" i="14"/>
  <c r="O385" i="14"/>
  <c r="K385" i="14"/>
  <c r="E385" i="14"/>
  <c r="D385" i="14"/>
  <c r="P384" i="14"/>
  <c r="O384" i="14"/>
  <c r="K384" i="14"/>
  <c r="E384" i="14"/>
  <c r="D384" i="14"/>
  <c r="P383" i="14"/>
  <c r="O383" i="14"/>
  <c r="K383" i="14"/>
  <c r="E383" i="14"/>
  <c r="D383" i="14"/>
  <c r="P382" i="14"/>
  <c r="O382" i="14"/>
  <c r="K382" i="14"/>
  <c r="E382" i="14"/>
  <c r="D382" i="14"/>
  <c r="P381" i="14"/>
  <c r="O381" i="14"/>
  <c r="K381" i="14"/>
  <c r="E381" i="14"/>
  <c r="D381" i="14"/>
  <c r="P380" i="14"/>
  <c r="O380" i="14"/>
  <c r="K380" i="14"/>
  <c r="E380" i="14"/>
  <c r="D380" i="14"/>
  <c r="P379" i="14"/>
  <c r="O379" i="14"/>
  <c r="Q379" i="14" s="1"/>
  <c r="R379" i="14" s="1"/>
  <c r="K379" i="14"/>
  <c r="E379" i="14"/>
  <c r="D379" i="14"/>
  <c r="P378" i="14"/>
  <c r="O378" i="14"/>
  <c r="K378" i="14"/>
  <c r="E378" i="14"/>
  <c r="D378" i="14"/>
  <c r="P377" i="14"/>
  <c r="O377" i="14"/>
  <c r="K377" i="14"/>
  <c r="E377" i="14"/>
  <c r="D377" i="14"/>
  <c r="P376" i="14"/>
  <c r="O376" i="14"/>
  <c r="K376" i="14"/>
  <c r="E376" i="14"/>
  <c r="D376" i="14"/>
  <c r="P375" i="14"/>
  <c r="O375" i="14"/>
  <c r="Q375" i="14" s="1"/>
  <c r="R375" i="14" s="1"/>
  <c r="K375" i="14"/>
  <c r="E375" i="14"/>
  <c r="D375" i="14"/>
  <c r="P374" i="14"/>
  <c r="O374" i="14"/>
  <c r="K374" i="14"/>
  <c r="E374" i="14"/>
  <c r="D374" i="14"/>
  <c r="P373" i="14"/>
  <c r="O373" i="14"/>
  <c r="K373" i="14"/>
  <c r="E373" i="14"/>
  <c r="D373" i="14"/>
  <c r="P372" i="14"/>
  <c r="O372" i="14"/>
  <c r="K372" i="14"/>
  <c r="E372" i="14"/>
  <c r="D372" i="14"/>
  <c r="P371" i="14"/>
  <c r="O371" i="14"/>
  <c r="K371" i="14"/>
  <c r="E371" i="14"/>
  <c r="D371" i="14"/>
  <c r="P370" i="14"/>
  <c r="O370" i="14"/>
  <c r="K370" i="14"/>
  <c r="E370" i="14"/>
  <c r="D370" i="14"/>
  <c r="P369" i="14"/>
  <c r="O369" i="14"/>
  <c r="K369" i="14"/>
  <c r="E369" i="14"/>
  <c r="D369" i="14"/>
  <c r="P368" i="14"/>
  <c r="O368" i="14"/>
  <c r="K368" i="14"/>
  <c r="E368" i="14"/>
  <c r="D368" i="14"/>
  <c r="P367" i="14"/>
  <c r="O367" i="14"/>
  <c r="K367" i="14"/>
  <c r="E367" i="14"/>
  <c r="D367" i="14"/>
  <c r="P366" i="14"/>
  <c r="O366" i="14"/>
  <c r="K366" i="14"/>
  <c r="E366" i="14"/>
  <c r="D366" i="14"/>
  <c r="P365" i="14"/>
  <c r="O365" i="14"/>
  <c r="K365" i="14"/>
  <c r="E365" i="14"/>
  <c r="D365" i="14"/>
  <c r="P364" i="14"/>
  <c r="O364" i="14"/>
  <c r="K364" i="14"/>
  <c r="E364" i="14"/>
  <c r="D364" i="14"/>
  <c r="P363" i="14"/>
  <c r="O363" i="14"/>
  <c r="K363" i="14"/>
  <c r="E363" i="14"/>
  <c r="D363" i="14"/>
  <c r="P362" i="14"/>
  <c r="O362" i="14"/>
  <c r="K362" i="14"/>
  <c r="E362" i="14"/>
  <c r="D362" i="14"/>
  <c r="P361" i="14"/>
  <c r="O361" i="14"/>
  <c r="K361" i="14"/>
  <c r="E361" i="14"/>
  <c r="D361" i="14"/>
  <c r="P360" i="14"/>
  <c r="O360" i="14"/>
  <c r="K360" i="14"/>
  <c r="E360" i="14"/>
  <c r="D360" i="14"/>
  <c r="P359" i="14"/>
  <c r="O359" i="14"/>
  <c r="K359" i="14"/>
  <c r="E359" i="14"/>
  <c r="D359" i="14"/>
  <c r="P358" i="14"/>
  <c r="O358" i="14"/>
  <c r="K358" i="14"/>
  <c r="E358" i="14"/>
  <c r="D358" i="14"/>
  <c r="P357" i="14"/>
  <c r="O357" i="14"/>
  <c r="K357" i="14"/>
  <c r="E357" i="14"/>
  <c r="D357" i="14"/>
  <c r="P356" i="14"/>
  <c r="O356" i="14"/>
  <c r="K356" i="14"/>
  <c r="E356" i="14"/>
  <c r="D356" i="14"/>
  <c r="P355" i="14"/>
  <c r="O355" i="14"/>
  <c r="K355" i="14"/>
  <c r="E355" i="14"/>
  <c r="D355" i="14"/>
  <c r="P354" i="14"/>
  <c r="O354" i="14"/>
  <c r="K354" i="14"/>
  <c r="E354" i="14"/>
  <c r="D354" i="14"/>
  <c r="P353" i="14"/>
  <c r="O353" i="14"/>
  <c r="K353" i="14"/>
  <c r="E353" i="14"/>
  <c r="D353" i="14"/>
  <c r="P352" i="14"/>
  <c r="O352" i="14"/>
  <c r="K352" i="14"/>
  <c r="E352" i="14"/>
  <c r="D352" i="14"/>
  <c r="P351" i="14"/>
  <c r="O351" i="14"/>
  <c r="K351" i="14"/>
  <c r="E351" i="14"/>
  <c r="D351" i="14"/>
  <c r="P350" i="14"/>
  <c r="O350" i="14"/>
  <c r="K350" i="14"/>
  <c r="E350" i="14"/>
  <c r="D350" i="14"/>
  <c r="P349" i="14"/>
  <c r="O349" i="14"/>
  <c r="K349" i="14"/>
  <c r="E349" i="14"/>
  <c r="D349" i="14"/>
  <c r="P348" i="14"/>
  <c r="O348" i="14"/>
  <c r="K348" i="14"/>
  <c r="E348" i="14"/>
  <c r="D348" i="14"/>
  <c r="P347" i="14"/>
  <c r="O347" i="14"/>
  <c r="K347" i="14"/>
  <c r="E347" i="14"/>
  <c r="D347" i="14"/>
  <c r="P346" i="14"/>
  <c r="O346" i="14"/>
  <c r="Q346" i="14" s="1"/>
  <c r="R346" i="14" s="1"/>
  <c r="K346" i="14"/>
  <c r="E346" i="14"/>
  <c r="D346" i="14"/>
  <c r="P345" i="14"/>
  <c r="O345" i="14"/>
  <c r="K345" i="14"/>
  <c r="E345" i="14"/>
  <c r="D345" i="14"/>
  <c r="P344" i="14"/>
  <c r="O344" i="14"/>
  <c r="K344" i="14"/>
  <c r="E344" i="14"/>
  <c r="D344" i="14"/>
  <c r="P343" i="14"/>
  <c r="O343" i="14"/>
  <c r="K343" i="14"/>
  <c r="E343" i="14"/>
  <c r="D343" i="14"/>
  <c r="P342" i="14"/>
  <c r="O342" i="14"/>
  <c r="K342" i="14"/>
  <c r="E342" i="14"/>
  <c r="D342" i="14"/>
  <c r="P341" i="14"/>
  <c r="O341" i="14"/>
  <c r="K341" i="14"/>
  <c r="E341" i="14"/>
  <c r="D341" i="14"/>
  <c r="P340" i="14"/>
  <c r="O340" i="14"/>
  <c r="K340" i="14"/>
  <c r="E340" i="14"/>
  <c r="D340" i="14"/>
  <c r="P339" i="14"/>
  <c r="O339" i="14"/>
  <c r="Q339" i="14" s="1"/>
  <c r="R339" i="14" s="1"/>
  <c r="K339" i="14"/>
  <c r="E339" i="14"/>
  <c r="D339" i="14"/>
  <c r="P338" i="14"/>
  <c r="O338" i="14"/>
  <c r="K338" i="14"/>
  <c r="E338" i="14"/>
  <c r="D338" i="14"/>
  <c r="P337" i="14"/>
  <c r="O337" i="14"/>
  <c r="K337" i="14"/>
  <c r="E337" i="14"/>
  <c r="D337" i="14"/>
  <c r="P336" i="14"/>
  <c r="O336" i="14"/>
  <c r="K336" i="14"/>
  <c r="E336" i="14"/>
  <c r="D336" i="14"/>
  <c r="P335" i="14"/>
  <c r="O335" i="14"/>
  <c r="K335" i="14"/>
  <c r="E335" i="14"/>
  <c r="D335" i="14"/>
  <c r="P334" i="14"/>
  <c r="O334" i="14"/>
  <c r="K334" i="14"/>
  <c r="E334" i="14"/>
  <c r="D334" i="14"/>
  <c r="P333" i="14"/>
  <c r="O333" i="14"/>
  <c r="K333" i="14"/>
  <c r="E333" i="14"/>
  <c r="D333" i="14"/>
  <c r="P332" i="14"/>
  <c r="O332" i="14"/>
  <c r="K332" i="14"/>
  <c r="E332" i="14"/>
  <c r="D332" i="14"/>
  <c r="P331" i="14"/>
  <c r="O331" i="14"/>
  <c r="K331" i="14"/>
  <c r="E331" i="14"/>
  <c r="D331" i="14"/>
  <c r="P330" i="14"/>
  <c r="O330" i="14"/>
  <c r="K330" i="14"/>
  <c r="E330" i="14"/>
  <c r="D330" i="14"/>
  <c r="P329" i="14"/>
  <c r="O329" i="14"/>
  <c r="K329" i="14"/>
  <c r="E329" i="14"/>
  <c r="D329" i="14"/>
  <c r="P328" i="14"/>
  <c r="O328" i="14"/>
  <c r="K328" i="14"/>
  <c r="E328" i="14"/>
  <c r="D328" i="14"/>
  <c r="P327" i="14"/>
  <c r="O327" i="14"/>
  <c r="K327" i="14"/>
  <c r="E327" i="14"/>
  <c r="D327" i="14"/>
  <c r="P326" i="14"/>
  <c r="O326" i="14"/>
  <c r="K326" i="14"/>
  <c r="E326" i="14"/>
  <c r="D326" i="14"/>
  <c r="P325" i="14"/>
  <c r="O325" i="14"/>
  <c r="K325" i="14"/>
  <c r="E325" i="14"/>
  <c r="D325" i="14"/>
  <c r="P324" i="14"/>
  <c r="O324" i="14"/>
  <c r="K324" i="14"/>
  <c r="E324" i="14"/>
  <c r="D324" i="14"/>
  <c r="P323" i="14"/>
  <c r="O323" i="14"/>
  <c r="K323" i="14"/>
  <c r="E323" i="14"/>
  <c r="D323" i="14"/>
  <c r="P322" i="14"/>
  <c r="O322" i="14"/>
  <c r="K322" i="14"/>
  <c r="E322" i="14"/>
  <c r="D322" i="14"/>
  <c r="P321" i="14"/>
  <c r="O321" i="14"/>
  <c r="K321" i="14"/>
  <c r="E321" i="14"/>
  <c r="D321" i="14"/>
  <c r="P320" i="14"/>
  <c r="O320" i="14"/>
  <c r="K320" i="14"/>
  <c r="E320" i="14"/>
  <c r="D320" i="14"/>
  <c r="P319" i="14"/>
  <c r="O319" i="14"/>
  <c r="K319" i="14"/>
  <c r="E319" i="14"/>
  <c r="D319" i="14"/>
  <c r="P318" i="14"/>
  <c r="O318" i="14"/>
  <c r="K318" i="14"/>
  <c r="E318" i="14"/>
  <c r="D318" i="14"/>
  <c r="P317" i="14"/>
  <c r="O317" i="14"/>
  <c r="K317" i="14"/>
  <c r="E317" i="14"/>
  <c r="D317" i="14"/>
  <c r="P316" i="14"/>
  <c r="O316" i="14"/>
  <c r="K316" i="14"/>
  <c r="E316" i="14"/>
  <c r="D316" i="14"/>
  <c r="P315" i="14"/>
  <c r="O315" i="14"/>
  <c r="K315" i="14"/>
  <c r="E315" i="14"/>
  <c r="D315" i="14"/>
  <c r="P314" i="14"/>
  <c r="O314" i="14"/>
  <c r="K314" i="14"/>
  <c r="E314" i="14"/>
  <c r="D314" i="14"/>
  <c r="P313" i="14"/>
  <c r="O313" i="14"/>
  <c r="K313" i="14"/>
  <c r="E313" i="14"/>
  <c r="D313" i="14"/>
  <c r="P312" i="14"/>
  <c r="O312" i="14"/>
  <c r="K312" i="14"/>
  <c r="E312" i="14"/>
  <c r="D312" i="14"/>
  <c r="P311" i="14"/>
  <c r="O311" i="14"/>
  <c r="K311" i="14"/>
  <c r="E311" i="14"/>
  <c r="D311" i="14"/>
  <c r="P310" i="14"/>
  <c r="O310" i="14"/>
  <c r="K310" i="14"/>
  <c r="E310" i="14"/>
  <c r="D310" i="14"/>
  <c r="P309" i="14"/>
  <c r="O309" i="14"/>
  <c r="K309" i="14"/>
  <c r="E309" i="14"/>
  <c r="D309" i="14"/>
  <c r="P308" i="14"/>
  <c r="O308" i="14"/>
  <c r="K308" i="14"/>
  <c r="E308" i="14"/>
  <c r="D308" i="14"/>
  <c r="P307" i="14"/>
  <c r="O307" i="14"/>
  <c r="K307" i="14"/>
  <c r="E307" i="14"/>
  <c r="D307" i="14"/>
  <c r="P306" i="14"/>
  <c r="O306" i="14"/>
  <c r="K306" i="14"/>
  <c r="E306" i="14"/>
  <c r="D306" i="14"/>
  <c r="P305" i="14"/>
  <c r="O305" i="14"/>
  <c r="K305" i="14"/>
  <c r="E305" i="14"/>
  <c r="D305" i="14"/>
  <c r="P304" i="14"/>
  <c r="O304" i="14"/>
  <c r="K304" i="14"/>
  <c r="E304" i="14"/>
  <c r="D304" i="14"/>
  <c r="P303" i="14"/>
  <c r="O303" i="14"/>
  <c r="K303" i="14"/>
  <c r="E303" i="14"/>
  <c r="D303" i="14"/>
  <c r="P302" i="14"/>
  <c r="O302" i="14"/>
  <c r="K302" i="14"/>
  <c r="E302" i="14"/>
  <c r="D302" i="14"/>
  <c r="P301" i="14"/>
  <c r="O301" i="14"/>
  <c r="K301" i="14"/>
  <c r="E301" i="14"/>
  <c r="D301" i="14"/>
  <c r="P300" i="14"/>
  <c r="O300" i="14"/>
  <c r="K300" i="14"/>
  <c r="E300" i="14"/>
  <c r="D300" i="14"/>
  <c r="P299" i="14"/>
  <c r="O299" i="14"/>
  <c r="K299" i="14"/>
  <c r="E299" i="14"/>
  <c r="D299" i="14"/>
  <c r="P298" i="14"/>
  <c r="O298" i="14"/>
  <c r="K298" i="14"/>
  <c r="E298" i="14"/>
  <c r="D298" i="14"/>
  <c r="P297" i="14"/>
  <c r="O297" i="14"/>
  <c r="K297" i="14"/>
  <c r="E297" i="14"/>
  <c r="D297" i="14"/>
  <c r="P296" i="14"/>
  <c r="O296" i="14"/>
  <c r="K296" i="14"/>
  <c r="E296" i="14"/>
  <c r="D296" i="14"/>
  <c r="P295" i="14"/>
  <c r="O295" i="14"/>
  <c r="K295" i="14"/>
  <c r="E295" i="14"/>
  <c r="D295" i="14"/>
  <c r="P294" i="14"/>
  <c r="O294" i="14"/>
  <c r="K294" i="14"/>
  <c r="E294" i="14"/>
  <c r="D294" i="14"/>
  <c r="P293" i="14"/>
  <c r="O293" i="14"/>
  <c r="K293" i="14"/>
  <c r="E293" i="14"/>
  <c r="D293" i="14"/>
  <c r="P292" i="14"/>
  <c r="O292" i="14"/>
  <c r="K292" i="14"/>
  <c r="E292" i="14"/>
  <c r="D292" i="14"/>
  <c r="P291" i="14"/>
  <c r="O291" i="14"/>
  <c r="K291" i="14"/>
  <c r="E291" i="14"/>
  <c r="D291" i="14"/>
  <c r="P290" i="14"/>
  <c r="O290" i="14"/>
  <c r="K290" i="14"/>
  <c r="E290" i="14"/>
  <c r="D290" i="14"/>
  <c r="P289" i="14"/>
  <c r="O289" i="14"/>
  <c r="K289" i="14"/>
  <c r="E289" i="14"/>
  <c r="D289" i="14"/>
  <c r="P288" i="14"/>
  <c r="O288" i="14"/>
  <c r="K288" i="14"/>
  <c r="E288" i="14"/>
  <c r="D288" i="14"/>
  <c r="P287" i="14"/>
  <c r="O287" i="14"/>
  <c r="K287" i="14"/>
  <c r="E287" i="14"/>
  <c r="D287" i="14"/>
  <c r="P286" i="14"/>
  <c r="O286" i="14"/>
  <c r="K286" i="14"/>
  <c r="E286" i="14"/>
  <c r="D286" i="14"/>
  <c r="P285" i="14"/>
  <c r="O285" i="14"/>
  <c r="K285" i="14"/>
  <c r="E285" i="14"/>
  <c r="D285" i="14"/>
  <c r="P284" i="14"/>
  <c r="O284" i="14"/>
  <c r="K284" i="14"/>
  <c r="E284" i="14"/>
  <c r="D284" i="14"/>
  <c r="P283" i="14"/>
  <c r="O283" i="14"/>
  <c r="Q283" i="14" s="1"/>
  <c r="R283" i="14" s="1"/>
  <c r="K283" i="14"/>
  <c r="E283" i="14"/>
  <c r="D283" i="14"/>
  <c r="P282" i="14"/>
  <c r="O282" i="14"/>
  <c r="K282" i="14"/>
  <c r="E282" i="14"/>
  <c r="D282" i="14"/>
  <c r="P281" i="14"/>
  <c r="O281" i="14"/>
  <c r="Q281" i="14" s="1"/>
  <c r="R281" i="14" s="1"/>
  <c r="K281" i="14"/>
  <c r="E281" i="14"/>
  <c r="D281" i="14"/>
  <c r="P280" i="14"/>
  <c r="O280" i="14"/>
  <c r="K280" i="14"/>
  <c r="E280" i="14"/>
  <c r="D280" i="14"/>
  <c r="P279" i="14"/>
  <c r="O279" i="14"/>
  <c r="K279" i="14"/>
  <c r="E279" i="14"/>
  <c r="D279" i="14"/>
  <c r="P278" i="14"/>
  <c r="O278" i="14"/>
  <c r="K278" i="14"/>
  <c r="E278" i="14"/>
  <c r="D278" i="14"/>
  <c r="P277" i="14"/>
  <c r="O277" i="14"/>
  <c r="K277" i="14"/>
  <c r="E277" i="14"/>
  <c r="D277" i="14"/>
  <c r="P276" i="14"/>
  <c r="O276" i="14"/>
  <c r="K276" i="14"/>
  <c r="E276" i="14"/>
  <c r="D276" i="14"/>
  <c r="P275" i="14"/>
  <c r="O275" i="14"/>
  <c r="K275" i="14"/>
  <c r="E275" i="14"/>
  <c r="D275" i="14"/>
  <c r="P274" i="14"/>
  <c r="O274" i="14"/>
  <c r="K274" i="14"/>
  <c r="E274" i="14"/>
  <c r="D274" i="14"/>
  <c r="P273" i="14"/>
  <c r="O273" i="14"/>
  <c r="K273" i="14"/>
  <c r="E273" i="14"/>
  <c r="D273" i="14"/>
  <c r="P272" i="14"/>
  <c r="O272" i="14"/>
  <c r="K272" i="14"/>
  <c r="E272" i="14"/>
  <c r="D272" i="14"/>
  <c r="P271" i="14"/>
  <c r="O271" i="14"/>
  <c r="K271" i="14"/>
  <c r="E271" i="14"/>
  <c r="D271" i="14"/>
  <c r="P270" i="14"/>
  <c r="O270" i="14"/>
  <c r="K270" i="14"/>
  <c r="E270" i="14"/>
  <c r="D270" i="14"/>
  <c r="P269" i="14"/>
  <c r="O269" i="14"/>
  <c r="K269" i="14"/>
  <c r="E269" i="14"/>
  <c r="D269" i="14"/>
  <c r="P268" i="14"/>
  <c r="O268" i="14"/>
  <c r="K268" i="14"/>
  <c r="E268" i="14"/>
  <c r="D268" i="14"/>
  <c r="P267" i="14"/>
  <c r="O267" i="14"/>
  <c r="K267" i="14"/>
  <c r="E267" i="14"/>
  <c r="D267" i="14"/>
  <c r="P266" i="14"/>
  <c r="O266" i="14"/>
  <c r="K266" i="14"/>
  <c r="E266" i="14"/>
  <c r="D266" i="14"/>
  <c r="P265" i="14"/>
  <c r="O265" i="14"/>
  <c r="K265" i="14"/>
  <c r="E265" i="14"/>
  <c r="D265" i="14"/>
  <c r="P264" i="14"/>
  <c r="O264" i="14"/>
  <c r="K264" i="14"/>
  <c r="E264" i="14"/>
  <c r="D264" i="14"/>
  <c r="P263" i="14"/>
  <c r="O263" i="14"/>
  <c r="K263" i="14"/>
  <c r="E263" i="14"/>
  <c r="D263" i="14"/>
  <c r="P262" i="14"/>
  <c r="O262" i="14"/>
  <c r="K262" i="14"/>
  <c r="E262" i="14"/>
  <c r="D262" i="14"/>
  <c r="P261" i="14"/>
  <c r="O261" i="14"/>
  <c r="K261" i="14"/>
  <c r="E261" i="14"/>
  <c r="D261" i="14"/>
  <c r="P260" i="14"/>
  <c r="O260" i="14"/>
  <c r="K260" i="14"/>
  <c r="E260" i="14"/>
  <c r="D260" i="14"/>
  <c r="P259" i="14"/>
  <c r="O259" i="14"/>
  <c r="K259" i="14"/>
  <c r="E259" i="14"/>
  <c r="D259" i="14"/>
  <c r="P258" i="14"/>
  <c r="O258" i="14"/>
  <c r="K258" i="14"/>
  <c r="E258" i="14"/>
  <c r="D258" i="14"/>
  <c r="P257" i="14"/>
  <c r="O257" i="14"/>
  <c r="K257" i="14"/>
  <c r="E257" i="14"/>
  <c r="D257" i="14"/>
  <c r="P256" i="14"/>
  <c r="O256" i="14"/>
  <c r="K256" i="14"/>
  <c r="E256" i="14"/>
  <c r="D256" i="14"/>
  <c r="P255" i="14"/>
  <c r="O255" i="14"/>
  <c r="K255" i="14"/>
  <c r="E255" i="14"/>
  <c r="D255" i="14"/>
  <c r="P254" i="14"/>
  <c r="O254" i="14"/>
  <c r="K254" i="14"/>
  <c r="E254" i="14"/>
  <c r="D254" i="14"/>
  <c r="P253" i="14"/>
  <c r="O253" i="14"/>
  <c r="K253" i="14"/>
  <c r="E253" i="14"/>
  <c r="D253" i="14"/>
  <c r="P252" i="14"/>
  <c r="O252" i="14"/>
  <c r="K252" i="14"/>
  <c r="E252" i="14"/>
  <c r="D252" i="14"/>
  <c r="P251" i="14"/>
  <c r="O251" i="14"/>
  <c r="K251" i="14"/>
  <c r="E251" i="14"/>
  <c r="D251" i="14"/>
  <c r="P250" i="14"/>
  <c r="O250" i="14"/>
  <c r="K250" i="14"/>
  <c r="E250" i="14"/>
  <c r="D250" i="14"/>
  <c r="P249" i="14"/>
  <c r="O249" i="14"/>
  <c r="K249" i="14"/>
  <c r="E249" i="14"/>
  <c r="D249" i="14"/>
  <c r="P248" i="14"/>
  <c r="O248" i="14"/>
  <c r="K248" i="14"/>
  <c r="E248" i="14"/>
  <c r="D248" i="14"/>
  <c r="P247" i="14"/>
  <c r="O247" i="14"/>
  <c r="Q247" i="14" s="1"/>
  <c r="R247" i="14" s="1"/>
  <c r="K247" i="14"/>
  <c r="E247" i="14"/>
  <c r="D247" i="14"/>
  <c r="P246" i="14"/>
  <c r="O246" i="14"/>
  <c r="K246" i="14"/>
  <c r="E246" i="14"/>
  <c r="D246" i="14"/>
  <c r="P245" i="14"/>
  <c r="O245" i="14"/>
  <c r="K245" i="14"/>
  <c r="E245" i="14"/>
  <c r="D245" i="14"/>
  <c r="P244" i="14"/>
  <c r="O244" i="14"/>
  <c r="K244" i="14"/>
  <c r="E244" i="14"/>
  <c r="D244" i="14"/>
  <c r="P243" i="14"/>
  <c r="O243" i="14"/>
  <c r="Q243" i="14" s="1"/>
  <c r="R243" i="14" s="1"/>
  <c r="K243" i="14"/>
  <c r="E243" i="14"/>
  <c r="D243" i="14"/>
  <c r="P242" i="14"/>
  <c r="O242" i="14"/>
  <c r="K242" i="14"/>
  <c r="E242" i="14"/>
  <c r="D242" i="14"/>
  <c r="P241" i="14"/>
  <c r="O241" i="14"/>
  <c r="Q241" i="14" s="1"/>
  <c r="R241" i="14" s="1"/>
  <c r="K241" i="14"/>
  <c r="E241" i="14"/>
  <c r="D241" i="14"/>
  <c r="P240" i="14"/>
  <c r="O240" i="14"/>
  <c r="K240" i="14"/>
  <c r="E240" i="14"/>
  <c r="D240" i="14"/>
  <c r="P239" i="14"/>
  <c r="O239" i="14"/>
  <c r="K239" i="14"/>
  <c r="E239" i="14"/>
  <c r="D239" i="14"/>
  <c r="P238" i="14"/>
  <c r="O238" i="14"/>
  <c r="K238" i="14"/>
  <c r="E238" i="14"/>
  <c r="D238" i="14"/>
  <c r="P237" i="14"/>
  <c r="O237" i="14"/>
  <c r="K237" i="14"/>
  <c r="E237" i="14"/>
  <c r="D237" i="14"/>
  <c r="P236" i="14"/>
  <c r="O236" i="14"/>
  <c r="K236" i="14"/>
  <c r="E236" i="14"/>
  <c r="D236" i="14"/>
  <c r="P235" i="14"/>
  <c r="O235" i="14"/>
  <c r="K235" i="14"/>
  <c r="E235" i="14"/>
  <c r="D235" i="14"/>
  <c r="P234" i="14"/>
  <c r="O234" i="14"/>
  <c r="K234" i="14"/>
  <c r="E234" i="14"/>
  <c r="D234" i="14"/>
  <c r="P233" i="14"/>
  <c r="O233" i="14"/>
  <c r="K233" i="14"/>
  <c r="E233" i="14"/>
  <c r="D233" i="14"/>
  <c r="P232" i="14"/>
  <c r="O232" i="14"/>
  <c r="K232" i="14"/>
  <c r="E232" i="14"/>
  <c r="D232" i="14"/>
  <c r="P231" i="14"/>
  <c r="O231" i="14"/>
  <c r="K231" i="14"/>
  <c r="E231" i="14"/>
  <c r="D231" i="14"/>
  <c r="P230" i="14"/>
  <c r="O230" i="14"/>
  <c r="K230" i="14"/>
  <c r="E230" i="14"/>
  <c r="D230" i="14"/>
  <c r="P229" i="14"/>
  <c r="O229" i="14"/>
  <c r="K229" i="14"/>
  <c r="E229" i="14"/>
  <c r="D229" i="14"/>
  <c r="P228" i="14"/>
  <c r="O228" i="14"/>
  <c r="K228" i="14"/>
  <c r="E228" i="14"/>
  <c r="D228" i="14"/>
  <c r="P227" i="14"/>
  <c r="O227" i="14"/>
  <c r="K227" i="14"/>
  <c r="E227" i="14"/>
  <c r="D227" i="14"/>
  <c r="P226" i="14"/>
  <c r="O226" i="14"/>
  <c r="K226" i="14"/>
  <c r="E226" i="14"/>
  <c r="D226" i="14"/>
  <c r="P225" i="14"/>
  <c r="O225" i="14"/>
  <c r="K225" i="14"/>
  <c r="E225" i="14"/>
  <c r="D225" i="14"/>
  <c r="P224" i="14"/>
  <c r="O224" i="14"/>
  <c r="K224" i="14"/>
  <c r="E224" i="14"/>
  <c r="D224" i="14"/>
  <c r="P223" i="14"/>
  <c r="O223" i="14"/>
  <c r="K223" i="14"/>
  <c r="E223" i="14"/>
  <c r="D223" i="14"/>
  <c r="P222" i="14"/>
  <c r="O222" i="14"/>
  <c r="K222" i="14"/>
  <c r="E222" i="14"/>
  <c r="D222" i="14"/>
  <c r="P221" i="14"/>
  <c r="O221" i="14"/>
  <c r="K221" i="14"/>
  <c r="E221" i="14"/>
  <c r="D221" i="14"/>
  <c r="P220" i="14"/>
  <c r="O220" i="14"/>
  <c r="K220" i="14"/>
  <c r="E220" i="14"/>
  <c r="D220" i="14"/>
  <c r="P219" i="14"/>
  <c r="O219" i="14"/>
  <c r="K219" i="14"/>
  <c r="E219" i="14"/>
  <c r="D219" i="14"/>
  <c r="P218" i="14"/>
  <c r="O218" i="14"/>
  <c r="K218" i="14"/>
  <c r="E218" i="14"/>
  <c r="D218" i="14"/>
  <c r="P217" i="14"/>
  <c r="O217" i="14"/>
  <c r="K217" i="14"/>
  <c r="E217" i="14"/>
  <c r="D217" i="14"/>
  <c r="P216" i="14"/>
  <c r="O216" i="14"/>
  <c r="K216" i="14"/>
  <c r="E216" i="14"/>
  <c r="D216" i="14"/>
  <c r="P215" i="14"/>
  <c r="O215" i="14"/>
  <c r="K215" i="14"/>
  <c r="E215" i="14"/>
  <c r="D215" i="14"/>
  <c r="P214" i="14"/>
  <c r="O214" i="14"/>
  <c r="K214" i="14"/>
  <c r="E214" i="14"/>
  <c r="D214" i="14"/>
  <c r="P213" i="14"/>
  <c r="O213" i="14"/>
  <c r="K213" i="14"/>
  <c r="E213" i="14"/>
  <c r="D213" i="14"/>
  <c r="P212" i="14"/>
  <c r="O212" i="14"/>
  <c r="K212" i="14"/>
  <c r="E212" i="14"/>
  <c r="D212" i="14"/>
  <c r="P211" i="14"/>
  <c r="O211" i="14"/>
  <c r="K211" i="14"/>
  <c r="E211" i="14"/>
  <c r="D211" i="14"/>
  <c r="P210" i="14"/>
  <c r="O210" i="14"/>
  <c r="K210" i="14"/>
  <c r="E210" i="14"/>
  <c r="D210" i="14"/>
  <c r="P209" i="14"/>
  <c r="O209" i="14"/>
  <c r="K209" i="14"/>
  <c r="E209" i="14"/>
  <c r="D209" i="14"/>
  <c r="P208" i="14"/>
  <c r="O208" i="14"/>
  <c r="K208" i="14"/>
  <c r="E208" i="14"/>
  <c r="D208" i="14"/>
  <c r="P207" i="14"/>
  <c r="O207" i="14"/>
  <c r="K207" i="14"/>
  <c r="E207" i="14"/>
  <c r="D207" i="14"/>
  <c r="P206" i="14"/>
  <c r="O206" i="14"/>
  <c r="K206" i="14"/>
  <c r="E206" i="14"/>
  <c r="D206" i="14"/>
  <c r="P205" i="14"/>
  <c r="O205" i="14"/>
  <c r="K205" i="14"/>
  <c r="E205" i="14"/>
  <c r="D205" i="14"/>
  <c r="P204" i="14"/>
  <c r="O204" i="14"/>
  <c r="K204" i="14"/>
  <c r="E204" i="14"/>
  <c r="D204" i="14"/>
  <c r="P203" i="14"/>
  <c r="O203" i="14"/>
  <c r="K203" i="14"/>
  <c r="E203" i="14"/>
  <c r="D203" i="14"/>
  <c r="P202" i="14"/>
  <c r="O202" i="14"/>
  <c r="K202" i="14"/>
  <c r="E202" i="14"/>
  <c r="D202" i="14"/>
  <c r="P201" i="14"/>
  <c r="O201" i="14"/>
  <c r="K201" i="14"/>
  <c r="E201" i="14"/>
  <c r="D201" i="14"/>
  <c r="P200" i="14"/>
  <c r="O200" i="14"/>
  <c r="K200" i="14"/>
  <c r="E200" i="14"/>
  <c r="D200" i="14"/>
  <c r="P199" i="14"/>
  <c r="O199" i="14"/>
  <c r="K199" i="14"/>
  <c r="E199" i="14"/>
  <c r="D199" i="14"/>
  <c r="P198" i="14"/>
  <c r="O198" i="14"/>
  <c r="K198" i="14"/>
  <c r="E198" i="14"/>
  <c r="D198" i="14"/>
  <c r="P197" i="14"/>
  <c r="O197" i="14"/>
  <c r="K197" i="14"/>
  <c r="E197" i="14"/>
  <c r="D197" i="14"/>
  <c r="P196" i="14"/>
  <c r="O196" i="14"/>
  <c r="K196" i="14"/>
  <c r="E196" i="14"/>
  <c r="D196" i="14"/>
  <c r="P195" i="14"/>
  <c r="O195" i="14"/>
  <c r="Q195" i="14" s="1"/>
  <c r="R195" i="14" s="1"/>
  <c r="K195" i="14"/>
  <c r="E195" i="14"/>
  <c r="D195" i="14"/>
  <c r="P194" i="14"/>
  <c r="O194" i="14"/>
  <c r="K194" i="14"/>
  <c r="E194" i="14"/>
  <c r="D194" i="14"/>
  <c r="P193" i="14"/>
  <c r="O193" i="14"/>
  <c r="K193" i="14"/>
  <c r="E193" i="14"/>
  <c r="D193" i="14"/>
  <c r="P192" i="14"/>
  <c r="O192" i="14"/>
  <c r="K192" i="14"/>
  <c r="E192" i="14"/>
  <c r="D192" i="14"/>
  <c r="P191" i="14"/>
  <c r="O191" i="14"/>
  <c r="K191" i="14"/>
  <c r="E191" i="14"/>
  <c r="D191" i="14"/>
  <c r="P190" i="14"/>
  <c r="O190" i="14"/>
  <c r="K190" i="14"/>
  <c r="E190" i="14"/>
  <c r="D190" i="14"/>
  <c r="P189" i="14"/>
  <c r="O189" i="14"/>
  <c r="K189" i="14"/>
  <c r="E189" i="14"/>
  <c r="D189" i="14"/>
  <c r="P188" i="14"/>
  <c r="O188" i="14"/>
  <c r="K188" i="14"/>
  <c r="E188" i="14"/>
  <c r="D188" i="14"/>
  <c r="P187" i="14"/>
  <c r="O187" i="14"/>
  <c r="K187" i="14"/>
  <c r="E187" i="14"/>
  <c r="D187" i="14"/>
  <c r="P186" i="14"/>
  <c r="O186" i="14"/>
  <c r="K186" i="14"/>
  <c r="E186" i="14"/>
  <c r="D186" i="14"/>
  <c r="P185" i="14"/>
  <c r="O185" i="14"/>
  <c r="K185" i="14"/>
  <c r="E185" i="14"/>
  <c r="D185" i="14"/>
  <c r="P184" i="14"/>
  <c r="O184" i="14"/>
  <c r="K184" i="14"/>
  <c r="E184" i="14"/>
  <c r="D184" i="14"/>
  <c r="P183" i="14"/>
  <c r="O183" i="14"/>
  <c r="Q183" i="14" s="1"/>
  <c r="R183" i="14" s="1"/>
  <c r="K183" i="14"/>
  <c r="E183" i="14"/>
  <c r="D183" i="14"/>
  <c r="P182" i="14"/>
  <c r="O182" i="14"/>
  <c r="K182" i="14"/>
  <c r="E182" i="14"/>
  <c r="D182" i="14"/>
  <c r="P181" i="14"/>
  <c r="O181" i="14"/>
  <c r="K181" i="14"/>
  <c r="E181" i="14"/>
  <c r="D181" i="14"/>
  <c r="P180" i="14"/>
  <c r="O180" i="14"/>
  <c r="K180" i="14"/>
  <c r="E180" i="14"/>
  <c r="D180" i="14"/>
  <c r="P179" i="14"/>
  <c r="O179" i="14"/>
  <c r="K179" i="14"/>
  <c r="E179" i="14"/>
  <c r="D179" i="14"/>
  <c r="P178" i="14"/>
  <c r="O178" i="14"/>
  <c r="Q178" i="14" s="1"/>
  <c r="R178" i="14" s="1"/>
  <c r="K178" i="14"/>
  <c r="E178" i="14"/>
  <c r="D178" i="14"/>
  <c r="P177" i="14"/>
  <c r="O177" i="14"/>
  <c r="K177" i="14"/>
  <c r="E177" i="14"/>
  <c r="D177" i="14"/>
  <c r="P176" i="14"/>
  <c r="O176" i="14"/>
  <c r="K176" i="14"/>
  <c r="E176" i="14"/>
  <c r="D176" i="14"/>
  <c r="P175" i="14"/>
  <c r="O175" i="14"/>
  <c r="Q175" i="14" s="1"/>
  <c r="R175" i="14" s="1"/>
  <c r="K175" i="14"/>
  <c r="E175" i="14"/>
  <c r="D175" i="14"/>
  <c r="P174" i="14"/>
  <c r="O174" i="14"/>
  <c r="K174" i="14"/>
  <c r="E174" i="14"/>
  <c r="D174" i="14"/>
  <c r="P173" i="14"/>
  <c r="O173" i="14"/>
  <c r="K173" i="14"/>
  <c r="E173" i="14"/>
  <c r="D173" i="14"/>
  <c r="P172" i="14"/>
  <c r="O172" i="14"/>
  <c r="K172" i="14"/>
  <c r="E172" i="14"/>
  <c r="D172" i="14"/>
  <c r="P171" i="14"/>
  <c r="O171" i="14"/>
  <c r="K171" i="14"/>
  <c r="E171" i="14"/>
  <c r="D171" i="14"/>
  <c r="P170" i="14"/>
  <c r="O170" i="14"/>
  <c r="K170" i="14"/>
  <c r="E170" i="14"/>
  <c r="D170" i="14"/>
  <c r="P169" i="14"/>
  <c r="O169" i="14"/>
  <c r="K169" i="14"/>
  <c r="E169" i="14"/>
  <c r="D169" i="14"/>
  <c r="P168" i="14"/>
  <c r="O168" i="14"/>
  <c r="K168" i="14"/>
  <c r="E168" i="14"/>
  <c r="D168" i="14"/>
  <c r="P167" i="14"/>
  <c r="O167" i="14"/>
  <c r="K167" i="14"/>
  <c r="E167" i="14"/>
  <c r="D167" i="14"/>
  <c r="P166" i="14"/>
  <c r="O166" i="14"/>
  <c r="K166" i="14"/>
  <c r="E166" i="14"/>
  <c r="D166" i="14"/>
  <c r="P165" i="14"/>
  <c r="O165" i="14"/>
  <c r="K165" i="14"/>
  <c r="E165" i="14"/>
  <c r="D165" i="14"/>
  <c r="P164" i="14"/>
  <c r="O164" i="14"/>
  <c r="K164" i="14"/>
  <c r="E164" i="14"/>
  <c r="D164" i="14"/>
  <c r="P163" i="14"/>
  <c r="O163" i="14"/>
  <c r="K163" i="14"/>
  <c r="E163" i="14"/>
  <c r="D163" i="14"/>
  <c r="P162" i="14"/>
  <c r="O162" i="14"/>
  <c r="K162" i="14"/>
  <c r="E162" i="14"/>
  <c r="D162" i="14"/>
  <c r="P161" i="14"/>
  <c r="O161" i="14"/>
  <c r="K161" i="14"/>
  <c r="E161" i="14"/>
  <c r="D161" i="14"/>
  <c r="P160" i="14"/>
  <c r="O160" i="14"/>
  <c r="K160" i="14"/>
  <c r="E160" i="14"/>
  <c r="D160" i="14"/>
  <c r="P159" i="14"/>
  <c r="O159" i="14"/>
  <c r="K159" i="14"/>
  <c r="E159" i="14"/>
  <c r="D159" i="14"/>
  <c r="P158" i="14"/>
  <c r="O158" i="14"/>
  <c r="K158" i="14"/>
  <c r="E158" i="14"/>
  <c r="D158" i="14"/>
  <c r="P157" i="14"/>
  <c r="O157" i="14"/>
  <c r="K157" i="14"/>
  <c r="E157" i="14"/>
  <c r="D157" i="14"/>
  <c r="P156" i="14"/>
  <c r="O156" i="14"/>
  <c r="K156" i="14"/>
  <c r="E156" i="14"/>
  <c r="D156" i="14"/>
  <c r="P155" i="14"/>
  <c r="O155" i="14"/>
  <c r="K155" i="14"/>
  <c r="E155" i="14"/>
  <c r="D155" i="14"/>
  <c r="P154" i="14"/>
  <c r="O154" i="14"/>
  <c r="K154" i="14"/>
  <c r="E154" i="14"/>
  <c r="D154" i="14"/>
  <c r="P153" i="14"/>
  <c r="O153" i="14"/>
  <c r="K153" i="14"/>
  <c r="E153" i="14"/>
  <c r="D153" i="14"/>
  <c r="P152" i="14"/>
  <c r="O152" i="14"/>
  <c r="K152" i="14"/>
  <c r="E152" i="14"/>
  <c r="D152" i="14"/>
  <c r="P151" i="14"/>
  <c r="O151" i="14"/>
  <c r="K151" i="14"/>
  <c r="E151" i="14"/>
  <c r="D151" i="14"/>
  <c r="P150" i="14"/>
  <c r="O150" i="14"/>
  <c r="K150" i="14"/>
  <c r="E150" i="14"/>
  <c r="D150" i="14"/>
  <c r="P149" i="14"/>
  <c r="O149" i="14"/>
  <c r="K149" i="14"/>
  <c r="E149" i="14"/>
  <c r="D149" i="14"/>
  <c r="P148" i="14"/>
  <c r="O148" i="14"/>
  <c r="K148" i="14"/>
  <c r="E148" i="14"/>
  <c r="D148" i="14"/>
  <c r="P147" i="14"/>
  <c r="O147" i="14"/>
  <c r="K147" i="14"/>
  <c r="E147" i="14"/>
  <c r="D147" i="14"/>
  <c r="P146" i="14"/>
  <c r="O146" i="14"/>
  <c r="K146" i="14"/>
  <c r="E146" i="14"/>
  <c r="D146" i="14"/>
  <c r="P145" i="14"/>
  <c r="O145" i="14"/>
  <c r="K145" i="14"/>
  <c r="E145" i="14"/>
  <c r="D145" i="14"/>
  <c r="P144" i="14"/>
  <c r="O144" i="14"/>
  <c r="K144" i="14"/>
  <c r="E144" i="14"/>
  <c r="D144" i="14"/>
  <c r="P143" i="14"/>
  <c r="O143" i="14"/>
  <c r="K143" i="14"/>
  <c r="E143" i="14"/>
  <c r="D143" i="14"/>
  <c r="P142" i="14"/>
  <c r="O142" i="14"/>
  <c r="K142" i="14"/>
  <c r="E142" i="14"/>
  <c r="D142" i="14"/>
  <c r="P141" i="14"/>
  <c r="O141" i="14"/>
  <c r="K141" i="14"/>
  <c r="E141" i="14"/>
  <c r="D141" i="14"/>
  <c r="P140" i="14"/>
  <c r="O140" i="14"/>
  <c r="K140" i="14"/>
  <c r="E140" i="14"/>
  <c r="D140" i="14"/>
  <c r="P139" i="14"/>
  <c r="O139" i="14"/>
  <c r="K139" i="14"/>
  <c r="E139" i="14"/>
  <c r="D139" i="14"/>
  <c r="P138" i="14"/>
  <c r="O138" i="14"/>
  <c r="K138" i="14"/>
  <c r="E138" i="14"/>
  <c r="D138" i="14"/>
  <c r="P137" i="14"/>
  <c r="O137" i="14"/>
  <c r="K137" i="14"/>
  <c r="E137" i="14"/>
  <c r="D137" i="14"/>
  <c r="P136" i="14"/>
  <c r="O136" i="14"/>
  <c r="K136" i="14"/>
  <c r="E136" i="14"/>
  <c r="D136" i="14"/>
  <c r="P135" i="14"/>
  <c r="O135" i="14"/>
  <c r="K135" i="14"/>
  <c r="E135" i="14"/>
  <c r="D135" i="14"/>
  <c r="P134" i="14"/>
  <c r="O134" i="14"/>
  <c r="K134" i="14"/>
  <c r="E134" i="14"/>
  <c r="D134" i="14"/>
  <c r="P133" i="14"/>
  <c r="O133" i="14"/>
  <c r="K133" i="14"/>
  <c r="E133" i="14"/>
  <c r="D133" i="14"/>
  <c r="P132" i="14"/>
  <c r="O132" i="14"/>
  <c r="K132" i="14"/>
  <c r="E132" i="14"/>
  <c r="D132" i="14"/>
  <c r="P131" i="14"/>
  <c r="O131" i="14"/>
  <c r="K131" i="14"/>
  <c r="E131" i="14"/>
  <c r="D131" i="14"/>
  <c r="P130" i="14"/>
  <c r="O130" i="14"/>
  <c r="K130" i="14"/>
  <c r="E130" i="14"/>
  <c r="D130" i="14"/>
  <c r="P129" i="14"/>
  <c r="O129" i="14"/>
  <c r="K129" i="14"/>
  <c r="E129" i="14"/>
  <c r="D129" i="14"/>
  <c r="P128" i="14"/>
  <c r="O128" i="14"/>
  <c r="K128" i="14"/>
  <c r="E128" i="14"/>
  <c r="D128" i="14"/>
  <c r="P127" i="14"/>
  <c r="O127" i="14"/>
  <c r="K127" i="14"/>
  <c r="E127" i="14"/>
  <c r="D127" i="14"/>
  <c r="P126" i="14"/>
  <c r="O126" i="14"/>
  <c r="K126" i="14"/>
  <c r="E126" i="14"/>
  <c r="D126" i="14"/>
  <c r="P125" i="14"/>
  <c r="O125" i="14"/>
  <c r="K125" i="14"/>
  <c r="E125" i="14"/>
  <c r="D125" i="14"/>
  <c r="P124" i="14"/>
  <c r="O124" i="14"/>
  <c r="K124" i="14"/>
  <c r="E124" i="14"/>
  <c r="D124" i="14"/>
  <c r="P123" i="14"/>
  <c r="O123" i="14"/>
  <c r="K123" i="14"/>
  <c r="E123" i="14"/>
  <c r="D123" i="14"/>
  <c r="P122" i="14"/>
  <c r="O122" i="14"/>
  <c r="K122" i="14"/>
  <c r="E122" i="14"/>
  <c r="D122" i="14"/>
  <c r="P121" i="14"/>
  <c r="O121" i="14"/>
  <c r="K121" i="14"/>
  <c r="E121" i="14"/>
  <c r="D121" i="14"/>
  <c r="P120" i="14"/>
  <c r="O120" i="14"/>
  <c r="K120" i="14"/>
  <c r="E120" i="14"/>
  <c r="D120" i="14"/>
  <c r="P119" i="14"/>
  <c r="O119" i="14"/>
  <c r="K119" i="14"/>
  <c r="E119" i="14"/>
  <c r="D119" i="14"/>
  <c r="P118" i="14"/>
  <c r="O118" i="14"/>
  <c r="K118" i="14"/>
  <c r="E118" i="14"/>
  <c r="D118" i="14"/>
  <c r="P117" i="14"/>
  <c r="O117" i="14"/>
  <c r="K117" i="14"/>
  <c r="E117" i="14"/>
  <c r="D117" i="14"/>
  <c r="P116" i="14"/>
  <c r="O116" i="14"/>
  <c r="K116" i="14"/>
  <c r="E116" i="14"/>
  <c r="D116" i="14"/>
  <c r="P115" i="14"/>
  <c r="O115" i="14"/>
  <c r="K115" i="14"/>
  <c r="E115" i="14"/>
  <c r="D115" i="14"/>
  <c r="P114" i="14"/>
  <c r="O114" i="14"/>
  <c r="Q114" i="14" s="1"/>
  <c r="R114" i="14" s="1"/>
  <c r="K114" i="14"/>
  <c r="E114" i="14"/>
  <c r="D114" i="14"/>
  <c r="P113" i="14"/>
  <c r="O113" i="14"/>
  <c r="K113" i="14"/>
  <c r="E113" i="14"/>
  <c r="D113" i="14"/>
  <c r="P112" i="14"/>
  <c r="O112" i="14"/>
  <c r="K112" i="14"/>
  <c r="E112" i="14"/>
  <c r="D112" i="14"/>
  <c r="P111" i="14"/>
  <c r="O111" i="14"/>
  <c r="Q111" i="14" s="1"/>
  <c r="R111" i="14" s="1"/>
  <c r="K111" i="14"/>
  <c r="E111" i="14"/>
  <c r="D111" i="14"/>
  <c r="P110" i="14"/>
  <c r="O110" i="14"/>
  <c r="K110" i="14"/>
  <c r="E110" i="14"/>
  <c r="D110" i="14"/>
  <c r="P109" i="14"/>
  <c r="O109" i="14"/>
  <c r="K109" i="14"/>
  <c r="E109" i="14"/>
  <c r="D109" i="14"/>
  <c r="P108" i="14"/>
  <c r="O108" i="14"/>
  <c r="K108" i="14"/>
  <c r="E108" i="14"/>
  <c r="D108" i="14"/>
  <c r="P107" i="14"/>
  <c r="O107" i="14"/>
  <c r="K107" i="14"/>
  <c r="E107" i="14"/>
  <c r="D107" i="14"/>
  <c r="P106" i="14"/>
  <c r="O106" i="14"/>
  <c r="K106" i="14"/>
  <c r="E106" i="14"/>
  <c r="D106" i="14"/>
  <c r="P105" i="14"/>
  <c r="O105" i="14"/>
  <c r="K105" i="14"/>
  <c r="E105" i="14"/>
  <c r="D105" i="14"/>
  <c r="P104" i="14"/>
  <c r="O104" i="14"/>
  <c r="K104" i="14"/>
  <c r="E104" i="14"/>
  <c r="D104" i="14"/>
  <c r="P103" i="14"/>
  <c r="O103" i="14"/>
  <c r="K103" i="14"/>
  <c r="E103" i="14"/>
  <c r="D103" i="14"/>
  <c r="P102" i="14"/>
  <c r="O102" i="14"/>
  <c r="K102" i="14"/>
  <c r="E102" i="14"/>
  <c r="D102" i="14"/>
  <c r="P101" i="14"/>
  <c r="O101" i="14"/>
  <c r="K101" i="14"/>
  <c r="E101" i="14"/>
  <c r="D101" i="14"/>
  <c r="P100" i="14"/>
  <c r="O100" i="14"/>
  <c r="K100" i="14"/>
  <c r="E100" i="14"/>
  <c r="D100" i="14"/>
  <c r="P99" i="14"/>
  <c r="O99" i="14"/>
  <c r="Q99" i="14" s="1"/>
  <c r="R99" i="14" s="1"/>
  <c r="K99" i="14"/>
  <c r="E99" i="14"/>
  <c r="D99" i="14"/>
  <c r="P98" i="14"/>
  <c r="O98" i="14"/>
  <c r="K98" i="14"/>
  <c r="E98" i="14"/>
  <c r="D98" i="14"/>
  <c r="P97" i="14"/>
  <c r="O97" i="14"/>
  <c r="K97" i="14"/>
  <c r="E97" i="14"/>
  <c r="D97" i="14"/>
  <c r="P96" i="14"/>
  <c r="O96" i="14"/>
  <c r="K96" i="14"/>
  <c r="E96" i="14"/>
  <c r="D96" i="14"/>
  <c r="P95" i="14"/>
  <c r="O95" i="14"/>
  <c r="K95" i="14"/>
  <c r="E95" i="14"/>
  <c r="D95" i="14"/>
  <c r="P94" i="14"/>
  <c r="O94" i="14"/>
  <c r="K94" i="14"/>
  <c r="E94" i="14"/>
  <c r="D94" i="14"/>
  <c r="P93" i="14"/>
  <c r="O93" i="14"/>
  <c r="K93" i="14"/>
  <c r="E93" i="14"/>
  <c r="D93" i="14"/>
  <c r="P92" i="14"/>
  <c r="O92" i="14"/>
  <c r="K92" i="14"/>
  <c r="E92" i="14"/>
  <c r="D92" i="14"/>
  <c r="P91" i="14"/>
  <c r="O91" i="14"/>
  <c r="K91" i="14"/>
  <c r="E91" i="14"/>
  <c r="D91" i="14"/>
  <c r="P90" i="14"/>
  <c r="O90" i="14"/>
  <c r="Q90" i="14" s="1"/>
  <c r="R90" i="14" s="1"/>
  <c r="K90" i="14"/>
  <c r="E90" i="14"/>
  <c r="D90" i="14"/>
  <c r="P89" i="14"/>
  <c r="O89" i="14"/>
  <c r="K89" i="14"/>
  <c r="E89" i="14"/>
  <c r="D89" i="14"/>
  <c r="P88" i="14"/>
  <c r="O88" i="14"/>
  <c r="K88" i="14"/>
  <c r="E88" i="14"/>
  <c r="D88" i="14"/>
  <c r="P87" i="14"/>
  <c r="O87" i="14"/>
  <c r="Q87" i="14" s="1"/>
  <c r="R87" i="14" s="1"/>
  <c r="K87" i="14"/>
  <c r="E87" i="14"/>
  <c r="D87" i="14"/>
  <c r="P86" i="14"/>
  <c r="O86" i="14"/>
  <c r="K86" i="14"/>
  <c r="E86" i="14"/>
  <c r="D86" i="14"/>
  <c r="P85" i="14"/>
  <c r="O85" i="14"/>
  <c r="K85" i="14"/>
  <c r="E85" i="14"/>
  <c r="D85" i="14"/>
  <c r="P84" i="14"/>
  <c r="O84" i="14"/>
  <c r="K84" i="14"/>
  <c r="E84" i="14"/>
  <c r="D84" i="14"/>
  <c r="P83" i="14"/>
  <c r="O83" i="14"/>
  <c r="K83" i="14"/>
  <c r="E83" i="14"/>
  <c r="D83" i="14"/>
  <c r="P82" i="14"/>
  <c r="O82" i="14"/>
  <c r="K82" i="14"/>
  <c r="E82" i="14"/>
  <c r="D82" i="14"/>
  <c r="P81" i="14"/>
  <c r="O81" i="14"/>
  <c r="K81" i="14"/>
  <c r="E81" i="14"/>
  <c r="D81" i="14"/>
  <c r="P80" i="14"/>
  <c r="O80" i="14"/>
  <c r="K80" i="14"/>
  <c r="E80" i="14"/>
  <c r="D80" i="14"/>
  <c r="P79" i="14"/>
  <c r="O79" i="14"/>
  <c r="K79" i="14"/>
  <c r="E79" i="14"/>
  <c r="D79" i="14"/>
  <c r="P78" i="14"/>
  <c r="O78" i="14"/>
  <c r="K78" i="14"/>
  <c r="E78" i="14"/>
  <c r="D78" i="14"/>
  <c r="P77" i="14"/>
  <c r="O77" i="14"/>
  <c r="K77" i="14"/>
  <c r="E77" i="14"/>
  <c r="D77" i="14"/>
  <c r="P76" i="14"/>
  <c r="O76" i="14"/>
  <c r="K76" i="14"/>
  <c r="E76" i="14"/>
  <c r="D76" i="14"/>
  <c r="P75" i="14"/>
  <c r="O75" i="14"/>
  <c r="Q75" i="14" s="1"/>
  <c r="R75" i="14" s="1"/>
  <c r="K75" i="14"/>
  <c r="E75" i="14"/>
  <c r="D75" i="14"/>
  <c r="P74" i="14"/>
  <c r="O74" i="14"/>
  <c r="K74" i="14"/>
  <c r="E74" i="14"/>
  <c r="D74" i="14"/>
  <c r="P73" i="14"/>
  <c r="O73" i="14"/>
  <c r="K73" i="14"/>
  <c r="E73" i="14"/>
  <c r="D73" i="14"/>
  <c r="P72" i="14"/>
  <c r="O72" i="14"/>
  <c r="K72" i="14"/>
  <c r="E72" i="14"/>
  <c r="D72" i="14"/>
  <c r="P71" i="14"/>
  <c r="O71" i="14"/>
  <c r="K71" i="14"/>
  <c r="E71" i="14"/>
  <c r="D71" i="14"/>
  <c r="P70" i="14"/>
  <c r="O70" i="14"/>
  <c r="K70" i="14"/>
  <c r="E70" i="14"/>
  <c r="D70" i="14"/>
  <c r="P69" i="14"/>
  <c r="O69" i="14"/>
  <c r="K69" i="14"/>
  <c r="E69" i="14"/>
  <c r="D69" i="14"/>
  <c r="P68" i="14"/>
  <c r="O68" i="14"/>
  <c r="K68" i="14"/>
  <c r="E68" i="14"/>
  <c r="D68" i="14"/>
  <c r="P67" i="14"/>
  <c r="O67" i="14"/>
  <c r="K67" i="14"/>
  <c r="E67" i="14"/>
  <c r="D67" i="14"/>
  <c r="P66" i="14"/>
  <c r="O66" i="14"/>
  <c r="Q66" i="14" s="1"/>
  <c r="R66" i="14" s="1"/>
  <c r="K66" i="14"/>
  <c r="E66" i="14"/>
  <c r="D66" i="14"/>
  <c r="P65" i="14"/>
  <c r="O65" i="14"/>
  <c r="K65" i="14"/>
  <c r="E65" i="14"/>
  <c r="D65" i="14"/>
  <c r="P64" i="14"/>
  <c r="O64" i="14"/>
  <c r="K64" i="14"/>
  <c r="E64" i="14"/>
  <c r="D64" i="14"/>
  <c r="P63" i="14"/>
  <c r="O63" i="14"/>
  <c r="K63" i="14"/>
  <c r="E63" i="14"/>
  <c r="D63" i="14"/>
  <c r="P62" i="14"/>
  <c r="O62" i="14"/>
  <c r="K62" i="14"/>
  <c r="E62" i="14"/>
  <c r="D62" i="14"/>
  <c r="P61" i="14"/>
  <c r="O61" i="14"/>
  <c r="K61" i="14"/>
  <c r="E61" i="14"/>
  <c r="D61" i="14"/>
  <c r="P60" i="14"/>
  <c r="O60" i="14"/>
  <c r="K60" i="14"/>
  <c r="E60" i="14"/>
  <c r="D60" i="14"/>
  <c r="P59" i="14"/>
  <c r="O59" i="14"/>
  <c r="K59" i="14"/>
  <c r="E59" i="14"/>
  <c r="D59" i="14"/>
  <c r="P58" i="14"/>
  <c r="O58" i="14"/>
  <c r="K58" i="14"/>
  <c r="E58" i="14"/>
  <c r="D58" i="14"/>
  <c r="P57" i="14"/>
  <c r="O57" i="14"/>
  <c r="K57" i="14"/>
  <c r="E57" i="14"/>
  <c r="D57" i="14"/>
  <c r="P56" i="14"/>
  <c r="O56" i="14"/>
  <c r="K56" i="14"/>
  <c r="E56" i="14"/>
  <c r="D56" i="14"/>
  <c r="P55" i="14"/>
  <c r="O55" i="14"/>
  <c r="K55" i="14"/>
  <c r="E55" i="14"/>
  <c r="D55" i="14"/>
  <c r="P54" i="14"/>
  <c r="O54" i="14"/>
  <c r="K54" i="14"/>
  <c r="E54" i="14"/>
  <c r="D54" i="14"/>
  <c r="P53" i="14"/>
  <c r="O53" i="14"/>
  <c r="K53" i="14"/>
  <c r="E53" i="14"/>
  <c r="D53" i="14"/>
  <c r="P52" i="14"/>
  <c r="O52" i="14"/>
  <c r="K52" i="14"/>
  <c r="E52" i="14"/>
  <c r="D52" i="14"/>
  <c r="P51" i="14"/>
  <c r="O51" i="14"/>
  <c r="Q51" i="14" s="1"/>
  <c r="R51" i="14" s="1"/>
  <c r="K51" i="14"/>
  <c r="E51" i="14"/>
  <c r="D51" i="14"/>
  <c r="P50" i="14"/>
  <c r="O50" i="14"/>
  <c r="K50" i="14"/>
  <c r="E50" i="14"/>
  <c r="D50" i="14"/>
  <c r="P49" i="14"/>
  <c r="O49" i="14"/>
  <c r="K49" i="14"/>
  <c r="E49" i="14"/>
  <c r="D49" i="14"/>
  <c r="P48" i="14"/>
  <c r="O48" i="14"/>
  <c r="K48" i="14"/>
  <c r="E48" i="14"/>
  <c r="D48" i="14"/>
  <c r="P47" i="14"/>
  <c r="O47" i="14"/>
  <c r="K47" i="14"/>
  <c r="E47" i="14"/>
  <c r="D47" i="14"/>
  <c r="P46" i="14"/>
  <c r="O46" i="14"/>
  <c r="K46" i="14"/>
  <c r="E46" i="14"/>
  <c r="D46" i="14"/>
  <c r="P45" i="14"/>
  <c r="O45" i="14"/>
  <c r="K45" i="14"/>
  <c r="E45" i="14"/>
  <c r="D45" i="14"/>
  <c r="P44" i="14"/>
  <c r="O44" i="14"/>
  <c r="K44" i="14"/>
  <c r="E44" i="14"/>
  <c r="D44" i="14"/>
  <c r="P43" i="14"/>
  <c r="O43" i="14"/>
  <c r="K43" i="14"/>
  <c r="E43" i="14"/>
  <c r="D43" i="14"/>
  <c r="P42" i="14"/>
  <c r="O42" i="14"/>
  <c r="Q42" i="14" s="1"/>
  <c r="R42" i="14" s="1"/>
  <c r="K42" i="14"/>
  <c r="E42" i="14"/>
  <c r="D42" i="14"/>
  <c r="P41" i="14"/>
  <c r="O41" i="14"/>
  <c r="K41" i="14"/>
  <c r="E41" i="14"/>
  <c r="D41" i="14"/>
  <c r="P40" i="14"/>
  <c r="O40" i="14"/>
  <c r="K40" i="14"/>
  <c r="E40" i="14"/>
  <c r="D40" i="14"/>
  <c r="P39" i="14"/>
  <c r="O39" i="14"/>
  <c r="K39" i="14"/>
  <c r="E39" i="14"/>
  <c r="D39" i="14"/>
  <c r="P38" i="14"/>
  <c r="O38" i="14"/>
  <c r="K38" i="14"/>
  <c r="E38" i="14"/>
  <c r="D38" i="14"/>
  <c r="P37" i="14"/>
  <c r="O37" i="14"/>
  <c r="K37" i="14"/>
  <c r="E37" i="14"/>
  <c r="D37" i="14"/>
  <c r="P36" i="14"/>
  <c r="O36" i="14"/>
  <c r="K36" i="14"/>
  <c r="E36" i="14"/>
  <c r="D36" i="14"/>
  <c r="P35" i="14"/>
  <c r="O35" i="14"/>
  <c r="K35" i="14"/>
  <c r="E35" i="14"/>
  <c r="D35" i="14"/>
  <c r="P34" i="14"/>
  <c r="O34" i="14"/>
  <c r="K34" i="14"/>
  <c r="E34" i="14"/>
  <c r="D34" i="14"/>
  <c r="P33" i="14"/>
  <c r="O33" i="14"/>
  <c r="K33" i="14"/>
  <c r="E33" i="14"/>
  <c r="D33" i="14"/>
  <c r="P32" i="14"/>
  <c r="O32" i="14"/>
  <c r="K32" i="14"/>
  <c r="E32" i="14"/>
  <c r="D32" i="14"/>
  <c r="P31" i="14"/>
  <c r="O31" i="14"/>
  <c r="K31" i="14"/>
  <c r="E31" i="14"/>
  <c r="D31" i="14"/>
  <c r="P30" i="14"/>
  <c r="O30" i="14"/>
  <c r="K30" i="14"/>
  <c r="E30" i="14"/>
  <c r="D30" i="14"/>
  <c r="P29" i="14"/>
  <c r="O29" i="14"/>
  <c r="K29" i="14"/>
  <c r="E29" i="14"/>
  <c r="D29" i="14"/>
  <c r="P28" i="14"/>
  <c r="O28" i="14"/>
  <c r="K28" i="14"/>
  <c r="E28" i="14"/>
  <c r="D28" i="14"/>
  <c r="P27" i="14"/>
  <c r="O27" i="14"/>
  <c r="Q27" i="14" s="1"/>
  <c r="R27" i="14" s="1"/>
  <c r="K27" i="14"/>
  <c r="E27" i="14"/>
  <c r="D27" i="14"/>
  <c r="P26" i="14"/>
  <c r="O26" i="14"/>
  <c r="K26" i="14"/>
  <c r="E26" i="14"/>
  <c r="D26" i="14"/>
  <c r="P25" i="14"/>
  <c r="O25" i="14"/>
  <c r="K25" i="14"/>
  <c r="E25" i="14"/>
  <c r="D25" i="14"/>
  <c r="P24" i="14"/>
  <c r="O24" i="14"/>
  <c r="K24" i="14"/>
  <c r="E24" i="14"/>
  <c r="D24" i="14"/>
  <c r="P23" i="14"/>
  <c r="O23" i="14"/>
  <c r="K23" i="14"/>
  <c r="E23" i="14"/>
  <c r="D23" i="14"/>
  <c r="P22" i="14"/>
  <c r="O22" i="14"/>
  <c r="K22" i="14"/>
  <c r="E22" i="14"/>
  <c r="D22" i="14"/>
  <c r="P21" i="14"/>
  <c r="O21" i="14"/>
  <c r="K21" i="14"/>
  <c r="E21" i="14"/>
  <c r="D21" i="14"/>
  <c r="P20" i="14"/>
  <c r="O20" i="14"/>
  <c r="K20" i="14"/>
  <c r="E20" i="14"/>
  <c r="D20" i="14"/>
  <c r="P19" i="14"/>
  <c r="O19" i="14"/>
  <c r="K19" i="14"/>
  <c r="E19" i="14"/>
  <c r="D19" i="14"/>
  <c r="P18" i="14"/>
  <c r="O18" i="14"/>
  <c r="K18" i="14"/>
  <c r="E18" i="14"/>
  <c r="D18" i="14"/>
  <c r="P17" i="14"/>
  <c r="O17" i="14"/>
  <c r="K17" i="14"/>
  <c r="E17" i="14"/>
  <c r="D17" i="14"/>
  <c r="P16" i="14"/>
  <c r="O16" i="14"/>
  <c r="K16" i="14"/>
  <c r="E16" i="14"/>
  <c r="D16" i="14"/>
  <c r="P15" i="14"/>
  <c r="O15" i="14"/>
  <c r="Q15" i="14" s="1"/>
  <c r="R15" i="14" s="1"/>
  <c r="K15" i="14"/>
  <c r="E15" i="14"/>
  <c r="D15" i="14"/>
  <c r="P14" i="14"/>
  <c r="O14" i="14"/>
  <c r="K14" i="14"/>
  <c r="E14" i="14"/>
  <c r="D14" i="14"/>
  <c r="P13" i="14"/>
  <c r="O13" i="14"/>
  <c r="K13" i="14"/>
  <c r="E13" i="14"/>
  <c r="D13" i="14"/>
  <c r="P12" i="14"/>
  <c r="O12" i="14"/>
  <c r="K12" i="14"/>
  <c r="E12" i="14"/>
  <c r="D12" i="14"/>
  <c r="P11" i="14"/>
  <c r="O11" i="14"/>
  <c r="K11" i="14"/>
  <c r="E11" i="14"/>
  <c r="D11" i="14"/>
  <c r="P10" i="14"/>
  <c r="O10" i="14"/>
  <c r="K10" i="14"/>
  <c r="E10" i="14"/>
  <c r="D10" i="14"/>
  <c r="P9" i="14"/>
  <c r="O9" i="14"/>
  <c r="K9" i="14"/>
  <c r="E9" i="14"/>
  <c r="D9" i="14"/>
  <c r="P8" i="14"/>
  <c r="O8" i="14"/>
  <c r="K8" i="14"/>
  <c r="E8" i="14"/>
  <c r="D8" i="14"/>
  <c r="P7" i="14"/>
  <c r="O7" i="14"/>
  <c r="K7" i="14"/>
  <c r="E7" i="14"/>
  <c r="D7" i="14"/>
  <c r="P6" i="14"/>
  <c r="O6" i="14"/>
  <c r="K6" i="14"/>
  <c r="E6" i="14"/>
  <c r="D6" i="14"/>
  <c r="P5" i="14"/>
  <c r="O5" i="14"/>
  <c r="K5" i="14"/>
  <c r="E5" i="14"/>
  <c r="D5" i="14"/>
  <c r="P4" i="14"/>
  <c r="O4" i="14"/>
  <c r="K4" i="14"/>
  <c r="E4" i="14"/>
  <c r="D4" i="14"/>
  <c r="P3" i="14"/>
  <c r="O3" i="14"/>
  <c r="Q3" i="14" s="1"/>
  <c r="R3" i="14" s="1"/>
  <c r="K3" i="14"/>
  <c r="E3" i="14"/>
  <c r="D3" i="14"/>
  <c r="P2" i="14"/>
  <c r="O2" i="14"/>
  <c r="K2" i="14"/>
  <c r="E2" i="14"/>
  <c r="D2" i="14"/>
  <c r="U633" i="11"/>
  <c r="T633" i="11"/>
  <c r="V633" i="11" s="1"/>
  <c r="P633" i="11"/>
  <c r="F633" i="11"/>
  <c r="E633" i="11"/>
  <c r="D633" i="11"/>
  <c r="C5" i="7"/>
  <c r="C26" i="7"/>
  <c r="C37" i="7"/>
  <c r="C58" i="7"/>
  <c r="C69" i="7"/>
  <c r="C90" i="7"/>
  <c r="C101" i="7"/>
  <c r="C122" i="7"/>
  <c r="C133" i="7"/>
  <c r="C154" i="7"/>
  <c r="C165" i="7"/>
  <c r="C186" i="7"/>
  <c r="C197" i="7"/>
  <c r="C218" i="7"/>
  <c r="C229" i="7"/>
  <c r="C250" i="7"/>
  <c r="C261" i="7"/>
  <c r="C282" i="7"/>
  <c r="C293" i="7"/>
  <c r="C314" i="7"/>
  <c r="C325" i="7"/>
  <c r="C346" i="7"/>
  <c r="C357" i="7"/>
  <c r="C378" i="7"/>
  <c r="C389" i="7"/>
  <c r="C410" i="7"/>
  <c r="C421" i="7"/>
  <c r="C442" i="7"/>
  <c r="C453" i="7"/>
  <c r="C474" i="7"/>
  <c r="C485" i="7"/>
  <c r="C506" i="7"/>
  <c r="C517" i="7"/>
  <c r="C538" i="7"/>
  <c r="C549" i="7"/>
  <c r="C570" i="7"/>
  <c r="C581" i="7"/>
  <c r="C610" i="7"/>
  <c r="C619" i="7"/>
  <c r="C628" i="7"/>
  <c r="D3" i="7"/>
  <c r="C3" i="7" s="1"/>
  <c r="D4" i="7"/>
  <c r="C4" i="7" s="1"/>
  <c r="D5" i="7"/>
  <c r="D6" i="7"/>
  <c r="C6" i="7" s="1"/>
  <c r="D7" i="7"/>
  <c r="C7" i="7" s="1"/>
  <c r="D8" i="7"/>
  <c r="C8" i="7" s="1"/>
  <c r="D9" i="7"/>
  <c r="C9" i="7" s="1"/>
  <c r="D10" i="7"/>
  <c r="C10" i="7" s="1"/>
  <c r="D11" i="7"/>
  <c r="C11" i="7" s="1"/>
  <c r="D12" i="7"/>
  <c r="C12" i="7" s="1"/>
  <c r="D13" i="7"/>
  <c r="C13" i="7" s="1"/>
  <c r="D14" i="7"/>
  <c r="C14" i="7" s="1"/>
  <c r="D15" i="7"/>
  <c r="C15" i="7" s="1"/>
  <c r="D16" i="7"/>
  <c r="C16" i="7" s="1"/>
  <c r="D17" i="7"/>
  <c r="C17" i="7" s="1"/>
  <c r="D18" i="7"/>
  <c r="C18" i="7" s="1"/>
  <c r="D19" i="7"/>
  <c r="C19" i="7" s="1"/>
  <c r="D20" i="7"/>
  <c r="C20" i="7" s="1"/>
  <c r="D21" i="7"/>
  <c r="C21" i="7" s="1"/>
  <c r="D22" i="7"/>
  <c r="C22" i="7" s="1"/>
  <c r="D23" i="7"/>
  <c r="C23" i="7" s="1"/>
  <c r="D24" i="7"/>
  <c r="C24" i="7" s="1"/>
  <c r="D25" i="7"/>
  <c r="C25" i="7" s="1"/>
  <c r="D26" i="7"/>
  <c r="D27" i="7"/>
  <c r="C27" i="7" s="1"/>
  <c r="D28" i="7"/>
  <c r="C28" i="7" s="1"/>
  <c r="D29" i="7"/>
  <c r="C29" i="7" s="1"/>
  <c r="D30" i="7"/>
  <c r="C30" i="7" s="1"/>
  <c r="D31" i="7"/>
  <c r="C31" i="7" s="1"/>
  <c r="D32" i="7"/>
  <c r="C32" i="7" s="1"/>
  <c r="D33" i="7"/>
  <c r="C33" i="7" s="1"/>
  <c r="D34" i="7"/>
  <c r="C34" i="7" s="1"/>
  <c r="D35" i="7"/>
  <c r="C35" i="7" s="1"/>
  <c r="D36" i="7"/>
  <c r="C36" i="7" s="1"/>
  <c r="D37" i="7"/>
  <c r="D38" i="7"/>
  <c r="C38" i="7" s="1"/>
  <c r="D39" i="7"/>
  <c r="C39" i="7" s="1"/>
  <c r="D40" i="7"/>
  <c r="C40" i="7" s="1"/>
  <c r="D41" i="7"/>
  <c r="C41" i="7" s="1"/>
  <c r="D42" i="7"/>
  <c r="C42" i="7" s="1"/>
  <c r="D43" i="7"/>
  <c r="C43" i="7" s="1"/>
  <c r="D44" i="7"/>
  <c r="C44" i="7" s="1"/>
  <c r="D45" i="7"/>
  <c r="C45" i="7" s="1"/>
  <c r="D46" i="7"/>
  <c r="C46" i="7" s="1"/>
  <c r="D47" i="7"/>
  <c r="C47" i="7" s="1"/>
  <c r="D48" i="7"/>
  <c r="C48" i="7" s="1"/>
  <c r="D49" i="7"/>
  <c r="C49" i="7" s="1"/>
  <c r="D50" i="7"/>
  <c r="C50" i="7" s="1"/>
  <c r="D51" i="7"/>
  <c r="C51" i="7" s="1"/>
  <c r="D52" i="7"/>
  <c r="C52" i="7" s="1"/>
  <c r="D53" i="7"/>
  <c r="C53" i="7" s="1"/>
  <c r="D54" i="7"/>
  <c r="C54" i="7" s="1"/>
  <c r="D55" i="7"/>
  <c r="C55" i="7" s="1"/>
  <c r="D56" i="7"/>
  <c r="C56" i="7" s="1"/>
  <c r="D57" i="7"/>
  <c r="C57" i="7" s="1"/>
  <c r="D58" i="7"/>
  <c r="D59" i="7"/>
  <c r="C59" i="7" s="1"/>
  <c r="D60" i="7"/>
  <c r="C60" i="7" s="1"/>
  <c r="D61" i="7"/>
  <c r="C61" i="7" s="1"/>
  <c r="D62" i="7"/>
  <c r="C62" i="7" s="1"/>
  <c r="D63" i="7"/>
  <c r="C63" i="7" s="1"/>
  <c r="D64" i="7"/>
  <c r="C64" i="7" s="1"/>
  <c r="D65" i="7"/>
  <c r="C65" i="7" s="1"/>
  <c r="D66" i="7"/>
  <c r="C66" i="7" s="1"/>
  <c r="D67" i="7"/>
  <c r="C67" i="7" s="1"/>
  <c r="D68" i="7"/>
  <c r="C68" i="7" s="1"/>
  <c r="D69" i="7"/>
  <c r="D70" i="7"/>
  <c r="C70" i="7" s="1"/>
  <c r="D71" i="7"/>
  <c r="C71" i="7" s="1"/>
  <c r="D72" i="7"/>
  <c r="C72" i="7" s="1"/>
  <c r="D73" i="7"/>
  <c r="C73" i="7" s="1"/>
  <c r="D74" i="7"/>
  <c r="C74" i="7" s="1"/>
  <c r="D75" i="7"/>
  <c r="C75" i="7" s="1"/>
  <c r="D76" i="7"/>
  <c r="C76" i="7" s="1"/>
  <c r="D77" i="7"/>
  <c r="C77" i="7" s="1"/>
  <c r="D78" i="7"/>
  <c r="C78" i="7" s="1"/>
  <c r="D79" i="7"/>
  <c r="C79" i="7" s="1"/>
  <c r="D80" i="7"/>
  <c r="C80" i="7" s="1"/>
  <c r="D81" i="7"/>
  <c r="C81" i="7" s="1"/>
  <c r="D82" i="7"/>
  <c r="C82" i="7" s="1"/>
  <c r="D83" i="7"/>
  <c r="C83" i="7" s="1"/>
  <c r="D84" i="7"/>
  <c r="C84" i="7" s="1"/>
  <c r="D85" i="7"/>
  <c r="C85" i="7" s="1"/>
  <c r="D86" i="7"/>
  <c r="C86" i="7" s="1"/>
  <c r="D87" i="7"/>
  <c r="C87" i="7" s="1"/>
  <c r="D88" i="7"/>
  <c r="C88" i="7" s="1"/>
  <c r="D89" i="7"/>
  <c r="C89" i="7" s="1"/>
  <c r="D90" i="7"/>
  <c r="D91" i="7"/>
  <c r="C91" i="7" s="1"/>
  <c r="D92" i="7"/>
  <c r="C92" i="7" s="1"/>
  <c r="D93" i="7"/>
  <c r="C93" i="7" s="1"/>
  <c r="D94" i="7"/>
  <c r="C94" i="7" s="1"/>
  <c r="D95" i="7"/>
  <c r="C95" i="7" s="1"/>
  <c r="D96" i="7"/>
  <c r="C96" i="7" s="1"/>
  <c r="D97" i="7"/>
  <c r="C97" i="7" s="1"/>
  <c r="D98" i="7"/>
  <c r="C98" i="7" s="1"/>
  <c r="D99" i="7"/>
  <c r="C99" i="7" s="1"/>
  <c r="D100" i="7"/>
  <c r="C100" i="7" s="1"/>
  <c r="D101" i="7"/>
  <c r="D102" i="7"/>
  <c r="C102" i="7" s="1"/>
  <c r="D103" i="7"/>
  <c r="C103" i="7" s="1"/>
  <c r="D104" i="7"/>
  <c r="C104" i="7" s="1"/>
  <c r="D105" i="7"/>
  <c r="C105" i="7" s="1"/>
  <c r="D106" i="7"/>
  <c r="C106" i="7" s="1"/>
  <c r="D107" i="7"/>
  <c r="C107" i="7" s="1"/>
  <c r="D108" i="7"/>
  <c r="C108" i="7" s="1"/>
  <c r="D109" i="7"/>
  <c r="C109" i="7" s="1"/>
  <c r="D110" i="7"/>
  <c r="C110" i="7" s="1"/>
  <c r="D111" i="7"/>
  <c r="C111" i="7" s="1"/>
  <c r="D112" i="7"/>
  <c r="C112" i="7" s="1"/>
  <c r="D113" i="7"/>
  <c r="C113" i="7" s="1"/>
  <c r="D114" i="7"/>
  <c r="C114" i="7" s="1"/>
  <c r="D115" i="7"/>
  <c r="C115" i="7" s="1"/>
  <c r="D116" i="7"/>
  <c r="C116" i="7" s="1"/>
  <c r="D117" i="7"/>
  <c r="C117" i="7" s="1"/>
  <c r="D118" i="7"/>
  <c r="C118" i="7" s="1"/>
  <c r="D119" i="7"/>
  <c r="C119" i="7" s="1"/>
  <c r="D120" i="7"/>
  <c r="C120" i="7" s="1"/>
  <c r="D121" i="7"/>
  <c r="C121" i="7" s="1"/>
  <c r="D122" i="7"/>
  <c r="D123" i="7"/>
  <c r="C123" i="7" s="1"/>
  <c r="D124" i="7"/>
  <c r="C124" i="7" s="1"/>
  <c r="D125" i="7"/>
  <c r="C125" i="7" s="1"/>
  <c r="D126" i="7"/>
  <c r="C126" i="7" s="1"/>
  <c r="D127" i="7"/>
  <c r="C127" i="7" s="1"/>
  <c r="D128" i="7"/>
  <c r="C128" i="7" s="1"/>
  <c r="D129" i="7"/>
  <c r="C129" i="7" s="1"/>
  <c r="D130" i="7"/>
  <c r="C130" i="7" s="1"/>
  <c r="D131" i="7"/>
  <c r="C131" i="7" s="1"/>
  <c r="D132" i="7"/>
  <c r="C132" i="7" s="1"/>
  <c r="D133" i="7"/>
  <c r="D134" i="7"/>
  <c r="C134" i="7" s="1"/>
  <c r="D135" i="7"/>
  <c r="C135" i="7" s="1"/>
  <c r="D136" i="7"/>
  <c r="C136" i="7" s="1"/>
  <c r="D137" i="7"/>
  <c r="C137" i="7" s="1"/>
  <c r="D138" i="7"/>
  <c r="C138" i="7" s="1"/>
  <c r="D139" i="7"/>
  <c r="C139" i="7" s="1"/>
  <c r="D140" i="7"/>
  <c r="C140" i="7" s="1"/>
  <c r="D141" i="7"/>
  <c r="C141" i="7" s="1"/>
  <c r="D142" i="7"/>
  <c r="C142" i="7" s="1"/>
  <c r="D143" i="7"/>
  <c r="C143" i="7" s="1"/>
  <c r="D144" i="7"/>
  <c r="C144" i="7" s="1"/>
  <c r="D145" i="7"/>
  <c r="C145" i="7" s="1"/>
  <c r="D146" i="7"/>
  <c r="C146" i="7" s="1"/>
  <c r="D147" i="7"/>
  <c r="C147" i="7" s="1"/>
  <c r="D148" i="7"/>
  <c r="C148" i="7" s="1"/>
  <c r="D149" i="7"/>
  <c r="C149" i="7" s="1"/>
  <c r="D150" i="7"/>
  <c r="C150" i="7" s="1"/>
  <c r="D151" i="7"/>
  <c r="C151" i="7" s="1"/>
  <c r="D152" i="7"/>
  <c r="C152" i="7" s="1"/>
  <c r="D153" i="7"/>
  <c r="C153" i="7" s="1"/>
  <c r="D154" i="7"/>
  <c r="D155" i="7"/>
  <c r="C155" i="7" s="1"/>
  <c r="D156" i="7"/>
  <c r="C156" i="7" s="1"/>
  <c r="D157" i="7"/>
  <c r="C157" i="7" s="1"/>
  <c r="D158" i="7"/>
  <c r="C158" i="7" s="1"/>
  <c r="D159" i="7"/>
  <c r="C159" i="7" s="1"/>
  <c r="D160" i="7"/>
  <c r="C160" i="7" s="1"/>
  <c r="D161" i="7"/>
  <c r="C161" i="7" s="1"/>
  <c r="D162" i="7"/>
  <c r="C162" i="7" s="1"/>
  <c r="D163" i="7"/>
  <c r="C163" i="7" s="1"/>
  <c r="D164" i="7"/>
  <c r="C164" i="7" s="1"/>
  <c r="D165" i="7"/>
  <c r="D166" i="7"/>
  <c r="C166" i="7" s="1"/>
  <c r="D167" i="7"/>
  <c r="C167" i="7" s="1"/>
  <c r="D168" i="7"/>
  <c r="C168" i="7" s="1"/>
  <c r="D169" i="7"/>
  <c r="C169" i="7" s="1"/>
  <c r="D170" i="7"/>
  <c r="C170" i="7" s="1"/>
  <c r="D171" i="7"/>
  <c r="C171" i="7" s="1"/>
  <c r="D172" i="7"/>
  <c r="C172" i="7" s="1"/>
  <c r="D173" i="7"/>
  <c r="C173" i="7" s="1"/>
  <c r="D174" i="7"/>
  <c r="C174" i="7" s="1"/>
  <c r="D175" i="7"/>
  <c r="C175" i="7" s="1"/>
  <c r="D176" i="7"/>
  <c r="C176" i="7" s="1"/>
  <c r="D177" i="7"/>
  <c r="C177" i="7" s="1"/>
  <c r="D178" i="7"/>
  <c r="C178" i="7" s="1"/>
  <c r="D179" i="7"/>
  <c r="C179" i="7" s="1"/>
  <c r="D180" i="7"/>
  <c r="C180" i="7" s="1"/>
  <c r="D181" i="7"/>
  <c r="C181" i="7" s="1"/>
  <c r="D182" i="7"/>
  <c r="C182" i="7" s="1"/>
  <c r="D183" i="7"/>
  <c r="C183" i="7" s="1"/>
  <c r="D184" i="7"/>
  <c r="C184" i="7" s="1"/>
  <c r="D185" i="7"/>
  <c r="C185" i="7" s="1"/>
  <c r="D186" i="7"/>
  <c r="D187" i="7"/>
  <c r="C187" i="7" s="1"/>
  <c r="D188" i="7"/>
  <c r="C188" i="7" s="1"/>
  <c r="D189" i="7"/>
  <c r="C189" i="7" s="1"/>
  <c r="D190" i="7"/>
  <c r="C190" i="7" s="1"/>
  <c r="D191" i="7"/>
  <c r="C191" i="7" s="1"/>
  <c r="D192" i="7"/>
  <c r="C192" i="7" s="1"/>
  <c r="D193" i="7"/>
  <c r="C193" i="7" s="1"/>
  <c r="D194" i="7"/>
  <c r="C194" i="7" s="1"/>
  <c r="D195" i="7"/>
  <c r="C195" i="7" s="1"/>
  <c r="D196" i="7"/>
  <c r="C196" i="7" s="1"/>
  <c r="D197" i="7"/>
  <c r="D198" i="7"/>
  <c r="C198" i="7" s="1"/>
  <c r="D199" i="7"/>
  <c r="C199" i="7" s="1"/>
  <c r="D200" i="7"/>
  <c r="C200" i="7" s="1"/>
  <c r="D201" i="7"/>
  <c r="C201" i="7" s="1"/>
  <c r="D202" i="7"/>
  <c r="C202" i="7" s="1"/>
  <c r="D203" i="7"/>
  <c r="C203" i="7" s="1"/>
  <c r="D204" i="7"/>
  <c r="C204" i="7" s="1"/>
  <c r="D205" i="7"/>
  <c r="C205" i="7" s="1"/>
  <c r="D206" i="7"/>
  <c r="C206" i="7" s="1"/>
  <c r="D207" i="7"/>
  <c r="C207" i="7" s="1"/>
  <c r="D208" i="7"/>
  <c r="C208" i="7" s="1"/>
  <c r="D209" i="7"/>
  <c r="C209" i="7" s="1"/>
  <c r="D210" i="7"/>
  <c r="C210" i="7" s="1"/>
  <c r="D211" i="7"/>
  <c r="C211" i="7" s="1"/>
  <c r="D212" i="7"/>
  <c r="C212" i="7" s="1"/>
  <c r="D213" i="7"/>
  <c r="C213" i="7" s="1"/>
  <c r="D214" i="7"/>
  <c r="C214" i="7" s="1"/>
  <c r="D215" i="7"/>
  <c r="C215" i="7" s="1"/>
  <c r="D216" i="7"/>
  <c r="C216" i="7" s="1"/>
  <c r="D217" i="7"/>
  <c r="C217" i="7" s="1"/>
  <c r="D218" i="7"/>
  <c r="D219" i="7"/>
  <c r="C219" i="7" s="1"/>
  <c r="D220" i="7"/>
  <c r="C220" i="7" s="1"/>
  <c r="D221" i="7"/>
  <c r="C221" i="7" s="1"/>
  <c r="D222" i="7"/>
  <c r="C222" i="7" s="1"/>
  <c r="D223" i="7"/>
  <c r="C223" i="7" s="1"/>
  <c r="D224" i="7"/>
  <c r="C224" i="7" s="1"/>
  <c r="D225" i="7"/>
  <c r="C225" i="7" s="1"/>
  <c r="D226" i="7"/>
  <c r="C226" i="7" s="1"/>
  <c r="D227" i="7"/>
  <c r="C227" i="7" s="1"/>
  <c r="D228" i="7"/>
  <c r="C228" i="7" s="1"/>
  <c r="D229" i="7"/>
  <c r="D230" i="7"/>
  <c r="C230" i="7" s="1"/>
  <c r="D231" i="7"/>
  <c r="C231" i="7" s="1"/>
  <c r="D232" i="7"/>
  <c r="C232" i="7" s="1"/>
  <c r="D233" i="7"/>
  <c r="C233" i="7" s="1"/>
  <c r="D234" i="7"/>
  <c r="C234" i="7" s="1"/>
  <c r="D235" i="7"/>
  <c r="C235" i="7" s="1"/>
  <c r="D236" i="7"/>
  <c r="C236" i="7" s="1"/>
  <c r="D237" i="7"/>
  <c r="C237" i="7" s="1"/>
  <c r="D238" i="7"/>
  <c r="C238" i="7" s="1"/>
  <c r="D239" i="7"/>
  <c r="C239" i="7" s="1"/>
  <c r="D240" i="7"/>
  <c r="C240" i="7" s="1"/>
  <c r="D241" i="7"/>
  <c r="C241" i="7" s="1"/>
  <c r="D242" i="7"/>
  <c r="C242" i="7" s="1"/>
  <c r="D243" i="7"/>
  <c r="C243" i="7" s="1"/>
  <c r="D244" i="7"/>
  <c r="C244" i="7" s="1"/>
  <c r="D245" i="7"/>
  <c r="C245" i="7" s="1"/>
  <c r="D246" i="7"/>
  <c r="C246" i="7" s="1"/>
  <c r="D247" i="7"/>
  <c r="C247" i="7" s="1"/>
  <c r="D248" i="7"/>
  <c r="C248" i="7" s="1"/>
  <c r="D249" i="7"/>
  <c r="C249" i="7" s="1"/>
  <c r="D250" i="7"/>
  <c r="D251" i="7"/>
  <c r="C251" i="7" s="1"/>
  <c r="D252" i="7"/>
  <c r="C252" i="7" s="1"/>
  <c r="D253" i="7"/>
  <c r="C253" i="7" s="1"/>
  <c r="D254" i="7"/>
  <c r="C254" i="7" s="1"/>
  <c r="D255" i="7"/>
  <c r="C255" i="7" s="1"/>
  <c r="D256" i="7"/>
  <c r="C256" i="7" s="1"/>
  <c r="D257" i="7"/>
  <c r="C257" i="7" s="1"/>
  <c r="D258" i="7"/>
  <c r="C258" i="7" s="1"/>
  <c r="D259" i="7"/>
  <c r="C259" i="7" s="1"/>
  <c r="D260" i="7"/>
  <c r="C260" i="7" s="1"/>
  <c r="D261" i="7"/>
  <c r="D262" i="7"/>
  <c r="C262" i="7" s="1"/>
  <c r="D263" i="7"/>
  <c r="C263" i="7" s="1"/>
  <c r="D264" i="7"/>
  <c r="C264" i="7" s="1"/>
  <c r="D265" i="7"/>
  <c r="C265" i="7" s="1"/>
  <c r="D266" i="7"/>
  <c r="C266" i="7" s="1"/>
  <c r="D267" i="7"/>
  <c r="C267" i="7" s="1"/>
  <c r="D268" i="7"/>
  <c r="C268" i="7" s="1"/>
  <c r="D269" i="7"/>
  <c r="C269" i="7" s="1"/>
  <c r="D270" i="7"/>
  <c r="C270" i="7" s="1"/>
  <c r="D271" i="7"/>
  <c r="C271" i="7" s="1"/>
  <c r="D272" i="7"/>
  <c r="C272" i="7" s="1"/>
  <c r="D273" i="7"/>
  <c r="C273" i="7" s="1"/>
  <c r="D274" i="7"/>
  <c r="C274" i="7" s="1"/>
  <c r="D275" i="7"/>
  <c r="C275" i="7" s="1"/>
  <c r="D276" i="7"/>
  <c r="C276" i="7" s="1"/>
  <c r="D277" i="7"/>
  <c r="C277" i="7" s="1"/>
  <c r="D278" i="7"/>
  <c r="C278" i="7" s="1"/>
  <c r="D279" i="7"/>
  <c r="C279" i="7" s="1"/>
  <c r="D280" i="7"/>
  <c r="C280" i="7" s="1"/>
  <c r="D281" i="7"/>
  <c r="C281" i="7" s="1"/>
  <c r="D282" i="7"/>
  <c r="D283" i="7"/>
  <c r="C283" i="7" s="1"/>
  <c r="D284" i="7"/>
  <c r="C284" i="7" s="1"/>
  <c r="D285" i="7"/>
  <c r="C285" i="7" s="1"/>
  <c r="D286" i="7"/>
  <c r="C286" i="7" s="1"/>
  <c r="D287" i="7"/>
  <c r="C287" i="7" s="1"/>
  <c r="D288" i="7"/>
  <c r="C288" i="7" s="1"/>
  <c r="D289" i="7"/>
  <c r="C289" i="7" s="1"/>
  <c r="D290" i="7"/>
  <c r="C290" i="7" s="1"/>
  <c r="D291" i="7"/>
  <c r="C291" i="7" s="1"/>
  <c r="D292" i="7"/>
  <c r="C292" i="7" s="1"/>
  <c r="D293" i="7"/>
  <c r="D294" i="7"/>
  <c r="C294" i="7" s="1"/>
  <c r="D295" i="7"/>
  <c r="C295" i="7" s="1"/>
  <c r="D296" i="7"/>
  <c r="C296" i="7" s="1"/>
  <c r="D297" i="7"/>
  <c r="C297" i="7" s="1"/>
  <c r="D298" i="7"/>
  <c r="C298" i="7" s="1"/>
  <c r="D299" i="7"/>
  <c r="C299" i="7" s="1"/>
  <c r="D300" i="7"/>
  <c r="C300" i="7" s="1"/>
  <c r="D301" i="7"/>
  <c r="C301" i="7" s="1"/>
  <c r="D302" i="7"/>
  <c r="C302" i="7" s="1"/>
  <c r="D303" i="7"/>
  <c r="C303" i="7" s="1"/>
  <c r="D304" i="7"/>
  <c r="C304" i="7" s="1"/>
  <c r="D305" i="7"/>
  <c r="C305" i="7" s="1"/>
  <c r="D306" i="7"/>
  <c r="C306" i="7" s="1"/>
  <c r="D307" i="7"/>
  <c r="C307" i="7" s="1"/>
  <c r="D308" i="7"/>
  <c r="C308" i="7" s="1"/>
  <c r="D309" i="7"/>
  <c r="C309" i="7" s="1"/>
  <c r="D310" i="7"/>
  <c r="C310" i="7" s="1"/>
  <c r="D311" i="7"/>
  <c r="C311" i="7" s="1"/>
  <c r="D312" i="7"/>
  <c r="C312" i="7" s="1"/>
  <c r="D313" i="7"/>
  <c r="C313" i="7" s="1"/>
  <c r="D314" i="7"/>
  <c r="D315" i="7"/>
  <c r="C315" i="7" s="1"/>
  <c r="D316" i="7"/>
  <c r="C316" i="7" s="1"/>
  <c r="D317" i="7"/>
  <c r="C317" i="7" s="1"/>
  <c r="D318" i="7"/>
  <c r="C318" i="7" s="1"/>
  <c r="D319" i="7"/>
  <c r="C319" i="7" s="1"/>
  <c r="D320" i="7"/>
  <c r="C320" i="7" s="1"/>
  <c r="D321" i="7"/>
  <c r="C321" i="7" s="1"/>
  <c r="D322" i="7"/>
  <c r="C322" i="7" s="1"/>
  <c r="D323" i="7"/>
  <c r="C323" i="7" s="1"/>
  <c r="D324" i="7"/>
  <c r="C324" i="7" s="1"/>
  <c r="D325" i="7"/>
  <c r="D326" i="7"/>
  <c r="C326" i="7" s="1"/>
  <c r="D327" i="7"/>
  <c r="C327" i="7" s="1"/>
  <c r="D328" i="7"/>
  <c r="C328" i="7" s="1"/>
  <c r="D329" i="7"/>
  <c r="C329" i="7" s="1"/>
  <c r="D330" i="7"/>
  <c r="C330" i="7" s="1"/>
  <c r="D331" i="7"/>
  <c r="C331" i="7" s="1"/>
  <c r="D332" i="7"/>
  <c r="C332" i="7" s="1"/>
  <c r="D333" i="7"/>
  <c r="C333" i="7" s="1"/>
  <c r="D334" i="7"/>
  <c r="C334" i="7" s="1"/>
  <c r="D335" i="7"/>
  <c r="C335" i="7" s="1"/>
  <c r="D336" i="7"/>
  <c r="C336" i="7" s="1"/>
  <c r="D337" i="7"/>
  <c r="C337" i="7" s="1"/>
  <c r="D338" i="7"/>
  <c r="C338" i="7" s="1"/>
  <c r="D339" i="7"/>
  <c r="C339" i="7" s="1"/>
  <c r="D340" i="7"/>
  <c r="C340" i="7" s="1"/>
  <c r="D341" i="7"/>
  <c r="C341" i="7" s="1"/>
  <c r="D342" i="7"/>
  <c r="C342" i="7" s="1"/>
  <c r="D343" i="7"/>
  <c r="C343" i="7" s="1"/>
  <c r="D344" i="7"/>
  <c r="C344" i="7" s="1"/>
  <c r="D345" i="7"/>
  <c r="C345" i="7" s="1"/>
  <c r="D346" i="7"/>
  <c r="D347" i="7"/>
  <c r="C347" i="7" s="1"/>
  <c r="D348" i="7"/>
  <c r="C348" i="7" s="1"/>
  <c r="D349" i="7"/>
  <c r="C349" i="7" s="1"/>
  <c r="D350" i="7"/>
  <c r="C350" i="7" s="1"/>
  <c r="D351" i="7"/>
  <c r="C351" i="7" s="1"/>
  <c r="D352" i="7"/>
  <c r="C352" i="7" s="1"/>
  <c r="D353" i="7"/>
  <c r="C353" i="7" s="1"/>
  <c r="D354" i="7"/>
  <c r="C354" i="7" s="1"/>
  <c r="D355" i="7"/>
  <c r="C355" i="7" s="1"/>
  <c r="D356" i="7"/>
  <c r="C356" i="7" s="1"/>
  <c r="D357" i="7"/>
  <c r="D358" i="7"/>
  <c r="C358" i="7" s="1"/>
  <c r="D359" i="7"/>
  <c r="C359" i="7" s="1"/>
  <c r="D360" i="7"/>
  <c r="C360" i="7" s="1"/>
  <c r="D361" i="7"/>
  <c r="C361" i="7" s="1"/>
  <c r="D362" i="7"/>
  <c r="C362" i="7" s="1"/>
  <c r="D363" i="7"/>
  <c r="C363" i="7" s="1"/>
  <c r="D364" i="7"/>
  <c r="C364" i="7" s="1"/>
  <c r="D365" i="7"/>
  <c r="C365" i="7" s="1"/>
  <c r="D366" i="7"/>
  <c r="C366" i="7" s="1"/>
  <c r="D367" i="7"/>
  <c r="C367" i="7" s="1"/>
  <c r="D368" i="7"/>
  <c r="C368" i="7" s="1"/>
  <c r="D369" i="7"/>
  <c r="C369" i="7" s="1"/>
  <c r="D370" i="7"/>
  <c r="C370" i="7" s="1"/>
  <c r="D371" i="7"/>
  <c r="C371" i="7" s="1"/>
  <c r="D372" i="7"/>
  <c r="C372" i="7" s="1"/>
  <c r="D373" i="7"/>
  <c r="C373" i="7" s="1"/>
  <c r="D374" i="7"/>
  <c r="C374" i="7" s="1"/>
  <c r="D375" i="7"/>
  <c r="C375" i="7" s="1"/>
  <c r="D376" i="7"/>
  <c r="C376" i="7" s="1"/>
  <c r="D377" i="7"/>
  <c r="C377" i="7" s="1"/>
  <c r="D378" i="7"/>
  <c r="D379" i="7"/>
  <c r="C379" i="7" s="1"/>
  <c r="D380" i="7"/>
  <c r="C380" i="7" s="1"/>
  <c r="D381" i="7"/>
  <c r="C381" i="7" s="1"/>
  <c r="D382" i="7"/>
  <c r="C382" i="7" s="1"/>
  <c r="D383" i="7"/>
  <c r="C383" i="7" s="1"/>
  <c r="D384" i="7"/>
  <c r="C384" i="7" s="1"/>
  <c r="D385" i="7"/>
  <c r="C385" i="7" s="1"/>
  <c r="D386" i="7"/>
  <c r="C386" i="7" s="1"/>
  <c r="D387" i="7"/>
  <c r="C387" i="7" s="1"/>
  <c r="D388" i="7"/>
  <c r="C388" i="7" s="1"/>
  <c r="D389" i="7"/>
  <c r="D390" i="7"/>
  <c r="C390" i="7" s="1"/>
  <c r="D391" i="7"/>
  <c r="C391" i="7" s="1"/>
  <c r="D392" i="7"/>
  <c r="C392" i="7" s="1"/>
  <c r="D393" i="7"/>
  <c r="C393" i="7" s="1"/>
  <c r="D394" i="7"/>
  <c r="C394" i="7" s="1"/>
  <c r="D395" i="7"/>
  <c r="C395" i="7" s="1"/>
  <c r="D396" i="7"/>
  <c r="C396" i="7" s="1"/>
  <c r="D397" i="7"/>
  <c r="C397" i="7" s="1"/>
  <c r="D398" i="7"/>
  <c r="C398" i="7" s="1"/>
  <c r="D399" i="7"/>
  <c r="C399" i="7" s="1"/>
  <c r="D400" i="7"/>
  <c r="C400" i="7" s="1"/>
  <c r="D401" i="7"/>
  <c r="C401" i="7" s="1"/>
  <c r="D402" i="7"/>
  <c r="C402" i="7" s="1"/>
  <c r="D403" i="7"/>
  <c r="C403" i="7" s="1"/>
  <c r="D404" i="7"/>
  <c r="C404" i="7" s="1"/>
  <c r="D405" i="7"/>
  <c r="C405" i="7" s="1"/>
  <c r="D406" i="7"/>
  <c r="C406" i="7" s="1"/>
  <c r="D407" i="7"/>
  <c r="C407" i="7" s="1"/>
  <c r="D408" i="7"/>
  <c r="C408" i="7" s="1"/>
  <c r="D409" i="7"/>
  <c r="C409" i="7" s="1"/>
  <c r="D410" i="7"/>
  <c r="D411" i="7"/>
  <c r="C411" i="7" s="1"/>
  <c r="D412" i="7"/>
  <c r="C412" i="7" s="1"/>
  <c r="D413" i="7"/>
  <c r="C413" i="7" s="1"/>
  <c r="D414" i="7"/>
  <c r="C414" i="7" s="1"/>
  <c r="D415" i="7"/>
  <c r="C415" i="7" s="1"/>
  <c r="D416" i="7"/>
  <c r="C416" i="7" s="1"/>
  <c r="D417" i="7"/>
  <c r="C417" i="7" s="1"/>
  <c r="D418" i="7"/>
  <c r="C418" i="7" s="1"/>
  <c r="D419" i="7"/>
  <c r="C419" i="7" s="1"/>
  <c r="D420" i="7"/>
  <c r="C420" i="7" s="1"/>
  <c r="D421" i="7"/>
  <c r="D422" i="7"/>
  <c r="C422" i="7" s="1"/>
  <c r="D423" i="7"/>
  <c r="C423" i="7" s="1"/>
  <c r="D424" i="7"/>
  <c r="C424" i="7" s="1"/>
  <c r="D425" i="7"/>
  <c r="C425" i="7" s="1"/>
  <c r="D426" i="7"/>
  <c r="C426" i="7" s="1"/>
  <c r="D427" i="7"/>
  <c r="C427" i="7" s="1"/>
  <c r="D428" i="7"/>
  <c r="C428" i="7" s="1"/>
  <c r="D429" i="7"/>
  <c r="C429" i="7" s="1"/>
  <c r="D430" i="7"/>
  <c r="C430" i="7" s="1"/>
  <c r="D431" i="7"/>
  <c r="C431" i="7" s="1"/>
  <c r="D432" i="7"/>
  <c r="C432" i="7" s="1"/>
  <c r="D433" i="7"/>
  <c r="C433" i="7" s="1"/>
  <c r="D434" i="7"/>
  <c r="C434" i="7" s="1"/>
  <c r="D435" i="7"/>
  <c r="C435" i="7" s="1"/>
  <c r="D436" i="7"/>
  <c r="C436" i="7" s="1"/>
  <c r="D437" i="7"/>
  <c r="C437" i="7" s="1"/>
  <c r="D438" i="7"/>
  <c r="C438" i="7" s="1"/>
  <c r="D439" i="7"/>
  <c r="C439" i="7" s="1"/>
  <c r="D440" i="7"/>
  <c r="C440" i="7" s="1"/>
  <c r="D441" i="7"/>
  <c r="C441" i="7" s="1"/>
  <c r="D442" i="7"/>
  <c r="D443" i="7"/>
  <c r="C443" i="7" s="1"/>
  <c r="D444" i="7"/>
  <c r="C444" i="7" s="1"/>
  <c r="D445" i="7"/>
  <c r="C445" i="7" s="1"/>
  <c r="D446" i="7"/>
  <c r="C446" i="7" s="1"/>
  <c r="D447" i="7"/>
  <c r="C447" i="7" s="1"/>
  <c r="D448" i="7"/>
  <c r="C448" i="7" s="1"/>
  <c r="D449" i="7"/>
  <c r="C449" i="7" s="1"/>
  <c r="D450" i="7"/>
  <c r="C450" i="7" s="1"/>
  <c r="D451" i="7"/>
  <c r="C451" i="7" s="1"/>
  <c r="D452" i="7"/>
  <c r="C452" i="7" s="1"/>
  <c r="D453" i="7"/>
  <c r="D454" i="7"/>
  <c r="C454" i="7" s="1"/>
  <c r="D455" i="7"/>
  <c r="C455" i="7" s="1"/>
  <c r="D456" i="7"/>
  <c r="C456" i="7" s="1"/>
  <c r="D457" i="7"/>
  <c r="C457" i="7" s="1"/>
  <c r="D458" i="7"/>
  <c r="C458" i="7" s="1"/>
  <c r="D459" i="7"/>
  <c r="C459" i="7" s="1"/>
  <c r="D460" i="7"/>
  <c r="C460" i="7" s="1"/>
  <c r="D461" i="7"/>
  <c r="C461" i="7" s="1"/>
  <c r="D462" i="7"/>
  <c r="C462" i="7" s="1"/>
  <c r="D463" i="7"/>
  <c r="C463" i="7" s="1"/>
  <c r="D464" i="7"/>
  <c r="C464" i="7" s="1"/>
  <c r="D465" i="7"/>
  <c r="C465" i="7" s="1"/>
  <c r="D466" i="7"/>
  <c r="C466" i="7" s="1"/>
  <c r="D467" i="7"/>
  <c r="C467" i="7" s="1"/>
  <c r="D468" i="7"/>
  <c r="C468" i="7" s="1"/>
  <c r="D469" i="7"/>
  <c r="C469" i="7" s="1"/>
  <c r="D470" i="7"/>
  <c r="C470" i="7" s="1"/>
  <c r="D471" i="7"/>
  <c r="C471" i="7" s="1"/>
  <c r="D472" i="7"/>
  <c r="C472" i="7" s="1"/>
  <c r="D473" i="7"/>
  <c r="C473" i="7" s="1"/>
  <c r="D474" i="7"/>
  <c r="D475" i="7"/>
  <c r="C475" i="7" s="1"/>
  <c r="D476" i="7"/>
  <c r="C476" i="7" s="1"/>
  <c r="D477" i="7"/>
  <c r="C477" i="7" s="1"/>
  <c r="D478" i="7"/>
  <c r="C478" i="7" s="1"/>
  <c r="D479" i="7"/>
  <c r="C479" i="7" s="1"/>
  <c r="D480" i="7"/>
  <c r="C480" i="7" s="1"/>
  <c r="D481" i="7"/>
  <c r="C481" i="7" s="1"/>
  <c r="D482" i="7"/>
  <c r="C482" i="7" s="1"/>
  <c r="D483" i="7"/>
  <c r="C483" i="7" s="1"/>
  <c r="D484" i="7"/>
  <c r="C484" i="7" s="1"/>
  <c r="D485" i="7"/>
  <c r="D486" i="7"/>
  <c r="C486" i="7" s="1"/>
  <c r="D487" i="7"/>
  <c r="C487" i="7" s="1"/>
  <c r="D488" i="7"/>
  <c r="C488" i="7" s="1"/>
  <c r="D489" i="7"/>
  <c r="C489" i="7" s="1"/>
  <c r="D490" i="7"/>
  <c r="C490" i="7" s="1"/>
  <c r="D491" i="7"/>
  <c r="C491" i="7" s="1"/>
  <c r="D492" i="7"/>
  <c r="C492" i="7" s="1"/>
  <c r="D493" i="7"/>
  <c r="C493" i="7" s="1"/>
  <c r="D494" i="7"/>
  <c r="C494" i="7" s="1"/>
  <c r="D495" i="7"/>
  <c r="C495" i="7" s="1"/>
  <c r="D496" i="7"/>
  <c r="C496" i="7" s="1"/>
  <c r="D497" i="7"/>
  <c r="C497" i="7" s="1"/>
  <c r="D498" i="7"/>
  <c r="C498" i="7" s="1"/>
  <c r="D499" i="7"/>
  <c r="C499" i="7" s="1"/>
  <c r="D500" i="7"/>
  <c r="C500" i="7" s="1"/>
  <c r="D501" i="7"/>
  <c r="C501" i="7" s="1"/>
  <c r="D502" i="7"/>
  <c r="C502" i="7" s="1"/>
  <c r="D503" i="7"/>
  <c r="C503" i="7" s="1"/>
  <c r="D504" i="7"/>
  <c r="C504" i="7" s="1"/>
  <c r="D505" i="7"/>
  <c r="C505" i="7" s="1"/>
  <c r="D506" i="7"/>
  <c r="D507" i="7"/>
  <c r="C507" i="7" s="1"/>
  <c r="D508" i="7"/>
  <c r="C508" i="7" s="1"/>
  <c r="D509" i="7"/>
  <c r="C509" i="7" s="1"/>
  <c r="D510" i="7"/>
  <c r="C510" i="7" s="1"/>
  <c r="D511" i="7"/>
  <c r="C511" i="7" s="1"/>
  <c r="D512" i="7"/>
  <c r="C512" i="7" s="1"/>
  <c r="D513" i="7"/>
  <c r="C513" i="7" s="1"/>
  <c r="D514" i="7"/>
  <c r="C514" i="7" s="1"/>
  <c r="D515" i="7"/>
  <c r="C515" i="7" s="1"/>
  <c r="D516" i="7"/>
  <c r="C516" i="7" s="1"/>
  <c r="D517" i="7"/>
  <c r="D518" i="7"/>
  <c r="C518" i="7" s="1"/>
  <c r="D519" i="7"/>
  <c r="C519" i="7" s="1"/>
  <c r="D520" i="7"/>
  <c r="C520" i="7" s="1"/>
  <c r="D521" i="7"/>
  <c r="C521" i="7" s="1"/>
  <c r="D522" i="7"/>
  <c r="C522" i="7" s="1"/>
  <c r="D523" i="7"/>
  <c r="C523" i="7" s="1"/>
  <c r="D524" i="7"/>
  <c r="C524" i="7" s="1"/>
  <c r="D525" i="7"/>
  <c r="C525" i="7" s="1"/>
  <c r="D526" i="7"/>
  <c r="C526" i="7" s="1"/>
  <c r="D527" i="7"/>
  <c r="C527" i="7" s="1"/>
  <c r="D528" i="7"/>
  <c r="C528" i="7" s="1"/>
  <c r="D529" i="7"/>
  <c r="C529" i="7" s="1"/>
  <c r="D530" i="7"/>
  <c r="C530" i="7" s="1"/>
  <c r="D531" i="7"/>
  <c r="C531" i="7" s="1"/>
  <c r="D532" i="7"/>
  <c r="C532" i="7" s="1"/>
  <c r="D533" i="7"/>
  <c r="C533" i="7" s="1"/>
  <c r="D534" i="7"/>
  <c r="C534" i="7" s="1"/>
  <c r="D535" i="7"/>
  <c r="C535" i="7" s="1"/>
  <c r="D536" i="7"/>
  <c r="C536" i="7" s="1"/>
  <c r="D537" i="7"/>
  <c r="C537" i="7" s="1"/>
  <c r="D538" i="7"/>
  <c r="D539" i="7"/>
  <c r="C539" i="7" s="1"/>
  <c r="D540" i="7"/>
  <c r="C540" i="7" s="1"/>
  <c r="D541" i="7"/>
  <c r="C541" i="7" s="1"/>
  <c r="D542" i="7"/>
  <c r="C542" i="7" s="1"/>
  <c r="D543" i="7"/>
  <c r="C543" i="7" s="1"/>
  <c r="D544" i="7"/>
  <c r="C544" i="7" s="1"/>
  <c r="D545" i="7"/>
  <c r="C545" i="7" s="1"/>
  <c r="D546" i="7"/>
  <c r="C546" i="7" s="1"/>
  <c r="D547" i="7"/>
  <c r="C547" i="7" s="1"/>
  <c r="D548" i="7"/>
  <c r="C548" i="7" s="1"/>
  <c r="D549" i="7"/>
  <c r="D550" i="7"/>
  <c r="C550" i="7" s="1"/>
  <c r="D551" i="7"/>
  <c r="C551" i="7" s="1"/>
  <c r="D552" i="7"/>
  <c r="C552" i="7" s="1"/>
  <c r="D553" i="7"/>
  <c r="C553" i="7" s="1"/>
  <c r="D554" i="7"/>
  <c r="C554" i="7" s="1"/>
  <c r="D555" i="7"/>
  <c r="C555" i="7" s="1"/>
  <c r="D556" i="7"/>
  <c r="C556" i="7" s="1"/>
  <c r="D557" i="7"/>
  <c r="C557" i="7" s="1"/>
  <c r="D558" i="7"/>
  <c r="C558" i="7" s="1"/>
  <c r="D559" i="7"/>
  <c r="C559" i="7" s="1"/>
  <c r="D560" i="7"/>
  <c r="C560" i="7" s="1"/>
  <c r="D561" i="7"/>
  <c r="C561" i="7" s="1"/>
  <c r="D562" i="7"/>
  <c r="C562" i="7" s="1"/>
  <c r="D563" i="7"/>
  <c r="C563" i="7" s="1"/>
  <c r="D564" i="7"/>
  <c r="C564" i="7" s="1"/>
  <c r="D565" i="7"/>
  <c r="C565" i="7" s="1"/>
  <c r="D566" i="7"/>
  <c r="C566" i="7" s="1"/>
  <c r="D567" i="7"/>
  <c r="C567" i="7" s="1"/>
  <c r="D568" i="7"/>
  <c r="C568" i="7" s="1"/>
  <c r="D569" i="7"/>
  <c r="C569" i="7" s="1"/>
  <c r="D570" i="7"/>
  <c r="D571" i="7"/>
  <c r="C571" i="7" s="1"/>
  <c r="D572" i="7"/>
  <c r="C572" i="7" s="1"/>
  <c r="D573" i="7"/>
  <c r="C573" i="7" s="1"/>
  <c r="D574" i="7"/>
  <c r="C574" i="7" s="1"/>
  <c r="D575" i="7"/>
  <c r="C575" i="7" s="1"/>
  <c r="D576" i="7"/>
  <c r="C576" i="7" s="1"/>
  <c r="D577" i="7"/>
  <c r="C577" i="7" s="1"/>
  <c r="D578" i="7"/>
  <c r="C578" i="7" s="1"/>
  <c r="D579" i="7"/>
  <c r="C579" i="7" s="1"/>
  <c r="D580" i="7"/>
  <c r="C580" i="7" s="1"/>
  <c r="D581" i="7"/>
  <c r="D582" i="7"/>
  <c r="C582" i="7" s="1"/>
  <c r="D583" i="7"/>
  <c r="C583" i="7" s="1"/>
  <c r="D584" i="7"/>
  <c r="C584" i="7" s="1"/>
  <c r="D585" i="7"/>
  <c r="C585" i="7" s="1"/>
  <c r="D586" i="7"/>
  <c r="C586" i="7" s="1"/>
  <c r="D587" i="7"/>
  <c r="C587" i="7" s="1"/>
  <c r="D588" i="7"/>
  <c r="C588" i="7" s="1"/>
  <c r="D589" i="7"/>
  <c r="C589" i="7" s="1"/>
  <c r="D590" i="7"/>
  <c r="C590" i="7" s="1"/>
  <c r="D591" i="7"/>
  <c r="C591" i="7" s="1"/>
  <c r="D592" i="7"/>
  <c r="C592" i="7" s="1"/>
  <c r="D593" i="7"/>
  <c r="C593" i="7" s="1"/>
  <c r="D594" i="7"/>
  <c r="C594" i="7" s="1"/>
  <c r="D595" i="7"/>
  <c r="C595" i="7" s="1"/>
  <c r="D596" i="7"/>
  <c r="C596" i="7" s="1"/>
  <c r="D597" i="7"/>
  <c r="C597" i="7" s="1"/>
  <c r="D598" i="7"/>
  <c r="C598" i="7" s="1"/>
  <c r="D599" i="7"/>
  <c r="C599" i="7" s="1"/>
  <c r="D600" i="7"/>
  <c r="C600" i="7" s="1"/>
  <c r="D601" i="7"/>
  <c r="C601" i="7" s="1"/>
  <c r="D602" i="7"/>
  <c r="C602" i="7" s="1"/>
  <c r="D603" i="7"/>
  <c r="C603" i="7" s="1"/>
  <c r="D604" i="7"/>
  <c r="C604" i="7" s="1"/>
  <c r="D605" i="7"/>
  <c r="C605" i="7" s="1"/>
  <c r="D606" i="7"/>
  <c r="C606" i="7" s="1"/>
  <c r="D607" i="7"/>
  <c r="C607" i="7" s="1"/>
  <c r="D608" i="7"/>
  <c r="C608" i="7" s="1"/>
  <c r="D609" i="7"/>
  <c r="C609" i="7" s="1"/>
  <c r="D610" i="7"/>
  <c r="D611" i="7"/>
  <c r="C611" i="7" s="1"/>
  <c r="D612" i="7"/>
  <c r="C612" i="7" s="1"/>
  <c r="D613" i="7"/>
  <c r="C613" i="7" s="1"/>
  <c r="D614" i="7"/>
  <c r="C614" i="7" s="1"/>
  <c r="D615" i="7"/>
  <c r="C615" i="7" s="1"/>
  <c r="D616" i="7"/>
  <c r="C616" i="7" s="1"/>
  <c r="D617" i="7"/>
  <c r="C617" i="7" s="1"/>
  <c r="D618" i="7"/>
  <c r="C618" i="7" s="1"/>
  <c r="D619" i="7"/>
  <c r="D620" i="7"/>
  <c r="C620" i="7" s="1"/>
  <c r="D621" i="7"/>
  <c r="C621" i="7" s="1"/>
  <c r="D622" i="7"/>
  <c r="C622" i="7" s="1"/>
  <c r="D623" i="7"/>
  <c r="C623" i="7" s="1"/>
  <c r="D624" i="7"/>
  <c r="C624" i="7" s="1"/>
  <c r="D625" i="7"/>
  <c r="C625" i="7" s="1"/>
  <c r="D626" i="7"/>
  <c r="C626" i="7" s="1"/>
  <c r="D627" i="7"/>
  <c r="C627" i="7" s="1"/>
  <c r="D628" i="7"/>
  <c r="D629" i="7"/>
  <c r="C629" i="7" s="1"/>
  <c r="D630" i="7"/>
  <c r="C630" i="7" s="1"/>
  <c r="D631" i="7"/>
  <c r="C631" i="7" s="1"/>
  <c r="D632" i="7"/>
  <c r="C632" i="7" s="1"/>
  <c r="D633" i="7"/>
  <c r="C633" i="7" s="1"/>
  <c r="O633" i="7"/>
  <c r="O632" i="7"/>
  <c r="O631" i="7"/>
  <c r="O630" i="7"/>
  <c r="O629" i="7"/>
  <c r="O628" i="7"/>
  <c r="O627" i="7"/>
  <c r="O626" i="7"/>
  <c r="O625" i="7"/>
  <c r="O624" i="7"/>
  <c r="O623" i="7"/>
  <c r="O622" i="7"/>
  <c r="O621" i="7"/>
  <c r="O620" i="7"/>
  <c r="O619" i="7"/>
  <c r="O618" i="7"/>
  <c r="O617" i="7"/>
  <c r="O616" i="7"/>
  <c r="O615" i="7"/>
  <c r="O614" i="7"/>
  <c r="O613" i="7"/>
  <c r="O612" i="7"/>
  <c r="O611" i="7"/>
  <c r="O610" i="7"/>
  <c r="O609" i="7"/>
  <c r="O608" i="7"/>
  <c r="O607" i="7"/>
  <c r="O606" i="7"/>
  <c r="O605" i="7"/>
  <c r="O604" i="7"/>
  <c r="O603" i="7"/>
  <c r="O602" i="7"/>
  <c r="O601" i="7"/>
  <c r="O600" i="7"/>
  <c r="O599" i="7"/>
  <c r="O598" i="7"/>
  <c r="O597" i="7"/>
  <c r="O596" i="7"/>
  <c r="O595" i="7"/>
  <c r="O594" i="7"/>
  <c r="O593" i="7"/>
  <c r="O592" i="7"/>
  <c r="O591" i="7"/>
  <c r="O590" i="7"/>
  <c r="O589" i="7"/>
  <c r="O588" i="7"/>
  <c r="O587" i="7"/>
  <c r="O586" i="7"/>
  <c r="O585" i="7"/>
  <c r="O584" i="7"/>
  <c r="O583" i="7"/>
  <c r="O582" i="7"/>
  <c r="O581" i="7"/>
  <c r="O580" i="7"/>
  <c r="O579" i="7"/>
  <c r="O578" i="7"/>
  <c r="O577" i="7"/>
  <c r="O576" i="7"/>
  <c r="O575" i="7"/>
  <c r="O574" i="7"/>
  <c r="O573" i="7"/>
  <c r="O572" i="7"/>
  <c r="O571" i="7"/>
  <c r="O570" i="7"/>
  <c r="O569" i="7"/>
  <c r="O568" i="7"/>
  <c r="O567" i="7"/>
  <c r="O566" i="7"/>
  <c r="O565" i="7"/>
  <c r="O564" i="7"/>
  <c r="O563" i="7"/>
  <c r="O562" i="7"/>
  <c r="O561" i="7"/>
  <c r="O560" i="7"/>
  <c r="O559" i="7"/>
  <c r="O558" i="7"/>
  <c r="O557" i="7"/>
  <c r="O556" i="7"/>
  <c r="O555" i="7"/>
  <c r="O554" i="7"/>
  <c r="O553" i="7"/>
  <c r="O552" i="7"/>
  <c r="O551" i="7"/>
  <c r="O550" i="7"/>
  <c r="O549" i="7"/>
  <c r="O548" i="7"/>
  <c r="O547" i="7"/>
  <c r="O546" i="7"/>
  <c r="O545" i="7"/>
  <c r="O544" i="7"/>
  <c r="O543" i="7"/>
  <c r="O542" i="7"/>
  <c r="O541" i="7"/>
  <c r="O540" i="7"/>
  <c r="O539" i="7"/>
  <c r="O538" i="7"/>
  <c r="O537" i="7"/>
  <c r="O536" i="7"/>
  <c r="O535" i="7"/>
  <c r="O534" i="7"/>
  <c r="O533" i="7"/>
  <c r="O532" i="7"/>
  <c r="O531" i="7"/>
  <c r="O530" i="7"/>
  <c r="O529" i="7"/>
  <c r="O528" i="7"/>
  <c r="O527" i="7"/>
  <c r="O526" i="7"/>
  <c r="O525" i="7"/>
  <c r="O524" i="7"/>
  <c r="O523" i="7"/>
  <c r="O522" i="7"/>
  <c r="O521" i="7"/>
  <c r="O520" i="7"/>
  <c r="O519" i="7"/>
  <c r="O518" i="7"/>
  <c r="O517" i="7"/>
  <c r="O516" i="7"/>
  <c r="O515" i="7"/>
  <c r="O514" i="7"/>
  <c r="O513" i="7"/>
  <c r="O512" i="7"/>
  <c r="O511" i="7"/>
  <c r="O510" i="7"/>
  <c r="O509" i="7"/>
  <c r="O508" i="7"/>
  <c r="O507" i="7"/>
  <c r="O506" i="7"/>
  <c r="O505" i="7"/>
  <c r="O504" i="7"/>
  <c r="O503" i="7"/>
  <c r="O502" i="7"/>
  <c r="O501" i="7"/>
  <c r="O500" i="7"/>
  <c r="O499" i="7"/>
  <c r="O498" i="7"/>
  <c r="O497" i="7"/>
  <c r="O496" i="7"/>
  <c r="O495" i="7"/>
  <c r="O494" i="7"/>
  <c r="O493" i="7"/>
  <c r="O492" i="7"/>
  <c r="O491" i="7"/>
  <c r="O490" i="7"/>
  <c r="O489" i="7"/>
  <c r="O488" i="7"/>
  <c r="O487" i="7"/>
  <c r="O486" i="7"/>
  <c r="O485" i="7"/>
  <c r="O484" i="7"/>
  <c r="O483" i="7"/>
  <c r="O482" i="7"/>
  <c r="O481" i="7"/>
  <c r="O480" i="7"/>
  <c r="O479" i="7"/>
  <c r="O478" i="7"/>
  <c r="O477" i="7"/>
  <c r="O476" i="7"/>
  <c r="O475" i="7"/>
  <c r="O474" i="7"/>
  <c r="O473" i="7"/>
  <c r="O472" i="7"/>
  <c r="O471" i="7"/>
  <c r="O470" i="7"/>
  <c r="O469" i="7"/>
  <c r="O468" i="7"/>
  <c r="O467" i="7"/>
  <c r="O466" i="7"/>
  <c r="O465" i="7"/>
  <c r="O464" i="7"/>
  <c r="O463" i="7"/>
  <c r="O462" i="7"/>
  <c r="O461" i="7"/>
  <c r="O460" i="7"/>
  <c r="O459" i="7"/>
  <c r="O458" i="7"/>
  <c r="O457" i="7"/>
  <c r="O456" i="7"/>
  <c r="O455" i="7"/>
  <c r="O454" i="7"/>
  <c r="O453" i="7"/>
  <c r="O452" i="7"/>
  <c r="O451" i="7"/>
  <c r="O450" i="7"/>
  <c r="O449" i="7"/>
  <c r="O448" i="7"/>
  <c r="O447" i="7"/>
  <c r="O446" i="7"/>
  <c r="O445" i="7"/>
  <c r="O444" i="7"/>
  <c r="O443" i="7"/>
  <c r="O442" i="7"/>
  <c r="O441" i="7"/>
  <c r="O440" i="7"/>
  <c r="O439" i="7"/>
  <c r="O438" i="7"/>
  <c r="O437" i="7"/>
  <c r="O436" i="7"/>
  <c r="O435" i="7"/>
  <c r="O434" i="7"/>
  <c r="O433" i="7"/>
  <c r="O432" i="7"/>
  <c r="O431" i="7"/>
  <c r="O430" i="7"/>
  <c r="O429" i="7"/>
  <c r="O428" i="7"/>
  <c r="O427" i="7"/>
  <c r="O426" i="7"/>
  <c r="O425" i="7"/>
  <c r="O424" i="7"/>
  <c r="O423" i="7"/>
  <c r="O422" i="7"/>
  <c r="O421" i="7"/>
  <c r="O420" i="7"/>
  <c r="O419" i="7"/>
  <c r="O418" i="7"/>
  <c r="O417" i="7"/>
  <c r="O416" i="7"/>
  <c r="O415" i="7"/>
  <c r="O414" i="7"/>
  <c r="O413" i="7"/>
  <c r="O412" i="7"/>
  <c r="O411" i="7"/>
  <c r="O410" i="7"/>
  <c r="O409" i="7"/>
  <c r="O408" i="7"/>
  <c r="O407" i="7"/>
  <c r="O406" i="7"/>
  <c r="O405" i="7"/>
  <c r="O404" i="7"/>
  <c r="O403" i="7"/>
  <c r="O402" i="7"/>
  <c r="O401" i="7"/>
  <c r="O400" i="7"/>
  <c r="O399" i="7"/>
  <c r="O398" i="7"/>
  <c r="O397" i="7"/>
  <c r="O396" i="7"/>
  <c r="O395" i="7"/>
  <c r="O394" i="7"/>
  <c r="O393" i="7"/>
  <c r="O392" i="7"/>
  <c r="O391" i="7"/>
  <c r="O390" i="7"/>
  <c r="O389" i="7"/>
  <c r="O388" i="7"/>
  <c r="O387" i="7"/>
  <c r="O386" i="7"/>
  <c r="O385" i="7"/>
  <c r="O384" i="7"/>
  <c r="O383" i="7"/>
  <c r="O382" i="7"/>
  <c r="O381" i="7"/>
  <c r="O380" i="7"/>
  <c r="O379" i="7"/>
  <c r="O378" i="7"/>
  <c r="O377" i="7"/>
  <c r="O376" i="7"/>
  <c r="O375" i="7"/>
  <c r="O374" i="7"/>
  <c r="O373" i="7"/>
  <c r="O372" i="7"/>
  <c r="O371" i="7"/>
  <c r="O370" i="7"/>
  <c r="O369" i="7"/>
  <c r="O368" i="7"/>
  <c r="O367" i="7"/>
  <c r="O366" i="7"/>
  <c r="O365" i="7"/>
  <c r="O364" i="7"/>
  <c r="O363" i="7"/>
  <c r="O362" i="7"/>
  <c r="O361" i="7"/>
  <c r="O360" i="7"/>
  <c r="O359" i="7"/>
  <c r="O358" i="7"/>
  <c r="O357" i="7"/>
  <c r="O356" i="7"/>
  <c r="O355" i="7"/>
  <c r="O354" i="7"/>
  <c r="O353" i="7"/>
  <c r="O352" i="7"/>
  <c r="O351" i="7"/>
  <c r="O350" i="7"/>
  <c r="O349" i="7"/>
  <c r="O348" i="7"/>
  <c r="O347" i="7"/>
  <c r="O346" i="7"/>
  <c r="O345" i="7"/>
  <c r="O344" i="7"/>
  <c r="O343" i="7"/>
  <c r="O342" i="7"/>
  <c r="O341" i="7"/>
  <c r="O340" i="7"/>
  <c r="O339" i="7"/>
  <c r="O338" i="7"/>
  <c r="O337" i="7"/>
  <c r="O336" i="7"/>
  <c r="O335" i="7"/>
  <c r="O334" i="7"/>
  <c r="O333" i="7"/>
  <c r="O332" i="7"/>
  <c r="O331" i="7"/>
  <c r="O330" i="7"/>
  <c r="O329" i="7"/>
  <c r="O328" i="7"/>
  <c r="O327" i="7"/>
  <c r="O326" i="7"/>
  <c r="O325" i="7"/>
  <c r="O324" i="7"/>
  <c r="O323" i="7"/>
  <c r="O322" i="7"/>
  <c r="O321" i="7"/>
  <c r="O320" i="7"/>
  <c r="O319" i="7"/>
  <c r="O318" i="7"/>
  <c r="O317" i="7"/>
  <c r="O316" i="7"/>
  <c r="O315" i="7"/>
  <c r="O314" i="7"/>
  <c r="O313" i="7"/>
  <c r="O312" i="7"/>
  <c r="O311" i="7"/>
  <c r="O310" i="7"/>
  <c r="O309" i="7"/>
  <c r="O308" i="7"/>
  <c r="O307" i="7"/>
  <c r="O306" i="7"/>
  <c r="O305" i="7"/>
  <c r="O304" i="7"/>
  <c r="O303" i="7"/>
  <c r="O302" i="7"/>
  <c r="O301" i="7"/>
  <c r="O300" i="7"/>
  <c r="O299" i="7"/>
  <c r="O298" i="7"/>
  <c r="O297" i="7"/>
  <c r="O296" i="7"/>
  <c r="O295" i="7"/>
  <c r="O294" i="7"/>
  <c r="O293" i="7"/>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O2" i="7"/>
  <c r="D2" i="7"/>
  <c r="C2" i="7" s="1"/>
  <c r="J633" i="7"/>
  <c r="E633" i="7"/>
  <c r="B633" i="7"/>
  <c r="J632" i="7"/>
  <c r="E632" i="7"/>
  <c r="B632" i="7"/>
  <c r="J631" i="7"/>
  <c r="E631" i="7"/>
  <c r="B631" i="7"/>
  <c r="J630" i="7"/>
  <c r="E630" i="7"/>
  <c r="B630" i="7"/>
  <c r="J629" i="7"/>
  <c r="E629" i="7"/>
  <c r="B629" i="7"/>
  <c r="J628" i="7"/>
  <c r="E628" i="7"/>
  <c r="B628" i="7"/>
  <c r="J627" i="7"/>
  <c r="E627" i="7"/>
  <c r="B627" i="7"/>
  <c r="J626" i="7"/>
  <c r="E626" i="7"/>
  <c r="B626" i="7"/>
  <c r="J625" i="7"/>
  <c r="E625" i="7"/>
  <c r="B625" i="7"/>
  <c r="J624" i="7"/>
  <c r="E624" i="7"/>
  <c r="B624" i="7"/>
  <c r="J623" i="7"/>
  <c r="E623" i="7"/>
  <c r="B623" i="7"/>
  <c r="J622" i="7"/>
  <c r="E622" i="7"/>
  <c r="B622" i="7"/>
  <c r="J621" i="7"/>
  <c r="E621" i="7"/>
  <c r="B621" i="7"/>
  <c r="J620" i="7"/>
  <c r="E620" i="7"/>
  <c r="B620" i="7"/>
  <c r="J619" i="7"/>
  <c r="E619" i="7"/>
  <c r="B619" i="7"/>
  <c r="J618" i="7"/>
  <c r="E618" i="7"/>
  <c r="B618" i="7"/>
  <c r="J617" i="7"/>
  <c r="E617" i="7"/>
  <c r="B617" i="7"/>
  <c r="J616" i="7"/>
  <c r="E616" i="7"/>
  <c r="B616" i="7"/>
  <c r="J615" i="7"/>
  <c r="E615" i="7"/>
  <c r="B615" i="7"/>
  <c r="J614" i="7"/>
  <c r="E614" i="7"/>
  <c r="B614" i="7"/>
  <c r="J613" i="7"/>
  <c r="E613" i="7"/>
  <c r="B613" i="7"/>
  <c r="J612" i="7"/>
  <c r="E612" i="7"/>
  <c r="B612" i="7"/>
  <c r="J611" i="7"/>
  <c r="E611" i="7"/>
  <c r="B611" i="7"/>
  <c r="J610" i="7"/>
  <c r="E610" i="7"/>
  <c r="B610" i="7"/>
  <c r="J609" i="7"/>
  <c r="E609" i="7"/>
  <c r="B609" i="7"/>
  <c r="J608" i="7"/>
  <c r="E608" i="7"/>
  <c r="B608" i="7"/>
  <c r="J607" i="7"/>
  <c r="E607" i="7"/>
  <c r="B607" i="7"/>
  <c r="J606" i="7"/>
  <c r="E606" i="7"/>
  <c r="B606" i="7"/>
  <c r="J605" i="7"/>
  <c r="E605" i="7"/>
  <c r="B605" i="7"/>
  <c r="J604" i="7"/>
  <c r="E604" i="7"/>
  <c r="B604" i="7"/>
  <c r="J603" i="7"/>
  <c r="E603" i="7"/>
  <c r="B603" i="7"/>
  <c r="J602" i="7"/>
  <c r="E602" i="7"/>
  <c r="B602" i="7"/>
  <c r="J601" i="7"/>
  <c r="E601" i="7"/>
  <c r="B601" i="7"/>
  <c r="J600" i="7"/>
  <c r="E600" i="7"/>
  <c r="B600" i="7"/>
  <c r="J599" i="7"/>
  <c r="E599" i="7"/>
  <c r="B599" i="7"/>
  <c r="J598" i="7"/>
  <c r="E598" i="7"/>
  <c r="B598" i="7"/>
  <c r="J597" i="7"/>
  <c r="E597" i="7"/>
  <c r="B597" i="7"/>
  <c r="J596" i="7"/>
  <c r="E596" i="7"/>
  <c r="B596" i="7"/>
  <c r="J595" i="7"/>
  <c r="E595" i="7"/>
  <c r="B595" i="7"/>
  <c r="J594" i="7"/>
  <c r="E594" i="7"/>
  <c r="B594" i="7"/>
  <c r="J593" i="7"/>
  <c r="E593" i="7"/>
  <c r="B593" i="7"/>
  <c r="J592" i="7"/>
  <c r="E592" i="7"/>
  <c r="B592" i="7"/>
  <c r="J591" i="7"/>
  <c r="E591" i="7"/>
  <c r="B591" i="7"/>
  <c r="J590" i="7"/>
  <c r="E590" i="7"/>
  <c r="B590" i="7"/>
  <c r="J589" i="7"/>
  <c r="E589" i="7"/>
  <c r="B589" i="7"/>
  <c r="J588" i="7"/>
  <c r="E588" i="7"/>
  <c r="B588" i="7"/>
  <c r="J587" i="7"/>
  <c r="E587" i="7"/>
  <c r="B587" i="7"/>
  <c r="J586" i="7"/>
  <c r="E586" i="7"/>
  <c r="B586" i="7"/>
  <c r="J585" i="7"/>
  <c r="E585" i="7"/>
  <c r="B585" i="7"/>
  <c r="J584" i="7"/>
  <c r="E584" i="7"/>
  <c r="B584" i="7"/>
  <c r="J583" i="7"/>
  <c r="E583" i="7"/>
  <c r="B583" i="7"/>
  <c r="J582" i="7"/>
  <c r="E582" i="7"/>
  <c r="B582" i="7"/>
  <c r="J581" i="7"/>
  <c r="E581" i="7"/>
  <c r="B581" i="7"/>
  <c r="J580" i="7"/>
  <c r="E580" i="7"/>
  <c r="B580" i="7"/>
  <c r="J579" i="7"/>
  <c r="E579" i="7"/>
  <c r="B579" i="7"/>
  <c r="J578" i="7"/>
  <c r="E578" i="7"/>
  <c r="B578" i="7"/>
  <c r="J577" i="7"/>
  <c r="E577" i="7"/>
  <c r="B577" i="7"/>
  <c r="J576" i="7"/>
  <c r="E576" i="7"/>
  <c r="B576" i="7"/>
  <c r="J575" i="7"/>
  <c r="E575" i="7"/>
  <c r="B575" i="7"/>
  <c r="J574" i="7"/>
  <c r="E574" i="7"/>
  <c r="B574" i="7"/>
  <c r="J573" i="7"/>
  <c r="E573" i="7"/>
  <c r="B573" i="7"/>
  <c r="J572" i="7"/>
  <c r="E572" i="7"/>
  <c r="B572" i="7"/>
  <c r="J571" i="7"/>
  <c r="E571" i="7"/>
  <c r="B571" i="7"/>
  <c r="J570" i="7"/>
  <c r="E570" i="7"/>
  <c r="B570" i="7"/>
  <c r="J569" i="7"/>
  <c r="E569" i="7"/>
  <c r="B569" i="7"/>
  <c r="J568" i="7"/>
  <c r="E568" i="7"/>
  <c r="B568" i="7"/>
  <c r="J567" i="7"/>
  <c r="E567" i="7"/>
  <c r="B567" i="7"/>
  <c r="J566" i="7"/>
  <c r="E566" i="7"/>
  <c r="B566" i="7"/>
  <c r="J565" i="7"/>
  <c r="E565" i="7"/>
  <c r="B565" i="7"/>
  <c r="J564" i="7"/>
  <c r="E564" i="7"/>
  <c r="B564" i="7"/>
  <c r="J563" i="7"/>
  <c r="E563" i="7"/>
  <c r="B563" i="7"/>
  <c r="J562" i="7"/>
  <c r="E562" i="7"/>
  <c r="B562" i="7"/>
  <c r="J561" i="7"/>
  <c r="E561" i="7"/>
  <c r="B561" i="7"/>
  <c r="J560" i="7"/>
  <c r="E560" i="7"/>
  <c r="B560" i="7"/>
  <c r="J559" i="7"/>
  <c r="E559" i="7"/>
  <c r="B559" i="7"/>
  <c r="J558" i="7"/>
  <c r="E558" i="7"/>
  <c r="B558" i="7"/>
  <c r="J557" i="7"/>
  <c r="E557" i="7"/>
  <c r="B557" i="7"/>
  <c r="J556" i="7"/>
  <c r="E556" i="7"/>
  <c r="B556" i="7"/>
  <c r="J555" i="7"/>
  <c r="E555" i="7"/>
  <c r="B555" i="7"/>
  <c r="J554" i="7"/>
  <c r="E554" i="7"/>
  <c r="B554" i="7"/>
  <c r="J553" i="7"/>
  <c r="E553" i="7"/>
  <c r="B553" i="7"/>
  <c r="J552" i="7"/>
  <c r="E552" i="7"/>
  <c r="B552" i="7"/>
  <c r="J551" i="7"/>
  <c r="E551" i="7"/>
  <c r="B551" i="7"/>
  <c r="J550" i="7"/>
  <c r="E550" i="7"/>
  <c r="B550" i="7"/>
  <c r="J549" i="7"/>
  <c r="E549" i="7"/>
  <c r="B549" i="7"/>
  <c r="J548" i="7"/>
  <c r="E548" i="7"/>
  <c r="B548" i="7"/>
  <c r="J547" i="7"/>
  <c r="E547" i="7"/>
  <c r="B547" i="7"/>
  <c r="J546" i="7"/>
  <c r="E546" i="7"/>
  <c r="B546" i="7"/>
  <c r="J545" i="7"/>
  <c r="E545" i="7"/>
  <c r="B545" i="7"/>
  <c r="J544" i="7"/>
  <c r="E544" i="7"/>
  <c r="B544" i="7"/>
  <c r="J543" i="7"/>
  <c r="E543" i="7"/>
  <c r="B543" i="7"/>
  <c r="J542" i="7"/>
  <c r="E542" i="7"/>
  <c r="B542" i="7"/>
  <c r="J541" i="7"/>
  <c r="E541" i="7"/>
  <c r="B541" i="7"/>
  <c r="J540" i="7"/>
  <c r="E540" i="7"/>
  <c r="B540" i="7"/>
  <c r="J539" i="7"/>
  <c r="E539" i="7"/>
  <c r="B539" i="7"/>
  <c r="J538" i="7"/>
  <c r="E538" i="7"/>
  <c r="B538" i="7"/>
  <c r="J537" i="7"/>
  <c r="E537" i="7"/>
  <c r="B537" i="7"/>
  <c r="J536" i="7"/>
  <c r="E536" i="7"/>
  <c r="B536" i="7"/>
  <c r="J535" i="7"/>
  <c r="E535" i="7"/>
  <c r="B535" i="7"/>
  <c r="J534" i="7"/>
  <c r="E534" i="7"/>
  <c r="B534" i="7"/>
  <c r="J533" i="7"/>
  <c r="E533" i="7"/>
  <c r="B533" i="7"/>
  <c r="J532" i="7"/>
  <c r="E532" i="7"/>
  <c r="B532" i="7"/>
  <c r="J531" i="7"/>
  <c r="E531" i="7"/>
  <c r="B531" i="7"/>
  <c r="J530" i="7"/>
  <c r="E530" i="7"/>
  <c r="B530" i="7"/>
  <c r="J529" i="7"/>
  <c r="E529" i="7"/>
  <c r="B529" i="7"/>
  <c r="J528" i="7"/>
  <c r="E528" i="7"/>
  <c r="B528" i="7"/>
  <c r="J527" i="7"/>
  <c r="E527" i="7"/>
  <c r="B527" i="7"/>
  <c r="J526" i="7"/>
  <c r="E526" i="7"/>
  <c r="B526" i="7"/>
  <c r="J525" i="7"/>
  <c r="E525" i="7"/>
  <c r="B525" i="7"/>
  <c r="J524" i="7"/>
  <c r="E524" i="7"/>
  <c r="B524" i="7"/>
  <c r="J523" i="7"/>
  <c r="E523" i="7"/>
  <c r="B523" i="7"/>
  <c r="J522" i="7"/>
  <c r="E522" i="7"/>
  <c r="B522" i="7"/>
  <c r="J521" i="7"/>
  <c r="E521" i="7"/>
  <c r="B521" i="7"/>
  <c r="J520" i="7"/>
  <c r="E520" i="7"/>
  <c r="B520" i="7"/>
  <c r="J519" i="7"/>
  <c r="E519" i="7"/>
  <c r="B519" i="7"/>
  <c r="J518" i="7"/>
  <c r="E518" i="7"/>
  <c r="B518" i="7"/>
  <c r="J517" i="7"/>
  <c r="E517" i="7"/>
  <c r="B517" i="7"/>
  <c r="J516" i="7"/>
  <c r="E516" i="7"/>
  <c r="B516" i="7"/>
  <c r="J515" i="7"/>
  <c r="E515" i="7"/>
  <c r="B515" i="7"/>
  <c r="J514" i="7"/>
  <c r="E514" i="7"/>
  <c r="B514" i="7"/>
  <c r="J513" i="7"/>
  <c r="E513" i="7"/>
  <c r="B513" i="7"/>
  <c r="J512" i="7"/>
  <c r="E512" i="7"/>
  <c r="B512" i="7"/>
  <c r="J511" i="7"/>
  <c r="E511" i="7"/>
  <c r="B511" i="7"/>
  <c r="J510" i="7"/>
  <c r="E510" i="7"/>
  <c r="B510" i="7"/>
  <c r="J509" i="7"/>
  <c r="E509" i="7"/>
  <c r="B509" i="7"/>
  <c r="J508" i="7"/>
  <c r="E508" i="7"/>
  <c r="B508" i="7"/>
  <c r="J507" i="7"/>
  <c r="E507" i="7"/>
  <c r="B507" i="7"/>
  <c r="J506" i="7"/>
  <c r="E506" i="7"/>
  <c r="B506" i="7"/>
  <c r="J505" i="7"/>
  <c r="E505" i="7"/>
  <c r="B505" i="7"/>
  <c r="J504" i="7"/>
  <c r="E504" i="7"/>
  <c r="B504" i="7"/>
  <c r="J503" i="7"/>
  <c r="E503" i="7"/>
  <c r="B503" i="7"/>
  <c r="J502" i="7"/>
  <c r="E502" i="7"/>
  <c r="B502" i="7"/>
  <c r="J501" i="7"/>
  <c r="E501" i="7"/>
  <c r="B501" i="7"/>
  <c r="J500" i="7"/>
  <c r="E500" i="7"/>
  <c r="B500" i="7"/>
  <c r="J499" i="7"/>
  <c r="E499" i="7"/>
  <c r="B499" i="7"/>
  <c r="J498" i="7"/>
  <c r="E498" i="7"/>
  <c r="B498" i="7"/>
  <c r="J497" i="7"/>
  <c r="E497" i="7"/>
  <c r="B497" i="7"/>
  <c r="J496" i="7"/>
  <c r="E496" i="7"/>
  <c r="B496" i="7"/>
  <c r="J495" i="7"/>
  <c r="E495" i="7"/>
  <c r="B495" i="7"/>
  <c r="J494" i="7"/>
  <c r="E494" i="7"/>
  <c r="B494" i="7"/>
  <c r="J493" i="7"/>
  <c r="E493" i="7"/>
  <c r="B493" i="7"/>
  <c r="J492" i="7"/>
  <c r="E492" i="7"/>
  <c r="B492" i="7"/>
  <c r="J491" i="7"/>
  <c r="E491" i="7"/>
  <c r="B491" i="7"/>
  <c r="J490" i="7"/>
  <c r="E490" i="7"/>
  <c r="B490" i="7"/>
  <c r="J489" i="7"/>
  <c r="E489" i="7"/>
  <c r="B489" i="7"/>
  <c r="J488" i="7"/>
  <c r="E488" i="7"/>
  <c r="B488" i="7"/>
  <c r="J487" i="7"/>
  <c r="E487" i="7"/>
  <c r="B487" i="7"/>
  <c r="J486" i="7"/>
  <c r="E486" i="7"/>
  <c r="B486" i="7"/>
  <c r="J485" i="7"/>
  <c r="E485" i="7"/>
  <c r="B485" i="7"/>
  <c r="J484" i="7"/>
  <c r="E484" i="7"/>
  <c r="B484" i="7"/>
  <c r="J483" i="7"/>
  <c r="E483" i="7"/>
  <c r="B483" i="7"/>
  <c r="J482" i="7"/>
  <c r="E482" i="7"/>
  <c r="B482" i="7"/>
  <c r="J481" i="7"/>
  <c r="E481" i="7"/>
  <c r="B481" i="7"/>
  <c r="J480" i="7"/>
  <c r="E480" i="7"/>
  <c r="B480" i="7"/>
  <c r="J479" i="7"/>
  <c r="E479" i="7"/>
  <c r="B479" i="7"/>
  <c r="J478" i="7"/>
  <c r="E478" i="7"/>
  <c r="B478" i="7"/>
  <c r="J477" i="7"/>
  <c r="E477" i="7"/>
  <c r="B477" i="7"/>
  <c r="J476" i="7"/>
  <c r="E476" i="7"/>
  <c r="B476" i="7"/>
  <c r="J475" i="7"/>
  <c r="E475" i="7"/>
  <c r="B475" i="7"/>
  <c r="J474" i="7"/>
  <c r="E474" i="7"/>
  <c r="B474" i="7"/>
  <c r="J473" i="7"/>
  <c r="E473" i="7"/>
  <c r="B473" i="7"/>
  <c r="J472" i="7"/>
  <c r="E472" i="7"/>
  <c r="B472" i="7"/>
  <c r="J471" i="7"/>
  <c r="E471" i="7"/>
  <c r="B471" i="7"/>
  <c r="J470" i="7"/>
  <c r="E470" i="7"/>
  <c r="B470" i="7"/>
  <c r="J469" i="7"/>
  <c r="E469" i="7"/>
  <c r="B469" i="7"/>
  <c r="J468" i="7"/>
  <c r="E468" i="7"/>
  <c r="B468" i="7"/>
  <c r="J467" i="7"/>
  <c r="E467" i="7"/>
  <c r="B467" i="7"/>
  <c r="J466" i="7"/>
  <c r="E466" i="7"/>
  <c r="B466" i="7"/>
  <c r="J465" i="7"/>
  <c r="E465" i="7"/>
  <c r="B465" i="7"/>
  <c r="J464" i="7"/>
  <c r="E464" i="7"/>
  <c r="B464" i="7"/>
  <c r="J463" i="7"/>
  <c r="E463" i="7"/>
  <c r="B463" i="7"/>
  <c r="J462" i="7"/>
  <c r="E462" i="7"/>
  <c r="B462" i="7"/>
  <c r="J461" i="7"/>
  <c r="E461" i="7"/>
  <c r="B461" i="7"/>
  <c r="J460" i="7"/>
  <c r="E460" i="7"/>
  <c r="B460" i="7"/>
  <c r="J459" i="7"/>
  <c r="E459" i="7"/>
  <c r="B459" i="7"/>
  <c r="J458" i="7"/>
  <c r="E458" i="7"/>
  <c r="B458" i="7"/>
  <c r="J457" i="7"/>
  <c r="E457" i="7"/>
  <c r="B457" i="7"/>
  <c r="J456" i="7"/>
  <c r="E456" i="7"/>
  <c r="B456" i="7"/>
  <c r="J455" i="7"/>
  <c r="E455" i="7"/>
  <c r="B455" i="7"/>
  <c r="J454" i="7"/>
  <c r="E454" i="7"/>
  <c r="B454" i="7"/>
  <c r="J453" i="7"/>
  <c r="E453" i="7"/>
  <c r="B453" i="7"/>
  <c r="J452" i="7"/>
  <c r="E452" i="7"/>
  <c r="B452" i="7"/>
  <c r="J451" i="7"/>
  <c r="E451" i="7"/>
  <c r="B451" i="7"/>
  <c r="J450" i="7"/>
  <c r="E450" i="7"/>
  <c r="B450" i="7"/>
  <c r="J449" i="7"/>
  <c r="E449" i="7"/>
  <c r="B449" i="7"/>
  <c r="J448" i="7"/>
  <c r="E448" i="7"/>
  <c r="B448" i="7"/>
  <c r="J447" i="7"/>
  <c r="E447" i="7"/>
  <c r="B447" i="7"/>
  <c r="J446" i="7"/>
  <c r="E446" i="7"/>
  <c r="B446" i="7"/>
  <c r="J445" i="7"/>
  <c r="E445" i="7"/>
  <c r="B445" i="7"/>
  <c r="J444" i="7"/>
  <c r="E444" i="7"/>
  <c r="B444" i="7"/>
  <c r="J443" i="7"/>
  <c r="E443" i="7"/>
  <c r="B443" i="7"/>
  <c r="J442" i="7"/>
  <c r="E442" i="7"/>
  <c r="B442" i="7"/>
  <c r="J441" i="7"/>
  <c r="E441" i="7"/>
  <c r="B441" i="7"/>
  <c r="J440" i="7"/>
  <c r="E440" i="7"/>
  <c r="B440" i="7"/>
  <c r="J439" i="7"/>
  <c r="E439" i="7"/>
  <c r="B439" i="7"/>
  <c r="J438" i="7"/>
  <c r="E438" i="7"/>
  <c r="B438" i="7"/>
  <c r="J437" i="7"/>
  <c r="E437" i="7"/>
  <c r="B437" i="7"/>
  <c r="J436" i="7"/>
  <c r="E436" i="7"/>
  <c r="B436" i="7"/>
  <c r="J435" i="7"/>
  <c r="E435" i="7"/>
  <c r="B435" i="7"/>
  <c r="J434" i="7"/>
  <c r="E434" i="7"/>
  <c r="B434" i="7"/>
  <c r="J433" i="7"/>
  <c r="E433" i="7"/>
  <c r="B433" i="7"/>
  <c r="J432" i="7"/>
  <c r="E432" i="7"/>
  <c r="B432" i="7"/>
  <c r="J431" i="7"/>
  <c r="E431" i="7"/>
  <c r="B431" i="7"/>
  <c r="J430" i="7"/>
  <c r="E430" i="7"/>
  <c r="B430" i="7"/>
  <c r="J429" i="7"/>
  <c r="E429" i="7"/>
  <c r="B429" i="7"/>
  <c r="J428" i="7"/>
  <c r="E428" i="7"/>
  <c r="B428" i="7"/>
  <c r="J427" i="7"/>
  <c r="E427" i="7"/>
  <c r="B427" i="7"/>
  <c r="J426" i="7"/>
  <c r="E426" i="7"/>
  <c r="B426" i="7"/>
  <c r="J425" i="7"/>
  <c r="E425" i="7"/>
  <c r="B425" i="7"/>
  <c r="J424" i="7"/>
  <c r="E424" i="7"/>
  <c r="B424" i="7"/>
  <c r="J423" i="7"/>
  <c r="E423" i="7"/>
  <c r="B423" i="7"/>
  <c r="J422" i="7"/>
  <c r="E422" i="7"/>
  <c r="B422" i="7"/>
  <c r="J421" i="7"/>
  <c r="E421" i="7"/>
  <c r="B421" i="7"/>
  <c r="J420" i="7"/>
  <c r="E420" i="7"/>
  <c r="B420" i="7"/>
  <c r="J419" i="7"/>
  <c r="E419" i="7"/>
  <c r="B419" i="7"/>
  <c r="J418" i="7"/>
  <c r="E418" i="7"/>
  <c r="B418" i="7"/>
  <c r="J417" i="7"/>
  <c r="E417" i="7"/>
  <c r="B417" i="7"/>
  <c r="J416" i="7"/>
  <c r="E416" i="7"/>
  <c r="B416" i="7"/>
  <c r="J415" i="7"/>
  <c r="E415" i="7"/>
  <c r="B415" i="7"/>
  <c r="J414" i="7"/>
  <c r="E414" i="7"/>
  <c r="B414" i="7"/>
  <c r="J413" i="7"/>
  <c r="E413" i="7"/>
  <c r="B413" i="7"/>
  <c r="J412" i="7"/>
  <c r="E412" i="7"/>
  <c r="B412" i="7"/>
  <c r="J411" i="7"/>
  <c r="E411" i="7"/>
  <c r="B411" i="7"/>
  <c r="J410" i="7"/>
  <c r="E410" i="7"/>
  <c r="B410" i="7"/>
  <c r="J409" i="7"/>
  <c r="E409" i="7"/>
  <c r="B409" i="7"/>
  <c r="J408" i="7"/>
  <c r="E408" i="7"/>
  <c r="B408" i="7"/>
  <c r="J407" i="7"/>
  <c r="E407" i="7"/>
  <c r="B407" i="7"/>
  <c r="J406" i="7"/>
  <c r="E406" i="7"/>
  <c r="B406" i="7"/>
  <c r="J405" i="7"/>
  <c r="E405" i="7"/>
  <c r="B405" i="7"/>
  <c r="J404" i="7"/>
  <c r="E404" i="7"/>
  <c r="B404" i="7"/>
  <c r="J403" i="7"/>
  <c r="E403" i="7"/>
  <c r="B403" i="7"/>
  <c r="J402" i="7"/>
  <c r="E402" i="7"/>
  <c r="B402" i="7"/>
  <c r="J401" i="7"/>
  <c r="E401" i="7"/>
  <c r="B401" i="7"/>
  <c r="J400" i="7"/>
  <c r="E400" i="7"/>
  <c r="B400" i="7"/>
  <c r="J399" i="7"/>
  <c r="E399" i="7"/>
  <c r="B399" i="7"/>
  <c r="J398" i="7"/>
  <c r="E398" i="7"/>
  <c r="B398" i="7"/>
  <c r="J397" i="7"/>
  <c r="E397" i="7"/>
  <c r="B397" i="7"/>
  <c r="J396" i="7"/>
  <c r="E396" i="7"/>
  <c r="B396" i="7"/>
  <c r="J395" i="7"/>
  <c r="E395" i="7"/>
  <c r="B395" i="7"/>
  <c r="J394" i="7"/>
  <c r="E394" i="7"/>
  <c r="B394" i="7"/>
  <c r="J393" i="7"/>
  <c r="E393" i="7"/>
  <c r="B393" i="7"/>
  <c r="J392" i="7"/>
  <c r="E392" i="7"/>
  <c r="B392" i="7"/>
  <c r="J391" i="7"/>
  <c r="E391" i="7"/>
  <c r="B391" i="7"/>
  <c r="J390" i="7"/>
  <c r="E390" i="7"/>
  <c r="B390" i="7"/>
  <c r="J389" i="7"/>
  <c r="E389" i="7"/>
  <c r="B389" i="7"/>
  <c r="J388" i="7"/>
  <c r="E388" i="7"/>
  <c r="B388" i="7"/>
  <c r="J387" i="7"/>
  <c r="E387" i="7"/>
  <c r="B387" i="7"/>
  <c r="J386" i="7"/>
  <c r="E386" i="7"/>
  <c r="B386" i="7"/>
  <c r="J385" i="7"/>
  <c r="E385" i="7"/>
  <c r="B385" i="7"/>
  <c r="J384" i="7"/>
  <c r="E384" i="7"/>
  <c r="B384" i="7"/>
  <c r="J383" i="7"/>
  <c r="E383" i="7"/>
  <c r="B383" i="7"/>
  <c r="J382" i="7"/>
  <c r="E382" i="7"/>
  <c r="B382" i="7"/>
  <c r="J381" i="7"/>
  <c r="E381" i="7"/>
  <c r="B381" i="7"/>
  <c r="J380" i="7"/>
  <c r="E380" i="7"/>
  <c r="B380" i="7"/>
  <c r="J379" i="7"/>
  <c r="E379" i="7"/>
  <c r="B379" i="7"/>
  <c r="J378" i="7"/>
  <c r="E378" i="7"/>
  <c r="B378" i="7"/>
  <c r="J377" i="7"/>
  <c r="E377" i="7"/>
  <c r="B377" i="7"/>
  <c r="J376" i="7"/>
  <c r="E376" i="7"/>
  <c r="B376" i="7"/>
  <c r="J375" i="7"/>
  <c r="E375" i="7"/>
  <c r="B375" i="7"/>
  <c r="J374" i="7"/>
  <c r="E374" i="7"/>
  <c r="B374" i="7"/>
  <c r="J373" i="7"/>
  <c r="E373" i="7"/>
  <c r="B373" i="7"/>
  <c r="J372" i="7"/>
  <c r="E372" i="7"/>
  <c r="B372" i="7"/>
  <c r="J371" i="7"/>
  <c r="E371" i="7"/>
  <c r="B371" i="7"/>
  <c r="J370" i="7"/>
  <c r="E370" i="7"/>
  <c r="B370" i="7"/>
  <c r="J369" i="7"/>
  <c r="E369" i="7"/>
  <c r="B369" i="7"/>
  <c r="J368" i="7"/>
  <c r="E368" i="7"/>
  <c r="B368" i="7"/>
  <c r="J367" i="7"/>
  <c r="E367" i="7"/>
  <c r="B367" i="7"/>
  <c r="J366" i="7"/>
  <c r="E366" i="7"/>
  <c r="B366" i="7"/>
  <c r="J365" i="7"/>
  <c r="E365" i="7"/>
  <c r="B365" i="7"/>
  <c r="J364" i="7"/>
  <c r="E364" i="7"/>
  <c r="B364" i="7"/>
  <c r="J363" i="7"/>
  <c r="E363" i="7"/>
  <c r="B363" i="7"/>
  <c r="J362" i="7"/>
  <c r="E362" i="7"/>
  <c r="B362" i="7"/>
  <c r="J361" i="7"/>
  <c r="E361" i="7"/>
  <c r="B361" i="7"/>
  <c r="J360" i="7"/>
  <c r="E360" i="7"/>
  <c r="B360" i="7"/>
  <c r="J359" i="7"/>
  <c r="E359" i="7"/>
  <c r="B359" i="7"/>
  <c r="J358" i="7"/>
  <c r="E358" i="7"/>
  <c r="B358" i="7"/>
  <c r="J357" i="7"/>
  <c r="E357" i="7"/>
  <c r="B357" i="7"/>
  <c r="J356" i="7"/>
  <c r="E356" i="7"/>
  <c r="B356" i="7"/>
  <c r="J355" i="7"/>
  <c r="E355" i="7"/>
  <c r="B355" i="7"/>
  <c r="J354" i="7"/>
  <c r="E354" i="7"/>
  <c r="B354" i="7"/>
  <c r="J353" i="7"/>
  <c r="E353" i="7"/>
  <c r="B353" i="7"/>
  <c r="J352" i="7"/>
  <c r="E352" i="7"/>
  <c r="B352" i="7"/>
  <c r="J351" i="7"/>
  <c r="E351" i="7"/>
  <c r="B351" i="7"/>
  <c r="J350" i="7"/>
  <c r="E350" i="7"/>
  <c r="B350" i="7"/>
  <c r="J349" i="7"/>
  <c r="E349" i="7"/>
  <c r="B349" i="7"/>
  <c r="J348" i="7"/>
  <c r="E348" i="7"/>
  <c r="B348" i="7"/>
  <c r="J347" i="7"/>
  <c r="E347" i="7"/>
  <c r="B347" i="7"/>
  <c r="J346" i="7"/>
  <c r="E346" i="7"/>
  <c r="B346" i="7"/>
  <c r="J345" i="7"/>
  <c r="E345" i="7"/>
  <c r="B345" i="7"/>
  <c r="J344" i="7"/>
  <c r="E344" i="7"/>
  <c r="B344" i="7"/>
  <c r="J343" i="7"/>
  <c r="E343" i="7"/>
  <c r="B343" i="7"/>
  <c r="J342" i="7"/>
  <c r="E342" i="7"/>
  <c r="B342" i="7"/>
  <c r="J341" i="7"/>
  <c r="E341" i="7"/>
  <c r="B341" i="7"/>
  <c r="J340" i="7"/>
  <c r="E340" i="7"/>
  <c r="B340" i="7"/>
  <c r="J339" i="7"/>
  <c r="E339" i="7"/>
  <c r="B339" i="7"/>
  <c r="J338" i="7"/>
  <c r="E338" i="7"/>
  <c r="B338" i="7"/>
  <c r="J337" i="7"/>
  <c r="E337" i="7"/>
  <c r="B337" i="7"/>
  <c r="J336" i="7"/>
  <c r="E336" i="7"/>
  <c r="B336" i="7"/>
  <c r="J335" i="7"/>
  <c r="E335" i="7"/>
  <c r="B335" i="7"/>
  <c r="J334" i="7"/>
  <c r="E334" i="7"/>
  <c r="B334" i="7"/>
  <c r="J333" i="7"/>
  <c r="E333" i="7"/>
  <c r="B333" i="7"/>
  <c r="J332" i="7"/>
  <c r="E332" i="7"/>
  <c r="B332" i="7"/>
  <c r="J331" i="7"/>
  <c r="E331" i="7"/>
  <c r="B331" i="7"/>
  <c r="J330" i="7"/>
  <c r="E330" i="7"/>
  <c r="B330" i="7"/>
  <c r="J329" i="7"/>
  <c r="E329" i="7"/>
  <c r="B329" i="7"/>
  <c r="J328" i="7"/>
  <c r="E328" i="7"/>
  <c r="B328" i="7"/>
  <c r="J327" i="7"/>
  <c r="E327" i="7"/>
  <c r="B327" i="7"/>
  <c r="J326" i="7"/>
  <c r="E326" i="7"/>
  <c r="B326" i="7"/>
  <c r="J325" i="7"/>
  <c r="E325" i="7"/>
  <c r="B325" i="7"/>
  <c r="J324" i="7"/>
  <c r="E324" i="7"/>
  <c r="B324" i="7"/>
  <c r="J323" i="7"/>
  <c r="E323" i="7"/>
  <c r="B323" i="7"/>
  <c r="J322" i="7"/>
  <c r="E322" i="7"/>
  <c r="B322" i="7"/>
  <c r="J321" i="7"/>
  <c r="E321" i="7"/>
  <c r="B321" i="7"/>
  <c r="J320" i="7"/>
  <c r="E320" i="7"/>
  <c r="B320" i="7"/>
  <c r="J319" i="7"/>
  <c r="E319" i="7"/>
  <c r="B319" i="7"/>
  <c r="J318" i="7"/>
  <c r="E318" i="7"/>
  <c r="B318" i="7"/>
  <c r="J317" i="7"/>
  <c r="E317" i="7"/>
  <c r="B317" i="7"/>
  <c r="J316" i="7"/>
  <c r="E316" i="7"/>
  <c r="B316" i="7"/>
  <c r="J315" i="7"/>
  <c r="E315" i="7"/>
  <c r="B315" i="7"/>
  <c r="J314" i="7"/>
  <c r="E314" i="7"/>
  <c r="B314" i="7"/>
  <c r="J313" i="7"/>
  <c r="E313" i="7"/>
  <c r="B313" i="7"/>
  <c r="J312" i="7"/>
  <c r="E312" i="7"/>
  <c r="B312" i="7"/>
  <c r="J311" i="7"/>
  <c r="E311" i="7"/>
  <c r="B311" i="7"/>
  <c r="J310" i="7"/>
  <c r="E310" i="7"/>
  <c r="B310" i="7"/>
  <c r="J309" i="7"/>
  <c r="E309" i="7"/>
  <c r="B309" i="7"/>
  <c r="J308" i="7"/>
  <c r="E308" i="7"/>
  <c r="B308" i="7"/>
  <c r="J307" i="7"/>
  <c r="E307" i="7"/>
  <c r="B307" i="7"/>
  <c r="J306" i="7"/>
  <c r="E306" i="7"/>
  <c r="B306" i="7"/>
  <c r="J305" i="7"/>
  <c r="E305" i="7"/>
  <c r="B305" i="7"/>
  <c r="J304" i="7"/>
  <c r="E304" i="7"/>
  <c r="B304" i="7"/>
  <c r="J303" i="7"/>
  <c r="E303" i="7"/>
  <c r="B303" i="7"/>
  <c r="J302" i="7"/>
  <c r="E302" i="7"/>
  <c r="B302" i="7"/>
  <c r="J301" i="7"/>
  <c r="E301" i="7"/>
  <c r="B301" i="7"/>
  <c r="J300" i="7"/>
  <c r="E300" i="7"/>
  <c r="B300" i="7"/>
  <c r="J299" i="7"/>
  <c r="E299" i="7"/>
  <c r="B299" i="7"/>
  <c r="J298" i="7"/>
  <c r="E298" i="7"/>
  <c r="B298" i="7"/>
  <c r="J297" i="7"/>
  <c r="E297" i="7"/>
  <c r="B297" i="7"/>
  <c r="J296" i="7"/>
  <c r="E296" i="7"/>
  <c r="B296" i="7"/>
  <c r="J295" i="7"/>
  <c r="E295" i="7"/>
  <c r="B295" i="7"/>
  <c r="J294" i="7"/>
  <c r="E294" i="7"/>
  <c r="B294" i="7"/>
  <c r="J293" i="7"/>
  <c r="E293" i="7"/>
  <c r="B293" i="7"/>
  <c r="J292" i="7"/>
  <c r="E292" i="7"/>
  <c r="B292" i="7"/>
  <c r="J291" i="7"/>
  <c r="E291" i="7"/>
  <c r="B291" i="7"/>
  <c r="J290" i="7"/>
  <c r="E290" i="7"/>
  <c r="B290" i="7"/>
  <c r="J289" i="7"/>
  <c r="E289" i="7"/>
  <c r="B289" i="7"/>
  <c r="J288" i="7"/>
  <c r="E288" i="7"/>
  <c r="B288" i="7"/>
  <c r="J287" i="7"/>
  <c r="E287" i="7"/>
  <c r="B287" i="7"/>
  <c r="J286" i="7"/>
  <c r="E286" i="7"/>
  <c r="B286" i="7"/>
  <c r="J285" i="7"/>
  <c r="E285" i="7"/>
  <c r="B285" i="7"/>
  <c r="J284" i="7"/>
  <c r="E284" i="7"/>
  <c r="B284" i="7"/>
  <c r="J283" i="7"/>
  <c r="E283" i="7"/>
  <c r="B283" i="7"/>
  <c r="J282" i="7"/>
  <c r="E282" i="7"/>
  <c r="B282" i="7"/>
  <c r="J281" i="7"/>
  <c r="E281" i="7"/>
  <c r="B281" i="7"/>
  <c r="J280" i="7"/>
  <c r="E280" i="7"/>
  <c r="B280" i="7"/>
  <c r="J279" i="7"/>
  <c r="E279" i="7"/>
  <c r="B279" i="7"/>
  <c r="J278" i="7"/>
  <c r="E278" i="7"/>
  <c r="B278" i="7"/>
  <c r="J277" i="7"/>
  <c r="E277" i="7"/>
  <c r="B277" i="7"/>
  <c r="J276" i="7"/>
  <c r="E276" i="7"/>
  <c r="B276" i="7"/>
  <c r="J275" i="7"/>
  <c r="E275" i="7"/>
  <c r="B275" i="7"/>
  <c r="J274" i="7"/>
  <c r="E274" i="7"/>
  <c r="B274" i="7"/>
  <c r="J273" i="7"/>
  <c r="E273" i="7"/>
  <c r="B273" i="7"/>
  <c r="J272" i="7"/>
  <c r="E272" i="7"/>
  <c r="B272" i="7"/>
  <c r="J271" i="7"/>
  <c r="E271" i="7"/>
  <c r="B271" i="7"/>
  <c r="J270" i="7"/>
  <c r="E270" i="7"/>
  <c r="B270" i="7"/>
  <c r="J269" i="7"/>
  <c r="E269" i="7"/>
  <c r="B269" i="7"/>
  <c r="J268" i="7"/>
  <c r="E268" i="7"/>
  <c r="B268" i="7"/>
  <c r="J267" i="7"/>
  <c r="E267" i="7"/>
  <c r="B267" i="7"/>
  <c r="J266" i="7"/>
  <c r="E266" i="7"/>
  <c r="B266" i="7"/>
  <c r="J265" i="7"/>
  <c r="E265" i="7"/>
  <c r="B265" i="7"/>
  <c r="J264" i="7"/>
  <c r="E264" i="7"/>
  <c r="B264" i="7"/>
  <c r="J263" i="7"/>
  <c r="E263" i="7"/>
  <c r="B263" i="7"/>
  <c r="J262" i="7"/>
  <c r="E262" i="7"/>
  <c r="B262" i="7"/>
  <c r="J261" i="7"/>
  <c r="E261" i="7"/>
  <c r="B261" i="7"/>
  <c r="J260" i="7"/>
  <c r="E260" i="7"/>
  <c r="B260" i="7"/>
  <c r="J259" i="7"/>
  <c r="E259" i="7"/>
  <c r="B259" i="7"/>
  <c r="J258" i="7"/>
  <c r="E258" i="7"/>
  <c r="B258" i="7"/>
  <c r="J257" i="7"/>
  <c r="E257" i="7"/>
  <c r="B257" i="7"/>
  <c r="J256" i="7"/>
  <c r="E256" i="7"/>
  <c r="B256" i="7"/>
  <c r="J255" i="7"/>
  <c r="E255" i="7"/>
  <c r="B255" i="7"/>
  <c r="J254" i="7"/>
  <c r="E254" i="7"/>
  <c r="B254" i="7"/>
  <c r="J253" i="7"/>
  <c r="E253" i="7"/>
  <c r="B253" i="7"/>
  <c r="J252" i="7"/>
  <c r="E252" i="7"/>
  <c r="B252" i="7"/>
  <c r="J251" i="7"/>
  <c r="E251" i="7"/>
  <c r="B251" i="7"/>
  <c r="J250" i="7"/>
  <c r="E250" i="7"/>
  <c r="B250" i="7"/>
  <c r="J249" i="7"/>
  <c r="E249" i="7"/>
  <c r="B249" i="7"/>
  <c r="J248" i="7"/>
  <c r="E248" i="7"/>
  <c r="B248" i="7"/>
  <c r="J247" i="7"/>
  <c r="E247" i="7"/>
  <c r="B247" i="7"/>
  <c r="J246" i="7"/>
  <c r="E246" i="7"/>
  <c r="B246" i="7"/>
  <c r="J245" i="7"/>
  <c r="E245" i="7"/>
  <c r="B245" i="7"/>
  <c r="J244" i="7"/>
  <c r="E244" i="7"/>
  <c r="B244" i="7"/>
  <c r="J243" i="7"/>
  <c r="E243" i="7"/>
  <c r="B243" i="7"/>
  <c r="J242" i="7"/>
  <c r="E242" i="7"/>
  <c r="B242" i="7"/>
  <c r="J241" i="7"/>
  <c r="E241" i="7"/>
  <c r="B241" i="7"/>
  <c r="J240" i="7"/>
  <c r="E240" i="7"/>
  <c r="B240" i="7"/>
  <c r="J239" i="7"/>
  <c r="E239" i="7"/>
  <c r="B239" i="7"/>
  <c r="J238" i="7"/>
  <c r="E238" i="7"/>
  <c r="B238" i="7"/>
  <c r="J237" i="7"/>
  <c r="E237" i="7"/>
  <c r="B237" i="7"/>
  <c r="J236" i="7"/>
  <c r="E236" i="7"/>
  <c r="B236" i="7"/>
  <c r="J235" i="7"/>
  <c r="E235" i="7"/>
  <c r="B235" i="7"/>
  <c r="J234" i="7"/>
  <c r="E234" i="7"/>
  <c r="B234" i="7"/>
  <c r="J233" i="7"/>
  <c r="E233" i="7"/>
  <c r="B233" i="7"/>
  <c r="J232" i="7"/>
  <c r="E232" i="7"/>
  <c r="B232" i="7"/>
  <c r="J231" i="7"/>
  <c r="E231" i="7"/>
  <c r="B231" i="7"/>
  <c r="J230" i="7"/>
  <c r="E230" i="7"/>
  <c r="B230" i="7"/>
  <c r="J229" i="7"/>
  <c r="E229" i="7"/>
  <c r="B229" i="7"/>
  <c r="J228" i="7"/>
  <c r="E228" i="7"/>
  <c r="B228" i="7"/>
  <c r="J227" i="7"/>
  <c r="E227" i="7"/>
  <c r="B227" i="7"/>
  <c r="J226" i="7"/>
  <c r="E226" i="7"/>
  <c r="B226" i="7"/>
  <c r="J225" i="7"/>
  <c r="E225" i="7"/>
  <c r="B225" i="7"/>
  <c r="J224" i="7"/>
  <c r="E224" i="7"/>
  <c r="B224" i="7"/>
  <c r="J223" i="7"/>
  <c r="E223" i="7"/>
  <c r="B223" i="7"/>
  <c r="J222" i="7"/>
  <c r="E222" i="7"/>
  <c r="B222" i="7"/>
  <c r="J221" i="7"/>
  <c r="E221" i="7"/>
  <c r="B221" i="7"/>
  <c r="J220" i="7"/>
  <c r="E220" i="7"/>
  <c r="B220" i="7"/>
  <c r="J219" i="7"/>
  <c r="E219" i="7"/>
  <c r="B219" i="7"/>
  <c r="J218" i="7"/>
  <c r="E218" i="7"/>
  <c r="B218" i="7"/>
  <c r="J217" i="7"/>
  <c r="E217" i="7"/>
  <c r="B217" i="7"/>
  <c r="J216" i="7"/>
  <c r="E216" i="7"/>
  <c r="B216" i="7"/>
  <c r="J215" i="7"/>
  <c r="E215" i="7"/>
  <c r="B215" i="7"/>
  <c r="J214" i="7"/>
  <c r="E214" i="7"/>
  <c r="B214" i="7"/>
  <c r="J213" i="7"/>
  <c r="E213" i="7"/>
  <c r="B213" i="7"/>
  <c r="J212" i="7"/>
  <c r="E212" i="7"/>
  <c r="B212" i="7"/>
  <c r="J211" i="7"/>
  <c r="E211" i="7"/>
  <c r="B211" i="7"/>
  <c r="J210" i="7"/>
  <c r="E210" i="7"/>
  <c r="B210" i="7"/>
  <c r="J209" i="7"/>
  <c r="E209" i="7"/>
  <c r="B209" i="7"/>
  <c r="J208" i="7"/>
  <c r="E208" i="7"/>
  <c r="B208" i="7"/>
  <c r="J207" i="7"/>
  <c r="E207" i="7"/>
  <c r="B207" i="7"/>
  <c r="J206" i="7"/>
  <c r="E206" i="7"/>
  <c r="B206" i="7"/>
  <c r="J205" i="7"/>
  <c r="E205" i="7"/>
  <c r="B205" i="7"/>
  <c r="J204" i="7"/>
  <c r="E204" i="7"/>
  <c r="B204" i="7"/>
  <c r="J203" i="7"/>
  <c r="E203" i="7"/>
  <c r="B203" i="7"/>
  <c r="J202" i="7"/>
  <c r="E202" i="7"/>
  <c r="B202" i="7"/>
  <c r="J201" i="7"/>
  <c r="E201" i="7"/>
  <c r="B201" i="7"/>
  <c r="J200" i="7"/>
  <c r="E200" i="7"/>
  <c r="B200" i="7"/>
  <c r="J199" i="7"/>
  <c r="E199" i="7"/>
  <c r="B199" i="7"/>
  <c r="J198" i="7"/>
  <c r="E198" i="7"/>
  <c r="B198" i="7"/>
  <c r="J197" i="7"/>
  <c r="E197" i="7"/>
  <c r="B197" i="7"/>
  <c r="J196" i="7"/>
  <c r="E196" i="7"/>
  <c r="B196" i="7"/>
  <c r="J195" i="7"/>
  <c r="E195" i="7"/>
  <c r="B195" i="7"/>
  <c r="J194" i="7"/>
  <c r="E194" i="7"/>
  <c r="B194" i="7"/>
  <c r="J193" i="7"/>
  <c r="E193" i="7"/>
  <c r="B193" i="7"/>
  <c r="J192" i="7"/>
  <c r="E192" i="7"/>
  <c r="B192" i="7"/>
  <c r="J191" i="7"/>
  <c r="E191" i="7"/>
  <c r="B191" i="7"/>
  <c r="J190" i="7"/>
  <c r="E190" i="7"/>
  <c r="B190" i="7"/>
  <c r="J189" i="7"/>
  <c r="E189" i="7"/>
  <c r="B189" i="7"/>
  <c r="J188" i="7"/>
  <c r="E188" i="7"/>
  <c r="B188" i="7"/>
  <c r="J187" i="7"/>
  <c r="E187" i="7"/>
  <c r="B187" i="7"/>
  <c r="J186" i="7"/>
  <c r="E186" i="7"/>
  <c r="B186" i="7"/>
  <c r="J185" i="7"/>
  <c r="E185" i="7"/>
  <c r="B185" i="7"/>
  <c r="J184" i="7"/>
  <c r="E184" i="7"/>
  <c r="B184" i="7"/>
  <c r="J183" i="7"/>
  <c r="E183" i="7"/>
  <c r="B183" i="7"/>
  <c r="J182" i="7"/>
  <c r="E182" i="7"/>
  <c r="B182" i="7"/>
  <c r="J181" i="7"/>
  <c r="E181" i="7"/>
  <c r="B181" i="7"/>
  <c r="J180" i="7"/>
  <c r="E180" i="7"/>
  <c r="B180" i="7"/>
  <c r="J179" i="7"/>
  <c r="E179" i="7"/>
  <c r="B179" i="7"/>
  <c r="J178" i="7"/>
  <c r="E178" i="7"/>
  <c r="B178" i="7"/>
  <c r="J177" i="7"/>
  <c r="E177" i="7"/>
  <c r="B177" i="7"/>
  <c r="J176" i="7"/>
  <c r="E176" i="7"/>
  <c r="B176" i="7"/>
  <c r="J175" i="7"/>
  <c r="E175" i="7"/>
  <c r="B175" i="7"/>
  <c r="J174" i="7"/>
  <c r="E174" i="7"/>
  <c r="B174" i="7"/>
  <c r="J173" i="7"/>
  <c r="E173" i="7"/>
  <c r="B173" i="7"/>
  <c r="J172" i="7"/>
  <c r="E172" i="7"/>
  <c r="B172" i="7"/>
  <c r="J171" i="7"/>
  <c r="E171" i="7"/>
  <c r="B171" i="7"/>
  <c r="J170" i="7"/>
  <c r="E170" i="7"/>
  <c r="B170" i="7"/>
  <c r="J169" i="7"/>
  <c r="E169" i="7"/>
  <c r="B169" i="7"/>
  <c r="J168" i="7"/>
  <c r="E168" i="7"/>
  <c r="B168" i="7"/>
  <c r="J167" i="7"/>
  <c r="E167" i="7"/>
  <c r="B167" i="7"/>
  <c r="J166" i="7"/>
  <c r="E166" i="7"/>
  <c r="B166" i="7"/>
  <c r="J165" i="7"/>
  <c r="E165" i="7"/>
  <c r="B165" i="7"/>
  <c r="J164" i="7"/>
  <c r="E164" i="7"/>
  <c r="B164" i="7"/>
  <c r="J163" i="7"/>
  <c r="E163" i="7"/>
  <c r="B163" i="7"/>
  <c r="J162" i="7"/>
  <c r="E162" i="7"/>
  <c r="B162" i="7"/>
  <c r="J161" i="7"/>
  <c r="E161" i="7"/>
  <c r="B161" i="7"/>
  <c r="J160" i="7"/>
  <c r="E160" i="7"/>
  <c r="B160" i="7"/>
  <c r="J159" i="7"/>
  <c r="E159" i="7"/>
  <c r="B159" i="7"/>
  <c r="J158" i="7"/>
  <c r="E158" i="7"/>
  <c r="B158" i="7"/>
  <c r="J157" i="7"/>
  <c r="E157" i="7"/>
  <c r="B157" i="7"/>
  <c r="J156" i="7"/>
  <c r="E156" i="7"/>
  <c r="B156" i="7"/>
  <c r="J155" i="7"/>
  <c r="E155" i="7"/>
  <c r="B155" i="7"/>
  <c r="J154" i="7"/>
  <c r="E154" i="7"/>
  <c r="B154" i="7"/>
  <c r="J153" i="7"/>
  <c r="E153" i="7"/>
  <c r="B153" i="7"/>
  <c r="J152" i="7"/>
  <c r="E152" i="7"/>
  <c r="B152" i="7"/>
  <c r="J151" i="7"/>
  <c r="E151" i="7"/>
  <c r="B151" i="7"/>
  <c r="J150" i="7"/>
  <c r="E150" i="7"/>
  <c r="B150" i="7"/>
  <c r="J149" i="7"/>
  <c r="E149" i="7"/>
  <c r="B149" i="7"/>
  <c r="J148" i="7"/>
  <c r="E148" i="7"/>
  <c r="B148" i="7"/>
  <c r="J147" i="7"/>
  <c r="E147" i="7"/>
  <c r="B147" i="7"/>
  <c r="J146" i="7"/>
  <c r="E146" i="7"/>
  <c r="B146" i="7"/>
  <c r="J145" i="7"/>
  <c r="E145" i="7"/>
  <c r="B145" i="7"/>
  <c r="J144" i="7"/>
  <c r="E144" i="7"/>
  <c r="B144" i="7"/>
  <c r="J143" i="7"/>
  <c r="E143" i="7"/>
  <c r="B143" i="7"/>
  <c r="J142" i="7"/>
  <c r="E142" i="7"/>
  <c r="B142" i="7"/>
  <c r="J141" i="7"/>
  <c r="E141" i="7"/>
  <c r="B141" i="7"/>
  <c r="J140" i="7"/>
  <c r="E140" i="7"/>
  <c r="B140" i="7"/>
  <c r="J139" i="7"/>
  <c r="E139" i="7"/>
  <c r="B139" i="7"/>
  <c r="J138" i="7"/>
  <c r="E138" i="7"/>
  <c r="B138" i="7"/>
  <c r="J137" i="7"/>
  <c r="E137" i="7"/>
  <c r="B137" i="7"/>
  <c r="J136" i="7"/>
  <c r="E136" i="7"/>
  <c r="B136" i="7"/>
  <c r="J135" i="7"/>
  <c r="E135" i="7"/>
  <c r="B135" i="7"/>
  <c r="J134" i="7"/>
  <c r="E134" i="7"/>
  <c r="B134" i="7"/>
  <c r="J133" i="7"/>
  <c r="E133" i="7"/>
  <c r="B133" i="7"/>
  <c r="J132" i="7"/>
  <c r="E132" i="7"/>
  <c r="B132" i="7"/>
  <c r="J131" i="7"/>
  <c r="E131" i="7"/>
  <c r="B131" i="7"/>
  <c r="J130" i="7"/>
  <c r="E130" i="7"/>
  <c r="B130" i="7"/>
  <c r="J129" i="7"/>
  <c r="E129" i="7"/>
  <c r="B129" i="7"/>
  <c r="J128" i="7"/>
  <c r="E128" i="7"/>
  <c r="B128" i="7"/>
  <c r="J127" i="7"/>
  <c r="E127" i="7"/>
  <c r="B127" i="7"/>
  <c r="J126" i="7"/>
  <c r="E126" i="7"/>
  <c r="B126" i="7"/>
  <c r="J125" i="7"/>
  <c r="E125" i="7"/>
  <c r="B125" i="7"/>
  <c r="J124" i="7"/>
  <c r="E124" i="7"/>
  <c r="B124" i="7"/>
  <c r="J123" i="7"/>
  <c r="E123" i="7"/>
  <c r="B123" i="7"/>
  <c r="J122" i="7"/>
  <c r="E122" i="7"/>
  <c r="B122" i="7"/>
  <c r="J121" i="7"/>
  <c r="E121" i="7"/>
  <c r="B121" i="7"/>
  <c r="J120" i="7"/>
  <c r="E120" i="7"/>
  <c r="B120" i="7"/>
  <c r="J119" i="7"/>
  <c r="E119" i="7"/>
  <c r="B119" i="7"/>
  <c r="J118" i="7"/>
  <c r="E118" i="7"/>
  <c r="B118" i="7"/>
  <c r="J117" i="7"/>
  <c r="E117" i="7"/>
  <c r="B117" i="7"/>
  <c r="J116" i="7"/>
  <c r="E116" i="7"/>
  <c r="B116" i="7"/>
  <c r="J115" i="7"/>
  <c r="E115" i="7"/>
  <c r="B115" i="7"/>
  <c r="J114" i="7"/>
  <c r="E114" i="7"/>
  <c r="B114" i="7"/>
  <c r="J113" i="7"/>
  <c r="E113" i="7"/>
  <c r="B113" i="7"/>
  <c r="J112" i="7"/>
  <c r="E112" i="7"/>
  <c r="B112" i="7"/>
  <c r="J111" i="7"/>
  <c r="E111" i="7"/>
  <c r="B111" i="7"/>
  <c r="J110" i="7"/>
  <c r="E110" i="7"/>
  <c r="B110" i="7"/>
  <c r="J109" i="7"/>
  <c r="E109" i="7"/>
  <c r="B109" i="7"/>
  <c r="J108" i="7"/>
  <c r="E108" i="7"/>
  <c r="B108" i="7"/>
  <c r="J107" i="7"/>
  <c r="E107" i="7"/>
  <c r="B107" i="7"/>
  <c r="J106" i="7"/>
  <c r="E106" i="7"/>
  <c r="B106" i="7"/>
  <c r="J105" i="7"/>
  <c r="E105" i="7"/>
  <c r="B105" i="7"/>
  <c r="J104" i="7"/>
  <c r="E104" i="7"/>
  <c r="B104" i="7"/>
  <c r="J103" i="7"/>
  <c r="E103" i="7"/>
  <c r="B103" i="7"/>
  <c r="J102" i="7"/>
  <c r="E102" i="7"/>
  <c r="B102" i="7"/>
  <c r="J101" i="7"/>
  <c r="E101" i="7"/>
  <c r="B101" i="7"/>
  <c r="J100" i="7"/>
  <c r="E100" i="7"/>
  <c r="B100" i="7"/>
  <c r="J99" i="7"/>
  <c r="E99" i="7"/>
  <c r="B99" i="7"/>
  <c r="J98" i="7"/>
  <c r="E98" i="7"/>
  <c r="B98" i="7"/>
  <c r="J97" i="7"/>
  <c r="E97" i="7"/>
  <c r="B97" i="7"/>
  <c r="J96" i="7"/>
  <c r="E96" i="7"/>
  <c r="B96" i="7"/>
  <c r="J95" i="7"/>
  <c r="E95" i="7"/>
  <c r="B95" i="7"/>
  <c r="J94" i="7"/>
  <c r="E94" i="7"/>
  <c r="B94" i="7"/>
  <c r="J93" i="7"/>
  <c r="E93" i="7"/>
  <c r="B93" i="7"/>
  <c r="J92" i="7"/>
  <c r="E92" i="7"/>
  <c r="B92" i="7"/>
  <c r="J91" i="7"/>
  <c r="E91" i="7"/>
  <c r="B91" i="7"/>
  <c r="J90" i="7"/>
  <c r="E90" i="7"/>
  <c r="B90" i="7"/>
  <c r="J89" i="7"/>
  <c r="E89" i="7"/>
  <c r="B89" i="7"/>
  <c r="J88" i="7"/>
  <c r="E88" i="7"/>
  <c r="B88" i="7"/>
  <c r="J87" i="7"/>
  <c r="E87" i="7"/>
  <c r="B87" i="7"/>
  <c r="J86" i="7"/>
  <c r="E86" i="7"/>
  <c r="B86" i="7"/>
  <c r="J85" i="7"/>
  <c r="E85" i="7"/>
  <c r="B85" i="7"/>
  <c r="J84" i="7"/>
  <c r="E84" i="7"/>
  <c r="B84" i="7"/>
  <c r="J83" i="7"/>
  <c r="E83" i="7"/>
  <c r="B83" i="7"/>
  <c r="J82" i="7"/>
  <c r="E82" i="7"/>
  <c r="B82" i="7"/>
  <c r="J81" i="7"/>
  <c r="E81" i="7"/>
  <c r="B81" i="7"/>
  <c r="J80" i="7"/>
  <c r="E80" i="7"/>
  <c r="B80" i="7"/>
  <c r="J79" i="7"/>
  <c r="E79" i="7"/>
  <c r="B79" i="7"/>
  <c r="J78" i="7"/>
  <c r="E78" i="7"/>
  <c r="B78" i="7"/>
  <c r="J77" i="7"/>
  <c r="E77" i="7"/>
  <c r="B77" i="7"/>
  <c r="J76" i="7"/>
  <c r="E76" i="7"/>
  <c r="B76" i="7"/>
  <c r="J75" i="7"/>
  <c r="E75" i="7"/>
  <c r="B75" i="7"/>
  <c r="J74" i="7"/>
  <c r="E74" i="7"/>
  <c r="B74" i="7"/>
  <c r="J73" i="7"/>
  <c r="E73" i="7"/>
  <c r="B73" i="7"/>
  <c r="J72" i="7"/>
  <c r="E72" i="7"/>
  <c r="B72" i="7"/>
  <c r="J71" i="7"/>
  <c r="E71" i="7"/>
  <c r="B71" i="7"/>
  <c r="J70" i="7"/>
  <c r="E70" i="7"/>
  <c r="B70" i="7"/>
  <c r="J69" i="7"/>
  <c r="E69" i="7"/>
  <c r="B69" i="7"/>
  <c r="J68" i="7"/>
  <c r="E68" i="7"/>
  <c r="B68" i="7"/>
  <c r="J67" i="7"/>
  <c r="E67" i="7"/>
  <c r="B67" i="7"/>
  <c r="J66" i="7"/>
  <c r="E66" i="7"/>
  <c r="B66" i="7"/>
  <c r="J65" i="7"/>
  <c r="E65" i="7"/>
  <c r="B65" i="7"/>
  <c r="J64" i="7"/>
  <c r="E64" i="7"/>
  <c r="B64" i="7"/>
  <c r="J63" i="7"/>
  <c r="E63" i="7"/>
  <c r="B63" i="7"/>
  <c r="J62" i="7"/>
  <c r="E62" i="7"/>
  <c r="B62" i="7"/>
  <c r="J61" i="7"/>
  <c r="E61" i="7"/>
  <c r="B61" i="7"/>
  <c r="J60" i="7"/>
  <c r="E60" i="7"/>
  <c r="B60" i="7"/>
  <c r="J59" i="7"/>
  <c r="E59" i="7"/>
  <c r="B59" i="7"/>
  <c r="J58" i="7"/>
  <c r="E58" i="7"/>
  <c r="B58" i="7"/>
  <c r="J57" i="7"/>
  <c r="E57" i="7"/>
  <c r="B57" i="7"/>
  <c r="J56" i="7"/>
  <c r="E56" i="7"/>
  <c r="B56" i="7"/>
  <c r="J55" i="7"/>
  <c r="E55" i="7"/>
  <c r="B55" i="7"/>
  <c r="J54" i="7"/>
  <c r="E54" i="7"/>
  <c r="B54" i="7"/>
  <c r="J53" i="7"/>
  <c r="E53" i="7"/>
  <c r="B53" i="7"/>
  <c r="J52" i="7"/>
  <c r="E52" i="7"/>
  <c r="B52" i="7"/>
  <c r="J51" i="7"/>
  <c r="E51" i="7"/>
  <c r="B51" i="7"/>
  <c r="J50" i="7"/>
  <c r="E50" i="7"/>
  <c r="B50" i="7"/>
  <c r="J49" i="7"/>
  <c r="E49" i="7"/>
  <c r="B49" i="7"/>
  <c r="J48" i="7"/>
  <c r="E48" i="7"/>
  <c r="B48" i="7"/>
  <c r="J47" i="7"/>
  <c r="E47" i="7"/>
  <c r="B47" i="7"/>
  <c r="J46" i="7"/>
  <c r="E46" i="7"/>
  <c r="B46" i="7"/>
  <c r="J45" i="7"/>
  <c r="E45" i="7"/>
  <c r="B45" i="7"/>
  <c r="J44" i="7"/>
  <c r="E44" i="7"/>
  <c r="B44" i="7"/>
  <c r="J43" i="7"/>
  <c r="E43" i="7"/>
  <c r="B43" i="7"/>
  <c r="J42" i="7"/>
  <c r="E42" i="7"/>
  <c r="B42" i="7"/>
  <c r="J41" i="7"/>
  <c r="E41" i="7"/>
  <c r="B41" i="7"/>
  <c r="J40" i="7"/>
  <c r="E40" i="7"/>
  <c r="B40" i="7"/>
  <c r="J39" i="7"/>
  <c r="E39" i="7"/>
  <c r="B39" i="7"/>
  <c r="J38" i="7"/>
  <c r="E38" i="7"/>
  <c r="B38" i="7"/>
  <c r="J37" i="7"/>
  <c r="E37" i="7"/>
  <c r="B37" i="7"/>
  <c r="J36" i="7"/>
  <c r="E36" i="7"/>
  <c r="B36" i="7"/>
  <c r="J35" i="7"/>
  <c r="E35" i="7"/>
  <c r="B35" i="7"/>
  <c r="J34" i="7"/>
  <c r="E34" i="7"/>
  <c r="B34" i="7"/>
  <c r="J33" i="7"/>
  <c r="E33" i="7"/>
  <c r="B33" i="7"/>
  <c r="J32" i="7"/>
  <c r="E32" i="7"/>
  <c r="B32" i="7"/>
  <c r="J31" i="7"/>
  <c r="E31" i="7"/>
  <c r="B31" i="7"/>
  <c r="J30" i="7"/>
  <c r="E30" i="7"/>
  <c r="B30" i="7"/>
  <c r="J29" i="7"/>
  <c r="E29" i="7"/>
  <c r="B29" i="7"/>
  <c r="J28" i="7"/>
  <c r="E28" i="7"/>
  <c r="B28" i="7"/>
  <c r="J27" i="7"/>
  <c r="E27" i="7"/>
  <c r="B27" i="7"/>
  <c r="J26" i="7"/>
  <c r="E26" i="7"/>
  <c r="B26" i="7"/>
  <c r="J25" i="7"/>
  <c r="E25" i="7"/>
  <c r="B25" i="7"/>
  <c r="J24" i="7"/>
  <c r="E24" i="7"/>
  <c r="B24" i="7"/>
  <c r="J23" i="7"/>
  <c r="E23" i="7"/>
  <c r="B23" i="7"/>
  <c r="J22" i="7"/>
  <c r="E22" i="7"/>
  <c r="B22" i="7"/>
  <c r="J21" i="7"/>
  <c r="E21" i="7"/>
  <c r="B21" i="7"/>
  <c r="J20" i="7"/>
  <c r="E20" i="7"/>
  <c r="B20" i="7"/>
  <c r="J19" i="7"/>
  <c r="E19" i="7"/>
  <c r="B19" i="7"/>
  <c r="J18" i="7"/>
  <c r="E18" i="7"/>
  <c r="B18" i="7"/>
  <c r="J17" i="7"/>
  <c r="E17" i="7"/>
  <c r="B17" i="7"/>
  <c r="J16" i="7"/>
  <c r="E16" i="7"/>
  <c r="B16" i="7"/>
  <c r="J15" i="7"/>
  <c r="E15" i="7"/>
  <c r="B15" i="7"/>
  <c r="J14" i="7"/>
  <c r="E14" i="7"/>
  <c r="B14" i="7"/>
  <c r="J13" i="7"/>
  <c r="E13" i="7"/>
  <c r="B13" i="7"/>
  <c r="J12" i="7"/>
  <c r="E12" i="7"/>
  <c r="B12" i="7"/>
  <c r="J11" i="7"/>
  <c r="E11" i="7"/>
  <c r="B11" i="7"/>
  <c r="J10" i="7"/>
  <c r="E10" i="7"/>
  <c r="B10" i="7"/>
  <c r="J9" i="7"/>
  <c r="E9" i="7"/>
  <c r="B9" i="7"/>
  <c r="J8" i="7"/>
  <c r="E8" i="7"/>
  <c r="B8" i="7"/>
  <c r="J7" i="7"/>
  <c r="E7" i="7"/>
  <c r="B7" i="7"/>
  <c r="J6" i="7"/>
  <c r="E6" i="7"/>
  <c r="B6" i="7"/>
  <c r="J5" i="7"/>
  <c r="E5" i="7"/>
  <c r="B5" i="7"/>
  <c r="J4" i="7"/>
  <c r="E4" i="7"/>
  <c r="B4" i="7"/>
  <c r="J3" i="7"/>
  <c r="E3" i="7"/>
  <c r="B3" i="7"/>
  <c r="J2" i="7"/>
  <c r="E2" i="7"/>
  <c r="B2" i="7"/>
  <c r="H633" i="6"/>
  <c r="C633" i="6"/>
  <c r="B633" i="6"/>
  <c r="H632" i="6"/>
  <c r="C632" i="6"/>
  <c r="B632" i="6"/>
  <c r="H631" i="6"/>
  <c r="C631" i="6"/>
  <c r="B631" i="6"/>
  <c r="H630" i="6"/>
  <c r="C630" i="6"/>
  <c r="B630" i="6"/>
  <c r="H629" i="6"/>
  <c r="C629" i="6"/>
  <c r="B629" i="6"/>
  <c r="H628" i="6"/>
  <c r="C628" i="6"/>
  <c r="B628" i="6"/>
  <c r="H627" i="6"/>
  <c r="C627" i="6"/>
  <c r="B627" i="6"/>
  <c r="H626" i="6"/>
  <c r="C626" i="6"/>
  <c r="B626" i="6"/>
  <c r="H625" i="6"/>
  <c r="C625" i="6"/>
  <c r="B625" i="6"/>
  <c r="H624" i="6"/>
  <c r="C624" i="6"/>
  <c r="B624" i="6"/>
  <c r="H623" i="6"/>
  <c r="C623" i="6"/>
  <c r="B623" i="6"/>
  <c r="H622" i="6"/>
  <c r="C622" i="6"/>
  <c r="B622" i="6"/>
  <c r="H621" i="6"/>
  <c r="C621" i="6"/>
  <c r="B621" i="6"/>
  <c r="H620" i="6"/>
  <c r="C620" i="6"/>
  <c r="B620" i="6"/>
  <c r="H619" i="6"/>
  <c r="C619" i="6"/>
  <c r="B619" i="6"/>
  <c r="H618" i="6"/>
  <c r="C618" i="6"/>
  <c r="B618" i="6"/>
  <c r="H617" i="6"/>
  <c r="C617" i="6"/>
  <c r="B617" i="6"/>
  <c r="H616" i="6"/>
  <c r="C616" i="6"/>
  <c r="B616" i="6"/>
  <c r="H615" i="6"/>
  <c r="C615" i="6"/>
  <c r="B615" i="6"/>
  <c r="H614" i="6"/>
  <c r="C614" i="6"/>
  <c r="B614" i="6"/>
  <c r="H613" i="6"/>
  <c r="C613" i="6"/>
  <c r="B613" i="6"/>
  <c r="H612" i="6"/>
  <c r="C612" i="6"/>
  <c r="B612" i="6"/>
  <c r="H611" i="6"/>
  <c r="C611" i="6"/>
  <c r="B611" i="6"/>
  <c r="H610" i="6"/>
  <c r="C610" i="6"/>
  <c r="B610" i="6"/>
  <c r="H609" i="6"/>
  <c r="C609" i="6"/>
  <c r="B609" i="6"/>
  <c r="H608" i="6"/>
  <c r="C608" i="6"/>
  <c r="B608" i="6"/>
  <c r="H607" i="6"/>
  <c r="C607" i="6"/>
  <c r="B607" i="6"/>
  <c r="H606" i="6"/>
  <c r="C606" i="6"/>
  <c r="B606" i="6"/>
  <c r="H605" i="6"/>
  <c r="C605" i="6"/>
  <c r="B605" i="6"/>
  <c r="H604" i="6"/>
  <c r="C604" i="6"/>
  <c r="B604" i="6"/>
  <c r="H603" i="6"/>
  <c r="C603" i="6"/>
  <c r="B603" i="6"/>
  <c r="H602" i="6"/>
  <c r="C602" i="6"/>
  <c r="B602" i="6"/>
  <c r="H601" i="6"/>
  <c r="C601" i="6"/>
  <c r="B601" i="6"/>
  <c r="H600" i="6"/>
  <c r="C600" i="6"/>
  <c r="B600" i="6"/>
  <c r="H599" i="6"/>
  <c r="C599" i="6"/>
  <c r="B599" i="6"/>
  <c r="H598" i="6"/>
  <c r="C598" i="6"/>
  <c r="B598" i="6"/>
  <c r="H597" i="6"/>
  <c r="C597" i="6"/>
  <c r="B597" i="6"/>
  <c r="H596" i="6"/>
  <c r="C596" i="6"/>
  <c r="B596" i="6"/>
  <c r="H595" i="6"/>
  <c r="C595" i="6"/>
  <c r="B595" i="6"/>
  <c r="H594" i="6"/>
  <c r="C594" i="6"/>
  <c r="B594" i="6"/>
  <c r="H593" i="6"/>
  <c r="C593" i="6"/>
  <c r="B593" i="6"/>
  <c r="H592" i="6"/>
  <c r="C592" i="6"/>
  <c r="B592" i="6"/>
  <c r="H591" i="6"/>
  <c r="C591" i="6"/>
  <c r="B591" i="6"/>
  <c r="H590" i="6"/>
  <c r="C590" i="6"/>
  <c r="B590" i="6"/>
  <c r="H589" i="6"/>
  <c r="C589" i="6"/>
  <c r="B589" i="6"/>
  <c r="H588" i="6"/>
  <c r="C588" i="6"/>
  <c r="B588" i="6"/>
  <c r="H587" i="6"/>
  <c r="C587" i="6"/>
  <c r="B587" i="6"/>
  <c r="H586" i="6"/>
  <c r="C586" i="6"/>
  <c r="B586" i="6"/>
  <c r="H585" i="6"/>
  <c r="C585" i="6"/>
  <c r="B585" i="6"/>
  <c r="H584" i="6"/>
  <c r="C584" i="6"/>
  <c r="B584" i="6"/>
  <c r="H583" i="6"/>
  <c r="C583" i="6"/>
  <c r="B583" i="6"/>
  <c r="H582" i="6"/>
  <c r="C582" i="6"/>
  <c r="B582" i="6"/>
  <c r="H581" i="6"/>
  <c r="C581" i="6"/>
  <c r="B581" i="6"/>
  <c r="H580" i="6"/>
  <c r="C580" i="6"/>
  <c r="B580" i="6"/>
  <c r="H579" i="6"/>
  <c r="C579" i="6"/>
  <c r="B579" i="6"/>
  <c r="H578" i="6"/>
  <c r="C578" i="6"/>
  <c r="B578" i="6"/>
  <c r="H577" i="6"/>
  <c r="C577" i="6"/>
  <c r="B577" i="6"/>
  <c r="H576" i="6"/>
  <c r="C576" i="6"/>
  <c r="B576" i="6"/>
  <c r="H575" i="6"/>
  <c r="C575" i="6"/>
  <c r="B575" i="6"/>
  <c r="H574" i="6"/>
  <c r="C574" i="6"/>
  <c r="B574" i="6"/>
  <c r="H573" i="6"/>
  <c r="C573" i="6"/>
  <c r="B573" i="6"/>
  <c r="H572" i="6"/>
  <c r="C572" i="6"/>
  <c r="B572" i="6"/>
  <c r="H571" i="6"/>
  <c r="C571" i="6"/>
  <c r="B571" i="6"/>
  <c r="H570" i="6"/>
  <c r="C570" i="6"/>
  <c r="B570" i="6"/>
  <c r="H569" i="6"/>
  <c r="C569" i="6"/>
  <c r="B569" i="6"/>
  <c r="H568" i="6"/>
  <c r="C568" i="6"/>
  <c r="B568" i="6"/>
  <c r="H567" i="6"/>
  <c r="C567" i="6"/>
  <c r="B567" i="6"/>
  <c r="H566" i="6"/>
  <c r="C566" i="6"/>
  <c r="B566" i="6"/>
  <c r="H565" i="6"/>
  <c r="C565" i="6"/>
  <c r="B565" i="6"/>
  <c r="H564" i="6"/>
  <c r="C564" i="6"/>
  <c r="B564" i="6"/>
  <c r="H563" i="6"/>
  <c r="C563" i="6"/>
  <c r="B563" i="6"/>
  <c r="H562" i="6"/>
  <c r="C562" i="6"/>
  <c r="B562" i="6"/>
  <c r="H561" i="6"/>
  <c r="C561" i="6"/>
  <c r="B561" i="6"/>
  <c r="H560" i="6"/>
  <c r="C560" i="6"/>
  <c r="B560" i="6"/>
  <c r="H559" i="6"/>
  <c r="C559" i="6"/>
  <c r="B559" i="6"/>
  <c r="H558" i="6"/>
  <c r="C558" i="6"/>
  <c r="B558" i="6"/>
  <c r="H557" i="6"/>
  <c r="C557" i="6"/>
  <c r="B557" i="6"/>
  <c r="H556" i="6"/>
  <c r="C556" i="6"/>
  <c r="B556" i="6"/>
  <c r="H555" i="6"/>
  <c r="C555" i="6"/>
  <c r="B555" i="6"/>
  <c r="H554" i="6"/>
  <c r="C554" i="6"/>
  <c r="B554" i="6"/>
  <c r="H553" i="6"/>
  <c r="C553" i="6"/>
  <c r="B553" i="6"/>
  <c r="H552" i="6"/>
  <c r="C552" i="6"/>
  <c r="B552" i="6"/>
  <c r="H551" i="6"/>
  <c r="C551" i="6"/>
  <c r="B551" i="6"/>
  <c r="H550" i="6"/>
  <c r="C550" i="6"/>
  <c r="B550" i="6"/>
  <c r="H549" i="6"/>
  <c r="C549" i="6"/>
  <c r="B549" i="6"/>
  <c r="H548" i="6"/>
  <c r="C548" i="6"/>
  <c r="B548" i="6"/>
  <c r="H547" i="6"/>
  <c r="C547" i="6"/>
  <c r="B547" i="6"/>
  <c r="H546" i="6"/>
  <c r="C546" i="6"/>
  <c r="B546" i="6"/>
  <c r="H545" i="6"/>
  <c r="C545" i="6"/>
  <c r="B545" i="6"/>
  <c r="H544" i="6"/>
  <c r="C544" i="6"/>
  <c r="B544" i="6"/>
  <c r="H543" i="6"/>
  <c r="C543" i="6"/>
  <c r="B543" i="6"/>
  <c r="H542" i="6"/>
  <c r="C542" i="6"/>
  <c r="B542" i="6"/>
  <c r="H541" i="6"/>
  <c r="C541" i="6"/>
  <c r="B541" i="6"/>
  <c r="H540" i="6"/>
  <c r="C540" i="6"/>
  <c r="B540" i="6"/>
  <c r="H539" i="6"/>
  <c r="C539" i="6"/>
  <c r="B539" i="6"/>
  <c r="H538" i="6"/>
  <c r="C538" i="6"/>
  <c r="B538" i="6"/>
  <c r="H537" i="6"/>
  <c r="C537" i="6"/>
  <c r="B537" i="6"/>
  <c r="H536" i="6"/>
  <c r="C536" i="6"/>
  <c r="B536" i="6"/>
  <c r="H535" i="6"/>
  <c r="C535" i="6"/>
  <c r="B535" i="6"/>
  <c r="H534" i="6"/>
  <c r="C534" i="6"/>
  <c r="B534" i="6"/>
  <c r="H533" i="6"/>
  <c r="C533" i="6"/>
  <c r="B533" i="6"/>
  <c r="H532" i="6"/>
  <c r="C532" i="6"/>
  <c r="B532" i="6"/>
  <c r="H531" i="6"/>
  <c r="C531" i="6"/>
  <c r="B531" i="6"/>
  <c r="H530" i="6"/>
  <c r="C530" i="6"/>
  <c r="B530" i="6"/>
  <c r="H529" i="6"/>
  <c r="C529" i="6"/>
  <c r="B529" i="6"/>
  <c r="H528" i="6"/>
  <c r="C528" i="6"/>
  <c r="B528" i="6"/>
  <c r="H527" i="6"/>
  <c r="C527" i="6"/>
  <c r="B527" i="6"/>
  <c r="H526" i="6"/>
  <c r="C526" i="6"/>
  <c r="B526" i="6"/>
  <c r="H525" i="6"/>
  <c r="C525" i="6"/>
  <c r="B525" i="6"/>
  <c r="H524" i="6"/>
  <c r="C524" i="6"/>
  <c r="B524" i="6"/>
  <c r="H523" i="6"/>
  <c r="C523" i="6"/>
  <c r="B523" i="6"/>
  <c r="H522" i="6"/>
  <c r="C522" i="6"/>
  <c r="B522" i="6"/>
  <c r="H521" i="6"/>
  <c r="C521" i="6"/>
  <c r="B521" i="6"/>
  <c r="H520" i="6"/>
  <c r="C520" i="6"/>
  <c r="B520" i="6"/>
  <c r="H519" i="6"/>
  <c r="C519" i="6"/>
  <c r="B519" i="6"/>
  <c r="H518" i="6"/>
  <c r="C518" i="6"/>
  <c r="B518" i="6"/>
  <c r="H517" i="6"/>
  <c r="C517" i="6"/>
  <c r="B517" i="6"/>
  <c r="H516" i="6"/>
  <c r="C516" i="6"/>
  <c r="B516" i="6"/>
  <c r="H515" i="6"/>
  <c r="C515" i="6"/>
  <c r="B515" i="6"/>
  <c r="H514" i="6"/>
  <c r="C514" i="6"/>
  <c r="B514" i="6"/>
  <c r="H513" i="6"/>
  <c r="C513" i="6"/>
  <c r="B513" i="6"/>
  <c r="H512" i="6"/>
  <c r="C512" i="6"/>
  <c r="B512" i="6"/>
  <c r="H511" i="6"/>
  <c r="C511" i="6"/>
  <c r="B511" i="6"/>
  <c r="H510" i="6"/>
  <c r="C510" i="6"/>
  <c r="B510" i="6"/>
  <c r="H509" i="6"/>
  <c r="C509" i="6"/>
  <c r="B509" i="6"/>
  <c r="H508" i="6"/>
  <c r="C508" i="6"/>
  <c r="B508" i="6"/>
  <c r="H507" i="6"/>
  <c r="C507" i="6"/>
  <c r="B507" i="6"/>
  <c r="H506" i="6"/>
  <c r="C506" i="6"/>
  <c r="B506" i="6"/>
  <c r="H505" i="6"/>
  <c r="C505" i="6"/>
  <c r="B505" i="6"/>
  <c r="H504" i="6"/>
  <c r="C504" i="6"/>
  <c r="B504" i="6"/>
  <c r="H503" i="6"/>
  <c r="C503" i="6"/>
  <c r="B503" i="6"/>
  <c r="H502" i="6"/>
  <c r="C502" i="6"/>
  <c r="B502" i="6"/>
  <c r="H501" i="6"/>
  <c r="C501" i="6"/>
  <c r="B501" i="6"/>
  <c r="H500" i="6"/>
  <c r="C500" i="6"/>
  <c r="B500" i="6"/>
  <c r="H499" i="6"/>
  <c r="C499" i="6"/>
  <c r="B499" i="6"/>
  <c r="H498" i="6"/>
  <c r="C498" i="6"/>
  <c r="B498" i="6"/>
  <c r="H497" i="6"/>
  <c r="C497" i="6"/>
  <c r="B497" i="6"/>
  <c r="H496" i="6"/>
  <c r="C496" i="6"/>
  <c r="B496" i="6"/>
  <c r="H495" i="6"/>
  <c r="C495" i="6"/>
  <c r="B495" i="6"/>
  <c r="H494" i="6"/>
  <c r="C494" i="6"/>
  <c r="B494" i="6"/>
  <c r="H493" i="6"/>
  <c r="C493" i="6"/>
  <c r="B493" i="6"/>
  <c r="H492" i="6"/>
  <c r="C492" i="6"/>
  <c r="B492" i="6"/>
  <c r="H491" i="6"/>
  <c r="C491" i="6"/>
  <c r="B491" i="6"/>
  <c r="H490" i="6"/>
  <c r="C490" i="6"/>
  <c r="B490" i="6"/>
  <c r="H489" i="6"/>
  <c r="C489" i="6"/>
  <c r="B489" i="6"/>
  <c r="H488" i="6"/>
  <c r="C488" i="6"/>
  <c r="B488" i="6"/>
  <c r="H487" i="6"/>
  <c r="C487" i="6"/>
  <c r="B487" i="6"/>
  <c r="H486" i="6"/>
  <c r="C486" i="6"/>
  <c r="B486" i="6"/>
  <c r="H485" i="6"/>
  <c r="C485" i="6"/>
  <c r="B485" i="6"/>
  <c r="H484" i="6"/>
  <c r="C484" i="6"/>
  <c r="B484" i="6"/>
  <c r="H483" i="6"/>
  <c r="C483" i="6"/>
  <c r="B483" i="6"/>
  <c r="H482" i="6"/>
  <c r="C482" i="6"/>
  <c r="B482" i="6"/>
  <c r="H481" i="6"/>
  <c r="C481" i="6"/>
  <c r="B481" i="6"/>
  <c r="H480" i="6"/>
  <c r="C480" i="6"/>
  <c r="B480" i="6"/>
  <c r="H479" i="6"/>
  <c r="C479" i="6"/>
  <c r="B479" i="6"/>
  <c r="H478" i="6"/>
  <c r="C478" i="6"/>
  <c r="B478" i="6"/>
  <c r="H477" i="6"/>
  <c r="C477" i="6"/>
  <c r="B477" i="6"/>
  <c r="H476" i="6"/>
  <c r="C476" i="6"/>
  <c r="B476" i="6"/>
  <c r="H475" i="6"/>
  <c r="C475" i="6"/>
  <c r="B475" i="6"/>
  <c r="H474" i="6"/>
  <c r="C474" i="6"/>
  <c r="B474" i="6"/>
  <c r="H473" i="6"/>
  <c r="C473" i="6"/>
  <c r="B473" i="6"/>
  <c r="H472" i="6"/>
  <c r="C472" i="6"/>
  <c r="B472" i="6"/>
  <c r="H471" i="6"/>
  <c r="C471" i="6"/>
  <c r="B471" i="6"/>
  <c r="H470" i="6"/>
  <c r="C470" i="6"/>
  <c r="B470" i="6"/>
  <c r="H469" i="6"/>
  <c r="C469" i="6"/>
  <c r="B469" i="6"/>
  <c r="H468" i="6"/>
  <c r="C468" i="6"/>
  <c r="B468" i="6"/>
  <c r="H467" i="6"/>
  <c r="C467" i="6"/>
  <c r="B467" i="6"/>
  <c r="H466" i="6"/>
  <c r="C466" i="6"/>
  <c r="B466" i="6"/>
  <c r="H465" i="6"/>
  <c r="C465" i="6"/>
  <c r="B465" i="6"/>
  <c r="H464" i="6"/>
  <c r="C464" i="6"/>
  <c r="B464" i="6"/>
  <c r="H463" i="6"/>
  <c r="C463" i="6"/>
  <c r="B463" i="6"/>
  <c r="H462" i="6"/>
  <c r="C462" i="6"/>
  <c r="B462" i="6"/>
  <c r="H461" i="6"/>
  <c r="C461" i="6"/>
  <c r="B461" i="6"/>
  <c r="H460" i="6"/>
  <c r="C460" i="6"/>
  <c r="B460" i="6"/>
  <c r="H459" i="6"/>
  <c r="C459" i="6"/>
  <c r="B459" i="6"/>
  <c r="H458" i="6"/>
  <c r="C458" i="6"/>
  <c r="B458" i="6"/>
  <c r="H457" i="6"/>
  <c r="C457" i="6"/>
  <c r="B457" i="6"/>
  <c r="H456" i="6"/>
  <c r="C456" i="6"/>
  <c r="B456" i="6"/>
  <c r="H455" i="6"/>
  <c r="C455" i="6"/>
  <c r="B455" i="6"/>
  <c r="H454" i="6"/>
  <c r="C454" i="6"/>
  <c r="B454" i="6"/>
  <c r="H453" i="6"/>
  <c r="C453" i="6"/>
  <c r="B453" i="6"/>
  <c r="H452" i="6"/>
  <c r="C452" i="6"/>
  <c r="B452" i="6"/>
  <c r="H451" i="6"/>
  <c r="C451" i="6"/>
  <c r="B451" i="6"/>
  <c r="H450" i="6"/>
  <c r="C450" i="6"/>
  <c r="B450" i="6"/>
  <c r="H449" i="6"/>
  <c r="C449" i="6"/>
  <c r="B449" i="6"/>
  <c r="H448" i="6"/>
  <c r="C448" i="6"/>
  <c r="B448" i="6"/>
  <c r="H447" i="6"/>
  <c r="C447" i="6"/>
  <c r="B447" i="6"/>
  <c r="H446" i="6"/>
  <c r="C446" i="6"/>
  <c r="B446" i="6"/>
  <c r="H445" i="6"/>
  <c r="C445" i="6"/>
  <c r="B445" i="6"/>
  <c r="H444" i="6"/>
  <c r="C444" i="6"/>
  <c r="B444" i="6"/>
  <c r="H443" i="6"/>
  <c r="C443" i="6"/>
  <c r="B443" i="6"/>
  <c r="H442" i="6"/>
  <c r="C442" i="6"/>
  <c r="B442" i="6"/>
  <c r="H441" i="6"/>
  <c r="C441" i="6"/>
  <c r="B441" i="6"/>
  <c r="H440" i="6"/>
  <c r="C440" i="6"/>
  <c r="B440" i="6"/>
  <c r="H439" i="6"/>
  <c r="C439" i="6"/>
  <c r="B439" i="6"/>
  <c r="H438" i="6"/>
  <c r="C438" i="6"/>
  <c r="B438" i="6"/>
  <c r="H437" i="6"/>
  <c r="C437" i="6"/>
  <c r="B437" i="6"/>
  <c r="H436" i="6"/>
  <c r="C436" i="6"/>
  <c r="B436" i="6"/>
  <c r="H435" i="6"/>
  <c r="C435" i="6"/>
  <c r="B435" i="6"/>
  <c r="H434" i="6"/>
  <c r="C434" i="6"/>
  <c r="B434" i="6"/>
  <c r="H433" i="6"/>
  <c r="C433" i="6"/>
  <c r="B433" i="6"/>
  <c r="H432" i="6"/>
  <c r="C432" i="6"/>
  <c r="B432" i="6"/>
  <c r="H431" i="6"/>
  <c r="C431" i="6"/>
  <c r="B431" i="6"/>
  <c r="H430" i="6"/>
  <c r="C430" i="6"/>
  <c r="B430" i="6"/>
  <c r="H429" i="6"/>
  <c r="C429" i="6"/>
  <c r="B429" i="6"/>
  <c r="H428" i="6"/>
  <c r="C428" i="6"/>
  <c r="B428" i="6"/>
  <c r="H427" i="6"/>
  <c r="C427" i="6"/>
  <c r="B427" i="6"/>
  <c r="H426" i="6"/>
  <c r="C426" i="6"/>
  <c r="B426" i="6"/>
  <c r="H425" i="6"/>
  <c r="C425" i="6"/>
  <c r="B425" i="6"/>
  <c r="H424" i="6"/>
  <c r="C424" i="6"/>
  <c r="B424" i="6"/>
  <c r="H423" i="6"/>
  <c r="C423" i="6"/>
  <c r="B423" i="6"/>
  <c r="H422" i="6"/>
  <c r="C422" i="6"/>
  <c r="B422" i="6"/>
  <c r="H421" i="6"/>
  <c r="C421" i="6"/>
  <c r="B421" i="6"/>
  <c r="H420" i="6"/>
  <c r="C420" i="6"/>
  <c r="B420" i="6"/>
  <c r="H419" i="6"/>
  <c r="C419" i="6"/>
  <c r="B419" i="6"/>
  <c r="H418" i="6"/>
  <c r="C418" i="6"/>
  <c r="B418" i="6"/>
  <c r="H417" i="6"/>
  <c r="C417" i="6"/>
  <c r="B417" i="6"/>
  <c r="H416" i="6"/>
  <c r="C416" i="6"/>
  <c r="B416" i="6"/>
  <c r="H415" i="6"/>
  <c r="C415" i="6"/>
  <c r="B415" i="6"/>
  <c r="H414" i="6"/>
  <c r="C414" i="6"/>
  <c r="B414" i="6"/>
  <c r="H413" i="6"/>
  <c r="C413" i="6"/>
  <c r="B413" i="6"/>
  <c r="H412" i="6"/>
  <c r="C412" i="6"/>
  <c r="B412" i="6"/>
  <c r="H411" i="6"/>
  <c r="C411" i="6"/>
  <c r="B411" i="6"/>
  <c r="H410" i="6"/>
  <c r="C410" i="6"/>
  <c r="B410" i="6"/>
  <c r="H409" i="6"/>
  <c r="C409" i="6"/>
  <c r="B409" i="6"/>
  <c r="H408" i="6"/>
  <c r="C408" i="6"/>
  <c r="B408" i="6"/>
  <c r="H407" i="6"/>
  <c r="C407" i="6"/>
  <c r="B407" i="6"/>
  <c r="H406" i="6"/>
  <c r="C406" i="6"/>
  <c r="B406" i="6"/>
  <c r="H405" i="6"/>
  <c r="C405" i="6"/>
  <c r="B405" i="6"/>
  <c r="H404" i="6"/>
  <c r="C404" i="6"/>
  <c r="B404" i="6"/>
  <c r="H403" i="6"/>
  <c r="C403" i="6"/>
  <c r="B403" i="6"/>
  <c r="H402" i="6"/>
  <c r="C402" i="6"/>
  <c r="B402" i="6"/>
  <c r="H401" i="6"/>
  <c r="C401" i="6"/>
  <c r="B401" i="6"/>
  <c r="H400" i="6"/>
  <c r="C400" i="6"/>
  <c r="B400" i="6"/>
  <c r="H399" i="6"/>
  <c r="C399" i="6"/>
  <c r="B399" i="6"/>
  <c r="H398" i="6"/>
  <c r="C398" i="6"/>
  <c r="B398" i="6"/>
  <c r="H397" i="6"/>
  <c r="C397" i="6"/>
  <c r="B397" i="6"/>
  <c r="H396" i="6"/>
  <c r="C396" i="6"/>
  <c r="B396" i="6"/>
  <c r="H395" i="6"/>
  <c r="C395" i="6"/>
  <c r="B395" i="6"/>
  <c r="H394" i="6"/>
  <c r="C394" i="6"/>
  <c r="B394" i="6"/>
  <c r="H393" i="6"/>
  <c r="C393" i="6"/>
  <c r="B393" i="6"/>
  <c r="H392" i="6"/>
  <c r="C392" i="6"/>
  <c r="B392" i="6"/>
  <c r="H391" i="6"/>
  <c r="C391" i="6"/>
  <c r="B391" i="6"/>
  <c r="H390" i="6"/>
  <c r="C390" i="6"/>
  <c r="B390" i="6"/>
  <c r="H389" i="6"/>
  <c r="C389" i="6"/>
  <c r="B389" i="6"/>
  <c r="H388" i="6"/>
  <c r="C388" i="6"/>
  <c r="B388" i="6"/>
  <c r="H387" i="6"/>
  <c r="C387" i="6"/>
  <c r="B387" i="6"/>
  <c r="H386" i="6"/>
  <c r="C386" i="6"/>
  <c r="B386" i="6"/>
  <c r="H385" i="6"/>
  <c r="C385" i="6"/>
  <c r="B385" i="6"/>
  <c r="H384" i="6"/>
  <c r="C384" i="6"/>
  <c r="B384" i="6"/>
  <c r="H383" i="6"/>
  <c r="C383" i="6"/>
  <c r="B383" i="6"/>
  <c r="H382" i="6"/>
  <c r="C382" i="6"/>
  <c r="B382" i="6"/>
  <c r="H381" i="6"/>
  <c r="C381" i="6"/>
  <c r="B381" i="6"/>
  <c r="H380" i="6"/>
  <c r="C380" i="6"/>
  <c r="B380" i="6"/>
  <c r="H379" i="6"/>
  <c r="C379" i="6"/>
  <c r="B379" i="6"/>
  <c r="H378" i="6"/>
  <c r="C378" i="6"/>
  <c r="B378" i="6"/>
  <c r="H377" i="6"/>
  <c r="C377" i="6"/>
  <c r="B377" i="6"/>
  <c r="H376" i="6"/>
  <c r="C376" i="6"/>
  <c r="B376" i="6"/>
  <c r="H375" i="6"/>
  <c r="C375" i="6"/>
  <c r="B375" i="6"/>
  <c r="H374" i="6"/>
  <c r="C374" i="6"/>
  <c r="B374" i="6"/>
  <c r="H373" i="6"/>
  <c r="C373" i="6"/>
  <c r="B373" i="6"/>
  <c r="H372" i="6"/>
  <c r="C372" i="6"/>
  <c r="B372" i="6"/>
  <c r="H371" i="6"/>
  <c r="C371" i="6"/>
  <c r="B371" i="6"/>
  <c r="H370" i="6"/>
  <c r="C370" i="6"/>
  <c r="B370" i="6"/>
  <c r="H369" i="6"/>
  <c r="C369" i="6"/>
  <c r="B369" i="6"/>
  <c r="H368" i="6"/>
  <c r="C368" i="6"/>
  <c r="B368" i="6"/>
  <c r="H367" i="6"/>
  <c r="C367" i="6"/>
  <c r="B367" i="6"/>
  <c r="H366" i="6"/>
  <c r="C366" i="6"/>
  <c r="B366" i="6"/>
  <c r="H365" i="6"/>
  <c r="C365" i="6"/>
  <c r="B365" i="6"/>
  <c r="H364" i="6"/>
  <c r="C364" i="6"/>
  <c r="B364" i="6"/>
  <c r="H363" i="6"/>
  <c r="C363" i="6"/>
  <c r="B363" i="6"/>
  <c r="H362" i="6"/>
  <c r="C362" i="6"/>
  <c r="B362" i="6"/>
  <c r="H361" i="6"/>
  <c r="C361" i="6"/>
  <c r="B361" i="6"/>
  <c r="H360" i="6"/>
  <c r="C360" i="6"/>
  <c r="B360" i="6"/>
  <c r="H359" i="6"/>
  <c r="C359" i="6"/>
  <c r="B359" i="6"/>
  <c r="H358" i="6"/>
  <c r="C358" i="6"/>
  <c r="B358" i="6"/>
  <c r="H357" i="6"/>
  <c r="C357" i="6"/>
  <c r="B357" i="6"/>
  <c r="H356" i="6"/>
  <c r="C356" i="6"/>
  <c r="B356" i="6"/>
  <c r="H355" i="6"/>
  <c r="C355" i="6"/>
  <c r="B355" i="6"/>
  <c r="H354" i="6"/>
  <c r="C354" i="6"/>
  <c r="B354" i="6"/>
  <c r="H353" i="6"/>
  <c r="C353" i="6"/>
  <c r="B353" i="6"/>
  <c r="H352" i="6"/>
  <c r="C352" i="6"/>
  <c r="B352" i="6"/>
  <c r="H351" i="6"/>
  <c r="C351" i="6"/>
  <c r="B351" i="6"/>
  <c r="H350" i="6"/>
  <c r="C350" i="6"/>
  <c r="B350" i="6"/>
  <c r="H349" i="6"/>
  <c r="C349" i="6"/>
  <c r="B349" i="6"/>
  <c r="H348" i="6"/>
  <c r="C348" i="6"/>
  <c r="B348" i="6"/>
  <c r="H347" i="6"/>
  <c r="C347" i="6"/>
  <c r="B347" i="6"/>
  <c r="H346" i="6"/>
  <c r="C346" i="6"/>
  <c r="B346" i="6"/>
  <c r="H345" i="6"/>
  <c r="C345" i="6"/>
  <c r="B345" i="6"/>
  <c r="H344" i="6"/>
  <c r="C344" i="6"/>
  <c r="B344" i="6"/>
  <c r="H343" i="6"/>
  <c r="C343" i="6"/>
  <c r="B343" i="6"/>
  <c r="H342" i="6"/>
  <c r="C342" i="6"/>
  <c r="B342" i="6"/>
  <c r="H341" i="6"/>
  <c r="C341" i="6"/>
  <c r="B341" i="6"/>
  <c r="H340" i="6"/>
  <c r="C340" i="6"/>
  <c r="B340" i="6"/>
  <c r="H339" i="6"/>
  <c r="C339" i="6"/>
  <c r="B339" i="6"/>
  <c r="H338" i="6"/>
  <c r="C338" i="6"/>
  <c r="B338" i="6"/>
  <c r="H337" i="6"/>
  <c r="C337" i="6"/>
  <c r="B337" i="6"/>
  <c r="H336" i="6"/>
  <c r="C336" i="6"/>
  <c r="B336" i="6"/>
  <c r="H335" i="6"/>
  <c r="C335" i="6"/>
  <c r="B335" i="6"/>
  <c r="H334" i="6"/>
  <c r="C334" i="6"/>
  <c r="B334" i="6"/>
  <c r="H333" i="6"/>
  <c r="C333" i="6"/>
  <c r="B333" i="6"/>
  <c r="H332" i="6"/>
  <c r="C332" i="6"/>
  <c r="B332" i="6"/>
  <c r="H331" i="6"/>
  <c r="C331" i="6"/>
  <c r="B331" i="6"/>
  <c r="H330" i="6"/>
  <c r="C330" i="6"/>
  <c r="B330" i="6"/>
  <c r="H329" i="6"/>
  <c r="C329" i="6"/>
  <c r="B329" i="6"/>
  <c r="H328" i="6"/>
  <c r="C328" i="6"/>
  <c r="B328" i="6"/>
  <c r="H327" i="6"/>
  <c r="C327" i="6"/>
  <c r="B327" i="6"/>
  <c r="H326" i="6"/>
  <c r="C326" i="6"/>
  <c r="B326" i="6"/>
  <c r="H325" i="6"/>
  <c r="C325" i="6"/>
  <c r="B325" i="6"/>
  <c r="H324" i="6"/>
  <c r="C324" i="6"/>
  <c r="B324" i="6"/>
  <c r="H323" i="6"/>
  <c r="C323" i="6"/>
  <c r="B323" i="6"/>
  <c r="H322" i="6"/>
  <c r="C322" i="6"/>
  <c r="B322" i="6"/>
  <c r="H321" i="6"/>
  <c r="C321" i="6"/>
  <c r="B321" i="6"/>
  <c r="H320" i="6"/>
  <c r="C320" i="6"/>
  <c r="B320" i="6"/>
  <c r="H319" i="6"/>
  <c r="C319" i="6"/>
  <c r="B319" i="6"/>
  <c r="H318" i="6"/>
  <c r="C318" i="6"/>
  <c r="B318" i="6"/>
  <c r="H317" i="6"/>
  <c r="C317" i="6"/>
  <c r="B317" i="6"/>
  <c r="H316" i="6"/>
  <c r="C316" i="6"/>
  <c r="B316" i="6"/>
  <c r="H315" i="6"/>
  <c r="C315" i="6"/>
  <c r="B315" i="6"/>
  <c r="H314" i="6"/>
  <c r="C314" i="6"/>
  <c r="B314" i="6"/>
  <c r="H313" i="6"/>
  <c r="C313" i="6"/>
  <c r="B313" i="6"/>
  <c r="H312" i="6"/>
  <c r="C312" i="6"/>
  <c r="B312" i="6"/>
  <c r="H311" i="6"/>
  <c r="C311" i="6"/>
  <c r="B311" i="6"/>
  <c r="H310" i="6"/>
  <c r="C310" i="6"/>
  <c r="B310" i="6"/>
  <c r="H309" i="6"/>
  <c r="C309" i="6"/>
  <c r="B309" i="6"/>
  <c r="H308" i="6"/>
  <c r="C308" i="6"/>
  <c r="B308" i="6"/>
  <c r="H307" i="6"/>
  <c r="C307" i="6"/>
  <c r="B307" i="6"/>
  <c r="H306" i="6"/>
  <c r="C306" i="6"/>
  <c r="B306" i="6"/>
  <c r="H305" i="6"/>
  <c r="C305" i="6"/>
  <c r="B305" i="6"/>
  <c r="H304" i="6"/>
  <c r="C304" i="6"/>
  <c r="B304" i="6"/>
  <c r="H303" i="6"/>
  <c r="C303" i="6"/>
  <c r="B303" i="6"/>
  <c r="H302" i="6"/>
  <c r="C302" i="6"/>
  <c r="B302" i="6"/>
  <c r="H301" i="6"/>
  <c r="C301" i="6"/>
  <c r="B301" i="6"/>
  <c r="H300" i="6"/>
  <c r="C300" i="6"/>
  <c r="B300" i="6"/>
  <c r="H299" i="6"/>
  <c r="C299" i="6"/>
  <c r="B299" i="6"/>
  <c r="H298" i="6"/>
  <c r="C298" i="6"/>
  <c r="B298" i="6"/>
  <c r="H297" i="6"/>
  <c r="C297" i="6"/>
  <c r="B297" i="6"/>
  <c r="H296" i="6"/>
  <c r="C296" i="6"/>
  <c r="B296" i="6"/>
  <c r="H295" i="6"/>
  <c r="C295" i="6"/>
  <c r="B295" i="6"/>
  <c r="H294" i="6"/>
  <c r="C294" i="6"/>
  <c r="B294" i="6"/>
  <c r="H293" i="6"/>
  <c r="C293" i="6"/>
  <c r="B293" i="6"/>
  <c r="H292" i="6"/>
  <c r="C292" i="6"/>
  <c r="B292" i="6"/>
  <c r="H291" i="6"/>
  <c r="C291" i="6"/>
  <c r="B291" i="6"/>
  <c r="H290" i="6"/>
  <c r="C290" i="6"/>
  <c r="B290" i="6"/>
  <c r="H289" i="6"/>
  <c r="C289" i="6"/>
  <c r="B289" i="6"/>
  <c r="H288" i="6"/>
  <c r="C288" i="6"/>
  <c r="B288" i="6"/>
  <c r="H287" i="6"/>
  <c r="C287" i="6"/>
  <c r="B287" i="6"/>
  <c r="H286" i="6"/>
  <c r="C286" i="6"/>
  <c r="B286" i="6"/>
  <c r="H285" i="6"/>
  <c r="C285" i="6"/>
  <c r="B285" i="6"/>
  <c r="H284" i="6"/>
  <c r="C284" i="6"/>
  <c r="B284" i="6"/>
  <c r="H283" i="6"/>
  <c r="C283" i="6"/>
  <c r="B283" i="6"/>
  <c r="H282" i="6"/>
  <c r="C282" i="6"/>
  <c r="B282" i="6"/>
  <c r="H281" i="6"/>
  <c r="C281" i="6"/>
  <c r="B281" i="6"/>
  <c r="H280" i="6"/>
  <c r="C280" i="6"/>
  <c r="B280" i="6"/>
  <c r="H279" i="6"/>
  <c r="C279" i="6"/>
  <c r="B279" i="6"/>
  <c r="H278" i="6"/>
  <c r="C278" i="6"/>
  <c r="B278" i="6"/>
  <c r="H277" i="6"/>
  <c r="C277" i="6"/>
  <c r="B277" i="6"/>
  <c r="H276" i="6"/>
  <c r="C276" i="6"/>
  <c r="B276" i="6"/>
  <c r="H275" i="6"/>
  <c r="C275" i="6"/>
  <c r="B275" i="6"/>
  <c r="H274" i="6"/>
  <c r="C274" i="6"/>
  <c r="B274" i="6"/>
  <c r="H273" i="6"/>
  <c r="C273" i="6"/>
  <c r="B273" i="6"/>
  <c r="H272" i="6"/>
  <c r="C272" i="6"/>
  <c r="B272" i="6"/>
  <c r="H271" i="6"/>
  <c r="C271" i="6"/>
  <c r="B271" i="6"/>
  <c r="H270" i="6"/>
  <c r="C270" i="6"/>
  <c r="B270" i="6"/>
  <c r="H269" i="6"/>
  <c r="C269" i="6"/>
  <c r="B269" i="6"/>
  <c r="H268" i="6"/>
  <c r="C268" i="6"/>
  <c r="B268" i="6"/>
  <c r="H267" i="6"/>
  <c r="C267" i="6"/>
  <c r="B267" i="6"/>
  <c r="H266" i="6"/>
  <c r="C266" i="6"/>
  <c r="B266" i="6"/>
  <c r="H265" i="6"/>
  <c r="C265" i="6"/>
  <c r="B265" i="6"/>
  <c r="H264" i="6"/>
  <c r="C264" i="6"/>
  <c r="B264" i="6"/>
  <c r="H263" i="6"/>
  <c r="C263" i="6"/>
  <c r="B263" i="6"/>
  <c r="H262" i="6"/>
  <c r="C262" i="6"/>
  <c r="B262" i="6"/>
  <c r="H261" i="6"/>
  <c r="C261" i="6"/>
  <c r="B261" i="6"/>
  <c r="H260" i="6"/>
  <c r="C260" i="6"/>
  <c r="B260" i="6"/>
  <c r="H259" i="6"/>
  <c r="C259" i="6"/>
  <c r="B259" i="6"/>
  <c r="H258" i="6"/>
  <c r="C258" i="6"/>
  <c r="B258" i="6"/>
  <c r="H257" i="6"/>
  <c r="C257" i="6"/>
  <c r="B257" i="6"/>
  <c r="H256" i="6"/>
  <c r="C256" i="6"/>
  <c r="B256" i="6"/>
  <c r="H255" i="6"/>
  <c r="C255" i="6"/>
  <c r="B255" i="6"/>
  <c r="H254" i="6"/>
  <c r="C254" i="6"/>
  <c r="B254" i="6"/>
  <c r="H253" i="6"/>
  <c r="C253" i="6"/>
  <c r="B253" i="6"/>
  <c r="H252" i="6"/>
  <c r="C252" i="6"/>
  <c r="B252" i="6"/>
  <c r="H251" i="6"/>
  <c r="C251" i="6"/>
  <c r="B251" i="6"/>
  <c r="H250" i="6"/>
  <c r="C250" i="6"/>
  <c r="B250" i="6"/>
  <c r="H249" i="6"/>
  <c r="C249" i="6"/>
  <c r="B249" i="6"/>
  <c r="H248" i="6"/>
  <c r="C248" i="6"/>
  <c r="B248" i="6"/>
  <c r="H247" i="6"/>
  <c r="C247" i="6"/>
  <c r="B247" i="6"/>
  <c r="H246" i="6"/>
  <c r="C246" i="6"/>
  <c r="B246" i="6"/>
  <c r="H245" i="6"/>
  <c r="C245" i="6"/>
  <c r="B245" i="6"/>
  <c r="H244" i="6"/>
  <c r="C244" i="6"/>
  <c r="B244" i="6"/>
  <c r="H243" i="6"/>
  <c r="C243" i="6"/>
  <c r="B243" i="6"/>
  <c r="H242" i="6"/>
  <c r="C242" i="6"/>
  <c r="B242" i="6"/>
  <c r="H241" i="6"/>
  <c r="C241" i="6"/>
  <c r="B241" i="6"/>
  <c r="H240" i="6"/>
  <c r="C240" i="6"/>
  <c r="B240" i="6"/>
  <c r="H239" i="6"/>
  <c r="C239" i="6"/>
  <c r="B239" i="6"/>
  <c r="H238" i="6"/>
  <c r="C238" i="6"/>
  <c r="B238" i="6"/>
  <c r="H237" i="6"/>
  <c r="C237" i="6"/>
  <c r="B237" i="6"/>
  <c r="H236" i="6"/>
  <c r="C236" i="6"/>
  <c r="B236" i="6"/>
  <c r="H235" i="6"/>
  <c r="C235" i="6"/>
  <c r="B235" i="6"/>
  <c r="H234" i="6"/>
  <c r="C234" i="6"/>
  <c r="B234" i="6"/>
  <c r="H233" i="6"/>
  <c r="C233" i="6"/>
  <c r="B233" i="6"/>
  <c r="H232" i="6"/>
  <c r="C232" i="6"/>
  <c r="B232" i="6"/>
  <c r="H231" i="6"/>
  <c r="C231" i="6"/>
  <c r="B231" i="6"/>
  <c r="H230" i="6"/>
  <c r="C230" i="6"/>
  <c r="B230" i="6"/>
  <c r="H229" i="6"/>
  <c r="C229" i="6"/>
  <c r="B229" i="6"/>
  <c r="H228" i="6"/>
  <c r="C228" i="6"/>
  <c r="B228" i="6"/>
  <c r="H227" i="6"/>
  <c r="C227" i="6"/>
  <c r="B227" i="6"/>
  <c r="H226" i="6"/>
  <c r="C226" i="6"/>
  <c r="B226" i="6"/>
  <c r="H225" i="6"/>
  <c r="C225" i="6"/>
  <c r="B225" i="6"/>
  <c r="H224" i="6"/>
  <c r="C224" i="6"/>
  <c r="B224" i="6"/>
  <c r="H223" i="6"/>
  <c r="C223" i="6"/>
  <c r="B223" i="6"/>
  <c r="H222" i="6"/>
  <c r="C222" i="6"/>
  <c r="B222" i="6"/>
  <c r="H221" i="6"/>
  <c r="C221" i="6"/>
  <c r="B221" i="6"/>
  <c r="H220" i="6"/>
  <c r="C220" i="6"/>
  <c r="B220" i="6"/>
  <c r="H219" i="6"/>
  <c r="C219" i="6"/>
  <c r="B219" i="6"/>
  <c r="H218" i="6"/>
  <c r="C218" i="6"/>
  <c r="B218" i="6"/>
  <c r="H217" i="6"/>
  <c r="C217" i="6"/>
  <c r="B217" i="6"/>
  <c r="H216" i="6"/>
  <c r="C216" i="6"/>
  <c r="B216" i="6"/>
  <c r="H215" i="6"/>
  <c r="C215" i="6"/>
  <c r="B215" i="6"/>
  <c r="H214" i="6"/>
  <c r="C214" i="6"/>
  <c r="B214" i="6"/>
  <c r="H213" i="6"/>
  <c r="C213" i="6"/>
  <c r="B213" i="6"/>
  <c r="H212" i="6"/>
  <c r="C212" i="6"/>
  <c r="B212" i="6"/>
  <c r="H211" i="6"/>
  <c r="C211" i="6"/>
  <c r="B211" i="6"/>
  <c r="H210" i="6"/>
  <c r="C210" i="6"/>
  <c r="B210" i="6"/>
  <c r="H209" i="6"/>
  <c r="C209" i="6"/>
  <c r="B209" i="6"/>
  <c r="H208" i="6"/>
  <c r="C208" i="6"/>
  <c r="B208" i="6"/>
  <c r="H207" i="6"/>
  <c r="C207" i="6"/>
  <c r="B207" i="6"/>
  <c r="H206" i="6"/>
  <c r="C206" i="6"/>
  <c r="B206" i="6"/>
  <c r="H205" i="6"/>
  <c r="C205" i="6"/>
  <c r="B205" i="6"/>
  <c r="H204" i="6"/>
  <c r="C204" i="6"/>
  <c r="B204" i="6"/>
  <c r="H203" i="6"/>
  <c r="C203" i="6"/>
  <c r="B203" i="6"/>
  <c r="H202" i="6"/>
  <c r="C202" i="6"/>
  <c r="B202" i="6"/>
  <c r="H201" i="6"/>
  <c r="C201" i="6"/>
  <c r="B201" i="6"/>
  <c r="H200" i="6"/>
  <c r="C200" i="6"/>
  <c r="B200" i="6"/>
  <c r="H199" i="6"/>
  <c r="C199" i="6"/>
  <c r="B199" i="6"/>
  <c r="H198" i="6"/>
  <c r="C198" i="6"/>
  <c r="B198" i="6"/>
  <c r="H197" i="6"/>
  <c r="C197" i="6"/>
  <c r="B197" i="6"/>
  <c r="H196" i="6"/>
  <c r="C196" i="6"/>
  <c r="B196" i="6"/>
  <c r="H195" i="6"/>
  <c r="C195" i="6"/>
  <c r="B195" i="6"/>
  <c r="H194" i="6"/>
  <c r="C194" i="6"/>
  <c r="B194" i="6"/>
  <c r="H193" i="6"/>
  <c r="C193" i="6"/>
  <c r="B193" i="6"/>
  <c r="H192" i="6"/>
  <c r="C192" i="6"/>
  <c r="B192" i="6"/>
  <c r="H191" i="6"/>
  <c r="C191" i="6"/>
  <c r="B191" i="6"/>
  <c r="H190" i="6"/>
  <c r="C190" i="6"/>
  <c r="B190" i="6"/>
  <c r="H189" i="6"/>
  <c r="C189" i="6"/>
  <c r="B189" i="6"/>
  <c r="H188" i="6"/>
  <c r="C188" i="6"/>
  <c r="B188" i="6"/>
  <c r="H187" i="6"/>
  <c r="C187" i="6"/>
  <c r="B187" i="6"/>
  <c r="H186" i="6"/>
  <c r="C186" i="6"/>
  <c r="B186" i="6"/>
  <c r="H185" i="6"/>
  <c r="C185" i="6"/>
  <c r="B185" i="6"/>
  <c r="H184" i="6"/>
  <c r="C184" i="6"/>
  <c r="B184" i="6"/>
  <c r="H183" i="6"/>
  <c r="C183" i="6"/>
  <c r="B183" i="6"/>
  <c r="H182" i="6"/>
  <c r="C182" i="6"/>
  <c r="B182" i="6"/>
  <c r="H181" i="6"/>
  <c r="C181" i="6"/>
  <c r="B181" i="6"/>
  <c r="H180" i="6"/>
  <c r="C180" i="6"/>
  <c r="B180" i="6"/>
  <c r="H179" i="6"/>
  <c r="C179" i="6"/>
  <c r="B179" i="6"/>
  <c r="H178" i="6"/>
  <c r="C178" i="6"/>
  <c r="B178" i="6"/>
  <c r="H177" i="6"/>
  <c r="C177" i="6"/>
  <c r="B177" i="6"/>
  <c r="H176" i="6"/>
  <c r="C176" i="6"/>
  <c r="B176" i="6"/>
  <c r="H175" i="6"/>
  <c r="C175" i="6"/>
  <c r="B175" i="6"/>
  <c r="H174" i="6"/>
  <c r="C174" i="6"/>
  <c r="B174" i="6"/>
  <c r="H173" i="6"/>
  <c r="C173" i="6"/>
  <c r="B173" i="6"/>
  <c r="H172" i="6"/>
  <c r="C172" i="6"/>
  <c r="B172" i="6"/>
  <c r="H171" i="6"/>
  <c r="C171" i="6"/>
  <c r="B171" i="6"/>
  <c r="H170" i="6"/>
  <c r="C170" i="6"/>
  <c r="B170" i="6"/>
  <c r="H169" i="6"/>
  <c r="C169" i="6"/>
  <c r="B169" i="6"/>
  <c r="H168" i="6"/>
  <c r="C168" i="6"/>
  <c r="B168" i="6"/>
  <c r="H167" i="6"/>
  <c r="C167" i="6"/>
  <c r="B167" i="6"/>
  <c r="H166" i="6"/>
  <c r="C166" i="6"/>
  <c r="B166" i="6"/>
  <c r="H165" i="6"/>
  <c r="C165" i="6"/>
  <c r="B165" i="6"/>
  <c r="H164" i="6"/>
  <c r="C164" i="6"/>
  <c r="B164" i="6"/>
  <c r="H163" i="6"/>
  <c r="C163" i="6"/>
  <c r="B163" i="6"/>
  <c r="H162" i="6"/>
  <c r="C162" i="6"/>
  <c r="B162" i="6"/>
  <c r="H161" i="6"/>
  <c r="C161" i="6"/>
  <c r="B161" i="6"/>
  <c r="H160" i="6"/>
  <c r="C160" i="6"/>
  <c r="B160" i="6"/>
  <c r="H159" i="6"/>
  <c r="C159" i="6"/>
  <c r="B159" i="6"/>
  <c r="H158" i="6"/>
  <c r="C158" i="6"/>
  <c r="B158" i="6"/>
  <c r="H157" i="6"/>
  <c r="C157" i="6"/>
  <c r="B157" i="6"/>
  <c r="H156" i="6"/>
  <c r="C156" i="6"/>
  <c r="B156" i="6"/>
  <c r="H155" i="6"/>
  <c r="C155" i="6"/>
  <c r="B155" i="6"/>
  <c r="H154" i="6"/>
  <c r="C154" i="6"/>
  <c r="B154" i="6"/>
  <c r="H153" i="6"/>
  <c r="C153" i="6"/>
  <c r="B153" i="6"/>
  <c r="H152" i="6"/>
  <c r="C152" i="6"/>
  <c r="B152" i="6"/>
  <c r="H151" i="6"/>
  <c r="C151" i="6"/>
  <c r="B151" i="6"/>
  <c r="H150" i="6"/>
  <c r="C150" i="6"/>
  <c r="B150" i="6"/>
  <c r="H149" i="6"/>
  <c r="C149" i="6"/>
  <c r="B149" i="6"/>
  <c r="H148" i="6"/>
  <c r="C148" i="6"/>
  <c r="B148" i="6"/>
  <c r="H147" i="6"/>
  <c r="C147" i="6"/>
  <c r="B147" i="6"/>
  <c r="H146" i="6"/>
  <c r="C146" i="6"/>
  <c r="B146" i="6"/>
  <c r="H145" i="6"/>
  <c r="C145" i="6"/>
  <c r="B145" i="6"/>
  <c r="H144" i="6"/>
  <c r="C144" i="6"/>
  <c r="B144" i="6"/>
  <c r="H143" i="6"/>
  <c r="C143" i="6"/>
  <c r="B143" i="6"/>
  <c r="H142" i="6"/>
  <c r="C142" i="6"/>
  <c r="B142" i="6"/>
  <c r="H141" i="6"/>
  <c r="C141" i="6"/>
  <c r="B141" i="6"/>
  <c r="H140" i="6"/>
  <c r="C140" i="6"/>
  <c r="B140" i="6"/>
  <c r="H139" i="6"/>
  <c r="C139" i="6"/>
  <c r="B139" i="6"/>
  <c r="H138" i="6"/>
  <c r="C138" i="6"/>
  <c r="B138" i="6"/>
  <c r="H137" i="6"/>
  <c r="C137" i="6"/>
  <c r="B137" i="6"/>
  <c r="H136" i="6"/>
  <c r="C136" i="6"/>
  <c r="B136" i="6"/>
  <c r="H135" i="6"/>
  <c r="C135" i="6"/>
  <c r="B135" i="6"/>
  <c r="H134" i="6"/>
  <c r="C134" i="6"/>
  <c r="B134" i="6"/>
  <c r="H133" i="6"/>
  <c r="C133" i="6"/>
  <c r="B133" i="6"/>
  <c r="H132" i="6"/>
  <c r="C132" i="6"/>
  <c r="B132" i="6"/>
  <c r="H131" i="6"/>
  <c r="C131" i="6"/>
  <c r="B131" i="6"/>
  <c r="H130" i="6"/>
  <c r="C130" i="6"/>
  <c r="B130" i="6"/>
  <c r="H129" i="6"/>
  <c r="C129" i="6"/>
  <c r="B129" i="6"/>
  <c r="H128" i="6"/>
  <c r="C128" i="6"/>
  <c r="B128" i="6"/>
  <c r="H127" i="6"/>
  <c r="C127" i="6"/>
  <c r="B127" i="6"/>
  <c r="H126" i="6"/>
  <c r="C126" i="6"/>
  <c r="B126" i="6"/>
  <c r="H125" i="6"/>
  <c r="C125" i="6"/>
  <c r="B125" i="6"/>
  <c r="H124" i="6"/>
  <c r="C124" i="6"/>
  <c r="B124" i="6"/>
  <c r="H123" i="6"/>
  <c r="C123" i="6"/>
  <c r="B123" i="6"/>
  <c r="H122" i="6"/>
  <c r="C122" i="6"/>
  <c r="B122" i="6"/>
  <c r="H121" i="6"/>
  <c r="C121" i="6"/>
  <c r="B121" i="6"/>
  <c r="H120" i="6"/>
  <c r="C120" i="6"/>
  <c r="B120" i="6"/>
  <c r="H119" i="6"/>
  <c r="C119" i="6"/>
  <c r="B119" i="6"/>
  <c r="H118" i="6"/>
  <c r="C118" i="6"/>
  <c r="B118" i="6"/>
  <c r="H117" i="6"/>
  <c r="C117" i="6"/>
  <c r="B117" i="6"/>
  <c r="H116" i="6"/>
  <c r="C116" i="6"/>
  <c r="B116" i="6"/>
  <c r="H115" i="6"/>
  <c r="C115" i="6"/>
  <c r="B115" i="6"/>
  <c r="H114" i="6"/>
  <c r="C114" i="6"/>
  <c r="B114" i="6"/>
  <c r="H113" i="6"/>
  <c r="C113" i="6"/>
  <c r="B113" i="6"/>
  <c r="H112" i="6"/>
  <c r="C112" i="6"/>
  <c r="B112" i="6"/>
  <c r="H111" i="6"/>
  <c r="C111" i="6"/>
  <c r="B111" i="6"/>
  <c r="H110" i="6"/>
  <c r="C110" i="6"/>
  <c r="B110" i="6"/>
  <c r="H109" i="6"/>
  <c r="C109" i="6"/>
  <c r="B109" i="6"/>
  <c r="H108" i="6"/>
  <c r="C108" i="6"/>
  <c r="B108" i="6"/>
  <c r="H107" i="6"/>
  <c r="C107" i="6"/>
  <c r="B107" i="6"/>
  <c r="H106" i="6"/>
  <c r="C106" i="6"/>
  <c r="B106" i="6"/>
  <c r="H105" i="6"/>
  <c r="C105" i="6"/>
  <c r="B105" i="6"/>
  <c r="H104" i="6"/>
  <c r="C104" i="6"/>
  <c r="B104" i="6"/>
  <c r="H103" i="6"/>
  <c r="C103" i="6"/>
  <c r="B103" i="6"/>
  <c r="H102" i="6"/>
  <c r="C102" i="6"/>
  <c r="B102" i="6"/>
  <c r="H101" i="6"/>
  <c r="C101" i="6"/>
  <c r="B101" i="6"/>
  <c r="H100" i="6"/>
  <c r="C100" i="6"/>
  <c r="B100" i="6"/>
  <c r="H99" i="6"/>
  <c r="C99" i="6"/>
  <c r="B99" i="6"/>
  <c r="H98" i="6"/>
  <c r="C98" i="6"/>
  <c r="B98" i="6"/>
  <c r="H97" i="6"/>
  <c r="C97" i="6"/>
  <c r="B97" i="6"/>
  <c r="H96" i="6"/>
  <c r="C96" i="6"/>
  <c r="B96" i="6"/>
  <c r="H95" i="6"/>
  <c r="C95" i="6"/>
  <c r="B95" i="6"/>
  <c r="H94" i="6"/>
  <c r="C94" i="6"/>
  <c r="B94" i="6"/>
  <c r="H93" i="6"/>
  <c r="C93" i="6"/>
  <c r="B93" i="6"/>
  <c r="H92" i="6"/>
  <c r="C92" i="6"/>
  <c r="B92" i="6"/>
  <c r="H91" i="6"/>
  <c r="C91" i="6"/>
  <c r="B91" i="6"/>
  <c r="H90" i="6"/>
  <c r="C90" i="6"/>
  <c r="B90" i="6"/>
  <c r="H89" i="6"/>
  <c r="C89" i="6"/>
  <c r="B89" i="6"/>
  <c r="H88" i="6"/>
  <c r="C88" i="6"/>
  <c r="B88" i="6"/>
  <c r="H87" i="6"/>
  <c r="C87" i="6"/>
  <c r="B87" i="6"/>
  <c r="H86" i="6"/>
  <c r="C86" i="6"/>
  <c r="B86" i="6"/>
  <c r="H85" i="6"/>
  <c r="C85" i="6"/>
  <c r="B85" i="6"/>
  <c r="H84" i="6"/>
  <c r="C84" i="6"/>
  <c r="B84" i="6"/>
  <c r="H83" i="6"/>
  <c r="C83" i="6"/>
  <c r="B83" i="6"/>
  <c r="H82" i="6"/>
  <c r="C82" i="6"/>
  <c r="B82" i="6"/>
  <c r="H81" i="6"/>
  <c r="C81" i="6"/>
  <c r="B81" i="6"/>
  <c r="H80" i="6"/>
  <c r="C80" i="6"/>
  <c r="B80" i="6"/>
  <c r="H79" i="6"/>
  <c r="C79" i="6"/>
  <c r="B79" i="6"/>
  <c r="H78" i="6"/>
  <c r="C78" i="6"/>
  <c r="B78" i="6"/>
  <c r="H77" i="6"/>
  <c r="C77" i="6"/>
  <c r="B77" i="6"/>
  <c r="H76" i="6"/>
  <c r="C76" i="6"/>
  <c r="B76" i="6"/>
  <c r="H75" i="6"/>
  <c r="C75" i="6"/>
  <c r="B75" i="6"/>
  <c r="H74" i="6"/>
  <c r="C74" i="6"/>
  <c r="B74" i="6"/>
  <c r="H73" i="6"/>
  <c r="C73" i="6"/>
  <c r="B73" i="6"/>
  <c r="H72" i="6"/>
  <c r="C72" i="6"/>
  <c r="B72" i="6"/>
  <c r="H71" i="6"/>
  <c r="C71" i="6"/>
  <c r="B71" i="6"/>
  <c r="H70" i="6"/>
  <c r="C70" i="6"/>
  <c r="B70" i="6"/>
  <c r="H69" i="6"/>
  <c r="C69" i="6"/>
  <c r="B69" i="6"/>
  <c r="H68" i="6"/>
  <c r="C68" i="6"/>
  <c r="B68" i="6"/>
  <c r="H67" i="6"/>
  <c r="C67" i="6"/>
  <c r="B67" i="6"/>
  <c r="H66" i="6"/>
  <c r="C66" i="6"/>
  <c r="B66" i="6"/>
  <c r="H65" i="6"/>
  <c r="C65" i="6"/>
  <c r="B65" i="6"/>
  <c r="H64" i="6"/>
  <c r="C64" i="6"/>
  <c r="B64" i="6"/>
  <c r="H63" i="6"/>
  <c r="C63" i="6"/>
  <c r="B63" i="6"/>
  <c r="H62" i="6"/>
  <c r="C62" i="6"/>
  <c r="B62" i="6"/>
  <c r="H61" i="6"/>
  <c r="C61" i="6"/>
  <c r="B61" i="6"/>
  <c r="H60" i="6"/>
  <c r="C60" i="6"/>
  <c r="B60" i="6"/>
  <c r="H59" i="6"/>
  <c r="C59" i="6"/>
  <c r="B59" i="6"/>
  <c r="H58" i="6"/>
  <c r="C58" i="6"/>
  <c r="B58" i="6"/>
  <c r="H57" i="6"/>
  <c r="C57" i="6"/>
  <c r="B57" i="6"/>
  <c r="H56" i="6"/>
  <c r="C56" i="6"/>
  <c r="B56" i="6"/>
  <c r="H55" i="6"/>
  <c r="C55" i="6"/>
  <c r="B55" i="6"/>
  <c r="H54" i="6"/>
  <c r="C54" i="6"/>
  <c r="B54" i="6"/>
  <c r="H53" i="6"/>
  <c r="C53" i="6"/>
  <c r="B53" i="6"/>
  <c r="H52" i="6"/>
  <c r="C52" i="6"/>
  <c r="B52" i="6"/>
  <c r="H51" i="6"/>
  <c r="C51" i="6"/>
  <c r="B51" i="6"/>
  <c r="H50" i="6"/>
  <c r="C50" i="6"/>
  <c r="B50" i="6"/>
  <c r="H49" i="6"/>
  <c r="C49" i="6"/>
  <c r="B49" i="6"/>
  <c r="H48" i="6"/>
  <c r="C48" i="6"/>
  <c r="B48" i="6"/>
  <c r="H47" i="6"/>
  <c r="C47" i="6"/>
  <c r="B47" i="6"/>
  <c r="H46" i="6"/>
  <c r="C46" i="6"/>
  <c r="B46" i="6"/>
  <c r="H45" i="6"/>
  <c r="C45" i="6"/>
  <c r="B45" i="6"/>
  <c r="H44" i="6"/>
  <c r="C44" i="6"/>
  <c r="B44" i="6"/>
  <c r="H43" i="6"/>
  <c r="C43" i="6"/>
  <c r="B43" i="6"/>
  <c r="H42" i="6"/>
  <c r="C42" i="6"/>
  <c r="B42" i="6"/>
  <c r="H41" i="6"/>
  <c r="C41" i="6"/>
  <c r="B41" i="6"/>
  <c r="H40" i="6"/>
  <c r="C40" i="6"/>
  <c r="B40" i="6"/>
  <c r="H39" i="6"/>
  <c r="C39" i="6"/>
  <c r="B39" i="6"/>
  <c r="H38" i="6"/>
  <c r="C38" i="6"/>
  <c r="B38" i="6"/>
  <c r="H37" i="6"/>
  <c r="C37" i="6"/>
  <c r="B37" i="6"/>
  <c r="H36" i="6"/>
  <c r="C36" i="6"/>
  <c r="B36" i="6"/>
  <c r="H35" i="6"/>
  <c r="C35" i="6"/>
  <c r="B35" i="6"/>
  <c r="H34" i="6"/>
  <c r="C34" i="6"/>
  <c r="B34" i="6"/>
  <c r="H33" i="6"/>
  <c r="C33" i="6"/>
  <c r="B33" i="6"/>
  <c r="H32" i="6"/>
  <c r="C32" i="6"/>
  <c r="B32" i="6"/>
  <c r="H31" i="6"/>
  <c r="C31" i="6"/>
  <c r="B31" i="6"/>
  <c r="H30" i="6"/>
  <c r="C30" i="6"/>
  <c r="B30" i="6"/>
  <c r="H29" i="6"/>
  <c r="C29" i="6"/>
  <c r="B29" i="6"/>
  <c r="H28" i="6"/>
  <c r="C28" i="6"/>
  <c r="B28" i="6"/>
  <c r="H27" i="6"/>
  <c r="C27" i="6"/>
  <c r="B27" i="6"/>
  <c r="H26" i="6"/>
  <c r="C26" i="6"/>
  <c r="B26" i="6"/>
  <c r="H25" i="6"/>
  <c r="C25" i="6"/>
  <c r="B25" i="6"/>
  <c r="H24" i="6"/>
  <c r="C24" i="6"/>
  <c r="B24" i="6"/>
  <c r="H23" i="6"/>
  <c r="C23" i="6"/>
  <c r="B23" i="6"/>
  <c r="H22" i="6"/>
  <c r="C22" i="6"/>
  <c r="B22" i="6"/>
  <c r="H21" i="6"/>
  <c r="C21" i="6"/>
  <c r="B21" i="6"/>
  <c r="H20" i="6"/>
  <c r="C20" i="6"/>
  <c r="B20" i="6"/>
  <c r="H19" i="6"/>
  <c r="C19" i="6"/>
  <c r="B19" i="6"/>
  <c r="H18" i="6"/>
  <c r="C18" i="6"/>
  <c r="B18" i="6"/>
  <c r="H17" i="6"/>
  <c r="C17" i="6"/>
  <c r="B17" i="6"/>
  <c r="H16" i="6"/>
  <c r="C16" i="6"/>
  <c r="B16" i="6"/>
  <c r="H15" i="6"/>
  <c r="C15" i="6"/>
  <c r="B15" i="6"/>
  <c r="H14" i="6"/>
  <c r="C14" i="6"/>
  <c r="B14" i="6"/>
  <c r="H13" i="6"/>
  <c r="C13" i="6"/>
  <c r="B13" i="6"/>
  <c r="H12" i="6"/>
  <c r="C12" i="6"/>
  <c r="B12" i="6"/>
  <c r="H11" i="6"/>
  <c r="C11" i="6"/>
  <c r="B11" i="6"/>
  <c r="H10" i="6"/>
  <c r="C10" i="6"/>
  <c r="B10" i="6"/>
  <c r="H9" i="6"/>
  <c r="C9" i="6"/>
  <c r="B9" i="6"/>
  <c r="H8" i="6"/>
  <c r="C8" i="6"/>
  <c r="B8" i="6"/>
  <c r="H7" i="6"/>
  <c r="C7" i="6"/>
  <c r="B7" i="6"/>
  <c r="H6" i="6"/>
  <c r="C6" i="6"/>
  <c r="B6" i="6"/>
  <c r="H5" i="6"/>
  <c r="C5" i="6"/>
  <c r="B5" i="6"/>
  <c r="H4" i="6"/>
  <c r="C4" i="6"/>
  <c r="B4" i="6"/>
  <c r="H3" i="6"/>
  <c r="C3" i="6"/>
  <c r="B3" i="6"/>
  <c r="H2" i="6"/>
  <c r="C2" i="6"/>
  <c r="B2" i="6"/>
  <c r="E633" i="1"/>
  <c r="P633" i="1"/>
  <c r="C5" i="2"/>
  <c r="F633" i="1"/>
  <c r="U633" i="1"/>
  <c r="T633" i="1"/>
  <c r="W633" i="1" s="1"/>
  <c r="D633" i="1"/>
  <c r="C60" i="25"/>
  <c r="C90" i="25"/>
  <c r="C110" i="25"/>
  <c r="D10" i="25"/>
  <c r="D28" i="25"/>
  <c r="D39" i="25"/>
  <c r="D25" i="25"/>
  <c r="C92" i="25"/>
  <c r="D5" i="25"/>
  <c r="D19" i="25"/>
  <c r="D32" i="25"/>
  <c r="D47" i="25"/>
  <c r="C69" i="25"/>
  <c r="G4" i="13"/>
  <c r="F5" i="15"/>
  <c r="F6" i="15"/>
  <c r="F12" i="15"/>
  <c r="F11" i="15"/>
  <c r="O7" i="19"/>
  <c r="L5" i="19"/>
  <c r="K8" i="19"/>
  <c r="C65" i="25"/>
  <c r="C80" i="25"/>
  <c r="D49" i="25"/>
  <c r="C70" i="25"/>
  <c r="C88" i="25"/>
  <c r="C99" i="25"/>
  <c r="F17" i="15"/>
  <c r="K6" i="19"/>
  <c r="C64" i="25"/>
  <c r="C73" i="25"/>
  <c r="C87" i="25"/>
  <c r="C103" i="25"/>
  <c r="C97" i="25"/>
  <c r="C78" i="25"/>
  <c r="D22" i="25"/>
  <c r="D26" i="25"/>
  <c r="D34" i="25"/>
  <c r="D43" i="25"/>
  <c r="D9" i="25"/>
  <c r="D36" i="25"/>
  <c r="D31" i="25"/>
  <c r="F5" i="13"/>
  <c r="G19" i="15"/>
  <c r="F15" i="15"/>
  <c r="F18" i="15"/>
  <c r="G15" i="15"/>
  <c r="M5" i="19"/>
  <c r="K7" i="19"/>
  <c r="N7" i="19"/>
  <c r="C77" i="25"/>
  <c r="C83" i="25"/>
  <c r="F4" i="15"/>
  <c r="G17" i="15"/>
  <c r="N6" i="19"/>
  <c r="F7" i="13"/>
  <c r="C63" i="25"/>
  <c r="D7" i="25"/>
  <c r="D45" i="25"/>
  <c r="C109" i="25"/>
  <c r="C100" i="25"/>
  <c r="C102" i="25"/>
  <c r="D8" i="25"/>
  <c r="C98" i="25"/>
  <c r="C91" i="25"/>
  <c r="C85" i="25"/>
  <c r="C79" i="25"/>
  <c r="C72" i="25"/>
  <c r="F8" i="13"/>
  <c r="G7" i="15"/>
  <c r="G6" i="15"/>
  <c r="G14" i="15"/>
  <c r="F13" i="15"/>
  <c r="M7" i="19"/>
  <c r="K5" i="19"/>
  <c r="L8" i="19"/>
  <c r="C86" i="25"/>
  <c r="D51" i="25"/>
  <c r="D23" i="25"/>
  <c r="C108" i="25"/>
  <c r="C89" i="25"/>
  <c r="F4" i="13"/>
  <c r="G4" i="15"/>
  <c r="M8" i="19"/>
  <c r="C95" i="25"/>
  <c r="F8" i="15"/>
  <c r="D40" i="25"/>
  <c r="C106" i="25"/>
  <c r="C61" i="25"/>
  <c r="C96" i="25"/>
  <c r="C75" i="25"/>
  <c r="I4" i="15"/>
  <c r="O8" i="19"/>
  <c r="D16" i="25"/>
  <c r="C104" i="25"/>
  <c r="D35" i="25"/>
  <c r="C101" i="25"/>
  <c r="C82" i="25"/>
  <c r="F10" i="15"/>
  <c r="G8" i="15"/>
  <c r="O6" i="19"/>
  <c r="L7" i="19"/>
  <c r="D33" i="25"/>
  <c r="G12" i="15"/>
  <c r="D6" i="25"/>
  <c r="D12" i="25"/>
  <c r="G20" i="15"/>
  <c r="F14" i="15"/>
  <c r="D54" i="25"/>
  <c r="C66" i="25"/>
  <c r="C71" i="25"/>
  <c r="C68" i="25"/>
  <c r="D17" i="25"/>
  <c r="J4" i="15"/>
  <c r="G11" i="15"/>
  <c r="M6" i="19"/>
  <c r="D18" i="25"/>
  <c r="D37" i="25"/>
  <c r="F7" i="15"/>
  <c r="O5" i="19"/>
  <c r="C74" i="25"/>
  <c r="F20" i="15"/>
  <c r="D44" i="25"/>
  <c r="D41" i="25"/>
  <c r="D55" i="25"/>
  <c r="D48" i="25"/>
  <c r="D30" i="25"/>
  <c r="G9" i="15"/>
  <c r="G10" i="15"/>
  <c r="L6" i="19"/>
  <c r="D27" i="25"/>
  <c r="D11" i="25"/>
  <c r="D46" i="25"/>
  <c r="F6" i="13"/>
  <c r="G16" i="15"/>
  <c r="C94" i="25"/>
  <c r="D42" i="25"/>
  <c r="C81" i="25"/>
  <c r="D13" i="25"/>
  <c r="C105" i="25"/>
  <c r="F19" i="15"/>
  <c r="N8" i="19"/>
  <c r="D53" i="25"/>
  <c r="N5" i="19"/>
  <c r="C67" i="25"/>
  <c r="D24" i="25"/>
  <c r="C107" i="25"/>
  <c r="C62" i="25"/>
  <c r="D14" i="25"/>
  <c r="F10" i="13"/>
  <c r="G18" i="15"/>
  <c r="F9" i="15"/>
  <c r="F16" i="15"/>
  <c r="D20" i="25"/>
  <c r="C84" i="25"/>
  <c r="D15" i="25"/>
  <c r="D50" i="25"/>
  <c r="F9" i="13"/>
  <c r="G5" i="15"/>
  <c r="D29" i="25"/>
  <c r="G13" i="15"/>
  <c r="D52" i="25"/>
  <c r="D15" i="22"/>
  <c r="D19" i="22"/>
  <c r="D23" i="22"/>
  <c r="D25" i="22"/>
  <c r="D17" i="22"/>
  <c r="D22" i="22"/>
  <c r="D14" i="22"/>
  <c r="D9" i="22"/>
  <c r="D11" i="22"/>
  <c r="D10" i="22"/>
  <c r="D21" i="22"/>
  <c r="D5" i="22"/>
  <c r="D13" i="22"/>
  <c r="D24" i="22"/>
  <c r="D18" i="22"/>
  <c r="D26" i="22"/>
  <c r="D7" i="22"/>
  <c r="D16" i="22"/>
  <c r="Q6" i="14" l="1"/>
  <c r="R6" i="14" s="1"/>
  <c r="W53" i="11"/>
  <c r="Q125" i="14"/>
  <c r="R125" i="14" s="1"/>
  <c r="Q221" i="14"/>
  <c r="R221" i="14" s="1"/>
  <c r="Q229" i="14"/>
  <c r="R229" i="14" s="1"/>
  <c r="Q301" i="14"/>
  <c r="R301" i="14" s="1"/>
  <c r="Q349" i="14"/>
  <c r="R349" i="14" s="1"/>
  <c r="Q373" i="14"/>
  <c r="R373" i="14" s="1"/>
  <c r="Q389" i="14"/>
  <c r="R389" i="14" s="1"/>
  <c r="Q437" i="14"/>
  <c r="R437" i="14" s="1"/>
  <c r="Q461" i="14"/>
  <c r="R461" i="14" s="1"/>
  <c r="Q533" i="14"/>
  <c r="R533" i="14" s="1"/>
  <c r="Q605" i="14"/>
  <c r="R605" i="14" s="1"/>
  <c r="W369" i="23"/>
  <c r="X369" i="23" s="1"/>
  <c r="W265" i="23"/>
  <c r="X265" i="23" s="1"/>
  <c r="Q96" i="14"/>
  <c r="R96" i="14" s="1"/>
  <c r="Q456" i="14"/>
  <c r="R456" i="14" s="1"/>
  <c r="Q600" i="14"/>
  <c r="R600" i="14" s="1"/>
  <c r="W176" i="23"/>
  <c r="W188" i="23"/>
  <c r="X536" i="23"/>
  <c r="W536" i="23"/>
  <c r="W585" i="23"/>
  <c r="W597" i="23"/>
  <c r="W154" i="23"/>
  <c r="W167" i="23"/>
  <c r="W175" i="23"/>
  <c r="X175" i="23" s="1"/>
  <c r="W253" i="23"/>
  <c r="X253" i="23" s="1"/>
  <c r="W266" i="23"/>
  <c r="X266" i="23" s="1"/>
  <c r="W270" i="23"/>
  <c r="X270" i="23" s="1"/>
  <c r="W291" i="23"/>
  <c r="X291" i="23" s="1"/>
  <c r="X475" i="23"/>
  <c r="W475" i="23"/>
  <c r="W231" i="23"/>
  <c r="X231" i="23" s="1"/>
  <c r="W324" i="23"/>
  <c r="X324" i="23" s="1"/>
  <c r="W490" i="23"/>
  <c r="X490" i="23" s="1"/>
  <c r="W68" i="16"/>
  <c r="Q36" i="14"/>
  <c r="R36" i="14" s="1"/>
  <c r="Q60" i="14"/>
  <c r="R60" i="14" s="1"/>
  <c r="Q108" i="14"/>
  <c r="R108" i="14" s="1"/>
  <c r="Q420" i="14"/>
  <c r="R420" i="14" s="1"/>
  <c r="Q492" i="14"/>
  <c r="R492" i="14" s="1"/>
  <c r="W389" i="23"/>
  <c r="X389" i="23" s="1"/>
  <c r="W8" i="23"/>
  <c r="X8" i="23" s="1"/>
  <c r="X148" i="23"/>
  <c r="W148" i="23"/>
  <c r="W246" i="23"/>
  <c r="W268" i="23"/>
  <c r="X268" i="23" s="1"/>
  <c r="W285" i="23"/>
  <c r="X285" i="23" s="1"/>
  <c r="Q30" i="14"/>
  <c r="R30" i="14" s="1"/>
  <c r="Q54" i="14"/>
  <c r="R54" i="14" s="1"/>
  <c r="Q214" i="14"/>
  <c r="R214" i="14" s="1"/>
  <c r="Q334" i="14"/>
  <c r="R334" i="14" s="1"/>
  <c r="Q510" i="14"/>
  <c r="R510" i="14" s="1"/>
  <c r="Q582" i="14"/>
  <c r="R582" i="14" s="1"/>
  <c r="X619" i="23"/>
  <c r="W619" i="23"/>
  <c r="X623" i="23"/>
  <c r="W623" i="23"/>
  <c r="W239" i="11"/>
  <c r="V567" i="16"/>
  <c r="W567" i="16"/>
  <c r="W114" i="11"/>
  <c r="V114" i="11"/>
  <c r="W540" i="11"/>
  <c r="V540" i="11"/>
  <c r="W619" i="11"/>
  <c r="V619" i="11"/>
  <c r="V11" i="1"/>
  <c r="W11" i="1" s="1"/>
  <c r="W317" i="1"/>
  <c r="V468" i="1"/>
  <c r="W468" i="1" s="1"/>
  <c r="W196" i="23"/>
  <c r="X196" i="23" s="1"/>
  <c r="W200" i="23"/>
  <c r="W208" i="23"/>
  <c r="X208" i="23" s="1"/>
  <c r="W225" i="23"/>
  <c r="X225" i="23" s="1"/>
  <c r="W229" i="23"/>
  <c r="X229" i="23" s="1"/>
  <c r="W276" i="23"/>
  <c r="X276" i="23" s="1"/>
  <c r="W340" i="23"/>
  <c r="X340" i="23" s="1"/>
  <c r="W425" i="23"/>
  <c r="X425" i="23" s="1"/>
  <c r="W463" i="23"/>
  <c r="W513" i="23"/>
  <c r="W529" i="23"/>
  <c r="X529" i="23" s="1"/>
  <c r="W609" i="23"/>
  <c r="V27" i="16"/>
  <c r="W27" i="16" s="1"/>
  <c r="V40" i="16"/>
  <c r="W40" i="16" s="1"/>
  <c r="V68" i="16"/>
  <c r="V77" i="16"/>
  <c r="W77" i="16" s="1"/>
  <c r="V95" i="16"/>
  <c r="W95" i="16" s="1"/>
  <c r="V110" i="16"/>
  <c r="W110" i="16" s="1"/>
  <c r="V114" i="16"/>
  <c r="W114" i="16" s="1"/>
  <c r="V122" i="16"/>
  <c r="W122" i="16" s="1"/>
  <c r="V141" i="16"/>
  <c r="W141" i="16" s="1"/>
  <c r="W149" i="16"/>
  <c r="V200" i="16"/>
  <c r="W200" i="16" s="1"/>
  <c r="V286" i="16"/>
  <c r="V303" i="16"/>
  <c r="W303" i="16" s="1"/>
  <c r="W317" i="16"/>
  <c r="V317" i="16"/>
  <c r="W353" i="16"/>
  <c r="V354" i="16"/>
  <c r="W354" i="16" s="1"/>
  <c r="V449" i="16"/>
  <c r="V463" i="16"/>
  <c r="W463" i="16" s="1"/>
  <c r="V539" i="16"/>
  <c r="V5" i="11"/>
  <c r="W5" i="11" s="1"/>
  <c r="V37" i="11"/>
  <c r="W37" i="11"/>
  <c r="V80" i="11"/>
  <c r="W80" i="11" s="1"/>
  <c r="V95" i="11"/>
  <c r="W95" i="11" s="1"/>
  <c r="V101" i="11"/>
  <c r="W101" i="11" s="1"/>
  <c r="V109" i="11"/>
  <c r="W109" i="11" s="1"/>
  <c r="V224" i="11"/>
  <c r="W224" i="11" s="1"/>
  <c r="V228" i="11"/>
  <c r="W228" i="11"/>
  <c r="V278" i="11"/>
  <c r="W278" i="11" s="1"/>
  <c r="V337" i="11"/>
  <c r="W337" i="11" s="1"/>
  <c r="V341" i="11"/>
  <c r="W341" i="11" s="1"/>
  <c r="V423" i="11"/>
  <c r="W423" i="11" s="1"/>
  <c r="V427" i="11"/>
  <c r="W427" i="11" s="1"/>
  <c r="V536" i="11"/>
  <c r="W45" i="1"/>
  <c r="V182" i="1"/>
  <c r="W182" i="1" s="1"/>
  <c r="V256" i="1"/>
  <c r="W256" i="1" s="1"/>
  <c r="W125" i="23"/>
  <c r="X125" i="23" s="1"/>
  <c r="X157" i="23"/>
  <c r="W237" i="23"/>
  <c r="X237" i="23" s="1"/>
  <c r="W241" i="23"/>
  <c r="X241" i="23" s="1"/>
  <c r="X249" i="23"/>
  <c r="W258" i="23"/>
  <c r="X258" i="23" s="1"/>
  <c r="W267" i="23"/>
  <c r="X267" i="23" s="1"/>
  <c r="W293" i="23"/>
  <c r="W301" i="23"/>
  <c r="X301" i="23" s="1"/>
  <c r="W306" i="23"/>
  <c r="X306" i="23" s="1"/>
  <c r="W318" i="23"/>
  <c r="X318" i="23" s="1"/>
  <c r="W361" i="23"/>
  <c r="X361" i="23" s="1"/>
  <c r="W379" i="23"/>
  <c r="W400" i="23"/>
  <c r="X400" i="23" s="1"/>
  <c r="W404" i="23"/>
  <c r="W437" i="23"/>
  <c r="W466" i="23"/>
  <c r="W512" i="23"/>
  <c r="X512" i="23" s="1"/>
  <c r="W541" i="23"/>
  <c r="X541" i="23" s="1"/>
  <c r="W580" i="23"/>
  <c r="X580" i="23" s="1"/>
  <c r="W596" i="23"/>
  <c r="N23" i="26"/>
  <c r="O23" i="26" s="1"/>
  <c r="V3" i="16"/>
  <c r="W3" i="16" s="1"/>
  <c r="V12" i="16"/>
  <c r="W12" i="16" s="1"/>
  <c r="V21" i="16"/>
  <c r="W21" i="16" s="1"/>
  <c r="V48" i="16"/>
  <c r="W48" i="16" s="1"/>
  <c r="V58" i="16"/>
  <c r="W58" i="16" s="1"/>
  <c r="V63" i="16"/>
  <c r="W63" i="16" s="1"/>
  <c r="V81" i="16"/>
  <c r="W81" i="16" s="1"/>
  <c r="V105" i="16"/>
  <c r="W105" i="16" s="1"/>
  <c r="V121" i="16"/>
  <c r="V131" i="16"/>
  <c r="W131" i="16" s="1"/>
  <c r="V140" i="16"/>
  <c r="W140" i="16" s="1"/>
  <c r="W144" i="16"/>
  <c r="V149" i="16"/>
  <c r="V161" i="16"/>
  <c r="W161" i="16" s="1"/>
  <c r="V170" i="16"/>
  <c r="W170" i="16" s="1"/>
  <c r="V174" i="16"/>
  <c r="W174" i="16" s="1"/>
  <c r="V182" i="16"/>
  <c r="W182" i="16" s="1"/>
  <c r="V186" i="16"/>
  <c r="W186" i="16" s="1"/>
  <c r="V190" i="16"/>
  <c r="V302" i="16"/>
  <c r="W302" i="16" s="1"/>
  <c r="V409" i="16"/>
  <c r="W409" i="16" s="1"/>
  <c r="V424" i="16"/>
  <c r="W424" i="16" s="1"/>
  <c r="W430" i="16"/>
  <c r="V438" i="16"/>
  <c r="W438" i="16" s="1"/>
  <c r="V485" i="16"/>
  <c r="V489" i="16"/>
  <c r="W489" i="16" s="1"/>
  <c r="V523" i="16"/>
  <c r="V611" i="16"/>
  <c r="V23" i="11"/>
  <c r="W23" i="11" s="1"/>
  <c r="V65" i="11"/>
  <c r="W65" i="11" s="1"/>
  <c r="W104" i="11"/>
  <c r="V150" i="11"/>
  <c r="W150" i="11" s="1"/>
  <c r="V211" i="11"/>
  <c r="W211" i="11" s="1"/>
  <c r="V215" i="11"/>
  <c r="W215" i="11" s="1"/>
  <c r="V245" i="11"/>
  <c r="W245" i="11" s="1"/>
  <c r="V254" i="11"/>
  <c r="W254" i="11" s="1"/>
  <c r="V314" i="11"/>
  <c r="W314" i="11" s="1"/>
  <c r="V323" i="11"/>
  <c r="W323" i="11" s="1"/>
  <c r="V327" i="11"/>
  <c r="W327" i="11" s="1"/>
  <c r="V332" i="11"/>
  <c r="W332" i="11" s="1"/>
  <c r="W353" i="11"/>
  <c r="V353" i="11"/>
  <c r="V375" i="11"/>
  <c r="W387" i="11"/>
  <c r="W391" i="11"/>
  <c r="V391" i="11"/>
  <c r="V418" i="11"/>
  <c r="W418" i="11" s="1"/>
  <c r="V482" i="11"/>
  <c r="W510" i="11"/>
  <c r="V535" i="11"/>
  <c r="W535" i="11"/>
  <c r="W618" i="11"/>
  <c r="V618" i="11"/>
  <c r="V45" i="1"/>
  <c r="V72" i="1"/>
  <c r="W72" i="1" s="1"/>
  <c r="V81" i="1"/>
  <c r="W81" i="1" s="1"/>
  <c r="V277" i="1"/>
  <c r="W277" i="1" s="1"/>
  <c r="V286" i="1"/>
  <c r="W286" i="1" s="1"/>
  <c r="V317" i="1"/>
  <c r="V361" i="1"/>
  <c r="W361" i="1" s="1"/>
  <c r="V397" i="1"/>
  <c r="W397" i="1" s="1"/>
  <c r="V405" i="1"/>
  <c r="W405" i="1" s="1"/>
  <c r="V625" i="1"/>
  <c r="W625" i="1"/>
  <c r="V418" i="16"/>
  <c r="W418" i="16" s="1"/>
  <c r="V479" i="16"/>
  <c r="V627" i="16"/>
  <c r="V9" i="11"/>
  <c r="W9" i="11" s="1"/>
  <c r="V14" i="11"/>
  <c r="W14" i="11" s="1"/>
  <c r="V144" i="11"/>
  <c r="W144" i="11" s="1"/>
  <c r="V193" i="11"/>
  <c r="W193" i="11" s="1"/>
  <c r="V197" i="11"/>
  <c r="W197" i="11" s="1"/>
  <c r="V206" i="11"/>
  <c r="W206" i="11" s="1"/>
  <c r="V214" i="11"/>
  <c r="W214" i="11" s="1"/>
  <c r="V253" i="11"/>
  <c r="V258" i="11"/>
  <c r="W258" i="11" s="1"/>
  <c r="V263" i="11"/>
  <c r="W263" i="11" s="1"/>
  <c r="V322" i="11"/>
  <c r="W322" i="11" s="1"/>
  <c r="V344" i="11"/>
  <c r="W344" i="11" s="1"/>
  <c r="V369" i="11"/>
  <c r="V374" i="11"/>
  <c r="W374" i="11" s="1"/>
  <c r="W471" i="11"/>
  <c r="V485" i="11"/>
  <c r="V6" i="1"/>
  <c r="W6" i="1" s="1"/>
  <c r="V40" i="1"/>
  <c r="W40" i="1" s="1"/>
  <c r="W70" i="1"/>
  <c r="V76" i="1"/>
  <c r="W76" i="1" s="1"/>
  <c r="V80" i="1"/>
  <c r="W80" i="1"/>
  <c r="V107" i="1"/>
  <c r="W107" i="1" s="1"/>
  <c r="V122" i="1"/>
  <c r="W122" i="1" s="1"/>
  <c r="V135" i="1"/>
  <c r="W135" i="1" s="1"/>
  <c r="W203" i="1"/>
  <c r="V217" i="1"/>
  <c r="W217" i="1" s="1"/>
  <c r="V222" i="1"/>
  <c r="W222" i="1" s="1"/>
  <c r="W272" i="1"/>
  <c r="W302" i="1"/>
  <c r="V535" i="1"/>
  <c r="W535" i="1" s="1"/>
  <c r="W365" i="23"/>
  <c r="W374" i="23"/>
  <c r="W383" i="23"/>
  <c r="X383" i="23" s="1"/>
  <c r="W432" i="23"/>
  <c r="W436" i="23"/>
  <c r="X436" i="23" s="1"/>
  <c r="W457" i="23"/>
  <c r="X457" i="23" s="1"/>
  <c r="W486" i="23"/>
  <c r="W524" i="23"/>
  <c r="W549" i="23"/>
  <c r="W595" i="23"/>
  <c r="X595" i="23" s="1"/>
  <c r="V30" i="16"/>
  <c r="W30" i="16" s="1"/>
  <c r="V57" i="16"/>
  <c r="W57" i="16" s="1"/>
  <c r="V62" i="16"/>
  <c r="W62" i="16" s="1"/>
  <c r="V71" i="16"/>
  <c r="W71" i="16" s="1"/>
  <c r="V80" i="16"/>
  <c r="W80" i="16" s="1"/>
  <c r="V84" i="16"/>
  <c r="W84" i="16" s="1"/>
  <c r="V130" i="16"/>
  <c r="W130" i="16" s="1"/>
  <c r="V156" i="16"/>
  <c r="W156" i="16" s="1"/>
  <c r="V173" i="16"/>
  <c r="W173" i="16" s="1"/>
  <c r="V266" i="16"/>
  <c r="W266" i="16" s="1"/>
  <c r="V275" i="16"/>
  <c r="W275" i="16" s="1"/>
  <c r="V279" i="16"/>
  <c r="V321" i="16"/>
  <c r="W321" i="16" s="1"/>
  <c r="W63" i="11"/>
  <c r="V78" i="11"/>
  <c r="W78" i="11" s="1"/>
  <c r="W257" i="11"/>
  <c r="V421" i="11"/>
  <c r="W421" i="11" s="1"/>
  <c r="W613" i="11"/>
  <c r="V613" i="11"/>
  <c r="V5" i="1"/>
  <c r="W5" i="1" s="1"/>
  <c r="W71" i="1"/>
  <c r="W138" i="1"/>
  <c r="V138" i="1"/>
  <c r="W356" i="1"/>
  <c r="V360" i="1"/>
  <c r="W360" i="1"/>
  <c r="W436" i="1"/>
  <c r="V436" i="1"/>
  <c r="W624" i="1"/>
  <c r="V624" i="1"/>
  <c r="X43" i="23"/>
  <c r="X91" i="23"/>
  <c r="X115" i="23"/>
  <c r="W143" i="23"/>
  <c r="W147" i="23"/>
  <c r="X147" i="23" s="1"/>
  <c r="W165" i="23"/>
  <c r="X165" i="23" s="1"/>
  <c r="W190" i="23"/>
  <c r="X190" i="23" s="1"/>
  <c r="W198" i="23"/>
  <c r="X198" i="23" s="1"/>
  <c r="W223" i="23"/>
  <c r="X223" i="23" s="1"/>
  <c r="W243" i="23"/>
  <c r="X243" i="23" s="1"/>
  <c r="X247" i="23"/>
  <c r="W252" i="23"/>
  <c r="X252" i="23" s="1"/>
  <c r="W256" i="23"/>
  <c r="X256" i="23" s="1"/>
  <c r="W257" i="23"/>
  <c r="W261" i="23"/>
  <c r="X261" i="23" s="1"/>
  <c r="W273" i="23"/>
  <c r="X273" i="23" s="1"/>
  <c r="W308" i="23"/>
  <c r="W325" i="23"/>
  <c r="X325" i="23" s="1"/>
  <c r="W338" i="23"/>
  <c r="W346" i="23"/>
  <c r="X346" i="23" s="1"/>
  <c r="W347" i="23"/>
  <c r="W351" i="23"/>
  <c r="X351" i="23" s="1"/>
  <c r="W364" i="23"/>
  <c r="W390" i="23"/>
  <c r="W419" i="23"/>
  <c r="W431" i="23"/>
  <c r="W439" i="23"/>
  <c r="X439" i="23" s="1"/>
  <c r="X443" i="23"/>
  <c r="W527" i="23"/>
  <c r="X527" i="23" s="1"/>
  <c r="W565" i="23"/>
  <c r="X565" i="23" s="1"/>
  <c r="W569" i="23"/>
  <c r="X569" i="23" s="1"/>
  <c r="W586" i="23"/>
  <c r="X586" i="23" s="1"/>
  <c r="W590" i="23"/>
  <c r="X590" i="23" s="1"/>
  <c r="W602" i="23"/>
  <c r="W616" i="23"/>
  <c r="N24" i="26"/>
  <c r="O24" i="26" s="1"/>
  <c r="V10" i="16"/>
  <c r="V14" i="16"/>
  <c r="V15" i="16"/>
  <c r="W15" i="16" s="1"/>
  <c r="V42" i="16"/>
  <c r="W42" i="16" s="1"/>
  <c r="V46" i="16"/>
  <c r="V56" i="16"/>
  <c r="V66" i="16"/>
  <c r="W66" i="16" s="1"/>
  <c r="V75" i="16"/>
  <c r="W75" i="16" s="1"/>
  <c r="V79" i="16"/>
  <c r="W79" i="16" s="1"/>
  <c r="V93" i="16"/>
  <c r="W93" i="16" s="1"/>
  <c r="V98" i="16"/>
  <c r="W98" i="16" s="1"/>
  <c r="V108" i="16"/>
  <c r="W108" i="16" s="1"/>
  <c r="V164" i="16"/>
  <c r="W164" i="16" s="1"/>
  <c r="V168" i="16"/>
  <c r="W168" i="16" s="1"/>
  <c r="V215" i="16"/>
  <c r="W215" i="16" s="1"/>
  <c r="V224" i="16"/>
  <c r="W224" i="16" s="1"/>
  <c r="V233" i="16"/>
  <c r="W233" i="16" s="1"/>
  <c r="V242" i="16"/>
  <c r="W242" i="16" s="1"/>
  <c r="V251" i="16"/>
  <c r="W251" i="16" s="1"/>
  <c r="V256" i="16"/>
  <c r="V278" i="16"/>
  <c r="W278" i="16" s="1"/>
  <c r="V284" i="16"/>
  <c r="W284" i="16" s="1"/>
  <c r="V320" i="16"/>
  <c r="W320" i="16" s="1"/>
  <c r="V324" i="16"/>
  <c r="W324" i="16" s="1"/>
  <c r="V371" i="16"/>
  <c r="W371" i="16" s="1"/>
  <c r="V474" i="16"/>
  <c r="W474" i="16" s="1"/>
  <c r="V513" i="16"/>
  <c r="W513" i="16"/>
  <c r="V570" i="16"/>
  <c r="V604" i="16"/>
  <c r="W604" i="16" s="1"/>
  <c r="V609" i="16"/>
  <c r="W609" i="16"/>
  <c r="W625" i="16"/>
  <c r="V625" i="16"/>
  <c r="V44" i="11"/>
  <c r="W44" i="11" s="1"/>
  <c r="V49" i="11"/>
  <c r="W49" i="11" s="1"/>
  <c r="V53" i="11"/>
  <c r="V73" i="11"/>
  <c r="W73" i="11" s="1"/>
  <c r="V116" i="11"/>
  <c r="W116" i="11" s="1"/>
  <c r="V134" i="11"/>
  <c r="W134" i="11" s="1"/>
  <c r="V165" i="11"/>
  <c r="V187" i="11"/>
  <c r="V200" i="11"/>
  <c r="W200" i="11" s="1"/>
  <c r="V239" i="11"/>
  <c r="W243" i="11"/>
  <c r="V243" i="11"/>
  <c r="V368" i="11"/>
  <c r="W368" i="11" s="1"/>
  <c r="V439" i="11"/>
  <c r="V443" i="11"/>
  <c r="V542" i="11"/>
  <c r="W542" i="11" s="1"/>
  <c r="V546" i="11"/>
  <c r="W546" i="11" s="1"/>
  <c r="V17" i="1"/>
  <c r="V35" i="1"/>
  <c r="W35" i="1"/>
  <c r="V65" i="1"/>
  <c r="W65" i="1" s="1"/>
  <c r="V111" i="1"/>
  <c r="W111" i="1" s="1"/>
  <c r="V121" i="1"/>
  <c r="V167" i="1"/>
  <c r="W167" i="1" s="1"/>
  <c r="V230" i="1"/>
  <c r="W230" i="1" s="1"/>
  <c r="V241" i="1"/>
  <c r="W241" i="1" s="1"/>
  <c r="V271" i="1"/>
  <c r="W271" i="1" s="1"/>
  <c r="V306" i="1"/>
  <c r="W306" i="1" s="1"/>
  <c r="V342" i="1"/>
  <c r="W342" i="1" s="1"/>
  <c r="V373" i="1"/>
  <c r="W373" i="1" s="1"/>
  <c r="W390" i="1"/>
  <c r="V390" i="1"/>
  <c r="V505" i="1"/>
  <c r="W505" i="1" s="1"/>
  <c r="V534" i="1"/>
  <c r="W534" i="1" s="1"/>
  <c r="W226" i="23"/>
  <c r="X226" i="23" s="1"/>
  <c r="W290" i="23"/>
  <c r="W316" i="23"/>
  <c r="X316" i="23" s="1"/>
  <c r="W341" i="23"/>
  <c r="W350" i="23"/>
  <c r="W354" i="23"/>
  <c r="X354" i="23" s="1"/>
  <c r="X363" i="23"/>
  <c r="W381" i="23"/>
  <c r="W426" i="23"/>
  <c r="W501" i="23"/>
  <c r="X502" i="23"/>
  <c r="W514" i="23"/>
  <c r="X523" i="23"/>
  <c r="W539" i="23"/>
  <c r="W556" i="23"/>
  <c r="W579" i="16"/>
  <c r="V603" i="16"/>
  <c r="W603" i="16" s="1"/>
  <c r="W62" i="11"/>
  <c r="V63" i="11"/>
  <c r="W289" i="11"/>
  <c r="W402" i="11"/>
  <c r="V402" i="11"/>
  <c r="W624" i="11"/>
  <c r="V624" i="11"/>
  <c r="W296" i="1"/>
  <c r="V296" i="1"/>
  <c r="V372" i="1"/>
  <c r="W372" i="1" s="1"/>
  <c r="W470" i="1"/>
  <c r="W508" i="1"/>
  <c r="V508" i="1"/>
  <c r="W529" i="1"/>
  <c r="V529" i="1"/>
  <c r="W598" i="1"/>
  <c r="V598" i="1"/>
  <c r="W14" i="16"/>
  <c r="V32" i="16"/>
  <c r="V64" i="16"/>
  <c r="W64" i="16" s="1"/>
  <c r="V74" i="16"/>
  <c r="W74" i="16" s="1"/>
  <c r="V82" i="16"/>
  <c r="V111" i="16"/>
  <c r="W111" i="16" s="1"/>
  <c r="V119" i="16"/>
  <c r="W119" i="16" s="1"/>
  <c r="V124" i="16"/>
  <c r="W124" i="16" s="1"/>
  <c r="V154" i="16"/>
  <c r="V197" i="16"/>
  <c r="W197" i="16" s="1"/>
  <c r="V201" i="16"/>
  <c r="W201" i="16" s="1"/>
  <c r="V205" i="16"/>
  <c r="V260" i="16"/>
  <c r="W260" i="16" s="1"/>
  <c r="V269" i="16"/>
  <c r="W269" i="16" s="1"/>
  <c r="V318" i="16"/>
  <c r="W318" i="16" s="1"/>
  <c r="V365" i="16"/>
  <c r="W365" i="16" s="1"/>
  <c r="V460" i="16"/>
  <c r="W460" i="16" s="1"/>
  <c r="V464" i="16"/>
  <c r="V465" i="16"/>
  <c r="W465" i="16" s="1"/>
  <c r="V584" i="16"/>
  <c r="V593" i="16"/>
  <c r="W593" i="16" s="1"/>
  <c r="W38" i="11"/>
  <c r="V62" i="11"/>
  <c r="V91" i="11"/>
  <c r="V97" i="11"/>
  <c r="V178" i="11"/>
  <c r="W178" i="11" s="1"/>
  <c r="W233" i="11"/>
  <c r="V283" i="11"/>
  <c r="W283" i="11" s="1"/>
  <c r="W297" i="11"/>
  <c r="V297" i="11"/>
  <c r="V361" i="11"/>
  <c r="W361" i="11" s="1"/>
  <c r="V362" i="11"/>
  <c r="W362" i="11" s="1"/>
  <c r="V438" i="11"/>
  <c r="W438" i="11" s="1"/>
  <c r="V506" i="11"/>
  <c r="V12" i="1"/>
  <c r="W12" i="1" s="1"/>
  <c r="W17" i="1"/>
  <c r="V21" i="1"/>
  <c r="W21" i="1" s="1"/>
  <c r="V51" i="1"/>
  <c r="W51" i="1" s="1"/>
  <c r="V60" i="1"/>
  <c r="W60" i="1" s="1"/>
  <c r="V96" i="1"/>
  <c r="W96" i="1" s="1"/>
  <c r="V158" i="1"/>
  <c r="W158" i="1" s="1"/>
  <c r="V183" i="1"/>
  <c r="W183" i="1" s="1"/>
  <c r="V270" i="1"/>
  <c r="W270" i="1"/>
  <c r="V318" i="1"/>
  <c r="W318" i="1" s="1"/>
  <c r="V332" i="1"/>
  <c r="W332" i="1" s="1"/>
  <c r="V202" i="1"/>
  <c r="V207" i="1"/>
  <c r="W207" i="1" s="1"/>
  <c r="V229" i="1"/>
  <c r="W229" i="1" s="1"/>
  <c r="W269" i="1"/>
  <c r="V280" i="1"/>
  <c r="W280" i="1" s="1"/>
  <c r="V295" i="1"/>
  <c r="W295" i="1" s="1"/>
  <c r="V301" i="1"/>
  <c r="W301" i="1" s="1"/>
  <c r="V316" i="1"/>
  <c r="W316" i="1" s="1"/>
  <c r="V367" i="1"/>
  <c r="W367" i="1" s="1"/>
  <c r="V441" i="1"/>
  <c r="W441" i="1" s="1"/>
  <c r="V451" i="1"/>
  <c r="W451" i="1" s="1"/>
  <c r="V486" i="1"/>
  <c r="W486" i="1" s="1"/>
  <c r="V570" i="1"/>
  <c r="W570" i="1" s="1"/>
  <c r="V135" i="16"/>
  <c r="W135" i="16" s="1"/>
  <c r="V153" i="16"/>
  <c r="W153" i="16" s="1"/>
  <c r="V158" i="16"/>
  <c r="W158" i="16" s="1"/>
  <c r="V163" i="16"/>
  <c r="V167" i="16"/>
  <c r="W167" i="16" s="1"/>
  <c r="V172" i="16"/>
  <c r="V176" i="16"/>
  <c r="W176" i="16" s="1"/>
  <c r="V181" i="16"/>
  <c r="V185" i="16"/>
  <c r="W185" i="16" s="1"/>
  <c r="V195" i="16"/>
  <c r="W195" i="16" s="1"/>
  <c r="V204" i="16"/>
  <c r="W204" i="16" s="1"/>
  <c r="V213" i="16"/>
  <c r="W213" i="16" s="1"/>
  <c r="V222" i="16"/>
  <c r="W222" i="16" s="1"/>
  <c r="V231" i="16"/>
  <c r="W231" i="16" s="1"/>
  <c r="V240" i="16"/>
  <c r="W240" i="16" s="1"/>
  <c r="V249" i="16"/>
  <c r="W249" i="16" s="1"/>
  <c r="V254" i="16"/>
  <c r="W254" i="16" s="1"/>
  <c r="V346" i="16"/>
  <c r="V388" i="16"/>
  <c r="W388" i="16" s="1"/>
  <c r="V413" i="16"/>
  <c r="V453" i="16"/>
  <c r="W453" i="16" s="1"/>
  <c r="V492" i="16"/>
  <c r="V502" i="16"/>
  <c r="W502" i="16" s="1"/>
  <c r="V503" i="16"/>
  <c r="V531" i="16"/>
  <c r="W531" i="16" s="1"/>
  <c r="V557" i="16"/>
  <c r="V583" i="16"/>
  <c r="V32" i="11"/>
  <c r="W32" i="11" s="1"/>
  <c r="V56" i="11"/>
  <c r="W56" i="11" s="1"/>
  <c r="V67" i="11"/>
  <c r="W67" i="11" s="1"/>
  <c r="V104" i="11"/>
  <c r="V149" i="11"/>
  <c r="W149" i="11" s="1"/>
  <c r="V163" i="11"/>
  <c r="V168" i="11"/>
  <c r="W168" i="11" s="1"/>
  <c r="V173" i="11"/>
  <c r="W173" i="11" s="1"/>
  <c r="V182" i="11"/>
  <c r="W182" i="11" s="1"/>
  <c r="V218" i="11"/>
  <c r="W218" i="11" s="1"/>
  <c r="V242" i="11"/>
  <c r="W242" i="11" s="1"/>
  <c r="V252" i="11"/>
  <c r="V257" i="11"/>
  <c r="V287" i="11"/>
  <c r="W287" i="11" s="1"/>
  <c r="V317" i="11"/>
  <c r="W317" i="11" s="1"/>
  <c r="V326" i="11"/>
  <c r="W326" i="11" s="1"/>
  <c r="V343" i="11"/>
  <c r="V367" i="11"/>
  <c r="V373" i="11"/>
  <c r="V446" i="11"/>
  <c r="V518" i="11"/>
  <c r="V526" i="11"/>
  <c r="W526" i="11" s="1"/>
  <c r="V554" i="11"/>
  <c r="W554" i="11" s="1"/>
  <c r="V585" i="11"/>
  <c r="W585" i="11" s="1"/>
  <c r="V15" i="1"/>
  <c r="W15" i="1" s="1"/>
  <c r="V29" i="1"/>
  <c r="V30" i="1"/>
  <c r="W30" i="1" s="1"/>
  <c r="V39" i="1"/>
  <c r="W39" i="1" s="1"/>
  <c r="V44" i="1"/>
  <c r="W44" i="1" s="1"/>
  <c r="V59" i="1"/>
  <c r="W59" i="1" s="1"/>
  <c r="V69" i="1"/>
  <c r="W69" i="1" s="1"/>
  <c r="V74" i="1"/>
  <c r="W74" i="1" s="1"/>
  <c r="V90" i="1"/>
  <c r="W90" i="1" s="1"/>
  <c r="V95" i="1"/>
  <c r="W95" i="1" s="1"/>
  <c r="V105" i="1"/>
  <c r="W105" i="1" s="1"/>
  <c r="V134" i="1"/>
  <c r="W134" i="1" s="1"/>
  <c r="V147" i="1"/>
  <c r="W147" i="1" s="1"/>
  <c r="V148" i="1"/>
  <c r="V152" i="1"/>
  <c r="W152" i="1" s="1"/>
  <c r="W156" i="1"/>
  <c r="V244" i="1"/>
  <c r="W244" i="1" s="1"/>
  <c r="V265" i="1"/>
  <c r="W265" i="1" s="1"/>
  <c r="V331" i="1"/>
  <c r="W331" i="1" s="1"/>
  <c r="V371" i="1"/>
  <c r="W371" i="1" s="1"/>
  <c r="V376" i="1"/>
  <c r="W376" i="1" s="1"/>
  <c r="V408" i="1"/>
  <c r="W408" i="1" s="1"/>
  <c r="V426" i="1"/>
  <c r="W426" i="1" s="1"/>
  <c r="V83" i="16"/>
  <c r="W83" i="16" s="1"/>
  <c r="V107" i="16"/>
  <c r="W107" i="16" s="1"/>
  <c r="V112" i="16"/>
  <c r="W112" i="16" s="1"/>
  <c r="V116" i="16"/>
  <c r="W116" i="16" s="1"/>
  <c r="V120" i="16"/>
  <c r="W120" i="16" s="1"/>
  <c r="V125" i="16"/>
  <c r="W125" i="16" s="1"/>
  <c r="V143" i="16"/>
  <c r="W143" i="16" s="1"/>
  <c r="V189" i="16"/>
  <c r="W189" i="16" s="1"/>
  <c r="V194" i="16"/>
  <c r="W194" i="16" s="1"/>
  <c r="V203" i="16"/>
  <c r="W203" i="16" s="1"/>
  <c r="V212" i="16"/>
  <c r="W212" i="16" s="1"/>
  <c r="V217" i="16"/>
  <c r="V221" i="16"/>
  <c r="W221" i="16" s="1"/>
  <c r="V226" i="16"/>
  <c r="V230" i="16"/>
  <c r="W230" i="16" s="1"/>
  <c r="V235" i="16"/>
  <c r="W235" i="16" s="1"/>
  <c r="V239" i="16"/>
  <c r="W239" i="16" s="1"/>
  <c r="V244" i="16"/>
  <c r="V248" i="16"/>
  <c r="W248" i="16" s="1"/>
  <c r="V328" i="16"/>
  <c r="V364" i="16"/>
  <c r="V393" i="16"/>
  <c r="W393" i="16" s="1"/>
  <c r="V417" i="16"/>
  <c r="W417" i="16" s="1"/>
  <c r="V501" i="16"/>
  <c r="W501" i="16" s="1"/>
  <c r="V511" i="16"/>
  <c r="V12" i="11"/>
  <c r="W12" i="11" s="1"/>
  <c r="V21" i="11"/>
  <c r="V66" i="11"/>
  <c r="V108" i="11"/>
  <c r="V266" i="11"/>
  <c r="W266" i="11" s="1"/>
  <c r="V271" i="11"/>
  <c r="W271" i="11" s="1"/>
  <c r="V272" i="11"/>
  <c r="W272" i="11" s="1"/>
  <c r="V302" i="11"/>
  <c r="W302" i="11" s="1"/>
  <c r="V325" i="11"/>
  <c r="V352" i="11"/>
  <c r="V410" i="11"/>
  <c r="V8" i="1"/>
  <c r="W8" i="1" s="1"/>
  <c r="V99" i="1"/>
  <c r="W99" i="1" s="1"/>
  <c r="V120" i="1"/>
  <c r="W120" i="1" s="1"/>
  <c r="V180" i="1"/>
  <c r="W180" i="1" s="1"/>
  <c r="V201" i="1"/>
  <c r="W201" i="1" s="1"/>
  <c r="V206" i="1"/>
  <c r="W206" i="1" s="1"/>
  <c r="W234" i="1"/>
  <c r="V269" i="1"/>
  <c r="V288" i="1"/>
  <c r="V289" i="1"/>
  <c r="W289" i="1" s="1"/>
  <c r="V310" i="1"/>
  <c r="W310" i="1" s="1"/>
  <c r="V320" i="1"/>
  <c r="W320" i="1" s="1"/>
  <c r="V325" i="1"/>
  <c r="W325" i="1" s="1"/>
  <c r="V330" i="1"/>
  <c r="V339" i="1"/>
  <c r="W339" i="1" s="1"/>
  <c r="V340" i="1"/>
  <c r="W340" i="1" s="1"/>
  <c r="W366" i="1"/>
  <c r="V399" i="1"/>
  <c r="V407" i="1"/>
  <c r="V412" i="1"/>
  <c r="W412" i="1" s="1"/>
  <c r="V416" i="1"/>
  <c r="W416" i="1" s="1"/>
  <c r="W450" i="1"/>
  <c r="V473" i="1"/>
  <c r="W473" i="1" s="1"/>
  <c r="V479" i="1"/>
  <c r="W479" i="1" s="1"/>
  <c r="V565" i="1"/>
  <c r="W565" i="1" s="1"/>
  <c r="V597" i="1"/>
  <c r="W597" i="1" s="1"/>
  <c r="V619" i="1"/>
  <c r="V441" i="16"/>
  <c r="W441" i="16" s="1"/>
  <c r="V551" i="16"/>
  <c r="V46" i="11"/>
  <c r="V118" i="11"/>
  <c r="V127" i="11"/>
  <c r="V137" i="11"/>
  <c r="W137" i="11" s="1"/>
  <c r="V141" i="11"/>
  <c r="W141" i="11" s="1"/>
  <c r="V185" i="11"/>
  <c r="W185" i="11" s="1"/>
  <c r="V190" i="11"/>
  <c r="W190" i="11" s="1"/>
  <c r="V198" i="11"/>
  <c r="V208" i="11"/>
  <c r="W208" i="11" s="1"/>
  <c r="V310" i="11"/>
  <c r="V358" i="11"/>
  <c r="V459" i="11"/>
  <c r="V517" i="11"/>
  <c r="W517" i="11" s="1"/>
  <c r="V579" i="11"/>
  <c r="V24" i="1"/>
  <c r="W24" i="1" s="1"/>
  <c r="W29" i="1"/>
  <c r="V33" i="1"/>
  <c r="W33" i="1" s="1"/>
  <c r="V62" i="1"/>
  <c r="W62" i="1" s="1"/>
  <c r="V63" i="1"/>
  <c r="W63" i="1" s="1"/>
  <c r="V83" i="1"/>
  <c r="W83" i="1" s="1"/>
  <c r="V84" i="1"/>
  <c r="W84" i="1" s="1"/>
  <c r="W89" i="1"/>
  <c r="V93" i="1"/>
  <c r="W93" i="1" s="1"/>
  <c r="V98" i="1"/>
  <c r="W98" i="1" s="1"/>
  <c r="V114" i="1"/>
  <c r="W114" i="1" s="1"/>
  <c r="V160" i="1"/>
  <c r="V248" i="1"/>
  <c r="W248" i="1" s="1"/>
  <c r="W284" i="1"/>
  <c r="V293" i="1"/>
  <c r="W293" i="1" s="1"/>
  <c r="V299" i="1"/>
  <c r="W299" i="1" s="1"/>
  <c r="V324" i="1"/>
  <c r="W375" i="1"/>
  <c r="V439" i="1"/>
  <c r="W439" i="1" s="1"/>
  <c r="V474" i="1"/>
  <c r="W474" i="1" s="1"/>
  <c r="W475" i="1"/>
  <c r="V180" i="11"/>
  <c r="W180" i="11" s="1"/>
  <c r="V235" i="11"/>
  <c r="V300" i="11"/>
  <c r="V324" i="11"/>
  <c r="V440" i="11"/>
  <c r="V448" i="11"/>
  <c r="W448" i="11" s="1"/>
  <c r="V556" i="11"/>
  <c r="W556" i="11" s="1"/>
  <c r="V23" i="1"/>
  <c r="W23" i="1" s="1"/>
  <c r="V32" i="1"/>
  <c r="W32" i="1" s="1"/>
  <c r="V47" i="1"/>
  <c r="W47" i="1" s="1"/>
  <c r="V67" i="1"/>
  <c r="W67" i="1" s="1"/>
  <c r="V92" i="1"/>
  <c r="W92" i="1" s="1"/>
  <c r="V113" i="1"/>
  <c r="W113" i="1" s="1"/>
  <c r="V194" i="1"/>
  <c r="W194" i="1" s="1"/>
  <c r="V333" i="1"/>
  <c r="W333" i="1" s="1"/>
  <c r="V345" i="1"/>
  <c r="V357" i="1"/>
  <c r="W357" i="1" s="1"/>
  <c r="V358" i="1"/>
  <c r="W358" i="1" s="1"/>
  <c r="V363" i="1"/>
  <c r="V374" i="1"/>
  <c r="V378" i="1"/>
  <c r="W378" i="1" s="1"/>
  <c r="V553" i="1"/>
  <c r="W553" i="1" s="1"/>
  <c r="V567" i="1"/>
  <c r="W567" i="1" s="1"/>
  <c r="V576" i="1"/>
  <c r="V490" i="1"/>
  <c r="W490" i="1" s="1"/>
  <c r="V499" i="1"/>
  <c r="W499" i="1" s="1"/>
  <c r="V517" i="1"/>
  <c r="W517" i="1" s="1"/>
  <c r="V538" i="1"/>
  <c r="W538" i="1" s="1"/>
  <c r="V543" i="1"/>
  <c r="W543" i="1" s="1"/>
  <c r="V585" i="1"/>
  <c r="V606" i="1"/>
  <c r="W606" i="1" s="1"/>
  <c r="V493" i="1"/>
  <c r="W493" i="1" s="1"/>
  <c r="V498" i="1"/>
  <c r="W498" i="1" s="1"/>
  <c r="V511" i="1"/>
  <c r="V526" i="1"/>
  <c r="W526" i="1" s="1"/>
  <c r="V531" i="1"/>
  <c r="W531" i="1" s="1"/>
  <c r="V589" i="1"/>
  <c r="W589" i="1" s="1"/>
  <c r="V616" i="1"/>
  <c r="I7" i="32"/>
  <c r="X25" i="23"/>
  <c r="X168" i="23"/>
  <c r="W21" i="23"/>
  <c r="X21" i="23" s="1"/>
  <c r="W23" i="23"/>
  <c r="X23" i="23" s="1"/>
  <c r="W25" i="23"/>
  <c r="W56" i="23"/>
  <c r="X56" i="23" s="1"/>
  <c r="W58" i="23"/>
  <c r="X58" i="23" s="1"/>
  <c r="W60" i="23"/>
  <c r="X60" i="23" s="1"/>
  <c r="W93" i="23"/>
  <c r="X93" i="23" s="1"/>
  <c r="W95" i="23"/>
  <c r="X95" i="23" s="1"/>
  <c r="W97" i="23"/>
  <c r="X97" i="23" s="1"/>
  <c r="W128" i="23"/>
  <c r="X128" i="23" s="1"/>
  <c r="W130" i="23"/>
  <c r="X130" i="23" s="1"/>
  <c r="W132" i="23"/>
  <c r="X132" i="23" s="1"/>
  <c r="W151" i="23"/>
  <c r="X151" i="23" s="1"/>
  <c r="W153" i="23"/>
  <c r="X153" i="23" s="1"/>
  <c r="W166" i="23"/>
  <c r="X166" i="23" s="1"/>
  <c r="W177" i="23"/>
  <c r="X177" i="23" s="1"/>
  <c r="W192" i="23"/>
  <c r="X192" i="23" s="1"/>
  <c r="W211" i="23"/>
  <c r="X211" i="23" s="1"/>
  <c r="W250" i="23"/>
  <c r="X250" i="23" s="1"/>
  <c r="W277" i="23"/>
  <c r="W304" i="23"/>
  <c r="X304" i="23" s="1"/>
  <c r="W322" i="23"/>
  <c r="X322" i="23" s="1"/>
  <c r="W329" i="23"/>
  <c r="W396" i="23"/>
  <c r="X396" i="23" s="1"/>
  <c r="W494" i="23"/>
  <c r="X494" i="23" s="1"/>
  <c r="W509" i="23"/>
  <c r="X509" i="23" s="1"/>
  <c r="W526" i="23"/>
  <c r="X526" i="23" s="1"/>
  <c r="W532" i="23"/>
  <c r="X532" i="23" s="1"/>
  <c r="W562" i="23"/>
  <c r="X562" i="23" s="1"/>
  <c r="W566" i="23"/>
  <c r="X566" i="23" s="1"/>
  <c r="W598" i="23"/>
  <c r="X598" i="23" s="1"/>
  <c r="W628" i="23"/>
  <c r="W168" i="23"/>
  <c r="W181" i="23"/>
  <c r="X181" i="23" s="1"/>
  <c r="W464" i="23"/>
  <c r="X464" i="23" s="1"/>
  <c r="X604" i="23"/>
  <c r="W615" i="23"/>
  <c r="W10" i="23"/>
  <c r="W33" i="23"/>
  <c r="X33" i="23" s="1"/>
  <c r="W35" i="23"/>
  <c r="X35" i="23" s="1"/>
  <c r="W37" i="23"/>
  <c r="X37" i="23" s="1"/>
  <c r="W68" i="23"/>
  <c r="X68" i="23" s="1"/>
  <c r="W70" i="23"/>
  <c r="X70" i="23" s="1"/>
  <c r="W72" i="23"/>
  <c r="X72" i="23" s="1"/>
  <c r="W105" i="23"/>
  <c r="X105" i="23" s="1"/>
  <c r="W107" i="23"/>
  <c r="X107" i="23" s="1"/>
  <c r="W109" i="23"/>
  <c r="X109" i="23" s="1"/>
  <c r="W140" i="23"/>
  <c r="W142" i="23"/>
  <c r="X142" i="23" s="1"/>
  <c r="W155" i="23"/>
  <c r="W183" i="23"/>
  <c r="X183" i="23" s="1"/>
  <c r="W310" i="23"/>
  <c r="X310" i="23" s="1"/>
  <c r="W326" i="23"/>
  <c r="X326" i="23" s="1"/>
  <c r="W358" i="23"/>
  <c r="X358" i="23" s="1"/>
  <c r="W376" i="23"/>
  <c r="X376" i="23" s="1"/>
  <c r="W421" i="23"/>
  <c r="X421" i="23" s="1"/>
  <c r="W468" i="23"/>
  <c r="W487" i="23"/>
  <c r="W515" i="23"/>
  <c r="X515" i="23" s="1"/>
  <c r="W587" i="23"/>
  <c r="X587" i="23" s="1"/>
  <c r="W610" i="23"/>
  <c r="W630" i="23"/>
  <c r="W12" i="23"/>
  <c r="X12" i="23" s="1"/>
  <c r="W14" i="23"/>
  <c r="X14" i="23" s="1"/>
  <c r="W45" i="23"/>
  <c r="X45" i="23" s="1"/>
  <c r="W47" i="23"/>
  <c r="X47" i="23" s="1"/>
  <c r="W49" i="23"/>
  <c r="X49" i="23" s="1"/>
  <c r="W80" i="23"/>
  <c r="X80" i="23" s="1"/>
  <c r="W82" i="23"/>
  <c r="X82" i="23" s="1"/>
  <c r="W84" i="23"/>
  <c r="X84" i="23" s="1"/>
  <c r="W117" i="23"/>
  <c r="X117" i="23" s="1"/>
  <c r="W119" i="23"/>
  <c r="X119" i="23" s="1"/>
  <c r="W121" i="23"/>
  <c r="X121" i="23" s="1"/>
  <c r="W174" i="23"/>
  <c r="X174" i="23" s="1"/>
  <c r="W189" i="23"/>
  <c r="X189" i="23" s="1"/>
  <c r="W202" i="23"/>
  <c r="X202" i="23" s="1"/>
  <c r="W204" i="23"/>
  <c r="X204" i="23" s="1"/>
  <c r="W328" i="23"/>
  <c r="X328" i="23" s="1"/>
  <c r="W337" i="23"/>
  <c r="X337" i="23" s="1"/>
  <c r="W373" i="23"/>
  <c r="X373" i="23" s="1"/>
  <c r="W427" i="23"/>
  <c r="W461" i="23"/>
  <c r="X461" i="23" s="1"/>
  <c r="W472" i="23"/>
  <c r="X472" i="23" s="1"/>
  <c r="W504" i="23"/>
  <c r="W540" i="23"/>
  <c r="W576" i="23"/>
  <c r="W612" i="23"/>
  <c r="W2" i="23"/>
  <c r="X2" i="23" s="1"/>
  <c r="W22" i="23"/>
  <c r="X22" i="23" s="1"/>
  <c r="W57" i="23"/>
  <c r="X57" i="23" s="1"/>
  <c r="W178" i="23"/>
  <c r="X178" i="23" s="1"/>
  <c r="W476" i="23"/>
  <c r="X476" i="23" s="1"/>
  <c r="W30" i="23"/>
  <c r="X30" i="23" s="1"/>
  <c r="W65" i="23"/>
  <c r="X65" i="23" s="1"/>
  <c r="W98" i="23"/>
  <c r="X98" i="23" s="1"/>
  <c r="W137" i="23"/>
  <c r="X137" i="23" s="1"/>
  <c r="W375" i="23"/>
  <c r="X375" i="23" s="1"/>
  <c r="X431" i="23"/>
  <c r="W605" i="23"/>
  <c r="X605" i="23" s="1"/>
  <c r="W3" i="23"/>
  <c r="X3" i="23" s="1"/>
  <c r="W5" i="23"/>
  <c r="X5" i="23" s="1"/>
  <c r="W32" i="23"/>
  <c r="X32" i="23" s="1"/>
  <c r="W34" i="23"/>
  <c r="X34" i="23" s="1"/>
  <c r="W36" i="23"/>
  <c r="X36" i="23" s="1"/>
  <c r="W69" i="23"/>
  <c r="X69" i="23" s="1"/>
  <c r="W71" i="23"/>
  <c r="X71" i="23" s="1"/>
  <c r="W73" i="23"/>
  <c r="X73" i="23" s="1"/>
  <c r="W104" i="23"/>
  <c r="X104" i="23" s="1"/>
  <c r="W106" i="23"/>
  <c r="X106" i="23" s="1"/>
  <c r="W108" i="23"/>
  <c r="X108" i="23" s="1"/>
  <c r="W141" i="23"/>
  <c r="X141" i="23" s="1"/>
  <c r="X154" i="23"/>
  <c r="W156" i="23"/>
  <c r="X156" i="23" s="1"/>
  <c r="W182" i="23"/>
  <c r="W184" i="23"/>
  <c r="X184" i="23" s="1"/>
  <c r="W186" i="23"/>
  <c r="X186" i="23" s="1"/>
  <c r="W199" i="23"/>
  <c r="X199" i="23" s="1"/>
  <c r="W214" i="23"/>
  <c r="X214" i="23" s="1"/>
  <c r="W216" i="23"/>
  <c r="X216" i="23" s="1"/>
  <c r="W234" i="23"/>
  <c r="X234" i="23" s="1"/>
  <c r="X246" i="23"/>
  <c r="X357" i="23"/>
  <c r="W418" i="23"/>
  <c r="X418" i="23" s="1"/>
  <c r="W465" i="23"/>
  <c r="X465" i="23" s="1"/>
  <c r="W503" i="23"/>
  <c r="X503" i="23" s="1"/>
  <c r="X514" i="23"/>
  <c r="W533" i="23"/>
  <c r="X533" i="23" s="1"/>
  <c r="W554" i="23"/>
  <c r="X554" i="23" s="1"/>
  <c r="W571" i="23"/>
  <c r="W575" i="23"/>
  <c r="X575" i="23" s="1"/>
  <c r="W24" i="23"/>
  <c r="X24" i="23" s="1"/>
  <c r="W61" i="23"/>
  <c r="X61" i="23" s="1"/>
  <c r="W94" i="23"/>
  <c r="X94" i="23" s="1"/>
  <c r="W96" i="23"/>
  <c r="X96" i="23" s="1"/>
  <c r="W129" i="23"/>
  <c r="X129" i="23" s="1"/>
  <c r="W131" i="23"/>
  <c r="X131" i="23" s="1"/>
  <c r="W150" i="23"/>
  <c r="X150" i="23" s="1"/>
  <c r="W232" i="23"/>
  <c r="X232" i="23" s="1"/>
  <c r="W414" i="23"/>
  <c r="W491" i="23"/>
  <c r="W497" i="23"/>
  <c r="X497" i="23" s="1"/>
  <c r="W499" i="23"/>
  <c r="W28" i="23"/>
  <c r="X28" i="23" s="1"/>
  <c r="W63" i="23"/>
  <c r="X63" i="23" s="1"/>
  <c r="W100" i="23"/>
  <c r="X100" i="23" s="1"/>
  <c r="W135" i="23"/>
  <c r="X135" i="23" s="1"/>
  <c r="W195" i="23"/>
  <c r="X195" i="23" s="1"/>
  <c r="X292" i="23"/>
  <c r="X364" i="23"/>
  <c r="W607" i="23"/>
  <c r="W9" i="23"/>
  <c r="X9" i="23" s="1"/>
  <c r="W38" i="23"/>
  <c r="X38" i="23" s="1"/>
  <c r="W40" i="23"/>
  <c r="X40" i="23" s="1"/>
  <c r="W42" i="23"/>
  <c r="X42" i="23" s="1"/>
  <c r="W75" i="23"/>
  <c r="X75" i="23" s="1"/>
  <c r="W77" i="23"/>
  <c r="X77" i="23" s="1"/>
  <c r="W79" i="23"/>
  <c r="X79" i="23" s="1"/>
  <c r="W110" i="23"/>
  <c r="X110" i="23" s="1"/>
  <c r="W112" i="23"/>
  <c r="X112" i="23" s="1"/>
  <c r="W114" i="23"/>
  <c r="X114" i="23" s="1"/>
  <c r="W145" i="23"/>
  <c r="X145" i="23" s="1"/>
  <c r="W255" i="23"/>
  <c r="X255" i="23" s="1"/>
  <c r="W264" i="23"/>
  <c r="X264" i="23" s="1"/>
  <c r="X280" i="23"/>
  <c r="W352" i="23"/>
  <c r="X352" i="23" s="1"/>
  <c r="W392" i="23"/>
  <c r="X392" i="23" s="1"/>
  <c r="W454" i="23"/>
  <c r="X454" i="23" s="1"/>
  <c r="W518" i="23"/>
  <c r="X518" i="23" s="1"/>
  <c r="W59" i="23"/>
  <c r="X59" i="23" s="1"/>
  <c r="W92" i="23"/>
  <c r="X92" i="23" s="1"/>
  <c r="W133" i="23"/>
  <c r="X133" i="23" s="1"/>
  <c r="W180" i="23"/>
  <c r="X180" i="23" s="1"/>
  <c r="W193" i="23"/>
  <c r="X193" i="23" s="1"/>
  <c r="W210" i="23"/>
  <c r="X210" i="23" s="1"/>
  <c r="W544" i="23"/>
  <c r="X544" i="23" s="1"/>
  <c r="W26" i="23"/>
  <c r="X26" i="23" s="1"/>
  <c r="W67" i="23"/>
  <c r="X67" i="23" s="1"/>
  <c r="W102" i="23"/>
  <c r="X102" i="23" s="1"/>
  <c r="W139" i="23"/>
  <c r="X139" i="23" s="1"/>
  <c r="X388" i="23"/>
  <c r="W450" i="23"/>
  <c r="W44" i="23"/>
  <c r="X44" i="23" s="1"/>
  <c r="W46" i="23"/>
  <c r="X46" i="23" s="1"/>
  <c r="W48" i="23"/>
  <c r="X48" i="23" s="1"/>
  <c r="W81" i="23"/>
  <c r="X81" i="23" s="1"/>
  <c r="W83" i="23"/>
  <c r="X83" i="23" s="1"/>
  <c r="W85" i="23"/>
  <c r="X85" i="23" s="1"/>
  <c r="W116" i="23"/>
  <c r="X116" i="23" s="1"/>
  <c r="W118" i="23"/>
  <c r="X118" i="23" s="1"/>
  <c r="W120" i="23"/>
  <c r="X120" i="23" s="1"/>
  <c r="W201" i="23"/>
  <c r="X201" i="23" s="1"/>
  <c r="W205" i="23"/>
  <c r="X205" i="23" s="1"/>
  <c r="W207" i="23"/>
  <c r="X207" i="23" s="1"/>
  <c r="W220" i="23"/>
  <c r="X220" i="23" s="1"/>
  <c r="W248" i="23"/>
  <c r="X248" i="23" s="1"/>
  <c r="W302" i="23"/>
  <c r="X302" i="23" s="1"/>
  <c r="W370" i="23"/>
  <c r="W430" i="23"/>
  <c r="X430" i="23" s="1"/>
  <c r="W441" i="23"/>
  <c r="X441" i="23" s="1"/>
  <c r="W522" i="23"/>
  <c r="W537" i="23"/>
  <c r="E5" i="22" a="1"/>
  <c r="E5" i="22" s="1"/>
  <c r="V141" i="21"/>
  <c r="V151" i="21"/>
  <c r="V239" i="21"/>
  <c r="W239" i="21" s="1"/>
  <c r="V245" i="21"/>
  <c r="W245" i="21" s="1"/>
  <c r="V267" i="21"/>
  <c r="W267" i="21" s="1"/>
  <c r="V273" i="21"/>
  <c r="W273" i="21" s="1"/>
  <c r="V279" i="21"/>
  <c r="V293" i="21"/>
  <c r="W293" i="21" s="1"/>
  <c r="V299" i="21"/>
  <c r="W299" i="21" s="1"/>
  <c r="V309" i="21"/>
  <c r="W309" i="21" s="1"/>
  <c r="V311" i="21"/>
  <c r="W311" i="21" s="1"/>
  <c r="V317" i="21"/>
  <c r="W317" i="21" s="1"/>
  <c r="V335" i="21"/>
  <c r="W335" i="21" s="1"/>
  <c r="V345" i="21"/>
  <c r="V347" i="21"/>
  <c r="W347" i="21" s="1"/>
  <c r="V389" i="21"/>
  <c r="W389" i="21" s="1"/>
  <c r="V425" i="21"/>
  <c r="W425" i="21" s="1"/>
  <c r="V439" i="21"/>
  <c r="W439" i="21" s="1"/>
  <c r="V445" i="21"/>
  <c r="V463" i="21"/>
  <c r="W463" i="21" s="1"/>
  <c r="V475" i="21"/>
  <c r="W475" i="21" s="1"/>
  <c r="V481" i="21"/>
  <c r="W481" i="21" s="1"/>
  <c r="V493" i="21"/>
  <c r="W493" i="21" s="1"/>
  <c r="V499" i="21"/>
  <c r="W499" i="21" s="1"/>
  <c r="V505" i="21"/>
  <c r="V517" i="21"/>
  <c r="V519" i="21"/>
  <c r="V541" i="21"/>
  <c r="W541" i="21" s="1"/>
  <c r="V124" i="21"/>
  <c r="W124" i="21" s="1"/>
  <c r="V130" i="21"/>
  <c r="W130" i="21" s="1"/>
  <c r="V140" i="21"/>
  <c r="V250" i="21"/>
  <c r="W250" i="21" s="1"/>
  <c r="V254" i="21"/>
  <c r="W254" i="21" s="1"/>
  <c r="V256" i="21"/>
  <c r="W256" i="21" s="1"/>
  <c r="V258" i="21"/>
  <c r="W258" i="21" s="1"/>
  <c r="V262" i="21"/>
  <c r="W262" i="21" s="1"/>
  <c r="V272" i="21"/>
  <c r="W272" i="21" s="1"/>
  <c r="V276" i="21"/>
  <c r="W276" i="21" s="1"/>
  <c r="V284" i="21"/>
  <c r="W284" i="21" s="1"/>
  <c r="V288" i="21"/>
  <c r="W288" i="21" s="1"/>
  <c r="V10" i="21"/>
  <c r="W10" i="21" s="1"/>
  <c r="V28" i="21"/>
  <c r="W28" i="21" s="1"/>
  <c r="V40" i="21"/>
  <c r="W40" i="21" s="1"/>
  <c r="V46" i="21"/>
  <c r="W46" i="21" s="1"/>
  <c r="V58" i="21"/>
  <c r="W58" i="21" s="1"/>
  <c r="V320" i="21"/>
  <c r="W320" i="21" s="1"/>
  <c r="V326" i="21"/>
  <c r="W326" i="21" s="1"/>
  <c r="V332" i="21"/>
  <c r="W332" i="21" s="1"/>
  <c r="V336" i="21"/>
  <c r="W336" i="21" s="1"/>
  <c r="V338" i="21"/>
  <c r="W338" i="21" s="1"/>
  <c r="V344" i="21"/>
  <c r="W344" i="21" s="1"/>
  <c r="V348" i="21"/>
  <c r="W348" i="21" s="1"/>
  <c r="V350" i="21"/>
  <c r="W350" i="21" s="1"/>
  <c r="V354" i="21"/>
  <c r="W354" i="21" s="1"/>
  <c r="V358" i="21"/>
  <c r="W358" i="21" s="1"/>
  <c r="V360" i="21"/>
  <c r="W360" i="21" s="1"/>
  <c r="V364" i="21"/>
  <c r="W364" i="21" s="1"/>
  <c r="V376" i="21"/>
  <c r="W376" i="21" s="1"/>
  <c r="V378" i="21"/>
  <c r="W378" i="21" s="1"/>
  <c r="V414" i="21"/>
  <c r="W414" i="21" s="1"/>
  <c r="V426" i="21"/>
  <c r="W426" i="21" s="1"/>
  <c r="V428" i="21"/>
  <c r="W428" i="21" s="1"/>
  <c r="V432" i="21"/>
  <c r="W432" i="21" s="1"/>
  <c r="V436" i="21"/>
  <c r="W436" i="21" s="1"/>
  <c r="V438" i="21"/>
  <c r="W438" i="21" s="1"/>
  <c r="V448" i="21"/>
  <c r="W448" i="21" s="1"/>
  <c r="V456" i="21"/>
  <c r="W456" i="21" s="1"/>
  <c r="V458" i="21"/>
  <c r="W458" i="21" s="1"/>
  <c r="V466" i="21"/>
  <c r="W466" i="21" s="1"/>
  <c r="V472" i="21"/>
  <c r="W472" i="21" s="1"/>
  <c r="V490" i="21"/>
  <c r="W490" i="21" s="1"/>
  <c r="V492" i="21"/>
  <c r="W492" i="21" s="1"/>
  <c r="V494" i="21"/>
  <c r="W494" i="21" s="1"/>
  <c r="V496" i="21"/>
  <c r="W496" i="21" s="1"/>
  <c r="V528" i="21"/>
  <c r="W528" i="21" s="1"/>
  <c r="V153" i="21"/>
  <c r="W153" i="21" s="1"/>
  <c r="V238" i="21"/>
  <c r="W238" i="21" s="1"/>
  <c r="V142" i="21"/>
  <c r="W142" i="21" s="1"/>
  <c r="V152" i="21"/>
  <c r="W152" i="21" s="1"/>
  <c r="V156" i="21"/>
  <c r="W156" i="21" s="1"/>
  <c r="V164" i="21"/>
  <c r="W164" i="21" s="1"/>
  <c r="V176" i="21"/>
  <c r="W176" i="21" s="1"/>
  <c r="V182" i="21"/>
  <c r="W182" i="21" s="1"/>
  <c r="V184" i="21"/>
  <c r="W184" i="21" s="1"/>
  <c r="V186" i="21"/>
  <c r="W186" i="21" s="1"/>
  <c r="V190" i="21"/>
  <c r="W190" i="21" s="1"/>
  <c r="V200" i="21"/>
  <c r="W200" i="21" s="1"/>
  <c r="V202" i="21"/>
  <c r="W202" i="21" s="1"/>
  <c r="V204" i="21"/>
  <c r="W204" i="21" s="1"/>
  <c r="V208" i="21"/>
  <c r="W208" i="21" s="1"/>
  <c r="V214" i="21"/>
  <c r="W214" i="21" s="1"/>
  <c r="V218" i="21"/>
  <c r="W218" i="21" s="1"/>
  <c r="V220" i="21"/>
  <c r="W220" i="21" s="1"/>
  <c r="V222" i="21"/>
  <c r="W222" i="21" s="1"/>
  <c r="V226" i="21"/>
  <c r="W226" i="21" s="1"/>
  <c r="V236" i="21"/>
  <c r="W236" i="21" s="1"/>
  <c r="V329" i="21"/>
  <c r="W329" i="21" s="1"/>
  <c r="V609" i="21"/>
  <c r="V244" i="21"/>
  <c r="W244" i="21" s="1"/>
  <c r="V412" i="21"/>
  <c r="W412" i="21" s="1"/>
  <c r="V474" i="21"/>
  <c r="W474" i="21" s="1"/>
  <c r="V478" i="21"/>
  <c r="W478" i="21" s="1"/>
  <c r="V365" i="21"/>
  <c r="W365" i="21" s="1"/>
  <c r="V7" i="21"/>
  <c r="W7" i="21" s="1"/>
  <c r="V37" i="21"/>
  <c r="W37" i="21" s="1"/>
  <c r="V43" i="21"/>
  <c r="W43" i="21" s="1"/>
  <c r="V61" i="21"/>
  <c r="W61" i="21" s="1"/>
  <c r="V67" i="21"/>
  <c r="W67" i="21" s="1"/>
  <c r="V73" i="21"/>
  <c r="W73" i="21" s="1"/>
  <c r="V79" i="21"/>
  <c r="W79" i="21" s="1"/>
  <c r="V85" i="21"/>
  <c r="W85" i="21" s="1"/>
  <c r="V91" i="21"/>
  <c r="W91" i="21" s="1"/>
  <c r="V97" i="21"/>
  <c r="W97" i="21" s="1"/>
  <c r="V103" i="21"/>
  <c r="W103" i="21" s="1"/>
  <c r="V109" i="21"/>
  <c r="W109" i="21" s="1"/>
  <c r="V115" i="21"/>
  <c r="W115" i="21" s="1"/>
  <c r="V121" i="21"/>
  <c r="W121" i="21" s="1"/>
  <c r="V139" i="21"/>
  <c r="W139" i="21" s="1"/>
  <c r="V398" i="21"/>
  <c r="W398" i="21" s="1"/>
  <c r="V626" i="21"/>
  <c r="V308" i="21"/>
  <c r="W308" i="21" s="1"/>
  <c r="V408" i="21"/>
  <c r="W408" i="21" s="1"/>
  <c r="V163" i="21"/>
  <c r="W163" i="21" s="1"/>
  <c r="V165" i="21"/>
  <c r="W165" i="21" s="1"/>
  <c r="V175" i="21"/>
  <c r="W175" i="21" s="1"/>
  <c r="V177" i="21"/>
  <c r="W177" i="21" s="1"/>
  <c r="V187" i="21"/>
  <c r="W187" i="21" s="1"/>
  <c r="V195" i="21"/>
  <c r="W195" i="21" s="1"/>
  <c r="V209" i="21"/>
  <c r="W209" i="21" s="1"/>
  <c r="V223" i="21"/>
  <c r="W223" i="21" s="1"/>
  <c r="V231" i="21"/>
  <c r="W231" i="21" s="1"/>
  <c r="V482" i="21"/>
  <c r="W482" i="21" s="1"/>
  <c r="V504" i="21"/>
  <c r="W504" i="21" s="1"/>
  <c r="V510" i="21"/>
  <c r="W510" i="21" s="1"/>
  <c r="V522" i="21"/>
  <c r="W522" i="21" s="1"/>
  <c r="V542" i="21"/>
  <c r="W542" i="21" s="1"/>
  <c r="V548" i="21"/>
  <c r="W548" i="21" s="1"/>
  <c r="V554" i="21"/>
  <c r="W554" i="21" s="1"/>
  <c r="V560" i="21"/>
  <c r="W560" i="21" s="1"/>
  <c r="V566" i="21"/>
  <c r="W566" i="21" s="1"/>
  <c r="V570" i="21"/>
  <c r="W570" i="21" s="1"/>
  <c r="V582" i="21"/>
  <c r="W582" i="21" s="1"/>
  <c r="V588" i="21"/>
  <c r="W588" i="21" s="1"/>
  <c r="V594" i="21"/>
  <c r="W594" i="21" s="1"/>
  <c r="V600" i="21"/>
  <c r="W600" i="21" s="1"/>
  <c r="V606" i="21"/>
  <c r="W606" i="21" s="1"/>
  <c r="V387" i="21"/>
  <c r="W387" i="21" s="1"/>
  <c r="V401" i="21"/>
  <c r="W401" i="21" s="1"/>
  <c r="V263" i="21"/>
  <c r="W263" i="21" s="1"/>
  <c r="V421" i="21"/>
  <c r="W421" i="21" s="1"/>
  <c r="V11" i="21"/>
  <c r="W11" i="21" s="1"/>
  <c r="V17" i="21"/>
  <c r="W17" i="21" s="1"/>
  <c r="V27" i="21"/>
  <c r="W27" i="21" s="1"/>
  <c r="V429" i="21"/>
  <c r="W429" i="21" s="1"/>
  <c r="V437" i="21"/>
  <c r="W437" i="21" s="1"/>
  <c r="V47" i="21"/>
  <c r="W47" i="21" s="1"/>
  <c r="V53" i="21"/>
  <c r="W53" i="21" s="1"/>
  <c r="V192" i="21"/>
  <c r="W192" i="21" s="1"/>
  <c r="V196" i="21"/>
  <c r="W196" i="21" s="1"/>
  <c r="V281" i="21"/>
  <c r="W281" i="21" s="1"/>
  <c r="V285" i="21"/>
  <c r="W285" i="21" s="1"/>
  <c r="V449" i="21"/>
  <c r="W449" i="21" s="1"/>
  <c r="V453" i="21"/>
  <c r="W453" i="21" s="1"/>
  <c r="V455" i="21"/>
  <c r="W455" i="21" s="1"/>
  <c r="V457" i="21"/>
  <c r="W457" i="21" s="1"/>
  <c r="V459" i="21"/>
  <c r="W459" i="21" s="1"/>
  <c r="V461" i="21"/>
  <c r="W461" i="21" s="1"/>
  <c r="V467" i="21"/>
  <c r="W467" i="21" s="1"/>
  <c r="V618" i="21"/>
  <c r="V362" i="21"/>
  <c r="W362" i="21" s="1"/>
  <c r="V620" i="21"/>
  <c r="V143" i="21"/>
  <c r="W143" i="21" s="1"/>
  <c r="V228" i="21"/>
  <c r="W228" i="21" s="1"/>
  <c r="V232" i="21"/>
  <c r="W232" i="21" s="1"/>
  <c r="V240" i="21"/>
  <c r="W240" i="21" s="1"/>
  <c r="V323" i="21"/>
  <c r="W323" i="21" s="1"/>
  <c r="V327" i="21"/>
  <c r="W327" i="21" s="1"/>
  <c r="V382" i="21"/>
  <c r="W382" i="21" s="1"/>
  <c r="V390" i="21"/>
  <c r="W390" i="21" s="1"/>
  <c r="V396" i="21"/>
  <c r="W396" i="21" s="1"/>
  <c r="V400" i="21"/>
  <c r="W400" i="21" s="1"/>
  <c r="V483" i="21"/>
  <c r="W483" i="21" s="1"/>
  <c r="V485" i="21"/>
  <c r="W485" i="21" s="1"/>
  <c r="V489" i="21"/>
  <c r="W489" i="21" s="1"/>
  <c r="V495" i="21"/>
  <c r="W495" i="21" s="1"/>
  <c r="V531" i="21"/>
  <c r="W531" i="21" s="1"/>
  <c r="V533" i="21"/>
  <c r="W533" i="21" s="1"/>
  <c r="V535" i="21"/>
  <c r="W535" i="21" s="1"/>
  <c r="V537" i="21"/>
  <c r="W537" i="21" s="1"/>
  <c r="V539" i="21"/>
  <c r="W539" i="21" s="1"/>
  <c r="V227" i="21"/>
  <c r="W227" i="21" s="1"/>
  <c r="V385" i="21"/>
  <c r="W385" i="21" s="1"/>
  <c r="V498" i="21"/>
  <c r="W498" i="21" s="1"/>
  <c r="V512" i="21"/>
  <c r="W512" i="21" s="1"/>
  <c r="V524" i="21"/>
  <c r="W524" i="21" s="1"/>
  <c r="V546" i="21"/>
  <c r="W546" i="21" s="1"/>
  <c r="V564" i="21"/>
  <c r="W564" i="21" s="1"/>
  <c r="V572" i="21"/>
  <c r="W572" i="21" s="1"/>
  <c r="V578" i="21"/>
  <c r="W578" i="21" s="1"/>
  <c r="V584" i="21"/>
  <c r="W584" i="21" s="1"/>
  <c r="V590" i="21"/>
  <c r="W590" i="21" s="1"/>
  <c r="V602" i="21"/>
  <c r="W602" i="21" s="1"/>
  <c r="V608" i="21"/>
  <c r="V9" i="21"/>
  <c r="W9" i="21" s="1"/>
  <c r="V23" i="21"/>
  <c r="W23" i="21" s="1"/>
  <c r="V29" i="21"/>
  <c r="W29" i="21" s="1"/>
  <c r="V168" i="21"/>
  <c r="W168" i="21" s="1"/>
  <c r="V275" i="21"/>
  <c r="W275" i="21" s="1"/>
  <c r="V45" i="21"/>
  <c r="W45" i="21" s="1"/>
  <c r="V125" i="21"/>
  <c r="W125" i="21" s="1"/>
  <c r="V129" i="21"/>
  <c r="W129" i="21" s="1"/>
  <c r="V264" i="21"/>
  <c r="W264" i="21" s="1"/>
  <c r="V268" i="21"/>
  <c r="W268" i="21" s="1"/>
  <c r="V418" i="21"/>
  <c r="W418" i="21" s="1"/>
  <c r="V611" i="21"/>
  <c r="V6" i="21"/>
  <c r="W6" i="21" s="1"/>
  <c r="V341" i="21"/>
  <c r="W341" i="21" s="1"/>
  <c r="V434" i="21"/>
  <c r="W434" i="21" s="1"/>
  <c r="V617" i="21"/>
  <c r="V500" i="21"/>
  <c r="W500" i="21" s="1"/>
  <c r="V506" i="21"/>
  <c r="W506" i="21" s="1"/>
  <c r="V514" i="21"/>
  <c r="W514" i="21" s="1"/>
  <c r="V552" i="21"/>
  <c r="W552" i="21" s="1"/>
  <c r="V558" i="21"/>
  <c r="W558" i="21" s="1"/>
  <c r="V576" i="21"/>
  <c r="W576" i="21" s="1"/>
  <c r="V596" i="21"/>
  <c r="W596" i="21" s="1"/>
  <c r="V423" i="21"/>
  <c r="W423" i="21" s="1"/>
  <c r="V21" i="21"/>
  <c r="W21" i="21" s="1"/>
  <c r="V33" i="21"/>
  <c r="W33" i="21" s="1"/>
  <c r="V629" i="21"/>
  <c r="V57" i="21"/>
  <c r="W57" i="21" s="1"/>
  <c r="V123" i="21"/>
  <c r="W123" i="21" s="1"/>
  <c r="V131" i="21"/>
  <c r="W131" i="21" s="1"/>
  <c r="V2" i="21"/>
  <c r="W2" i="21" s="1"/>
  <c r="V14" i="21"/>
  <c r="W14" i="21" s="1"/>
  <c r="V50" i="21"/>
  <c r="W50" i="21" s="1"/>
  <c r="V60" i="21"/>
  <c r="W60" i="21" s="1"/>
  <c r="V62" i="21"/>
  <c r="W62" i="21" s="1"/>
  <c r="V66" i="21"/>
  <c r="W66" i="21" s="1"/>
  <c r="V68" i="21"/>
  <c r="W68" i="21" s="1"/>
  <c r="V72" i="21"/>
  <c r="W72" i="21" s="1"/>
  <c r="V74" i="21"/>
  <c r="W74" i="21" s="1"/>
  <c r="V78" i="21"/>
  <c r="W78" i="21" s="1"/>
  <c r="V80" i="21"/>
  <c r="W80" i="21" s="1"/>
  <c r="V84" i="21"/>
  <c r="W84" i="21" s="1"/>
  <c r="V86" i="21"/>
  <c r="W86" i="21" s="1"/>
  <c r="V90" i="21"/>
  <c r="W90" i="21" s="1"/>
  <c r="V92" i="21"/>
  <c r="W92" i="21" s="1"/>
  <c r="V96" i="21"/>
  <c r="W96" i="21" s="1"/>
  <c r="V98" i="21"/>
  <c r="W98" i="21" s="1"/>
  <c r="V102" i="21"/>
  <c r="W102" i="21" s="1"/>
  <c r="V104" i="21"/>
  <c r="W104" i="21" s="1"/>
  <c r="V108" i="21"/>
  <c r="W108" i="21" s="1"/>
  <c r="V110" i="21"/>
  <c r="W110" i="21" s="1"/>
  <c r="V114" i="21"/>
  <c r="W114" i="21" s="1"/>
  <c r="V116" i="21"/>
  <c r="W116" i="21" s="1"/>
  <c r="V120" i="21"/>
  <c r="W120" i="21" s="1"/>
  <c r="V122" i="21"/>
  <c r="W122" i="21" s="1"/>
  <c r="V132" i="21"/>
  <c r="W132" i="21" s="1"/>
  <c r="V136" i="21"/>
  <c r="W136" i="21" s="1"/>
  <c r="V191" i="21"/>
  <c r="W191" i="21" s="1"/>
  <c r="V203" i="21"/>
  <c r="W203" i="21" s="1"/>
  <c r="V278" i="21"/>
  <c r="W278" i="21" s="1"/>
  <c r="V280" i="21"/>
  <c r="W280" i="21" s="1"/>
  <c r="V296" i="21"/>
  <c r="W296" i="21" s="1"/>
  <c r="V300" i="21"/>
  <c r="W300" i="21" s="1"/>
  <c r="V302" i="21"/>
  <c r="W302" i="21" s="1"/>
  <c r="V353" i="21"/>
  <c r="W353" i="21" s="1"/>
  <c r="V371" i="21"/>
  <c r="W371" i="21" s="1"/>
  <c r="V450" i="21"/>
  <c r="W450" i="21" s="1"/>
  <c r="V464" i="21"/>
  <c r="W464" i="21" s="1"/>
  <c r="V495" i="1"/>
  <c r="W495" i="1" s="1"/>
  <c r="W260" i="1"/>
  <c r="V275" i="1"/>
  <c r="W275" i="1" s="1"/>
  <c r="V546" i="1"/>
  <c r="W546" i="1" s="1"/>
  <c r="V13" i="1"/>
  <c r="W13" i="1" s="1"/>
  <c r="W37" i="1"/>
  <c r="W103" i="1"/>
  <c r="V174" i="1"/>
  <c r="W174" i="1" s="1"/>
  <c r="V550" i="1"/>
  <c r="W550" i="1" s="1"/>
  <c r="V64" i="1"/>
  <c r="W64" i="1" s="1"/>
  <c r="V28" i="1"/>
  <c r="W28" i="1"/>
  <c r="W61" i="1"/>
  <c r="V528" i="1"/>
  <c r="W528" i="1" s="1"/>
  <c r="W46" i="1"/>
  <c r="V46" i="1"/>
  <c r="V341" i="1"/>
  <c r="W341" i="1" s="1"/>
  <c r="W1" i="1"/>
  <c r="V100" i="1"/>
  <c r="W100" i="1"/>
  <c r="W137" i="1"/>
  <c r="V137" i="1"/>
  <c r="V193" i="1"/>
  <c r="W193" i="1" s="1"/>
  <c r="V395" i="1"/>
  <c r="W395" i="1"/>
  <c r="W121" i="1"/>
  <c r="V599" i="1"/>
  <c r="W599" i="1" s="1"/>
  <c r="W377" i="1"/>
  <c r="V590" i="1"/>
  <c r="W590" i="1" s="1"/>
  <c r="W49" i="1"/>
  <c r="V252" i="1"/>
  <c r="W252" i="1" s="1"/>
  <c r="V414" i="1"/>
  <c r="W414" i="1"/>
  <c r="V149" i="1"/>
  <c r="W149" i="1" s="1"/>
  <c r="V10" i="1"/>
  <c r="W10" i="1" s="1"/>
  <c r="V465" i="1"/>
  <c r="W465" i="1" s="1"/>
  <c r="W109" i="1"/>
  <c r="V581" i="1"/>
  <c r="W581" i="1" s="1"/>
  <c r="V82" i="1"/>
  <c r="W82" i="1"/>
  <c r="W115" i="1"/>
  <c r="V321" i="1"/>
  <c r="W321" i="1" s="1"/>
  <c r="V266" i="1"/>
  <c r="W266" i="1" s="1"/>
  <c r="W19" i="1"/>
  <c r="W85" i="1"/>
  <c r="V165" i="1"/>
  <c r="W165" i="1" s="1"/>
  <c r="V592" i="1"/>
  <c r="W592" i="1" s="1"/>
  <c r="W118" i="1"/>
  <c r="V118" i="1"/>
  <c r="W31" i="1"/>
  <c r="W132" i="1"/>
  <c r="V132" i="1"/>
  <c r="V151" i="1"/>
  <c r="W151" i="1" s="1"/>
  <c r="V211" i="1"/>
  <c r="W211" i="1" s="1"/>
  <c r="V532" i="1"/>
  <c r="W532" i="1" s="1"/>
  <c r="V569" i="1"/>
  <c r="W569" i="1" s="1"/>
  <c r="W631" i="1"/>
  <c r="V631" i="1"/>
  <c r="V7" i="1"/>
  <c r="W7" i="1" s="1"/>
  <c r="V125" i="1"/>
  <c r="W125" i="1" s="1"/>
  <c r="W127" i="1"/>
  <c r="W143" i="1"/>
  <c r="V146" i="1"/>
  <c r="W146" i="1" s="1"/>
  <c r="V162" i="1"/>
  <c r="W162" i="1" s="1"/>
  <c r="V197" i="1"/>
  <c r="W197" i="1" s="1"/>
  <c r="W221" i="1"/>
  <c r="W288" i="1"/>
  <c r="W311" i="1"/>
  <c r="V336" i="1"/>
  <c r="W336" i="1" s="1"/>
  <c r="V338" i="1"/>
  <c r="W338" i="1" s="1"/>
  <c r="V562" i="1"/>
  <c r="W562" i="1" s="1"/>
  <c r="W576" i="1"/>
  <c r="W618" i="1"/>
  <c r="V618" i="1"/>
  <c r="V4" i="1"/>
  <c r="W4" i="1" s="1"/>
  <c r="V25" i="1"/>
  <c r="W25" i="1" s="1"/>
  <c r="V43" i="1"/>
  <c r="W43" i="1" s="1"/>
  <c r="V61" i="1"/>
  <c r="V79" i="1"/>
  <c r="W79" i="1" s="1"/>
  <c r="V97" i="1"/>
  <c r="W97" i="1" s="1"/>
  <c r="V115" i="1"/>
  <c r="V129" i="1"/>
  <c r="W129" i="1" s="1"/>
  <c r="W192" i="1"/>
  <c r="W199" i="1"/>
  <c r="V218" i="1"/>
  <c r="W218" i="1" s="1"/>
  <c r="V233" i="1"/>
  <c r="W233" i="1" s="1"/>
  <c r="V240" i="1"/>
  <c r="W240" i="1" s="1"/>
  <c r="V308" i="1"/>
  <c r="W308" i="1" s="1"/>
  <c r="W329" i="1"/>
  <c r="V396" i="1"/>
  <c r="W396" i="1" s="1"/>
  <c r="V413" i="1"/>
  <c r="W413" i="1" s="1"/>
  <c r="V427" i="1"/>
  <c r="W427" i="1" s="1"/>
  <c r="V429" i="1"/>
  <c r="W429" i="1" s="1"/>
  <c r="W438" i="1"/>
  <c r="V496" i="1"/>
  <c r="W496" i="1" s="1"/>
  <c r="V571" i="1"/>
  <c r="W571" i="1" s="1"/>
  <c r="V600" i="1"/>
  <c r="W600" i="1" s="1"/>
  <c r="V369" i="1"/>
  <c r="W369" i="1"/>
  <c r="V403" i="1"/>
  <c r="W403" i="1"/>
  <c r="V467" i="1"/>
  <c r="W467" i="1" s="1"/>
  <c r="V139" i="1"/>
  <c r="W139" i="1" s="1"/>
  <c r="V176" i="1"/>
  <c r="W176" i="1" s="1"/>
  <c r="W585" i="1"/>
  <c r="W160" i="1"/>
  <c r="V492" i="1"/>
  <c r="W492" i="1" s="1"/>
  <c r="V587" i="1"/>
  <c r="W587" i="1" s="1"/>
  <c r="W629" i="1"/>
  <c r="V629" i="1"/>
  <c r="V1" i="1"/>
  <c r="V127" i="1"/>
  <c r="W131" i="1"/>
  <c r="V143" i="1"/>
  <c r="W157" i="1"/>
  <c r="V171" i="1"/>
  <c r="W171" i="1" s="1"/>
  <c r="V173" i="1"/>
  <c r="W173" i="1" s="1"/>
  <c r="V359" i="1"/>
  <c r="W359" i="1" s="1"/>
  <c r="V382" i="1"/>
  <c r="W382" i="1" s="1"/>
  <c r="V394" i="1"/>
  <c r="W394" i="1" s="1"/>
  <c r="V420" i="1"/>
  <c r="W420" i="1" s="1"/>
  <c r="V453" i="1"/>
  <c r="W453" i="1" s="1"/>
  <c r="V455" i="1"/>
  <c r="W455" i="1"/>
  <c r="W527" i="1"/>
  <c r="V527" i="1"/>
  <c r="V549" i="1"/>
  <c r="W549" i="1" s="1"/>
  <c r="V564" i="1"/>
  <c r="W564" i="1" s="1"/>
  <c r="W622" i="1"/>
  <c r="V622" i="1"/>
  <c r="V488" i="1"/>
  <c r="W488" i="1"/>
  <c r="V501" i="1"/>
  <c r="W501" i="1" s="1"/>
  <c r="V539" i="1"/>
  <c r="W539" i="1" s="1"/>
  <c r="W556" i="1"/>
  <c r="V362" i="1"/>
  <c r="W362" i="1" s="1"/>
  <c r="V150" i="1"/>
  <c r="W150" i="1" s="1"/>
  <c r="V187" i="1"/>
  <c r="W187" i="1" s="1"/>
  <c r="V215" i="1"/>
  <c r="W215" i="1" s="1"/>
  <c r="V384" i="1"/>
  <c r="W384" i="1" s="1"/>
  <c r="V402" i="1"/>
  <c r="W402" i="1" s="1"/>
  <c r="V466" i="1"/>
  <c r="W466" i="1" s="1"/>
  <c r="V518" i="1"/>
  <c r="W518" i="1" s="1"/>
  <c r="W611" i="1"/>
  <c r="V611" i="1"/>
  <c r="V186" i="1"/>
  <c r="W186" i="1" s="1"/>
  <c r="V434" i="1"/>
  <c r="W434" i="1" s="1"/>
  <c r="V594" i="1"/>
  <c r="W594" i="1" s="1"/>
  <c r="V190" i="1"/>
  <c r="W190" i="1" s="1"/>
  <c r="V140" i="1"/>
  <c r="W140" i="1" s="1"/>
  <c r="V175" i="1"/>
  <c r="W175" i="1" s="1"/>
  <c r="V260" i="1"/>
  <c r="V287" i="1"/>
  <c r="W287" i="1" s="1"/>
  <c r="V354" i="1"/>
  <c r="W354" i="1" s="1"/>
  <c r="V377" i="1"/>
  <c r="V435" i="1"/>
  <c r="W435" i="1" s="1"/>
  <c r="V482" i="1"/>
  <c r="W482" i="1" s="1"/>
  <c r="V557" i="1"/>
  <c r="W557" i="1" s="1"/>
  <c r="V559" i="1"/>
  <c r="W559" i="1" s="1"/>
  <c r="V561" i="1"/>
  <c r="W561" i="1" s="1"/>
  <c r="V604" i="1"/>
  <c r="W604" i="1" s="1"/>
  <c r="V209" i="1"/>
  <c r="W209" i="1" s="1"/>
  <c r="W460" i="1"/>
  <c r="V19" i="1"/>
  <c r="V37" i="1"/>
  <c r="V55" i="1"/>
  <c r="W55" i="1" s="1"/>
  <c r="V73" i="1"/>
  <c r="W73" i="1" s="1"/>
  <c r="V91" i="1"/>
  <c r="W91" i="1" s="1"/>
  <c r="V109" i="1"/>
  <c r="W124" i="1"/>
  <c r="V154" i="1"/>
  <c r="W154" i="1" s="1"/>
  <c r="V168" i="1"/>
  <c r="W168" i="1" s="1"/>
  <c r="W189" i="1"/>
  <c r="W196" i="1"/>
  <c r="V212" i="1"/>
  <c r="W212" i="1" s="1"/>
  <c r="W255" i="1"/>
  <c r="V326" i="1"/>
  <c r="W326" i="1" s="1"/>
  <c r="V410" i="1"/>
  <c r="W410" i="1" s="1"/>
  <c r="V448" i="1"/>
  <c r="W448" i="1" s="1"/>
  <c r="W513" i="1"/>
  <c r="V520" i="1"/>
  <c r="W520" i="1" s="1"/>
  <c r="V522" i="1"/>
  <c r="W522" i="1" s="1"/>
  <c r="V126" i="1"/>
  <c r="W126" i="1" s="1"/>
  <c r="V161" i="1"/>
  <c r="W161" i="1" s="1"/>
  <c r="W163" i="1"/>
  <c r="W179" i="1"/>
  <c r="V257" i="1"/>
  <c r="W257" i="1" s="1"/>
  <c r="V305" i="1"/>
  <c r="W305" i="1" s="1"/>
  <c r="W324" i="1"/>
  <c r="W374" i="1"/>
  <c r="V477" i="1"/>
  <c r="W477" i="1" s="1"/>
  <c r="V506" i="1"/>
  <c r="W506" i="1" s="1"/>
  <c r="W511" i="1"/>
  <c r="V515" i="1"/>
  <c r="W515" i="1" s="1"/>
  <c r="V563" i="1"/>
  <c r="W563" i="1" s="1"/>
  <c r="W148" i="1"/>
  <c r="W184" i="1"/>
  <c r="V285" i="1"/>
  <c r="W285" i="1" s="1"/>
  <c r="V290" i="1"/>
  <c r="W290" i="1" s="1"/>
  <c r="V300" i="1"/>
  <c r="W300" i="1" s="1"/>
  <c r="V351" i="1"/>
  <c r="W351" i="1" s="1"/>
  <c r="V391" i="1"/>
  <c r="W391" i="1" s="1"/>
  <c r="V417" i="1"/>
  <c r="W417" i="1" s="1"/>
  <c r="W424" i="1"/>
  <c r="V424" i="1"/>
  <c r="V457" i="1"/>
  <c r="W457" i="1" s="1"/>
  <c r="V491" i="1"/>
  <c r="W491" i="1" s="1"/>
  <c r="V566" i="1"/>
  <c r="W566" i="1" s="1"/>
  <c r="W573" i="1"/>
  <c r="V573" i="1"/>
  <c r="W580" i="1"/>
  <c r="W145" i="1"/>
  <c r="W181" i="1"/>
  <c r="V323" i="1"/>
  <c r="W323" i="1" s="1"/>
  <c r="V381" i="1"/>
  <c r="W381" i="1" s="1"/>
  <c r="W481" i="1"/>
  <c r="V503" i="1"/>
  <c r="W503" i="1" s="1"/>
  <c r="V510" i="1"/>
  <c r="W510" i="1" s="1"/>
  <c r="V545" i="1"/>
  <c r="W545" i="1" s="1"/>
  <c r="V582" i="1"/>
  <c r="W582" i="1" s="1"/>
  <c r="W617" i="1"/>
  <c r="V617" i="1"/>
  <c r="V249" i="1"/>
  <c r="W254" i="1"/>
  <c r="V254" i="1"/>
  <c r="V264" i="1"/>
  <c r="V282" i="1"/>
  <c r="W282" i="1" s="1"/>
  <c r="V297" i="1"/>
  <c r="W297" i="1" s="1"/>
  <c r="V315" i="1"/>
  <c r="W315" i="1" s="1"/>
  <c r="V348" i="1"/>
  <c r="W348" i="1" s="1"/>
  <c r="V419" i="1"/>
  <c r="W419" i="1"/>
  <c r="V459" i="1"/>
  <c r="W459" i="1" s="1"/>
  <c r="V533" i="1"/>
  <c r="W533" i="1" s="1"/>
  <c r="V554" i="1"/>
  <c r="W554" i="1" s="1"/>
  <c r="V568" i="1"/>
  <c r="W568" i="1" s="1"/>
  <c r="V575" i="1"/>
  <c r="W575" i="1" s="1"/>
  <c r="V605" i="1"/>
  <c r="W605" i="1" s="1"/>
  <c r="W626" i="1"/>
  <c r="V626" i="1"/>
  <c r="V128" i="1"/>
  <c r="W128" i="1" s="1"/>
  <c r="V142" i="1"/>
  <c r="W142" i="1" s="1"/>
  <c r="V153" i="1"/>
  <c r="W153" i="1" s="1"/>
  <c r="V164" i="1"/>
  <c r="W164" i="1" s="1"/>
  <c r="V178" i="1"/>
  <c r="W178" i="1" s="1"/>
  <c r="V189" i="1"/>
  <c r="V200" i="1"/>
  <c r="W200" i="1" s="1"/>
  <c r="V214" i="1"/>
  <c r="W214" i="1" s="1"/>
  <c r="V236" i="1"/>
  <c r="W236" i="1" s="1"/>
  <c r="W249" i="1"/>
  <c r="W264" i="1"/>
  <c r="V279" i="1"/>
  <c r="W279" i="1"/>
  <c r="V312" i="1"/>
  <c r="W312" i="1"/>
  <c r="W330" i="1"/>
  <c r="V335" i="1"/>
  <c r="W335" i="1" s="1"/>
  <c r="W363" i="1"/>
  <c r="V368" i="1"/>
  <c r="W368" i="1" s="1"/>
  <c r="W407" i="1"/>
  <c r="V428" i="1"/>
  <c r="W428" i="1" s="1"/>
  <c r="V445" i="1"/>
  <c r="W445" i="1" s="1"/>
  <c r="V452" i="1"/>
  <c r="W452" i="1" s="1"/>
  <c r="V454" i="1"/>
  <c r="W454" i="1" s="1"/>
  <c r="V471" i="1"/>
  <c r="W471" i="1" s="1"/>
  <c r="V478" i="1"/>
  <c r="W478" i="1" s="1"/>
  <c r="V500" i="1"/>
  <c r="W500" i="1"/>
  <c r="V521" i="1"/>
  <c r="W521" i="1" s="1"/>
  <c r="V540" i="1"/>
  <c r="W540" i="1" s="1"/>
  <c r="V556" i="1"/>
  <c r="V558" i="1"/>
  <c r="W558" i="1" s="1"/>
  <c r="V593" i="1"/>
  <c r="W593" i="1" s="1"/>
  <c r="V612" i="1"/>
  <c r="V628" i="1"/>
  <c r="W630" i="1"/>
  <c r="V630" i="1"/>
  <c r="W133" i="1"/>
  <c r="W169" i="1"/>
  <c r="W205" i="1"/>
  <c r="V251" i="1"/>
  <c r="W251" i="1" s="1"/>
  <c r="W365" i="1"/>
  <c r="V385" i="1"/>
  <c r="W385" i="1" s="1"/>
  <c r="V409" i="1"/>
  <c r="W409" i="1" s="1"/>
  <c r="V514" i="1"/>
  <c r="W514" i="1" s="1"/>
  <c r="V551" i="1"/>
  <c r="W551" i="1" s="1"/>
  <c r="V586" i="1"/>
  <c r="W586" i="1" s="1"/>
  <c r="V621" i="1"/>
  <c r="W623" i="1"/>
  <c r="V623" i="1"/>
  <c r="W130" i="1"/>
  <c r="V136" i="1"/>
  <c r="W136" i="1" s="1"/>
  <c r="W166" i="1"/>
  <c r="V172" i="1"/>
  <c r="W172" i="1" s="1"/>
  <c r="W202" i="1"/>
  <c r="V208" i="1"/>
  <c r="W208" i="1" s="1"/>
  <c r="V243" i="1"/>
  <c r="W243" i="1" s="1"/>
  <c r="W246" i="1"/>
  <c r="V258" i="1"/>
  <c r="W258" i="1" s="1"/>
  <c r="W261" i="1"/>
  <c r="V276" i="1"/>
  <c r="W276" i="1" s="1"/>
  <c r="V291" i="1"/>
  <c r="W291" i="1" s="1"/>
  <c r="W294" i="1"/>
  <c r="W327" i="1"/>
  <c r="V380" i="1"/>
  <c r="W380" i="1" s="1"/>
  <c r="V392" i="1"/>
  <c r="W392" i="1" s="1"/>
  <c r="W399" i="1"/>
  <c r="V432" i="1"/>
  <c r="W432" i="1" s="1"/>
  <c r="V437" i="1"/>
  <c r="W437" i="1" s="1"/>
  <c r="V442" i="1"/>
  <c r="W442" i="1" s="1"/>
  <c r="V485" i="1"/>
  <c r="W485" i="1" s="1"/>
  <c r="V509" i="1"/>
  <c r="W509" i="1" s="1"/>
  <c r="V523" i="1"/>
  <c r="W523" i="1" s="1"/>
  <c r="V530" i="1"/>
  <c r="W530" i="1" s="1"/>
  <c r="V537" i="1"/>
  <c r="W537" i="1" s="1"/>
  <c r="W544" i="1"/>
  <c r="V595" i="1"/>
  <c r="W595" i="1" s="1"/>
  <c r="V602" i="1"/>
  <c r="W602" i="1" s="1"/>
  <c r="W609" i="1"/>
  <c r="V609" i="1"/>
  <c r="V237" i="1"/>
  <c r="V273" i="1"/>
  <c r="V309" i="1"/>
  <c r="W309" i="1" s="1"/>
  <c r="V401" i="1"/>
  <c r="W401" i="1" s="1"/>
  <c r="V421" i="1"/>
  <c r="W421" i="1" s="1"/>
  <c r="V449" i="1"/>
  <c r="W449" i="1" s="1"/>
  <c r="W388" i="1"/>
  <c r="V406" i="1"/>
  <c r="W406" i="1" s="1"/>
  <c r="V464" i="1"/>
  <c r="W464" i="1" s="1"/>
  <c r="W237" i="1"/>
  <c r="V267" i="1"/>
  <c r="W267" i="1" s="1"/>
  <c r="W273" i="1"/>
  <c r="V303" i="1"/>
  <c r="W303" i="1" s="1"/>
  <c r="W345" i="1"/>
  <c r="V398" i="1"/>
  <c r="W398" i="1" s="1"/>
  <c r="V431" i="1"/>
  <c r="W431" i="1" s="1"/>
  <c r="V446" i="1"/>
  <c r="W446" i="1" s="1"/>
  <c r="W456" i="1"/>
  <c r="V489" i="1"/>
  <c r="W489" i="1" s="1"/>
  <c r="V504" i="1"/>
  <c r="W504" i="1" s="1"/>
  <c r="V507" i="1"/>
  <c r="W507" i="1" s="1"/>
  <c r="V519" i="1"/>
  <c r="W519" i="1" s="1"/>
  <c r="V536" i="1"/>
  <c r="W536" i="1" s="1"/>
  <c r="V541" i="1"/>
  <c r="W541" i="1" s="1"/>
  <c r="V548" i="1"/>
  <c r="W548" i="1" s="1"/>
  <c r="V555" i="1"/>
  <c r="W555" i="1" s="1"/>
  <c r="V572" i="1"/>
  <c r="W572" i="1" s="1"/>
  <c r="V577" i="1"/>
  <c r="W577" i="1" s="1"/>
  <c r="V584" i="1"/>
  <c r="W584" i="1" s="1"/>
  <c r="V591" i="1"/>
  <c r="W591" i="1" s="1"/>
  <c r="W608" i="1"/>
  <c r="V608" i="1"/>
  <c r="V613" i="1"/>
  <c r="W620" i="1"/>
  <c r="V620" i="1"/>
  <c r="W627" i="1"/>
  <c r="V627" i="1"/>
  <c r="V404" i="1"/>
  <c r="W404" i="1" s="1"/>
  <c r="V440" i="1"/>
  <c r="W440" i="1" s="1"/>
  <c r="V476" i="1"/>
  <c r="W476" i="1" s="1"/>
  <c r="V512" i="1"/>
  <c r="W512" i="1" s="1"/>
  <c r="V389" i="1"/>
  <c r="W389" i="1" s="1"/>
  <c r="V425" i="1"/>
  <c r="W425" i="1" s="1"/>
  <c r="V461" i="1"/>
  <c r="W461" i="1" s="1"/>
  <c r="V497" i="1"/>
  <c r="W497" i="1" s="1"/>
  <c r="V524" i="1"/>
  <c r="W524" i="1" s="1"/>
  <c r="V542" i="1"/>
  <c r="W542" i="1" s="1"/>
  <c r="V560" i="1"/>
  <c r="W560" i="1" s="1"/>
  <c r="W578" i="1"/>
  <c r="V578" i="1"/>
  <c r="V596" i="1"/>
  <c r="W596" i="1" s="1"/>
  <c r="W614" i="1"/>
  <c r="V614" i="1"/>
  <c r="W632" i="1"/>
  <c r="V632" i="1"/>
  <c r="V386" i="1"/>
  <c r="W386" i="1" s="1"/>
  <c r="V422" i="1"/>
  <c r="W422" i="1" s="1"/>
  <c r="V458" i="1"/>
  <c r="W458" i="1" s="1"/>
  <c r="V494" i="1"/>
  <c r="W494" i="1" s="1"/>
  <c r="V123" i="11"/>
  <c r="W123" i="11" s="1"/>
  <c r="V156" i="11"/>
  <c r="W156" i="11" s="1"/>
  <c r="V519" i="11"/>
  <c r="W519" i="11" s="1"/>
  <c r="W580" i="11"/>
  <c r="V171" i="11"/>
  <c r="W171" i="11" s="1"/>
  <c r="V495" i="11"/>
  <c r="W495" i="11" s="1"/>
  <c r="V582" i="11"/>
  <c r="W582" i="11" s="1"/>
  <c r="V57" i="11"/>
  <c r="W57" i="11" s="1"/>
  <c r="V232" i="11"/>
  <c r="W232" i="11" s="1"/>
  <c r="V270" i="11"/>
  <c r="W270" i="11" s="1"/>
  <c r="V580" i="11"/>
  <c r="W621" i="11"/>
  <c r="V621" i="11"/>
  <c r="W339" i="11"/>
  <c r="V339" i="11"/>
  <c r="V407" i="11"/>
  <c r="W407" i="11" s="1"/>
  <c r="W462" i="11"/>
  <c r="V544" i="11"/>
  <c r="W544" i="11" s="1"/>
  <c r="V52" i="11"/>
  <c r="W52" i="11" s="1"/>
  <c r="V321" i="11"/>
  <c r="W321" i="11" s="1"/>
  <c r="V434" i="11"/>
  <c r="W434" i="11" s="1"/>
  <c r="V512" i="11"/>
  <c r="W512" i="11" s="1"/>
  <c r="W616" i="11"/>
  <c r="V616" i="11"/>
  <c r="W625" i="11"/>
  <c r="V625" i="11"/>
  <c r="W629" i="11"/>
  <c r="V629" i="11"/>
  <c r="W631" i="11"/>
  <c r="V631" i="11"/>
  <c r="V16" i="11"/>
  <c r="W16" i="11" s="1"/>
  <c r="W36" i="11"/>
  <c r="W54" i="11"/>
  <c r="V54" i="11"/>
  <c r="V398" i="11"/>
  <c r="W398" i="11" s="1"/>
  <c r="V429" i="11"/>
  <c r="W429" i="11" s="1"/>
  <c r="V462" i="11"/>
  <c r="V490" i="11"/>
  <c r="W490" i="11" s="1"/>
  <c r="V514" i="11"/>
  <c r="W514" i="11" s="1"/>
  <c r="W537" i="11"/>
  <c r="V537" i="11"/>
  <c r="V567" i="11"/>
  <c r="W567" i="11" s="1"/>
  <c r="V555" i="11"/>
  <c r="W555" i="11" s="1"/>
  <c r="V39" i="11"/>
  <c r="W39" i="11" s="1"/>
  <c r="W369" i="11"/>
  <c r="V166" i="11"/>
  <c r="W166" i="11" s="1"/>
  <c r="W184" i="11"/>
  <c r="V184" i="11"/>
  <c r="V349" i="11"/>
  <c r="W349" i="11" s="1"/>
  <c r="V505" i="11"/>
  <c r="W505" i="11" s="1"/>
  <c r="W479" i="11"/>
  <c r="V159" i="11"/>
  <c r="W159" i="11" s="1"/>
  <c r="V220" i="11"/>
  <c r="W220" i="11" s="1"/>
  <c r="V607" i="11"/>
  <c r="W607" i="11" s="1"/>
  <c r="V174" i="11"/>
  <c r="W174" i="11" s="1"/>
  <c r="W192" i="11"/>
  <c r="W202" i="11"/>
  <c r="W291" i="11"/>
  <c r="V298" i="11"/>
  <c r="W298" i="11" s="1"/>
  <c r="V417" i="11"/>
  <c r="V479" i="11"/>
  <c r="V594" i="11"/>
  <c r="W594" i="11" s="1"/>
  <c r="V100" i="11"/>
  <c r="W100" i="11"/>
  <c r="V217" i="11"/>
  <c r="W217" i="11"/>
  <c r="W352" i="11"/>
  <c r="V445" i="11"/>
  <c r="W445" i="11" s="1"/>
  <c r="W64" i="11"/>
  <c r="W118" i="11"/>
  <c r="V151" i="11"/>
  <c r="W151" i="11" s="1"/>
  <c r="V199" i="11"/>
  <c r="W199" i="11" s="1"/>
  <c r="W90" i="11"/>
  <c r="V366" i="11"/>
  <c r="W366" i="11" s="1"/>
  <c r="V571" i="11"/>
  <c r="W571" i="11" s="1"/>
  <c r="V316" i="11"/>
  <c r="W316" i="11" s="1"/>
  <c r="W358" i="11"/>
  <c r="V605" i="11"/>
  <c r="W605" i="11" s="1"/>
  <c r="V4" i="11"/>
  <c r="W4" i="11" s="1"/>
  <c r="V334" i="11"/>
  <c r="W334" i="11" s="1"/>
  <c r="V558" i="11"/>
  <c r="W558" i="11" s="1"/>
  <c r="V105" i="11"/>
  <c r="W105" i="11" s="1"/>
  <c r="W136" i="11"/>
  <c r="W187" i="11"/>
  <c r="V207" i="11"/>
  <c r="W207" i="11" s="1"/>
  <c r="V237" i="11"/>
  <c r="W237" i="11" s="1"/>
  <c r="W253" i="11"/>
  <c r="V255" i="11"/>
  <c r="W255" i="11" s="1"/>
  <c r="W355" i="11"/>
  <c r="V384" i="11"/>
  <c r="W384" i="11" s="1"/>
  <c r="W393" i="11"/>
  <c r="W412" i="11"/>
  <c r="V481" i="11"/>
  <c r="W481" i="11" s="1"/>
  <c r="W551" i="11"/>
  <c r="V600" i="11"/>
  <c r="W600" i="11" s="1"/>
  <c r="W21" i="11"/>
  <c r="W324" i="11"/>
  <c r="V1" i="11"/>
  <c r="W1" i="11" s="1"/>
  <c r="W75" i="11"/>
  <c r="V82" i="11"/>
  <c r="W82" i="11" s="1"/>
  <c r="V376" i="11"/>
  <c r="W376" i="11" s="1"/>
  <c r="V523" i="11"/>
  <c r="W523" i="11" s="1"/>
  <c r="W525" i="11"/>
  <c r="V525" i="11"/>
  <c r="V288" i="11"/>
  <c r="W288" i="11" s="1"/>
  <c r="W403" i="11"/>
  <c r="V469" i="11"/>
  <c r="W469" i="11" s="1"/>
  <c r="V75" i="11"/>
  <c r="V133" i="11"/>
  <c r="W133" i="11" s="1"/>
  <c r="V306" i="11"/>
  <c r="W306" i="11" s="1"/>
  <c r="V72" i="11"/>
  <c r="W72" i="11" s="1"/>
  <c r="W108" i="11"/>
  <c r="V389" i="11"/>
  <c r="W389" i="11" s="1"/>
  <c r="V509" i="11"/>
  <c r="W509" i="11" s="1"/>
  <c r="V19" i="11"/>
  <c r="W19" i="11" s="1"/>
  <c r="V138" i="11"/>
  <c r="W138" i="11" s="1"/>
  <c r="W235" i="11"/>
  <c r="V291" i="11"/>
  <c r="W417" i="11"/>
  <c r="V450" i="11"/>
  <c r="W450" i="11" s="1"/>
  <c r="V500" i="11"/>
  <c r="W500" i="11" s="1"/>
  <c r="V553" i="11"/>
  <c r="W553" i="11" s="1"/>
  <c r="V587" i="11"/>
  <c r="W587" i="11" s="1"/>
  <c r="V598" i="11"/>
  <c r="W598" i="11" s="1"/>
  <c r="W115" i="11"/>
  <c r="V363" i="11"/>
  <c r="W363" i="11" s="1"/>
  <c r="V589" i="11"/>
  <c r="W589" i="11" s="1"/>
  <c r="W234" i="11"/>
  <c r="V400" i="11"/>
  <c r="W400" i="11" s="1"/>
  <c r="V464" i="11"/>
  <c r="W464" i="11" s="1"/>
  <c r="V115" i="11"/>
  <c r="W120" i="11"/>
  <c r="V346" i="11"/>
  <c r="W346" i="11" s="1"/>
  <c r="W433" i="11"/>
  <c r="V433" i="11"/>
  <c r="V64" i="11"/>
  <c r="W97" i="11"/>
  <c r="V135" i="11"/>
  <c r="W135" i="11" s="1"/>
  <c r="W201" i="11"/>
  <c r="V234" i="11"/>
  <c r="V280" i="11"/>
  <c r="W280" i="11" s="1"/>
  <c r="W318" i="11"/>
  <c r="V328" i="11"/>
  <c r="W328" i="11" s="1"/>
  <c r="V351" i="11"/>
  <c r="W351" i="11" s="1"/>
  <c r="W426" i="11"/>
  <c r="W459" i="11"/>
  <c r="V480" i="11"/>
  <c r="W480" i="11" s="1"/>
  <c r="V492" i="11"/>
  <c r="W492" i="11" s="1"/>
  <c r="V566" i="11"/>
  <c r="W566" i="11" s="1"/>
  <c r="W46" i="11"/>
  <c r="V61" i="11"/>
  <c r="W61" i="11" s="1"/>
  <c r="W84" i="11"/>
  <c r="V160" i="11"/>
  <c r="W160" i="11" s="1"/>
  <c r="W343" i="11"/>
  <c r="W437" i="11"/>
  <c r="V454" i="11"/>
  <c r="W454" i="11" s="1"/>
  <c r="V456" i="11"/>
  <c r="W456" i="11" s="1"/>
  <c r="W579" i="11"/>
  <c r="V615" i="11"/>
  <c r="W626" i="11"/>
  <c r="V626" i="11"/>
  <c r="V10" i="11"/>
  <c r="W10" i="11" s="1"/>
  <c r="V28" i="11"/>
  <c r="W28" i="11" s="1"/>
  <c r="V30" i="11"/>
  <c r="W30" i="11" s="1"/>
  <c r="V33" i="11"/>
  <c r="W33" i="11" s="1"/>
  <c r="W66" i="11"/>
  <c r="V76" i="11"/>
  <c r="W76" i="11" s="1"/>
  <c r="V99" i="11"/>
  <c r="W99" i="11" s="1"/>
  <c r="W145" i="11"/>
  <c r="W165" i="11"/>
  <c r="V183" i="11"/>
  <c r="W183" i="11" s="1"/>
  <c r="V216" i="11"/>
  <c r="W216" i="11" s="1"/>
  <c r="V226" i="11"/>
  <c r="W226" i="11" s="1"/>
  <c r="V244" i="11"/>
  <c r="W244" i="11" s="1"/>
  <c r="V246" i="11"/>
  <c r="W246" i="11" s="1"/>
  <c r="W277" i="11"/>
  <c r="W282" i="11"/>
  <c r="V292" i="11"/>
  <c r="W292" i="11" s="1"/>
  <c r="V315" i="11"/>
  <c r="W315" i="11" s="1"/>
  <c r="W372" i="11"/>
  <c r="V390" i="11"/>
  <c r="W390" i="11" s="1"/>
  <c r="V397" i="11"/>
  <c r="W397" i="11" s="1"/>
  <c r="V406" i="11"/>
  <c r="W406" i="11" s="1"/>
  <c r="W430" i="11"/>
  <c r="W442" i="11"/>
  <c r="V444" i="11"/>
  <c r="W444" i="11" s="1"/>
  <c r="V489" i="11"/>
  <c r="W489" i="11" s="1"/>
  <c r="V531" i="11"/>
  <c r="W531" i="11" s="1"/>
  <c r="V545" i="11"/>
  <c r="W545" i="11" s="1"/>
  <c r="V572" i="11"/>
  <c r="W572" i="11" s="1"/>
  <c r="W574" i="11"/>
  <c r="W608" i="11"/>
  <c r="V608" i="11"/>
  <c r="W630" i="11"/>
  <c r="V630" i="11"/>
  <c r="W331" i="11"/>
  <c r="W373" i="11"/>
  <c r="V381" i="11"/>
  <c r="W381" i="11" s="1"/>
  <c r="V476" i="11"/>
  <c r="W476" i="11" s="1"/>
  <c r="V562" i="11"/>
  <c r="W562" i="11" s="1"/>
  <c r="V575" i="11"/>
  <c r="W575" i="11" s="1"/>
  <c r="V196" i="11"/>
  <c r="W196" i="11" s="1"/>
  <c r="V267" i="11"/>
  <c r="W267" i="11" s="1"/>
  <c r="W310" i="11"/>
  <c r="W336" i="11"/>
  <c r="V497" i="11"/>
  <c r="W497" i="11" s="1"/>
  <c r="V520" i="11"/>
  <c r="W520" i="11" s="1"/>
  <c r="V539" i="11"/>
  <c r="W539" i="11" s="1"/>
  <c r="V577" i="11"/>
  <c r="W577" i="11" s="1"/>
  <c r="V593" i="11"/>
  <c r="W593" i="11" s="1"/>
  <c r="V3" i="11"/>
  <c r="W3" i="11" s="1"/>
  <c r="V36" i="11"/>
  <c r="W102" i="11"/>
  <c r="W198" i="11"/>
  <c r="W249" i="11"/>
  <c r="V262" i="11"/>
  <c r="W262" i="11" s="1"/>
  <c r="V285" i="11"/>
  <c r="W285" i="11" s="1"/>
  <c r="V357" i="11"/>
  <c r="W357" i="11" s="1"/>
  <c r="V360" i="11"/>
  <c r="W360" i="11" s="1"/>
  <c r="V370" i="11"/>
  <c r="W370" i="11" s="1"/>
  <c r="V511" i="11"/>
  <c r="W511" i="11" s="1"/>
  <c r="V534" i="11"/>
  <c r="W534" i="11" s="1"/>
  <c r="V550" i="11"/>
  <c r="W550" i="11" s="1"/>
  <c r="V15" i="11"/>
  <c r="W15" i="11" s="1"/>
  <c r="W219" i="11"/>
  <c r="V231" i="11"/>
  <c r="W231" i="11" s="1"/>
  <c r="W252" i="11"/>
  <c r="W354" i="11"/>
  <c r="V494" i="11"/>
  <c r="W494" i="11" s="1"/>
  <c r="W7" i="11"/>
  <c r="W22" i="11"/>
  <c r="V25" i="11"/>
  <c r="W25" i="11" s="1"/>
  <c r="V43" i="11"/>
  <c r="W43" i="11" s="1"/>
  <c r="W48" i="11"/>
  <c r="V55" i="11"/>
  <c r="W55" i="11" s="1"/>
  <c r="V58" i="11"/>
  <c r="W58" i="11" s="1"/>
  <c r="W91" i="11"/>
  <c r="V124" i="11"/>
  <c r="W124" i="11" s="1"/>
  <c r="V129" i="11"/>
  <c r="W129" i="11" s="1"/>
  <c r="V195" i="11"/>
  <c r="W195" i="11" s="1"/>
  <c r="W223" i="11"/>
  <c r="W238" i="11"/>
  <c r="V241" i="11"/>
  <c r="W241" i="11" s="1"/>
  <c r="V259" i="11"/>
  <c r="W259" i="11" s="1"/>
  <c r="W264" i="11"/>
  <c r="V274" i="11"/>
  <c r="W274" i="11" s="1"/>
  <c r="W307" i="11"/>
  <c r="V340" i="11"/>
  <c r="W340" i="11" s="1"/>
  <c r="V345" i="11"/>
  <c r="W345" i="11" s="1"/>
  <c r="W392" i="11"/>
  <c r="V404" i="11"/>
  <c r="W404" i="11" s="1"/>
  <c r="V428" i="11"/>
  <c r="W428" i="11" s="1"/>
  <c r="V437" i="11"/>
  <c r="V458" i="11"/>
  <c r="W458" i="11" s="1"/>
  <c r="V484" i="11"/>
  <c r="W484" i="11" s="1"/>
  <c r="V501" i="11"/>
  <c r="W501" i="11" s="1"/>
  <c r="V561" i="11"/>
  <c r="W561" i="11" s="1"/>
  <c r="W576" i="11"/>
  <c r="V576" i="11"/>
  <c r="W612" i="11"/>
  <c r="V612" i="11"/>
  <c r="V628" i="11"/>
  <c r="V87" i="11"/>
  <c r="W87" i="11" s="1"/>
  <c r="V303" i="11"/>
  <c r="W303" i="11" s="1"/>
  <c r="V148" i="11"/>
  <c r="W148" i="11" s="1"/>
  <c r="V447" i="11"/>
  <c r="W447" i="11" s="1"/>
  <c r="V51" i="11"/>
  <c r="W51" i="11" s="1"/>
  <c r="W79" i="11"/>
  <c r="V130" i="11"/>
  <c r="W130" i="11" s="1"/>
  <c r="W163" i="11"/>
  <c r="V313" i="11"/>
  <c r="W313" i="11" s="1"/>
  <c r="W440" i="11"/>
  <c r="W487" i="11"/>
  <c r="W584" i="11"/>
  <c r="V584" i="11"/>
  <c r="W595" i="11"/>
  <c r="W620" i="11"/>
  <c r="V620" i="11"/>
  <c r="V18" i="11"/>
  <c r="W18" i="11" s="1"/>
  <c r="V69" i="11"/>
  <c r="W69" i="11" s="1"/>
  <c r="V112" i="11"/>
  <c r="W112" i="11" s="1"/>
  <c r="W181" i="11"/>
  <c r="V393" i="11"/>
  <c r="V395" i="11"/>
  <c r="W395" i="11" s="1"/>
  <c r="V411" i="11"/>
  <c r="W411" i="11" s="1"/>
  <c r="W506" i="11"/>
  <c r="W568" i="11"/>
  <c r="V597" i="11"/>
  <c r="W597" i="11" s="1"/>
  <c r="V94" i="11"/>
  <c r="W94" i="11" s="1"/>
  <c r="W127" i="11"/>
  <c r="V295" i="11"/>
  <c r="W295" i="11" s="1"/>
  <c r="W300" i="11"/>
  <c r="W451" i="11"/>
  <c r="V40" i="11"/>
  <c r="W40" i="11" s="1"/>
  <c r="W126" i="11"/>
  <c r="V162" i="11"/>
  <c r="W162" i="11" s="1"/>
  <c r="W177" i="11"/>
  <c r="V210" i="11"/>
  <c r="W210" i="11" s="1"/>
  <c r="V213" i="11"/>
  <c r="W213" i="11" s="1"/>
  <c r="V256" i="11"/>
  <c r="W256" i="11" s="1"/>
  <c r="W325" i="11"/>
  <c r="W342" i="11"/>
  <c r="W367" i="11"/>
  <c r="V372" i="11"/>
  <c r="V401" i="11"/>
  <c r="W401" i="11" s="1"/>
  <c r="V425" i="11"/>
  <c r="W425" i="11" s="1"/>
  <c r="W439" i="11"/>
  <c r="V465" i="11"/>
  <c r="W465" i="11" s="1"/>
  <c r="V470" i="11"/>
  <c r="W470" i="11" s="1"/>
  <c r="V475" i="11"/>
  <c r="W475" i="11" s="1"/>
  <c r="W486" i="11"/>
  <c r="W528" i="11"/>
  <c r="V533" i="11"/>
  <c r="W533" i="11" s="1"/>
  <c r="V574" i="11"/>
  <c r="V610" i="11"/>
  <c r="W414" i="11"/>
  <c r="V422" i="11"/>
  <c r="W422" i="11" s="1"/>
  <c r="W467" i="11"/>
  <c r="V472" i="11"/>
  <c r="W472" i="11" s="1"/>
  <c r="V516" i="11"/>
  <c r="W516" i="11" s="1"/>
  <c r="W536" i="11"/>
  <c r="V541" i="11"/>
  <c r="W541" i="11" s="1"/>
  <c r="W548" i="11"/>
  <c r="W378" i="11"/>
  <c r="V386" i="11"/>
  <c r="W386" i="11" s="1"/>
  <c r="W431" i="11"/>
  <c r="V436" i="11"/>
  <c r="W436" i="11" s="1"/>
  <c r="V461" i="11"/>
  <c r="W461" i="11" s="1"/>
  <c r="V483" i="11"/>
  <c r="W483" i="11" s="1"/>
  <c r="W503" i="11"/>
  <c r="W508" i="11"/>
  <c r="V508" i="11"/>
  <c r="W515" i="11"/>
  <c r="V530" i="11"/>
  <c r="W530" i="11" s="1"/>
  <c r="W547" i="11"/>
  <c r="V569" i="11"/>
  <c r="W569" i="11" s="1"/>
  <c r="V590" i="11"/>
  <c r="W590" i="11" s="1"/>
  <c r="V602" i="11"/>
  <c r="W602" i="11" s="1"/>
  <c r="W611" i="11"/>
  <c r="V611" i="11"/>
  <c r="W623" i="11"/>
  <c r="V623" i="11"/>
  <c r="V552" i="11"/>
  <c r="W552" i="11" s="1"/>
  <c r="W375" i="11"/>
  <c r="V408" i="11"/>
  <c r="W408" i="11" s="1"/>
  <c r="W443" i="11"/>
  <c r="W466" i="11"/>
  <c r="W473" i="11"/>
  <c r="W522" i="11"/>
  <c r="V563" i="11"/>
  <c r="W563" i="11" s="1"/>
  <c r="V581" i="11"/>
  <c r="W581" i="11" s="1"/>
  <c r="V599" i="11"/>
  <c r="W599" i="11" s="1"/>
  <c r="W617" i="11"/>
  <c r="V617" i="11"/>
  <c r="W380" i="11"/>
  <c r="W416" i="11"/>
  <c r="W452" i="11"/>
  <c r="W560" i="11"/>
  <c r="V383" i="11"/>
  <c r="W383" i="11" s="1"/>
  <c r="V394" i="11"/>
  <c r="W394" i="11" s="1"/>
  <c r="V405" i="11"/>
  <c r="W405" i="11" s="1"/>
  <c r="W413" i="11"/>
  <c r="V419" i="11"/>
  <c r="W419" i="11" s="1"/>
  <c r="V430" i="11"/>
  <c r="V441" i="11"/>
  <c r="W441" i="11" s="1"/>
  <c r="W449" i="11"/>
  <c r="V455" i="11"/>
  <c r="W455" i="11" s="1"/>
  <c r="V466" i="11"/>
  <c r="V477" i="11"/>
  <c r="W477" i="11" s="1"/>
  <c r="W485" i="11"/>
  <c r="V491" i="11"/>
  <c r="W491" i="11" s="1"/>
  <c r="V502" i="11"/>
  <c r="W502" i="11" s="1"/>
  <c r="V513" i="11"/>
  <c r="W513" i="11" s="1"/>
  <c r="W521" i="11"/>
  <c r="V527" i="11"/>
  <c r="W527" i="11" s="1"/>
  <c r="V538" i="11"/>
  <c r="W538" i="11" s="1"/>
  <c r="V549" i="11"/>
  <c r="W549" i="11" s="1"/>
  <c r="W557" i="11"/>
  <c r="V568" i="11"/>
  <c r="V573" i="11"/>
  <c r="W573" i="11" s="1"/>
  <c r="V578" i="11"/>
  <c r="W578" i="11" s="1"/>
  <c r="V586" i="11"/>
  <c r="W586" i="11" s="1"/>
  <c r="V591" i="11"/>
  <c r="W591" i="11" s="1"/>
  <c r="V596" i="11"/>
  <c r="W596" i="11" s="1"/>
  <c r="V604" i="11"/>
  <c r="W604" i="11" s="1"/>
  <c r="V609" i="11"/>
  <c r="W614" i="11"/>
  <c r="V614" i="11"/>
  <c r="V622" i="11"/>
  <c r="V627" i="11"/>
  <c r="W632" i="11"/>
  <c r="V632" i="11"/>
  <c r="W410" i="11"/>
  <c r="W446" i="11"/>
  <c r="W482" i="11"/>
  <c r="V488" i="11"/>
  <c r="W488" i="11" s="1"/>
  <c r="W518" i="11"/>
  <c r="V524" i="11"/>
  <c r="W524" i="11" s="1"/>
  <c r="V560" i="11"/>
  <c r="W522" i="16"/>
  <c r="W475" i="16"/>
  <c r="V148" i="16"/>
  <c r="W148" i="16" s="1"/>
  <c r="V178" i="16"/>
  <c r="W178" i="16" s="1"/>
  <c r="V363" i="16"/>
  <c r="W363" i="16" s="1"/>
  <c r="V400" i="16"/>
  <c r="W400" i="16" s="1"/>
  <c r="V88" i="16"/>
  <c r="W88" i="16" s="1"/>
  <c r="V327" i="16"/>
  <c r="W327" i="16" s="1"/>
  <c r="V348" i="16"/>
  <c r="W348" i="16" s="1"/>
  <c r="V444" i="16"/>
  <c r="W444" i="16" s="1"/>
  <c r="V482" i="16"/>
  <c r="W482" i="16" s="1"/>
  <c r="V495" i="16"/>
  <c r="W495" i="16" s="1"/>
  <c r="V541" i="16"/>
  <c r="W541" i="16" s="1"/>
  <c r="V315" i="16"/>
  <c r="W315" i="16" s="1"/>
  <c r="V355" i="16"/>
  <c r="W355" i="16" s="1"/>
  <c r="V379" i="16"/>
  <c r="W379" i="16" s="1"/>
  <c r="V437" i="16"/>
  <c r="W437" i="16" s="1"/>
  <c r="V446" i="16"/>
  <c r="W446" i="16" s="1"/>
  <c r="V545" i="16"/>
  <c r="W545" i="16" s="1"/>
  <c r="V598" i="16"/>
  <c r="W598" i="16" s="1"/>
  <c r="W2" i="16"/>
  <c r="V16" i="16"/>
  <c r="W16" i="16" s="1"/>
  <c r="W49" i="16"/>
  <c r="W52" i="16"/>
  <c r="V184" i="16"/>
  <c r="W184" i="16" s="1"/>
  <c r="V214" i="16"/>
  <c r="W214" i="16" s="1"/>
  <c r="V232" i="16"/>
  <c r="W232" i="16" s="1"/>
  <c r="V250" i="16"/>
  <c r="W250" i="16" s="1"/>
  <c r="V264" i="16"/>
  <c r="W264" i="16" s="1"/>
  <c r="V289" i="16"/>
  <c r="W289" i="16" s="1"/>
  <c r="W343" i="16"/>
  <c r="V343" i="16"/>
  <c r="V439" i="16"/>
  <c r="W439" i="16" s="1"/>
  <c r="V457" i="16"/>
  <c r="W457" i="16" s="1"/>
  <c r="W486" i="16"/>
  <c r="V486" i="16"/>
  <c r="V534" i="16"/>
  <c r="W534" i="16" s="1"/>
  <c r="W558" i="16"/>
  <c r="V587" i="16"/>
  <c r="W587" i="16" s="1"/>
  <c r="W620" i="16"/>
  <c r="V620" i="16"/>
  <c r="W13" i="16"/>
  <c r="V23" i="16"/>
  <c r="W23" i="16" s="1"/>
  <c r="V35" i="16"/>
  <c r="W35" i="16" s="1"/>
  <c r="V109" i="16"/>
  <c r="W109" i="16" s="1"/>
  <c r="V223" i="16"/>
  <c r="W223" i="16" s="1"/>
  <c r="V241" i="16"/>
  <c r="W241" i="16" s="1"/>
  <c r="W259" i="16"/>
  <c r="W279" i="16"/>
  <c r="V312" i="16"/>
  <c r="W312" i="16" s="1"/>
  <c r="W369" i="16"/>
  <c r="V408" i="16"/>
  <c r="W408" i="16" s="1"/>
  <c r="V466" i="16"/>
  <c r="W466" i="16"/>
  <c r="V475" i="16"/>
  <c r="V477" i="16"/>
  <c r="W477" i="16"/>
  <c r="W547" i="16"/>
  <c r="V271" i="16"/>
  <c r="W271" i="16" s="1"/>
  <c r="V462" i="16"/>
  <c r="W462" i="16" s="1"/>
  <c r="V26" i="16"/>
  <c r="W26" i="16" s="1"/>
  <c r="W121" i="16"/>
  <c r="V187" i="16"/>
  <c r="W187" i="16" s="1"/>
  <c r="V196" i="16"/>
  <c r="W196" i="16" s="1"/>
  <c r="W205" i="16"/>
  <c r="V581" i="16"/>
  <c r="W581" i="16" s="1"/>
  <c r="W7" i="16"/>
  <c r="W38" i="16"/>
  <c r="V268" i="16"/>
  <c r="W268" i="16" s="1"/>
  <c r="V270" i="16"/>
  <c r="W270" i="16" s="1"/>
  <c r="V291" i="16"/>
  <c r="W291" i="16" s="1"/>
  <c r="W333" i="16"/>
  <c r="W401" i="16"/>
  <c r="V401" i="16"/>
  <c r="V591" i="16"/>
  <c r="W591" i="16" s="1"/>
  <c r="V432" i="16"/>
  <c r="W432" i="16" s="1"/>
  <c r="V1" i="16"/>
  <c r="W1" i="16" s="1"/>
  <c r="V333" i="16"/>
  <c r="W414" i="16"/>
  <c r="V443" i="16"/>
  <c r="W443" i="16" s="1"/>
  <c r="V494" i="16"/>
  <c r="W494" i="16" s="1"/>
  <c r="V595" i="16"/>
  <c r="W595" i="16" s="1"/>
  <c r="W626" i="16"/>
  <c r="V626" i="16"/>
  <c r="W44" i="16"/>
  <c r="V106" i="16"/>
  <c r="W106" i="16" s="1"/>
  <c r="V378" i="16"/>
  <c r="W378" i="16" s="1"/>
  <c r="W436" i="16"/>
  <c r="V436" i="16"/>
  <c r="V325" i="16"/>
  <c r="W325" i="16" s="1"/>
  <c r="V306" i="16"/>
  <c r="W306" i="16" s="1"/>
  <c r="W384" i="16"/>
  <c r="V384" i="16"/>
  <c r="W508" i="16"/>
  <c r="V563" i="16"/>
  <c r="W563" i="16" s="1"/>
  <c r="W85" i="16"/>
  <c r="V261" i="16"/>
  <c r="W261" i="16" s="1"/>
  <c r="V37" i="16"/>
  <c r="W37" i="16"/>
  <c r="V527" i="16"/>
  <c r="W527" i="16" s="1"/>
  <c r="W118" i="16"/>
  <c r="V538" i="16"/>
  <c r="W538" i="16" s="1"/>
  <c r="V553" i="16"/>
  <c r="W553" i="16" s="1"/>
  <c r="V562" i="16"/>
  <c r="W562" i="16" s="1"/>
  <c r="W82" i="16"/>
  <c r="V396" i="16"/>
  <c r="W396" i="16" s="1"/>
  <c r="W403" i="16"/>
  <c r="V544" i="16"/>
  <c r="W544" i="16" s="1"/>
  <c r="W8" i="16"/>
  <c r="W32" i="16"/>
  <c r="V41" i="16"/>
  <c r="W41" i="16" s="1"/>
  <c r="W46" i="16"/>
  <c r="V70" i="16"/>
  <c r="W70" i="16" s="1"/>
  <c r="V151" i="16"/>
  <c r="W151" i="16" s="1"/>
  <c r="V160" i="16"/>
  <c r="W160" i="16" s="1"/>
  <c r="W169" i="16"/>
  <c r="V283" i="16"/>
  <c r="W283" i="16" s="1"/>
  <c r="W297" i="16"/>
  <c r="V337" i="16"/>
  <c r="W337" i="16" s="1"/>
  <c r="W342" i="16"/>
  <c r="V342" i="16"/>
  <c r="W351" i="16"/>
  <c r="V361" i="16"/>
  <c r="W361" i="16" s="1"/>
  <c r="W394" i="16"/>
  <c r="V522" i="16"/>
  <c r="V533" i="16"/>
  <c r="W533" i="16" s="1"/>
  <c r="V588" i="16"/>
  <c r="W588" i="16" s="1"/>
  <c r="W601" i="16"/>
  <c r="V619" i="16"/>
  <c r="W619" i="16"/>
  <c r="V491" i="16"/>
  <c r="W491" i="16" s="1"/>
  <c r="V19" i="16"/>
  <c r="W19" i="16" s="1"/>
  <c r="V166" i="16"/>
  <c r="W166" i="16" s="1"/>
  <c r="V301" i="16"/>
  <c r="W301" i="16" s="1"/>
  <c r="V73" i="16"/>
  <c r="W73" i="16" s="1"/>
  <c r="V202" i="16"/>
  <c r="W202" i="16" s="1"/>
  <c r="V319" i="16"/>
  <c r="W319" i="16" s="1"/>
  <c r="V220" i="16"/>
  <c r="W220" i="16" s="1"/>
  <c r="V238" i="16"/>
  <c r="W238" i="16" s="1"/>
  <c r="W307" i="16"/>
  <c r="V307" i="16"/>
  <c r="V470" i="16"/>
  <c r="W470" i="16" s="1"/>
  <c r="V490" i="16"/>
  <c r="W490" i="16" s="1"/>
  <c r="V529" i="16"/>
  <c r="W529" i="16" s="1"/>
  <c r="W551" i="16"/>
  <c r="W613" i="16"/>
  <c r="V613" i="16"/>
  <c r="V142" i="16"/>
  <c r="W142" i="16" s="1"/>
  <c r="V276" i="16"/>
  <c r="W276" i="16" s="1"/>
  <c r="V373" i="16"/>
  <c r="W373" i="16" s="1"/>
  <c r="V405" i="16"/>
  <c r="W405" i="16"/>
  <c r="V5" i="16"/>
  <c r="W5" i="16" s="1"/>
  <c r="W10" i="16"/>
  <c r="V34" i="16"/>
  <c r="W34" i="16" s="1"/>
  <c r="W139" i="16"/>
  <c r="V258" i="16"/>
  <c r="W258" i="16" s="1"/>
  <c r="V389" i="16"/>
  <c r="W389" i="16" s="1"/>
  <c r="V420" i="16"/>
  <c r="W420" i="16" s="1"/>
  <c r="W451" i="16"/>
  <c r="W515" i="16"/>
  <c r="V515" i="16"/>
  <c r="W517" i="16"/>
  <c r="V577" i="16"/>
  <c r="W577" i="16" s="1"/>
  <c r="V294" i="16"/>
  <c r="W294" i="16" s="1"/>
  <c r="V330" i="16"/>
  <c r="W330" i="16" s="1"/>
  <c r="V366" i="16"/>
  <c r="W366" i="16" s="1"/>
  <c r="V386" i="16"/>
  <c r="W386" i="16" s="1"/>
  <c r="W398" i="16"/>
  <c r="V415" i="16"/>
  <c r="W415" i="16" s="1"/>
  <c r="V434" i="16"/>
  <c r="W434" i="16" s="1"/>
  <c r="W472" i="16"/>
  <c r="V472" i="16"/>
  <c r="W479" i="16"/>
  <c r="V505" i="16"/>
  <c r="W505" i="16" s="1"/>
  <c r="W519" i="16"/>
  <c r="W548" i="16"/>
  <c r="W555" i="16"/>
  <c r="V572" i="16"/>
  <c r="W572" i="16" s="1"/>
  <c r="W605" i="16"/>
  <c r="W631" i="16"/>
  <c r="V631" i="16"/>
  <c r="V29" i="16"/>
  <c r="W29" i="16" s="1"/>
  <c r="W145" i="16"/>
  <c r="W163" i="16"/>
  <c r="W181" i="16"/>
  <c r="W199" i="16"/>
  <c r="W217" i="16"/>
  <c r="W253" i="16"/>
  <c r="V273" i="16"/>
  <c r="W273" i="16" s="1"/>
  <c r="W286" i="16"/>
  <c r="W304" i="16"/>
  <c r="V309" i="16"/>
  <c r="W309" i="16" s="1"/>
  <c r="W322" i="16"/>
  <c r="W340" i="16"/>
  <c r="V345" i="16"/>
  <c r="W345" i="16" s="1"/>
  <c r="W358" i="16"/>
  <c r="W376" i="16"/>
  <c r="V410" i="16"/>
  <c r="W410" i="16" s="1"/>
  <c r="V422" i="16"/>
  <c r="W422" i="16" s="1"/>
  <c r="V429" i="16"/>
  <c r="W429" i="16" s="1"/>
  <c r="V448" i="16"/>
  <c r="W448" i="16" s="1"/>
  <c r="V455" i="16"/>
  <c r="W455" i="16" s="1"/>
  <c r="W481" i="16"/>
  <c r="W500" i="16"/>
  <c r="V610" i="16"/>
  <c r="W610" i="16"/>
  <c r="W624" i="16"/>
  <c r="V624" i="16"/>
  <c r="V298" i="16"/>
  <c r="W298" i="16" s="1"/>
  <c r="W334" i="16"/>
  <c r="V334" i="16"/>
  <c r="V383" i="16"/>
  <c r="W383" i="16" s="1"/>
  <c r="V419" i="16"/>
  <c r="W419" i="16" s="1"/>
  <c r="V469" i="16"/>
  <c r="W469" i="16" s="1"/>
  <c r="V476" i="16"/>
  <c r="W476" i="16" s="1"/>
  <c r="V552" i="16"/>
  <c r="W552" i="16" s="1"/>
  <c r="V280" i="16"/>
  <c r="W280" i="16" s="1"/>
  <c r="V316" i="16"/>
  <c r="W316" i="16" s="1"/>
  <c r="V352" i="16"/>
  <c r="W352" i="16" s="1"/>
  <c r="V497" i="16"/>
  <c r="W497" i="16" s="1"/>
  <c r="V528" i="16"/>
  <c r="W528" i="16" s="1"/>
  <c r="V530" i="16"/>
  <c r="W530" i="16" s="1"/>
  <c r="V540" i="16"/>
  <c r="W540" i="16" s="1"/>
  <c r="V559" i="16"/>
  <c r="W559" i="16" s="1"/>
  <c r="W564" i="16"/>
  <c r="V576" i="16"/>
  <c r="W576" i="16" s="1"/>
  <c r="V578" i="16"/>
  <c r="W578" i="16" s="1"/>
  <c r="W583" i="16"/>
  <c r="V614" i="16"/>
  <c r="W265" i="16"/>
  <c r="W370" i="16"/>
  <c r="V370" i="16"/>
  <c r="V621" i="16"/>
  <c r="W621" i="16"/>
  <c r="W20" i="16"/>
  <c r="V31" i="16"/>
  <c r="W31" i="16" s="1"/>
  <c r="W56" i="16"/>
  <c r="V67" i="16"/>
  <c r="W67" i="16" s="1"/>
  <c r="V103" i="16"/>
  <c r="W103" i="16" s="1"/>
  <c r="V139" i="16"/>
  <c r="W255" i="16"/>
  <c r="V262" i="16"/>
  <c r="W262" i="16" s="1"/>
  <c r="V265" i="16"/>
  <c r="W295" i="16"/>
  <c r="W331" i="16"/>
  <c r="W367" i="16"/>
  <c r="V385" i="16"/>
  <c r="W385" i="16" s="1"/>
  <c r="V397" i="16"/>
  <c r="W397" i="16" s="1"/>
  <c r="V407" i="16"/>
  <c r="W407" i="16" s="1"/>
  <c r="V414" i="16"/>
  <c r="V433" i="16"/>
  <c r="W433" i="16" s="1"/>
  <c r="W447" i="16"/>
  <c r="W459" i="16"/>
  <c r="V487" i="16"/>
  <c r="W487" i="16" s="1"/>
  <c r="V506" i="16"/>
  <c r="W506" i="16" s="1"/>
  <c r="V547" i="16"/>
  <c r="V554" i="16"/>
  <c r="W554" i="16" s="1"/>
  <c r="V566" i="16"/>
  <c r="W566" i="16" s="1"/>
  <c r="V573" i="16"/>
  <c r="W573" i="16" s="1"/>
  <c r="V592" i="16"/>
  <c r="W592" i="16" s="1"/>
  <c r="V599" i="16"/>
  <c r="W599" i="16" s="1"/>
  <c r="W616" i="16"/>
  <c r="V616" i="16"/>
  <c r="V509" i="16"/>
  <c r="W509" i="16" s="1"/>
  <c r="V390" i="16"/>
  <c r="W390" i="16" s="1"/>
  <c r="W523" i="16"/>
  <c r="W590" i="16"/>
  <c r="V11" i="16"/>
  <c r="W11" i="16" s="1"/>
  <c r="W17" i="16"/>
  <c r="V47" i="16"/>
  <c r="W47" i="16" s="1"/>
  <c r="W53" i="16"/>
  <c r="W154" i="16"/>
  <c r="V157" i="16"/>
  <c r="W157" i="16" s="1"/>
  <c r="W172" i="16"/>
  <c r="V175" i="16"/>
  <c r="W175" i="16" s="1"/>
  <c r="W190" i="16"/>
  <c r="V193" i="16"/>
  <c r="W193" i="16" s="1"/>
  <c r="W208" i="16"/>
  <c r="V211" i="16"/>
  <c r="W211" i="16" s="1"/>
  <c r="W226" i="16"/>
  <c r="V229" i="16"/>
  <c r="W229" i="16" s="1"/>
  <c r="W244" i="16"/>
  <c r="V247" i="16"/>
  <c r="W247" i="16" s="1"/>
  <c r="W404" i="16"/>
  <c r="W411" i="16"/>
  <c r="V423" i="16"/>
  <c r="W423" i="16" s="1"/>
  <c r="V428" i="16"/>
  <c r="W428" i="16" s="1"/>
  <c r="W461" i="16"/>
  <c r="V480" i="16"/>
  <c r="W480" i="16" s="1"/>
  <c r="W492" i="16"/>
  <c r="V504" i="16"/>
  <c r="W504" i="16" s="1"/>
  <c r="W511" i="16"/>
  <c r="V518" i="16"/>
  <c r="W518" i="16" s="1"/>
  <c r="V520" i="16"/>
  <c r="W520" i="16" s="1"/>
  <c r="V542" i="16"/>
  <c r="W542" i="16" s="1"/>
  <c r="V549" i="16"/>
  <c r="W549" i="16" s="1"/>
  <c r="W580" i="16"/>
  <c r="W585" i="16"/>
  <c r="W606" i="16"/>
  <c r="V630" i="16"/>
  <c r="W256" i="16"/>
  <c r="W292" i="16"/>
  <c r="W328" i="16"/>
  <c r="W364" i="16"/>
  <c r="W426" i="16"/>
  <c r="W464" i="16"/>
  <c r="V484" i="16"/>
  <c r="W484" i="16" s="1"/>
  <c r="W512" i="16"/>
  <c r="W570" i="16"/>
  <c r="V628" i="16"/>
  <c r="W277" i="16"/>
  <c r="W313" i="16"/>
  <c r="W349" i="16"/>
  <c r="W425" i="16"/>
  <c r="V458" i="16"/>
  <c r="W458" i="16" s="1"/>
  <c r="V473" i="16"/>
  <c r="W473" i="16" s="1"/>
  <c r="W483" i="16"/>
  <c r="V516" i="16"/>
  <c r="W516" i="16" s="1"/>
  <c r="W569" i="16"/>
  <c r="V602" i="16"/>
  <c r="W602" i="16" s="1"/>
  <c r="W617" i="16"/>
  <c r="V617" i="16"/>
  <c r="W274" i="16"/>
  <c r="W310" i="16"/>
  <c r="W346" i="16"/>
  <c r="W392" i="16"/>
  <c r="V412" i="16"/>
  <c r="W412" i="16" s="1"/>
  <c r="W440" i="16"/>
  <c r="W498" i="16"/>
  <c r="W536" i="16"/>
  <c r="V556" i="16"/>
  <c r="W556" i="16" s="1"/>
  <c r="W584" i="16"/>
  <c r="W395" i="16"/>
  <c r="W431" i="16"/>
  <c r="W467" i="16"/>
  <c r="W503" i="16"/>
  <c r="W539" i="16"/>
  <c r="W575" i="16"/>
  <c r="W380" i="16"/>
  <c r="W416" i="16"/>
  <c r="W452" i="16"/>
  <c r="W488" i="16"/>
  <c r="W524" i="16"/>
  <c r="W560" i="16"/>
  <c r="W596" i="16"/>
  <c r="W632" i="16"/>
  <c r="V632" i="16"/>
  <c r="W413" i="16"/>
  <c r="W449" i="16"/>
  <c r="W485" i="16"/>
  <c r="W521" i="16"/>
  <c r="W557" i="16"/>
  <c r="V178" i="21"/>
  <c r="W178" i="21" s="1"/>
  <c r="W633" i="21"/>
  <c r="V633" i="21"/>
  <c r="V22" i="21"/>
  <c r="W22" i="21" s="1"/>
  <c r="V34" i="21"/>
  <c r="W34" i="21" s="1"/>
  <c r="V18" i="21"/>
  <c r="W18" i="21" s="1"/>
  <c r="V20" i="21"/>
  <c r="W20" i="21" s="1"/>
  <c r="V486" i="21"/>
  <c r="W486" i="21" s="1"/>
  <c r="V407" i="21"/>
  <c r="W407" i="21" s="1"/>
  <c r="V63" i="21"/>
  <c r="W63" i="21" s="1"/>
  <c r="V69" i="21"/>
  <c r="W69" i="21" s="1"/>
  <c r="V150" i="21"/>
  <c r="W150" i="21" s="1"/>
  <c r="V305" i="21"/>
  <c r="W305" i="21" s="1"/>
  <c r="V32" i="21"/>
  <c r="W32" i="21" s="1"/>
  <c r="V75" i="21"/>
  <c r="W75" i="21" s="1"/>
  <c r="V95" i="21"/>
  <c r="W95" i="21" s="1"/>
  <c r="V113" i="21"/>
  <c r="W113" i="21" s="1"/>
  <c r="V210" i="21"/>
  <c r="W210" i="21" s="1"/>
  <c r="V386" i="21"/>
  <c r="W386" i="21" s="1"/>
  <c r="V488" i="21"/>
  <c r="W488" i="21" s="1"/>
  <c r="V167" i="21"/>
  <c r="W167" i="21" s="1"/>
  <c r="V197" i="21"/>
  <c r="W197" i="21" s="1"/>
  <c r="V233" i="21"/>
  <c r="W233" i="21" s="1"/>
  <c r="V269" i="21"/>
  <c r="W269" i="21" s="1"/>
  <c r="V373" i="21"/>
  <c r="W373" i="21" s="1"/>
  <c r="V409" i="21"/>
  <c r="W409" i="21" s="1"/>
  <c r="V411" i="21"/>
  <c r="W411" i="21" s="1"/>
  <c r="V441" i="21"/>
  <c r="W441" i="21" s="1"/>
  <c r="V443" i="21"/>
  <c r="W443" i="21" s="1"/>
  <c r="V477" i="21"/>
  <c r="W477" i="21" s="1"/>
  <c r="V515" i="21"/>
  <c r="W515" i="21" s="1"/>
  <c r="V612" i="21"/>
  <c r="V621" i="21"/>
  <c r="V3" i="21"/>
  <c r="W3" i="21" s="1"/>
  <c r="V5" i="21"/>
  <c r="W5" i="21" s="1"/>
  <c r="V13" i="21"/>
  <c r="W13" i="21" s="1"/>
  <c r="V44" i="21"/>
  <c r="W44" i="21" s="1"/>
  <c r="V48" i="21"/>
  <c r="W48" i="21" s="1"/>
  <c r="V52" i="21"/>
  <c r="W52" i="21" s="1"/>
  <c r="V117" i="21"/>
  <c r="W117" i="21" s="1"/>
  <c r="V126" i="21"/>
  <c r="W126" i="21" s="1"/>
  <c r="V154" i="21"/>
  <c r="W154" i="21" s="1"/>
  <c r="V160" i="21"/>
  <c r="W160" i="21" s="1"/>
  <c r="V241" i="21"/>
  <c r="W241" i="21" s="1"/>
  <c r="V290" i="21"/>
  <c r="W290" i="21" s="1"/>
  <c r="V375" i="21"/>
  <c r="W375" i="21" s="1"/>
  <c r="V392" i="21"/>
  <c r="W392" i="21" s="1"/>
  <c r="V415" i="21"/>
  <c r="W415" i="21" s="1"/>
  <c r="V447" i="21"/>
  <c r="W447" i="21" s="1"/>
  <c r="V462" i="21"/>
  <c r="W462" i="21" s="1"/>
  <c r="V479" i="21"/>
  <c r="W479" i="21" s="1"/>
  <c r="V521" i="21"/>
  <c r="W521" i="21" s="1"/>
  <c r="V525" i="21"/>
  <c r="W525" i="21" s="1"/>
  <c r="V527" i="21"/>
  <c r="W527" i="21" s="1"/>
  <c r="V614" i="21"/>
  <c r="V623" i="21"/>
  <c r="V630" i="21"/>
  <c r="V65" i="21"/>
  <c r="W65" i="21" s="1"/>
  <c r="V403" i="21"/>
  <c r="W403" i="21" s="1"/>
  <c r="V497" i="21"/>
  <c r="W497" i="21" s="1"/>
  <c r="V24" i="21"/>
  <c r="W24" i="21" s="1"/>
  <c r="V77" i="21"/>
  <c r="W77" i="21" s="1"/>
  <c r="V89" i="21"/>
  <c r="W89" i="21" s="1"/>
  <c r="V105" i="21"/>
  <c r="W105" i="21" s="1"/>
  <c r="V509" i="21"/>
  <c r="W509" i="21" s="1"/>
  <c r="V38" i="21"/>
  <c r="W38" i="21" s="1"/>
  <c r="V42" i="21"/>
  <c r="W42" i="21" s="1"/>
  <c r="V119" i="21"/>
  <c r="W119" i="21" s="1"/>
  <c r="V128" i="21"/>
  <c r="W128" i="21" s="1"/>
  <c r="V15" i="21"/>
  <c r="W15" i="21" s="1"/>
  <c r="V19" i="21"/>
  <c r="W19" i="21" s="1"/>
  <c r="V54" i="21"/>
  <c r="W54" i="21" s="1"/>
  <c r="V56" i="21"/>
  <c r="W56" i="21" s="1"/>
  <c r="V64" i="21"/>
  <c r="W64" i="21" s="1"/>
  <c r="V70" i="21"/>
  <c r="W70" i="21" s="1"/>
  <c r="V149" i="21"/>
  <c r="W149" i="21" s="1"/>
  <c r="W151" i="21"/>
  <c r="V381" i="21"/>
  <c r="W381" i="21" s="1"/>
  <c r="V404" i="21"/>
  <c r="W404" i="21" s="1"/>
  <c r="V417" i="21"/>
  <c r="W417" i="21" s="1"/>
  <c r="V468" i="21"/>
  <c r="W468" i="21" s="1"/>
  <c r="V470" i="21"/>
  <c r="W470" i="21" s="1"/>
  <c r="V543" i="21"/>
  <c r="W543" i="21" s="1"/>
  <c r="V545" i="21"/>
  <c r="W545" i="21" s="1"/>
  <c r="V549" i="21"/>
  <c r="W549" i="21" s="1"/>
  <c r="V551" i="21"/>
  <c r="W551" i="21" s="1"/>
  <c r="V555" i="21"/>
  <c r="W555" i="21" s="1"/>
  <c r="V557" i="21"/>
  <c r="W557" i="21" s="1"/>
  <c r="V561" i="21"/>
  <c r="W561" i="21" s="1"/>
  <c r="V563" i="21"/>
  <c r="W563" i="21" s="1"/>
  <c r="V567" i="21"/>
  <c r="W567" i="21" s="1"/>
  <c r="V569" i="21"/>
  <c r="W569" i="21" s="1"/>
  <c r="V573" i="21"/>
  <c r="W573" i="21" s="1"/>
  <c r="V575" i="21"/>
  <c r="W575" i="21" s="1"/>
  <c r="V579" i="21"/>
  <c r="W579" i="21" s="1"/>
  <c r="V581" i="21"/>
  <c r="W581" i="21" s="1"/>
  <c r="V585" i="21"/>
  <c r="W585" i="21" s="1"/>
  <c r="V587" i="21"/>
  <c r="W587" i="21" s="1"/>
  <c r="V591" i="21"/>
  <c r="W591" i="21" s="1"/>
  <c r="V593" i="21"/>
  <c r="W593" i="21" s="1"/>
  <c r="V597" i="21"/>
  <c r="W597" i="21" s="1"/>
  <c r="V599" i="21"/>
  <c r="W599" i="21" s="1"/>
  <c r="V603" i="21"/>
  <c r="W603" i="21" s="1"/>
  <c r="V605" i="21"/>
  <c r="W605" i="21" s="1"/>
  <c r="V632" i="21"/>
  <c r="V59" i="21"/>
  <c r="W59" i="21" s="1"/>
  <c r="V501" i="21"/>
  <c r="W501" i="21" s="1"/>
  <c r="V30" i="21"/>
  <c r="W30" i="21" s="1"/>
  <c r="V87" i="21"/>
  <c r="W87" i="21" s="1"/>
  <c r="V99" i="21"/>
  <c r="W99" i="21" s="1"/>
  <c r="V473" i="21"/>
  <c r="W473" i="21" s="1"/>
  <c r="V513" i="21"/>
  <c r="W513" i="21" s="1"/>
  <c r="V36" i="21"/>
  <c r="W36" i="21" s="1"/>
  <c r="V25" i="21"/>
  <c r="W25" i="21" s="1"/>
  <c r="V31" i="21"/>
  <c r="W31" i="21" s="1"/>
  <c r="V76" i="21"/>
  <c r="W76" i="21" s="1"/>
  <c r="V82" i="21"/>
  <c r="W82" i="21" s="1"/>
  <c r="V88" i="21"/>
  <c r="W88" i="21" s="1"/>
  <c r="V94" i="21"/>
  <c r="W94" i="21" s="1"/>
  <c r="V100" i="21"/>
  <c r="W100" i="21" s="1"/>
  <c r="V106" i="21"/>
  <c r="W106" i="21" s="1"/>
  <c r="V112" i="21"/>
  <c r="W112" i="21" s="1"/>
  <c r="V138" i="21"/>
  <c r="W138" i="21" s="1"/>
  <c r="V166" i="21"/>
  <c r="W166" i="21" s="1"/>
  <c r="V213" i="21"/>
  <c r="W213" i="21" s="1"/>
  <c r="V249" i="21"/>
  <c r="W249" i="21" s="1"/>
  <c r="V368" i="21"/>
  <c r="W368" i="21" s="1"/>
  <c r="V440" i="21"/>
  <c r="W440" i="21" s="1"/>
  <c r="V487" i="21"/>
  <c r="W487" i="21" s="1"/>
  <c r="V508" i="21"/>
  <c r="W508" i="21" s="1"/>
  <c r="V627" i="21"/>
  <c r="V367" i="21"/>
  <c r="W367" i="21" s="1"/>
  <c r="V503" i="21"/>
  <c r="W503" i="21" s="1"/>
  <c r="V26" i="21"/>
  <c r="W26" i="21" s="1"/>
  <c r="V71" i="21"/>
  <c r="W71" i="21" s="1"/>
  <c r="V81" i="21"/>
  <c r="W81" i="21" s="1"/>
  <c r="V101" i="21"/>
  <c r="W101" i="21" s="1"/>
  <c r="V111" i="21"/>
  <c r="W111" i="21" s="1"/>
  <c r="V507" i="21"/>
  <c r="W507" i="21" s="1"/>
  <c r="W140" i="21"/>
  <c r="V4" i="21"/>
  <c r="W4" i="21" s="1"/>
  <c r="V35" i="21"/>
  <c r="W35" i="21" s="1"/>
  <c r="V39" i="21"/>
  <c r="W39" i="21" s="1"/>
  <c r="V41" i="21"/>
  <c r="W41" i="21" s="1"/>
  <c r="V49" i="21"/>
  <c r="W49" i="21" s="1"/>
  <c r="V118" i="21"/>
  <c r="W118" i="21" s="1"/>
  <c r="V127" i="21"/>
  <c r="W127" i="21" s="1"/>
  <c r="V155" i="21"/>
  <c r="W155" i="21" s="1"/>
  <c r="V174" i="21"/>
  <c r="W174" i="21" s="1"/>
  <c r="V179" i="21"/>
  <c r="W179" i="21" s="1"/>
  <c r="V183" i="21"/>
  <c r="W183" i="21" s="1"/>
  <c r="V185" i="21"/>
  <c r="W185" i="21" s="1"/>
  <c r="V215" i="21"/>
  <c r="W215" i="21" s="1"/>
  <c r="V221" i="21"/>
  <c r="W221" i="21" s="1"/>
  <c r="V251" i="21"/>
  <c r="W251" i="21" s="1"/>
  <c r="V257" i="21"/>
  <c r="W257" i="21" s="1"/>
  <c r="V287" i="21"/>
  <c r="W287" i="21" s="1"/>
  <c r="V291" i="21"/>
  <c r="W291" i="21" s="1"/>
  <c r="V314" i="21"/>
  <c r="W314" i="21" s="1"/>
  <c r="V318" i="21"/>
  <c r="W318" i="21" s="1"/>
  <c r="V374" i="21"/>
  <c r="W374" i="21" s="1"/>
  <c r="V410" i="21"/>
  <c r="W410" i="21" s="1"/>
  <c r="V444" i="21"/>
  <c r="W444" i="21" s="1"/>
  <c r="V476" i="21"/>
  <c r="W476" i="21" s="1"/>
  <c r="V491" i="21"/>
  <c r="W491" i="21" s="1"/>
  <c r="V516" i="21"/>
  <c r="W516" i="21" s="1"/>
  <c r="V518" i="21"/>
  <c r="W518" i="21" s="1"/>
  <c r="V526" i="21"/>
  <c r="W526" i="21" s="1"/>
  <c r="V422" i="21"/>
  <c r="W422" i="21" s="1"/>
  <c r="V471" i="21"/>
  <c r="W471" i="21" s="1"/>
  <c r="V83" i="21"/>
  <c r="W83" i="21" s="1"/>
  <c r="V93" i="21"/>
  <c r="W93" i="21" s="1"/>
  <c r="V107" i="21"/>
  <c r="W107" i="21" s="1"/>
  <c r="V246" i="21"/>
  <c r="W246" i="21" s="1"/>
  <c r="V356" i="21"/>
  <c r="W356" i="21" s="1"/>
  <c r="V8" i="21"/>
  <c r="W8" i="21" s="1"/>
  <c r="V12" i="21"/>
  <c r="W12" i="21" s="1"/>
  <c r="V16" i="21"/>
  <c r="W16" i="21" s="1"/>
  <c r="V51" i="21"/>
  <c r="W51" i="21" s="1"/>
  <c r="V55" i="21"/>
  <c r="W55" i="21" s="1"/>
  <c r="V361" i="21"/>
  <c r="W361" i="21" s="1"/>
  <c r="V363" i="21"/>
  <c r="W363" i="21" s="1"/>
  <c r="V397" i="21"/>
  <c r="W397" i="21" s="1"/>
  <c r="V399" i="21"/>
  <c r="W399" i="21" s="1"/>
  <c r="V433" i="21"/>
  <c r="W433" i="21" s="1"/>
  <c r="V435" i="21"/>
  <c r="W435" i="21" s="1"/>
  <c r="V452" i="21"/>
  <c r="W452" i="21" s="1"/>
  <c r="V465" i="21"/>
  <c r="W465" i="21" s="1"/>
  <c r="V480" i="21"/>
  <c r="W480" i="21" s="1"/>
  <c r="V530" i="21"/>
  <c r="W530" i="21" s="1"/>
  <c r="V534" i="21"/>
  <c r="W534" i="21" s="1"/>
  <c r="V536" i="21"/>
  <c r="W536" i="21" s="1"/>
  <c r="V540" i="21"/>
  <c r="W540" i="21" s="1"/>
  <c r="V615" i="21"/>
  <c r="V624" i="21"/>
  <c r="F11" i="13"/>
  <c r="W313" i="23"/>
  <c r="X313" i="23" s="1"/>
  <c r="W579" i="23"/>
  <c r="X579" i="23" s="1"/>
  <c r="W4" i="23"/>
  <c r="X4" i="23" s="1"/>
  <c r="W492" i="23"/>
  <c r="X492" i="23" s="1"/>
  <c r="W402" i="23"/>
  <c r="X402" i="23" s="1"/>
  <c r="W447" i="23"/>
  <c r="X447" i="23" s="1"/>
  <c r="W534" i="23"/>
  <c r="X534" i="23" s="1"/>
  <c r="W170" i="23"/>
  <c r="X170" i="23" s="1"/>
  <c r="W272" i="23"/>
  <c r="X272" i="23" s="1"/>
  <c r="W203" i="23"/>
  <c r="X203" i="23" s="1"/>
  <c r="W371" i="23"/>
  <c r="X371" i="23" s="1"/>
  <c r="W359" i="23"/>
  <c r="X359" i="23" s="1"/>
  <c r="W510" i="23"/>
  <c r="X510" i="23" s="1"/>
  <c r="W227" i="23"/>
  <c r="X227" i="23" s="1"/>
  <c r="W420" i="23"/>
  <c r="X420" i="23" s="1"/>
  <c r="W552" i="23"/>
  <c r="X552" i="23" s="1"/>
  <c r="W152" i="23"/>
  <c r="X152" i="23" s="1"/>
  <c r="X191" i="23"/>
  <c r="W284" i="23"/>
  <c r="X284" i="23" s="1"/>
  <c r="W415" i="23"/>
  <c r="X415" i="23" s="1"/>
  <c r="W460" i="23"/>
  <c r="X460" i="23"/>
  <c r="W563" i="23"/>
  <c r="X563" i="23" s="1"/>
  <c r="W574" i="23"/>
  <c r="X574" i="23" s="1"/>
  <c r="X626" i="23"/>
  <c r="W626" i="23"/>
  <c r="W179" i="23"/>
  <c r="X179" i="23" s="1"/>
  <c r="W242" i="23"/>
  <c r="X242" i="23" s="1"/>
  <c r="W245" i="23"/>
  <c r="X245" i="23" s="1"/>
  <c r="W320" i="23"/>
  <c r="X320" i="23" s="1"/>
  <c r="X395" i="23"/>
  <c r="W442" i="23"/>
  <c r="X442" i="23" s="1"/>
  <c r="W478" i="23"/>
  <c r="X478" i="23" s="1"/>
  <c r="W505" i="23"/>
  <c r="X505" i="23" s="1"/>
  <c r="W538" i="23"/>
  <c r="X538" i="23" s="1"/>
  <c r="W567" i="23"/>
  <c r="X567" i="23" s="1"/>
  <c r="W592" i="23"/>
  <c r="X592" i="23" s="1"/>
  <c r="X617" i="23"/>
  <c r="W617" i="23"/>
  <c r="W624" i="23"/>
  <c r="W164" i="23"/>
  <c r="X164" i="23" s="1"/>
  <c r="X188" i="23"/>
  <c r="W191" i="23"/>
  <c r="X200" i="23"/>
  <c r="W224" i="23"/>
  <c r="X224" i="23" s="1"/>
  <c r="W262" i="23"/>
  <c r="X262" i="23" s="1"/>
  <c r="X274" i="23"/>
  <c r="X305" i="23"/>
  <c r="X334" i="23"/>
  <c r="W344" i="23"/>
  <c r="X344" i="23" s="1"/>
  <c r="W356" i="23"/>
  <c r="X356" i="23" s="1"/>
  <c r="W385" i="23"/>
  <c r="X385" i="23" s="1"/>
  <c r="W387" i="23"/>
  <c r="X387" i="23" s="1"/>
  <c r="W397" i="23"/>
  <c r="X397" i="23" s="1"/>
  <c r="W399" i="23"/>
  <c r="X399" i="23" s="1"/>
  <c r="W433" i="23"/>
  <c r="X433" i="23" s="1"/>
  <c r="W435" i="23"/>
  <c r="X435" i="23" s="1"/>
  <c r="X440" i="23"/>
  <c r="X471" i="23"/>
  <c r="W480" i="23"/>
  <c r="X480" i="23" s="1"/>
  <c r="X482" i="23"/>
  <c r="W498" i="23"/>
  <c r="X498" i="23" s="1"/>
  <c r="X632" i="23"/>
  <c r="W632" i="23"/>
  <c r="W16" i="23"/>
  <c r="X16" i="23" s="1"/>
  <c r="W149" i="23"/>
  <c r="X149" i="23" s="1"/>
  <c r="X221" i="23"/>
  <c r="W239" i="23"/>
  <c r="X239" i="23" s="1"/>
  <c r="W269" i="23"/>
  <c r="X269" i="23" s="1"/>
  <c r="X271" i="23"/>
  <c r="W281" i="23"/>
  <c r="X281" i="23" s="1"/>
  <c r="W298" i="23"/>
  <c r="X298" i="23" s="1"/>
  <c r="X341" i="23"/>
  <c r="X370" i="23"/>
  <c r="W380" i="23"/>
  <c r="X380" i="23" s="1"/>
  <c r="W408" i="23"/>
  <c r="X408" i="23" s="1"/>
  <c r="W410" i="23"/>
  <c r="X410" i="23" s="1"/>
  <c r="X419" i="23"/>
  <c r="W444" i="23"/>
  <c r="X444" i="23" s="1"/>
  <c r="W455" i="23"/>
  <c r="X455" i="23" s="1"/>
  <c r="W473" i="23"/>
  <c r="X473" i="23" s="1"/>
  <c r="X491" i="23"/>
  <c r="W520" i="23"/>
  <c r="X520" i="23" s="1"/>
  <c r="W531" i="23"/>
  <c r="X531" i="23" s="1"/>
  <c r="X607" i="23"/>
  <c r="X621" i="23"/>
  <c r="W621" i="23"/>
  <c r="X167" i="23"/>
  <c r="X349" i="23"/>
  <c r="X438" i="23"/>
  <c r="W438" i="23"/>
  <c r="W449" i="23"/>
  <c r="X449" i="23" s="1"/>
  <c r="X458" i="23"/>
  <c r="X581" i="23"/>
  <c r="W599" i="23"/>
  <c r="X599" i="23" s="1"/>
  <c r="X254" i="23"/>
  <c r="W259" i="23"/>
  <c r="X259" i="23" s="1"/>
  <c r="W317" i="23"/>
  <c r="X317" i="23" s="1"/>
  <c r="W493" i="23"/>
  <c r="X493" i="23" s="1"/>
  <c r="X209" i="23"/>
  <c r="W295" i="23"/>
  <c r="X295" i="23" s="1"/>
  <c r="W353" i="23"/>
  <c r="X353" i="23" s="1"/>
  <c r="W553" i="23"/>
  <c r="X553" i="23" s="1"/>
  <c r="W600" i="23"/>
  <c r="X600" i="23" s="1"/>
  <c r="X614" i="23"/>
  <c r="W614" i="23"/>
  <c r="W331" i="23"/>
  <c r="X331" i="23" s="1"/>
  <c r="X416" i="23"/>
  <c r="W416" i="23"/>
  <c r="W185" i="23"/>
  <c r="X185" i="23" s="1"/>
  <c r="W263" i="23"/>
  <c r="X263" i="23" s="1"/>
  <c r="W367" i="23"/>
  <c r="X367" i="23" s="1"/>
  <c r="W506" i="23"/>
  <c r="X506" i="23" s="1"/>
  <c r="X287" i="23"/>
  <c r="W299" i="23"/>
  <c r="X299" i="23" s="1"/>
  <c r="W470" i="23"/>
  <c r="X470" i="23" s="1"/>
  <c r="W591" i="23"/>
  <c r="X591" i="23" s="1"/>
  <c r="W215" i="23"/>
  <c r="X215" i="23" s="1"/>
  <c r="X308" i="23"/>
  <c r="X390" i="23"/>
  <c r="X404" i="23"/>
  <c r="X487" i="23"/>
  <c r="W401" i="23"/>
  <c r="X401" i="23" s="1"/>
  <c r="X290" i="23"/>
  <c r="X423" i="23"/>
  <c r="W423" i="23"/>
  <c r="X602" i="23"/>
  <c r="W197" i="23"/>
  <c r="X197" i="23" s="1"/>
  <c r="W254" i="23"/>
  <c r="W307" i="23"/>
  <c r="X307" i="23" s="1"/>
  <c r="W377" i="23"/>
  <c r="X377" i="23" s="1"/>
  <c r="X379" i="23"/>
  <c r="X384" i="23"/>
  <c r="W384" i="23"/>
  <c r="W391" i="23"/>
  <c r="X391" i="23" s="1"/>
  <c r="W546" i="23"/>
  <c r="X546" i="23" s="1"/>
  <c r="W564" i="23"/>
  <c r="X564" i="23" s="1"/>
  <c r="X625" i="23"/>
  <c r="W625" i="23"/>
  <c r="X627" i="23"/>
  <c r="W627" i="23"/>
  <c r="X13" i="23"/>
  <c r="W161" i="23"/>
  <c r="X161" i="23" s="1"/>
  <c r="W209" i="23"/>
  <c r="W343" i="23"/>
  <c r="X343" i="23" s="1"/>
  <c r="X466" i="23"/>
  <c r="W477" i="23"/>
  <c r="X477" i="23" s="1"/>
  <c r="W593" i="23"/>
  <c r="X593" i="23" s="1"/>
  <c r="W7" i="23"/>
  <c r="X7" i="23" s="1"/>
  <c r="X10" i="23"/>
  <c r="X155" i="23"/>
  <c r="W173" i="23"/>
  <c r="X173" i="23" s="1"/>
  <c r="X182" i="23"/>
  <c r="W206" i="23"/>
  <c r="X206" i="23" s="1"/>
  <c r="W218" i="23"/>
  <c r="X218" i="23" s="1"/>
  <c r="W251" i="23"/>
  <c r="X251" i="23" s="1"/>
  <c r="X277" i="23"/>
  <c r="X323" i="23"/>
  <c r="W335" i="23"/>
  <c r="X335" i="23" s="1"/>
  <c r="W362" i="23"/>
  <c r="X362" i="23" s="1"/>
  <c r="W409" i="23"/>
  <c r="X409" i="23" s="1"/>
  <c r="W411" i="23"/>
  <c r="X411" i="23" s="1"/>
  <c r="W445" i="23"/>
  <c r="X445" i="23" s="1"/>
  <c r="W452" i="23"/>
  <c r="X452" i="23" s="1"/>
  <c r="W456" i="23"/>
  <c r="X456" i="23" s="1"/>
  <c r="X501" i="23"/>
  <c r="W519" i="23"/>
  <c r="X519" i="23" s="1"/>
  <c r="W521" i="23"/>
  <c r="X521" i="23" s="1"/>
  <c r="W530" i="23"/>
  <c r="X530" i="23" s="1"/>
  <c r="X539" i="23"/>
  <c r="W548" i="23"/>
  <c r="X548" i="23" s="1"/>
  <c r="W559" i="23"/>
  <c r="X559" i="23" s="1"/>
  <c r="X584" i="23"/>
  <c r="W606" i="23"/>
  <c r="X606" i="23" s="1"/>
  <c r="W611" i="23"/>
  <c r="X611" i="23"/>
  <c r="X620" i="23"/>
  <c r="W620" i="23"/>
  <c r="X158" i="23"/>
  <c r="X338" i="23"/>
  <c r="X374" i="23"/>
  <c r="W406" i="23"/>
  <c r="X406" i="23" s="1"/>
  <c r="X437" i="23"/>
  <c r="X463" i="23"/>
  <c r="W496" i="23"/>
  <c r="X496" i="23" s="1"/>
  <c r="X524" i="23"/>
  <c r="X543" i="23"/>
  <c r="X236" i="23"/>
  <c r="X260" i="23"/>
  <c r="W386" i="23"/>
  <c r="X386" i="23" s="1"/>
  <c r="W398" i="23"/>
  <c r="X398" i="23" s="1"/>
  <c r="W434" i="23"/>
  <c r="X434" i="23" s="1"/>
  <c r="W488" i="23"/>
  <c r="X488" i="23" s="1"/>
  <c r="W507" i="23"/>
  <c r="X507" i="23" s="1"/>
  <c r="W573" i="23"/>
  <c r="X573" i="23" s="1"/>
  <c r="X143" i="23"/>
  <c r="X176" i="23"/>
  <c r="X194" i="23"/>
  <c r="X212" i="23"/>
  <c r="X233" i="23"/>
  <c r="X405" i="23"/>
  <c r="X412" i="23"/>
  <c r="W424" i="23"/>
  <c r="X424" i="23" s="1"/>
  <c r="W429" i="23"/>
  <c r="X429" i="23" s="1"/>
  <c r="X462" i="23"/>
  <c r="W481" i="23"/>
  <c r="X481" i="23" s="1"/>
  <c r="W528" i="23"/>
  <c r="X528" i="23" s="1"/>
  <c r="W535" i="23"/>
  <c r="X535" i="23" s="1"/>
  <c r="W568" i="23"/>
  <c r="X568" i="23"/>
  <c r="W622" i="23"/>
  <c r="X622" i="23"/>
  <c r="X631" i="23"/>
  <c r="W631" i="23"/>
  <c r="X140" i="23"/>
  <c r="W146" i="23"/>
  <c r="X146" i="23" s="1"/>
  <c r="X230" i="23"/>
  <c r="W236" i="23"/>
  <c r="W260" i="23"/>
  <c r="W296" i="23"/>
  <c r="X296" i="23" s="1"/>
  <c r="W332" i="23"/>
  <c r="X332" i="23" s="1"/>
  <c r="W368" i="23"/>
  <c r="X368" i="23" s="1"/>
  <c r="W448" i="23"/>
  <c r="X448" i="23" s="1"/>
  <c r="W467" i="23"/>
  <c r="X467" i="23" s="1"/>
  <c r="X483" i="23"/>
  <c r="W483" i="23"/>
  <c r="W495" i="23"/>
  <c r="X495" i="23" s="1"/>
  <c r="W516" i="23"/>
  <c r="X516" i="23" s="1"/>
  <c r="W542" i="23"/>
  <c r="X542" i="23" s="1"/>
  <c r="X549" i="23"/>
  <c r="X556" i="23"/>
  <c r="W582" i="23"/>
  <c r="X582" i="23" s="1"/>
  <c r="W589" i="23"/>
  <c r="X589" i="23" s="1"/>
  <c r="X596" i="23"/>
  <c r="W601" i="23"/>
  <c r="X601" i="23" s="1"/>
  <c r="X257" i="23"/>
  <c r="X293" i="23"/>
  <c r="X329" i="23"/>
  <c r="X365" i="23"/>
  <c r="X427" i="23"/>
  <c r="W485" i="23"/>
  <c r="X485" i="23" s="1"/>
  <c r="X513" i="23"/>
  <c r="X571" i="23"/>
  <c r="W629" i="23"/>
  <c r="W578" i="23"/>
  <c r="X578" i="23" s="1"/>
  <c r="X278" i="23"/>
  <c r="X314" i="23"/>
  <c r="X350" i="23"/>
  <c r="X426" i="23"/>
  <c r="W459" i="23"/>
  <c r="X459" i="23" s="1"/>
  <c r="W474" i="23"/>
  <c r="X474" i="23" s="1"/>
  <c r="X484" i="23"/>
  <c r="W517" i="23"/>
  <c r="X517" i="23" s="1"/>
  <c r="X570" i="23"/>
  <c r="W603" i="23"/>
  <c r="X603" i="23" s="1"/>
  <c r="X618" i="23"/>
  <c r="W618" i="23"/>
  <c r="X275" i="23"/>
  <c r="X311" i="23"/>
  <c r="X347" i="23"/>
  <c r="X393" i="23"/>
  <c r="W413" i="23"/>
  <c r="X413" i="23" s="1"/>
  <c r="X499" i="23"/>
  <c r="X537" i="23"/>
  <c r="W545" i="23"/>
  <c r="X545" i="23" s="1"/>
  <c r="X550" i="23"/>
  <c r="W555" i="23"/>
  <c r="X555" i="23" s="1"/>
  <c r="W557" i="23"/>
  <c r="X557" i="23" s="1"/>
  <c r="W560" i="23"/>
  <c r="X560" i="23" s="1"/>
  <c r="X585" i="23"/>
  <c r="W588" i="23"/>
  <c r="X588" i="23" s="1"/>
  <c r="X432" i="23"/>
  <c r="X468" i="23"/>
  <c r="X504" i="23"/>
  <c r="X540" i="23"/>
  <c r="X576" i="23"/>
  <c r="X381" i="23"/>
  <c r="X417" i="23"/>
  <c r="X453" i="23"/>
  <c r="X489" i="23"/>
  <c r="X525" i="23"/>
  <c r="X561" i="23"/>
  <c r="X597" i="23"/>
  <c r="X633" i="23"/>
  <c r="W633" i="23"/>
  <c r="X414" i="23"/>
  <c r="X450" i="23"/>
  <c r="X486" i="23"/>
  <c r="X522" i="23"/>
  <c r="X558" i="23"/>
  <c r="X594" i="23"/>
  <c r="V424" i="21"/>
  <c r="W424" i="21" s="1"/>
  <c r="V413" i="21"/>
  <c r="W413" i="21" s="1"/>
  <c r="V135" i="21"/>
  <c r="W135" i="21" s="1"/>
  <c r="V146" i="21"/>
  <c r="W146" i="21" s="1"/>
  <c r="V157" i="21"/>
  <c r="W157" i="21" s="1"/>
  <c r="V171" i="21"/>
  <c r="W171" i="21" s="1"/>
  <c r="V205" i="21"/>
  <c r="W205" i="21" s="1"/>
  <c r="V259" i="21"/>
  <c r="W259" i="21" s="1"/>
  <c r="V274" i="21"/>
  <c r="W274" i="21" s="1"/>
  <c r="V286" i="21"/>
  <c r="W286" i="21" s="1"/>
  <c r="V295" i="21"/>
  <c r="W295" i="21" s="1"/>
  <c r="V304" i="21"/>
  <c r="W304" i="21" s="1"/>
  <c r="V313" i="21"/>
  <c r="W313" i="21" s="1"/>
  <c r="V322" i="21"/>
  <c r="W322" i="21" s="1"/>
  <c r="V331" i="21"/>
  <c r="W331" i="21" s="1"/>
  <c r="V340" i="21"/>
  <c r="W340" i="21" s="1"/>
  <c r="V349" i="21"/>
  <c r="W349" i="21" s="1"/>
  <c r="V402" i="21"/>
  <c r="W402" i="21" s="1"/>
  <c r="V384" i="21"/>
  <c r="W384" i="21" s="1"/>
  <c r="V395" i="21"/>
  <c r="W395" i="21" s="1"/>
  <c r="V406" i="21"/>
  <c r="W406" i="21" s="1"/>
  <c r="V469" i="21"/>
  <c r="W469" i="21" s="1"/>
  <c r="V137" i="21"/>
  <c r="W137" i="21" s="1"/>
  <c r="V148" i="21"/>
  <c r="W148" i="21" s="1"/>
  <c r="V162" i="21"/>
  <c r="W162" i="21" s="1"/>
  <c r="V173" i="21"/>
  <c r="W173" i="21" s="1"/>
  <c r="V189" i="21"/>
  <c r="W189" i="21" s="1"/>
  <c r="V194" i="21"/>
  <c r="W194" i="21" s="1"/>
  <c r="V207" i="21"/>
  <c r="W207" i="21" s="1"/>
  <c r="V212" i="21"/>
  <c r="W212" i="21" s="1"/>
  <c r="V225" i="21"/>
  <c r="W225" i="21" s="1"/>
  <c r="V230" i="21"/>
  <c r="W230" i="21" s="1"/>
  <c r="V243" i="21"/>
  <c r="W243" i="21" s="1"/>
  <c r="V248" i="21"/>
  <c r="W248" i="21" s="1"/>
  <c r="V261" i="21"/>
  <c r="W261" i="21" s="1"/>
  <c r="V266" i="21"/>
  <c r="W266" i="21" s="1"/>
  <c r="V271" i="21"/>
  <c r="W271" i="21" s="1"/>
  <c r="V283" i="21"/>
  <c r="W283" i="21" s="1"/>
  <c r="V297" i="21"/>
  <c r="W297" i="21" s="1"/>
  <c r="V306" i="21"/>
  <c r="W306" i="21" s="1"/>
  <c r="V315" i="21"/>
  <c r="W315" i="21" s="1"/>
  <c r="V324" i="21"/>
  <c r="W324" i="21" s="1"/>
  <c r="V333" i="21"/>
  <c r="W333" i="21" s="1"/>
  <c r="V342" i="21"/>
  <c r="W342" i="21" s="1"/>
  <c r="V351" i="21"/>
  <c r="W351" i="21" s="1"/>
  <c r="V430" i="21"/>
  <c r="W430" i="21" s="1"/>
  <c r="V454" i="21"/>
  <c r="W454" i="21" s="1"/>
  <c r="V134" i="21"/>
  <c r="W134" i="21" s="1"/>
  <c r="V145" i="21"/>
  <c r="W145" i="21" s="1"/>
  <c r="V159" i="21"/>
  <c r="W159" i="21" s="1"/>
  <c r="V170" i="21"/>
  <c r="W170" i="21" s="1"/>
  <c r="V181" i="21"/>
  <c r="W181" i="21" s="1"/>
  <c r="V199" i="21"/>
  <c r="W199" i="21" s="1"/>
  <c r="V217" i="21"/>
  <c r="W217" i="21" s="1"/>
  <c r="V235" i="21"/>
  <c r="W235" i="21" s="1"/>
  <c r="V253" i="21"/>
  <c r="W253" i="21" s="1"/>
  <c r="V292" i="21"/>
  <c r="W292" i="21" s="1"/>
  <c r="V301" i="21"/>
  <c r="W301" i="21" s="1"/>
  <c r="V310" i="21"/>
  <c r="W310" i="21" s="1"/>
  <c r="V319" i="21"/>
  <c r="W319" i="21" s="1"/>
  <c r="V328" i="21"/>
  <c r="W328" i="21" s="1"/>
  <c r="V337" i="21"/>
  <c r="W337" i="21" s="1"/>
  <c r="V346" i="21"/>
  <c r="W346" i="21" s="1"/>
  <c r="V366" i="21"/>
  <c r="W366" i="21" s="1"/>
  <c r="V377" i="21"/>
  <c r="W377" i="21" s="1"/>
  <c r="V388" i="21"/>
  <c r="W388" i="21" s="1"/>
  <c r="V419" i="21"/>
  <c r="W419" i="21" s="1"/>
  <c r="W505" i="21"/>
  <c r="V538" i="21"/>
  <c r="W538" i="21" s="1"/>
  <c r="V379" i="21"/>
  <c r="W379" i="21" s="1"/>
  <c r="V460" i="21"/>
  <c r="W460" i="21" s="1"/>
  <c r="V484" i="21"/>
  <c r="W484" i="21" s="1"/>
  <c r="V532" i="21"/>
  <c r="W532" i="21" s="1"/>
  <c r="V359" i="21"/>
  <c r="W359" i="21" s="1"/>
  <c r="V370" i="21"/>
  <c r="W370" i="21" s="1"/>
  <c r="V451" i="21"/>
  <c r="W451" i="21" s="1"/>
  <c r="V161" i="21"/>
  <c r="W161" i="21" s="1"/>
  <c r="V172" i="21"/>
  <c r="W172" i="21" s="1"/>
  <c r="V188" i="21"/>
  <c r="W188" i="21" s="1"/>
  <c r="V201" i="21"/>
  <c r="W201" i="21" s="1"/>
  <c r="V206" i="21"/>
  <c r="W206" i="21" s="1"/>
  <c r="V219" i="21"/>
  <c r="W219" i="21" s="1"/>
  <c r="V224" i="21"/>
  <c r="W224" i="21" s="1"/>
  <c r="V237" i="21"/>
  <c r="W237" i="21" s="1"/>
  <c r="V242" i="21"/>
  <c r="W242" i="21" s="1"/>
  <c r="V255" i="21"/>
  <c r="W255" i="21" s="1"/>
  <c r="V260" i="21"/>
  <c r="W260" i="21" s="1"/>
  <c r="V294" i="21"/>
  <c r="W294" i="21" s="1"/>
  <c r="V303" i="21"/>
  <c r="W303" i="21" s="1"/>
  <c r="V312" i="21"/>
  <c r="W312" i="21" s="1"/>
  <c r="V321" i="21"/>
  <c r="W321" i="21" s="1"/>
  <c r="V330" i="21"/>
  <c r="W330" i="21" s="1"/>
  <c r="V339" i="21"/>
  <c r="W339" i="21" s="1"/>
  <c r="V133" i="21"/>
  <c r="W133" i="21" s="1"/>
  <c r="W141" i="21"/>
  <c r="V147" i="21"/>
  <c r="W147" i="21" s="1"/>
  <c r="V158" i="21"/>
  <c r="W158" i="21" s="1"/>
  <c r="V169" i="21"/>
  <c r="W169" i="21" s="1"/>
  <c r="V193" i="21"/>
  <c r="W193" i="21" s="1"/>
  <c r="V211" i="21"/>
  <c r="W211" i="21" s="1"/>
  <c r="V229" i="21"/>
  <c r="W229" i="21" s="1"/>
  <c r="V247" i="21"/>
  <c r="W247" i="21" s="1"/>
  <c r="V265" i="21"/>
  <c r="W265" i="21" s="1"/>
  <c r="V270" i="21"/>
  <c r="W270" i="21" s="1"/>
  <c r="V282" i="21"/>
  <c r="W282" i="21" s="1"/>
  <c r="V298" i="21"/>
  <c r="W298" i="21" s="1"/>
  <c r="V307" i="21"/>
  <c r="W307" i="21" s="1"/>
  <c r="V316" i="21"/>
  <c r="W316" i="21" s="1"/>
  <c r="V325" i="21"/>
  <c r="W325" i="21" s="1"/>
  <c r="V334" i="21"/>
  <c r="W334" i="21" s="1"/>
  <c r="V343" i="21"/>
  <c r="W343" i="21" s="1"/>
  <c r="V352" i="21"/>
  <c r="W352" i="21" s="1"/>
  <c r="V431" i="21"/>
  <c r="W431" i="21" s="1"/>
  <c r="V144" i="21"/>
  <c r="W144" i="21" s="1"/>
  <c r="V180" i="21"/>
  <c r="W180" i="21" s="1"/>
  <c r="V198" i="21"/>
  <c r="W198" i="21" s="1"/>
  <c r="V216" i="21"/>
  <c r="W216" i="21" s="1"/>
  <c r="V234" i="21"/>
  <c r="W234" i="21" s="1"/>
  <c r="V252" i="21"/>
  <c r="W252" i="21" s="1"/>
  <c r="V277" i="21"/>
  <c r="W277" i="21" s="1"/>
  <c r="W279" i="21"/>
  <c r="V289" i="21"/>
  <c r="W289" i="21" s="1"/>
  <c r="W345" i="21"/>
  <c r="V372" i="21"/>
  <c r="W372" i="21" s="1"/>
  <c r="V383" i="21"/>
  <c r="W383" i="21" s="1"/>
  <c r="V394" i="21"/>
  <c r="W394" i="21" s="1"/>
  <c r="V420" i="21"/>
  <c r="W420" i="21" s="1"/>
  <c r="V442" i="21"/>
  <c r="W442" i="21" s="1"/>
  <c r="V523" i="21"/>
  <c r="W523" i="21" s="1"/>
  <c r="V547" i="21"/>
  <c r="W547" i="21" s="1"/>
  <c r="V553" i="21"/>
  <c r="W553" i="21" s="1"/>
  <c r="V559" i="21"/>
  <c r="W559" i="21" s="1"/>
  <c r="V565" i="21"/>
  <c r="W565" i="21" s="1"/>
  <c r="V571" i="21"/>
  <c r="W571" i="21" s="1"/>
  <c r="V577" i="21"/>
  <c r="W577" i="21" s="1"/>
  <c r="V583" i="21"/>
  <c r="W583" i="21" s="1"/>
  <c r="V589" i="21"/>
  <c r="W589" i="21" s="1"/>
  <c r="V595" i="21"/>
  <c r="W595" i="21" s="1"/>
  <c r="V601" i="21"/>
  <c r="W601" i="21" s="1"/>
  <c r="V607" i="21"/>
  <c r="W607" i="21" s="1"/>
  <c r="W616" i="21"/>
  <c r="V616" i="21"/>
  <c r="W625" i="21"/>
  <c r="V625" i="21"/>
  <c r="V355" i="21"/>
  <c r="W355" i="21" s="1"/>
  <c r="V369" i="21"/>
  <c r="W369" i="21" s="1"/>
  <c r="V380" i="21"/>
  <c r="W380" i="21" s="1"/>
  <c r="V391" i="21"/>
  <c r="W391" i="21" s="1"/>
  <c r="V405" i="21"/>
  <c r="W405" i="21" s="1"/>
  <c r="V416" i="21"/>
  <c r="W416" i="21" s="1"/>
  <c r="V427" i="21"/>
  <c r="W427" i="21" s="1"/>
  <c r="V446" i="21"/>
  <c r="W446" i="21" s="1"/>
  <c r="W613" i="21"/>
  <c r="V613" i="21"/>
  <c r="W622" i="21"/>
  <c r="V622" i="21"/>
  <c r="W631" i="21"/>
  <c r="V631" i="21"/>
  <c r="V550" i="21"/>
  <c r="W550" i="21" s="1"/>
  <c r="V556" i="21"/>
  <c r="W556" i="21" s="1"/>
  <c r="V562" i="21"/>
  <c r="W562" i="21" s="1"/>
  <c r="V568" i="21"/>
  <c r="W568" i="21" s="1"/>
  <c r="V574" i="21"/>
  <c r="W574" i="21" s="1"/>
  <c r="V580" i="21"/>
  <c r="W580" i="21" s="1"/>
  <c r="V586" i="21"/>
  <c r="W586" i="21" s="1"/>
  <c r="V592" i="21"/>
  <c r="W592" i="21" s="1"/>
  <c r="V598" i="21"/>
  <c r="W598" i="21" s="1"/>
  <c r="V604" i="21"/>
  <c r="W604" i="21" s="1"/>
  <c r="W445" i="21"/>
  <c r="V502" i="21"/>
  <c r="W502" i="21" s="1"/>
  <c r="V511" i="21"/>
  <c r="W511" i="21" s="1"/>
  <c r="V520" i="21"/>
  <c r="W520" i="21" s="1"/>
  <c r="V529" i="21"/>
  <c r="W529" i="21" s="1"/>
  <c r="V544" i="21"/>
  <c r="W544" i="21" s="1"/>
  <c r="V357" i="21"/>
  <c r="W357" i="21" s="1"/>
  <c r="V393" i="21"/>
  <c r="W393" i="21" s="1"/>
  <c r="W610" i="21"/>
  <c r="V610" i="21"/>
  <c r="W619" i="21"/>
  <c r="V619" i="21"/>
  <c r="W628" i="21"/>
  <c r="V628" i="21"/>
  <c r="W517" i="21"/>
  <c r="W519" i="21"/>
  <c r="V633" i="16"/>
  <c r="K19" i="15"/>
  <c r="K4" i="15"/>
  <c r="Q32" i="14"/>
  <c r="R32" i="14" s="1"/>
  <c r="Q80" i="14"/>
  <c r="R80" i="14" s="1"/>
  <c r="Q116" i="14"/>
  <c r="R116" i="14" s="1"/>
  <c r="Q152" i="14"/>
  <c r="R152" i="14" s="1"/>
  <c r="Q164" i="14"/>
  <c r="R164" i="14" s="1"/>
  <c r="Q200" i="14"/>
  <c r="R200" i="14" s="1"/>
  <c r="Q272" i="14"/>
  <c r="R272" i="14" s="1"/>
  <c r="Q380" i="14"/>
  <c r="R380" i="14" s="1"/>
  <c r="Q416" i="14"/>
  <c r="R416" i="14" s="1"/>
  <c r="Q452" i="14"/>
  <c r="R452" i="14" s="1"/>
  <c r="Q548" i="14"/>
  <c r="R548" i="14" s="1"/>
  <c r="Q560" i="14"/>
  <c r="R560" i="14" s="1"/>
  <c r="Q584" i="14"/>
  <c r="R584" i="14" s="1"/>
  <c r="Q596" i="14"/>
  <c r="R596" i="14" s="1"/>
  <c r="Q9" i="14"/>
  <c r="R9" i="14" s="1"/>
  <c r="Q21" i="14"/>
  <c r="R21" i="14" s="1"/>
  <c r="Q45" i="14"/>
  <c r="R45" i="14" s="1"/>
  <c r="Q69" i="14"/>
  <c r="R69" i="14" s="1"/>
  <c r="Q93" i="14"/>
  <c r="R93" i="14" s="1"/>
  <c r="Q105" i="14"/>
  <c r="R105" i="14" s="1"/>
  <c r="Q117" i="14"/>
  <c r="R117" i="14" s="1"/>
  <c r="Q129" i="14"/>
  <c r="R129" i="14" s="1"/>
  <c r="Q141" i="14"/>
  <c r="R141" i="14" s="1"/>
  <c r="Q153" i="14"/>
  <c r="R153" i="14" s="1"/>
  <c r="Q177" i="14"/>
  <c r="R177" i="14" s="1"/>
  <c r="Q189" i="14"/>
  <c r="R189" i="14" s="1"/>
  <c r="Q225" i="14"/>
  <c r="R225" i="14" s="1"/>
  <c r="Q273" i="14"/>
  <c r="R273" i="14" s="1"/>
  <c r="Q309" i="14"/>
  <c r="R309" i="14" s="1"/>
  <c r="Q357" i="14"/>
  <c r="R357" i="14" s="1"/>
  <c r="Q369" i="14"/>
  <c r="R369" i="14" s="1"/>
  <c r="Q393" i="14"/>
  <c r="R393" i="14" s="1"/>
  <c r="Q417" i="14"/>
  <c r="R417" i="14" s="1"/>
  <c r="Q465" i="14"/>
  <c r="R465" i="14" s="1"/>
  <c r="Q14" i="14"/>
  <c r="R14" i="14" s="1"/>
  <c r="Q86" i="14"/>
  <c r="R86" i="14" s="1"/>
  <c r="Q613" i="14"/>
  <c r="R613" i="14" s="1"/>
  <c r="Q4" i="14"/>
  <c r="R4" i="14" s="1"/>
  <c r="Q16" i="14"/>
  <c r="R16" i="14" s="1"/>
  <c r="Q143" i="14"/>
  <c r="R143" i="14" s="1"/>
  <c r="Q167" i="14"/>
  <c r="R167" i="14" s="1"/>
  <c r="Q179" i="14"/>
  <c r="R179" i="14" s="1"/>
  <c r="Q215" i="14"/>
  <c r="R215" i="14" s="1"/>
  <c r="Q359" i="14"/>
  <c r="R359" i="14" s="1"/>
  <c r="Q407" i="14"/>
  <c r="R407" i="14" s="1"/>
  <c r="Q443" i="14"/>
  <c r="R443" i="14" s="1"/>
  <c r="Q479" i="14"/>
  <c r="R479" i="14" s="1"/>
  <c r="Q491" i="14"/>
  <c r="R491" i="14" s="1"/>
  <c r="Q515" i="14"/>
  <c r="R515" i="14" s="1"/>
  <c r="Q539" i="14"/>
  <c r="R539" i="14" s="1"/>
  <c r="Q551" i="14"/>
  <c r="R551" i="14" s="1"/>
  <c r="Q280" i="14"/>
  <c r="R280" i="14" s="1"/>
  <c r="Q484" i="14"/>
  <c r="R484" i="14" s="1"/>
  <c r="Q592" i="14"/>
  <c r="R592" i="14" s="1"/>
  <c r="Q324" i="14"/>
  <c r="R324" i="14" s="1"/>
  <c r="Q122" i="14"/>
  <c r="R122" i="14" s="1"/>
  <c r="Q134" i="14"/>
  <c r="R134" i="14" s="1"/>
  <c r="Q158" i="14"/>
  <c r="R158" i="14" s="1"/>
  <c r="Q194" i="14"/>
  <c r="R194" i="14" s="1"/>
  <c r="Q254" i="14"/>
  <c r="R254" i="14" s="1"/>
  <c r="Q314" i="14"/>
  <c r="R314" i="14" s="1"/>
  <c r="Q326" i="14"/>
  <c r="R326" i="14" s="1"/>
  <c r="Q458" i="14"/>
  <c r="R458" i="14" s="1"/>
  <c r="Q470" i="14"/>
  <c r="R470" i="14" s="1"/>
  <c r="Q494" i="14"/>
  <c r="R494" i="14" s="1"/>
  <c r="Q530" i="14"/>
  <c r="R530" i="14" s="1"/>
  <c r="Q566" i="14"/>
  <c r="R566" i="14" s="1"/>
  <c r="Q578" i="14"/>
  <c r="R578" i="14" s="1"/>
  <c r="Q161" i="14"/>
  <c r="R161" i="14" s="1"/>
  <c r="Q485" i="14"/>
  <c r="R485" i="14" s="1"/>
  <c r="Q629" i="14"/>
  <c r="R629" i="14" s="1"/>
  <c r="Q140" i="14"/>
  <c r="R140" i="14" s="1"/>
  <c r="Q483" i="14"/>
  <c r="R483" i="14" s="1"/>
  <c r="Q627" i="14"/>
  <c r="R627" i="14" s="1"/>
  <c r="Q11" i="14"/>
  <c r="R11" i="14" s="1"/>
  <c r="Q35" i="14"/>
  <c r="R35" i="14" s="1"/>
  <c r="Q59" i="14"/>
  <c r="R59" i="14" s="1"/>
  <c r="Q102" i="14"/>
  <c r="R102" i="14" s="1"/>
  <c r="Q126" i="14"/>
  <c r="R126" i="14" s="1"/>
  <c r="Q294" i="14"/>
  <c r="R294" i="14" s="1"/>
  <c r="Q366" i="14"/>
  <c r="R366" i="14" s="1"/>
  <c r="Q553" i="14"/>
  <c r="R553" i="14" s="1"/>
  <c r="Q589" i="14"/>
  <c r="R589" i="14" s="1"/>
  <c r="Q594" i="14"/>
  <c r="R594" i="14" s="1"/>
  <c r="Q81" i="14"/>
  <c r="R81" i="14" s="1"/>
  <c r="Q528" i="14"/>
  <c r="R528" i="14" s="1"/>
  <c r="Q424" i="14"/>
  <c r="R424" i="14" s="1"/>
  <c r="Q549" i="14"/>
  <c r="R549" i="14" s="1"/>
  <c r="Q24" i="14"/>
  <c r="R24" i="14" s="1"/>
  <c r="Q41" i="14"/>
  <c r="R41" i="14" s="1"/>
  <c r="Q120" i="14"/>
  <c r="R120" i="14" s="1"/>
  <c r="Q132" i="14"/>
  <c r="R132" i="14" s="1"/>
  <c r="Q144" i="14"/>
  <c r="R144" i="14" s="1"/>
  <c r="Q211" i="14"/>
  <c r="R211" i="14" s="1"/>
  <c r="Q343" i="14"/>
  <c r="R343" i="14" s="1"/>
  <c r="Q348" i="14"/>
  <c r="R348" i="14" s="1"/>
  <c r="Q427" i="14"/>
  <c r="R427" i="14" s="1"/>
  <c r="Q463" i="14"/>
  <c r="R463" i="14" s="1"/>
  <c r="Q571" i="14"/>
  <c r="R571" i="14" s="1"/>
  <c r="Q607" i="14"/>
  <c r="R607" i="14" s="1"/>
  <c r="Q22" i="14"/>
  <c r="R22" i="14" s="1"/>
  <c r="Q138" i="14"/>
  <c r="R138" i="14" s="1"/>
  <c r="Q190" i="14"/>
  <c r="R190" i="14" s="1"/>
  <c r="Q540" i="14"/>
  <c r="R540" i="14" s="1"/>
  <c r="Q197" i="14"/>
  <c r="R197" i="14" s="1"/>
  <c r="Q171" i="14"/>
  <c r="R171" i="14" s="1"/>
  <c r="Q384" i="14"/>
  <c r="R384" i="14" s="1"/>
  <c r="Q422" i="14"/>
  <c r="R422" i="14" s="1"/>
  <c r="Q150" i="14"/>
  <c r="R150" i="14" s="1"/>
  <c r="Q370" i="14"/>
  <c r="R370" i="14" s="1"/>
  <c r="Q396" i="14"/>
  <c r="R396" i="14" s="1"/>
  <c r="Q538" i="14"/>
  <c r="R538" i="14" s="1"/>
  <c r="Q531" i="14"/>
  <c r="R531" i="14" s="1"/>
  <c r="Q602" i="14"/>
  <c r="R602" i="14" s="1"/>
  <c r="Q271" i="14"/>
  <c r="R271" i="14" s="1"/>
  <c r="Q299" i="14"/>
  <c r="R299" i="14" s="1"/>
  <c r="Q394" i="14"/>
  <c r="R394" i="14" s="1"/>
  <c r="Q614" i="14"/>
  <c r="R614" i="14" s="1"/>
  <c r="Q238" i="14"/>
  <c r="R238" i="14" s="1"/>
  <c r="Q292" i="14"/>
  <c r="R292" i="14" s="1"/>
  <c r="Q574" i="14"/>
  <c r="R574" i="14" s="1"/>
  <c r="Q612" i="14"/>
  <c r="R612" i="14" s="1"/>
  <c r="Q501" i="14"/>
  <c r="R501" i="14" s="1"/>
  <c r="Q371" i="14"/>
  <c r="R371" i="14" s="1"/>
  <c r="Q123" i="14"/>
  <c r="R123" i="14" s="1"/>
  <c r="Q227" i="14"/>
  <c r="R227" i="14" s="1"/>
  <c r="Q352" i="14"/>
  <c r="R352" i="14" s="1"/>
  <c r="Q364" i="14"/>
  <c r="R364" i="14" s="1"/>
  <c r="Q499" i="14"/>
  <c r="R499" i="14" s="1"/>
  <c r="Q558" i="14"/>
  <c r="R558" i="14" s="1"/>
  <c r="Q603" i="14"/>
  <c r="R603" i="14" s="1"/>
  <c r="Q291" i="14"/>
  <c r="R291" i="14" s="1"/>
  <c r="Q372" i="14"/>
  <c r="R372" i="14" s="1"/>
  <c r="Q172" i="14"/>
  <c r="R172" i="14" s="1"/>
  <c r="Q342" i="14"/>
  <c r="R342" i="14" s="1"/>
  <c r="Q567" i="14"/>
  <c r="R567" i="14" s="1"/>
  <c r="Q593" i="14"/>
  <c r="R593" i="14" s="1"/>
  <c r="Q630" i="14"/>
  <c r="R630" i="14" s="1"/>
  <c r="Q78" i="14"/>
  <c r="R78" i="14" s="1"/>
  <c r="Q236" i="14"/>
  <c r="R236" i="14" s="1"/>
  <c r="Q290" i="14"/>
  <c r="R290" i="14" s="1"/>
  <c r="Q397" i="14"/>
  <c r="R397" i="14" s="1"/>
  <c r="Q26" i="14"/>
  <c r="R26" i="14" s="1"/>
  <c r="Q33" i="14"/>
  <c r="R33" i="14" s="1"/>
  <c r="Q57" i="14"/>
  <c r="R57" i="14" s="1"/>
  <c r="Q62" i="14"/>
  <c r="R62" i="14" s="1"/>
  <c r="Q135" i="14"/>
  <c r="R135" i="14" s="1"/>
  <c r="Q199" i="14"/>
  <c r="R199" i="14" s="1"/>
  <c r="Q239" i="14"/>
  <c r="R239" i="14" s="1"/>
  <c r="Q253" i="14"/>
  <c r="R253" i="14" s="1"/>
  <c r="Q260" i="14"/>
  <c r="R260" i="14" s="1"/>
  <c r="Q265" i="14"/>
  <c r="R265" i="14" s="1"/>
  <c r="Q274" i="14"/>
  <c r="R274" i="14" s="1"/>
  <c r="Q300" i="14"/>
  <c r="R300" i="14" s="1"/>
  <c r="Q319" i="14"/>
  <c r="R319" i="14" s="1"/>
  <c r="Q381" i="14"/>
  <c r="R381" i="14" s="1"/>
  <c r="Q395" i="14"/>
  <c r="R395" i="14" s="1"/>
  <c r="Q440" i="14"/>
  <c r="R440" i="14" s="1"/>
  <c r="Q445" i="14"/>
  <c r="R445" i="14" s="1"/>
  <c r="Q497" i="14"/>
  <c r="R497" i="14" s="1"/>
  <c r="Q509" i="14"/>
  <c r="R509" i="14" s="1"/>
  <c r="Q48" i="14"/>
  <c r="R48" i="14" s="1"/>
  <c r="Q310" i="14"/>
  <c r="R310" i="14" s="1"/>
  <c r="Q585" i="14"/>
  <c r="R585" i="14" s="1"/>
  <c r="Q564" i="14"/>
  <c r="R564" i="14" s="1"/>
  <c r="Q363" i="14"/>
  <c r="R363" i="14" s="1"/>
  <c r="Q467" i="14"/>
  <c r="R467" i="14" s="1"/>
  <c r="Q325" i="14"/>
  <c r="R325" i="14" s="1"/>
  <c r="Q616" i="14"/>
  <c r="R616" i="14" s="1"/>
  <c r="Q399" i="14"/>
  <c r="R399" i="14" s="1"/>
  <c r="Q23" i="14"/>
  <c r="R23" i="14" s="1"/>
  <c r="Q546" i="14"/>
  <c r="R546" i="14" s="1"/>
  <c r="Q107" i="14"/>
  <c r="R107" i="14" s="1"/>
  <c r="Q147" i="14"/>
  <c r="R147" i="14" s="1"/>
  <c r="Q232" i="14"/>
  <c r="R232" i="14" s="1"/>
  <c r="Q312" i="14"/>
  <c r="R312" i="14" s="1"/>
  <c r="Q355" i="14"/>
  <c r="R355" i="14" s="1"/>
  <c r="Q362" i="14"/>
  <c r="R362" i="14" s="1"/>
  <c r="Q438" i="14"/>
  <c r="R438" i="14" s="1"/>
  <c r="Q535" i="14"/>
  <c r="R535" i="14" s="1"/>
  <c r="Q561" i="14"/>
  <c r="R561" i="14" s="1"/>
  <c r="Q587" i="14"/>
  <c r="R587" i="14" s="1"/>
  <c r="Q267" i="14"/>
  <c r="R267" i="14" s="1"/>
  <c r="Q277" i="14"/>
  <c r="R277" i="14" s="1"/>
  <c r="Q431" i="14"/>
  <c r="R431" i="14" s="1"/>
  <c r="Q513" i="14"/>
  <c r="R513" i="14" s="1"/>
  <c r="Q520" i="14"/>
  <c r="R520" i="14" s="1"/>
  <c r="Q579" i="14"/>
  <c r="R579" i="14" s="1"/>
  <c r="Q621" i="14"/>
  <c r="R621" i="14" s="1"/>
  <c r="Q131" i="14"/>
  <c r="R131" i="14" s="1"/>
  <c r="Q340" i="14"/>
  <c r="R340" i="14" s="1"/>
  <c r="Q268" i="14"/>
  <c r="R268" i="14" s="1"/>
  <c r="Q18" i="14"/>
  <c r="R18" i="14" s="1"/>
  <c r="Q376" i="14"/>
  <c r="R376" i="14" s="1"/>
  <c r="Q610" i="14"/>
  <c r="R610" i="14" s="1"/>
  <c r="Q19" i="14"/>
  <c r="R19" i="14" s="1"/>
  <c r="Q166" i="14"/>
  <c r="R166" i="14" s="1"/>
  <c r="Q204" i="14"/>
  <c r="R204" i="14" s="1"/>
  <c r="Q623" i="14"/>
  <c r="R623" i="14" s="1"/>
  <c r="Q203" i="14"/>
  <c r="R203" i="14" s="1"/>
  <c r="Q331" i="14"/>
  <c r="R331" i="14" s="1"/>
  <c r="Q322" i="14"/>
  <c r="R322" i="14" s="1"/>
  <c r="Q252" i="14"/>
  <c r="R252" i="14" s="1"/>
  <c r="Q259" i="14"/>
  <c r="R259" i="14" s="1"/>
  <c r="Q556" i="14"/>
  <c r="R556" i="14" s="1"/>
  <c r="Q44" i="14"/>
  <c r="R44" i="14" s="1"/>
  <c r="Q599" i="14"/>
  <c r="R599" i="14" s="1"/>
  <c r="Q157" i="14"/>
  <c r="R157" i="14" s="1"/>
  <c r="Q447" i="14"/>
  <c r="R447" i="14" s="1"/>
  <c r="Q186" i="14"/>
  <c r="R186" i="14" s="1"/>
  <c r="Q563" i="14"/>
  <c r="R563" i="14" s="1"/>
  <c r="Q39" i="14"/>
  <c r="R39" i="14" s="1"/>
  <c r="Q72" i="14"/>
  <c r="R72" i="14" s="1"/>
  <c r="Q63" i="14"/>
  <c r="R63" i="14" s="1"/>
  <c r="Q98" i="14"/>
  <c r="R98" i="14" s="1"/>
  <c r="Q306" i="14"/>
  <c r="R306" i="14" s="1"/>
  <c r="Q74" i="14"/>
  <c r="R74" i="14" s="1"/>
  <c r="Q216" i="14"/>
  <c r="R216" i="14" s="1"/>
  <c r="Q250" i="14"/>
  <c r="R250" i="14" s="1"/>
  <c r="Q304" i="14"/>
  <c r="R304" i="14" s="1"/>
  <c r="Q313" i="14"/>
  <c r="R313" i="14" s="1"/>
  <c r="Q358" i="14"/>
  <c r="R358" i="14" s="1"/>
  <c r="Q367" i="14"/>
  <c r="R367" i="14" s="1"/>
  <c r="Q411" i="14"/>
  <c r="R411" i="14" s="1"/>
  <c r="Q429" i="14"/>
  <c r="R429" i="14" s="1"/>
  <c r="Q525" i="14"/>
  <c r="R525" i="14" s="1"/>
  <c r="Q534" i="14"/>
  <c r="R534" i="14" s="1"/>
  <c r="Q570" i="14"/>
  <c r="R570" i="14" s="1"/>
  <c r="Q588" i="14"/>
  <c r="R588" i="14" s="1"/>
  <c r="Q597" i="14"/>
  <c r="R597" i="14" s="1"/>
  <c r="Q286" i="14"/>
  <c r="R286" i="14" s="1"/>
  <c r="Q295" i="14"/>
  <c r="R295" i="14" s="1"/>
  <c r="Q345" i="14"/>
  <c r="R345" i="14" s="1"/>
  <c r="Q502" i="14"/>
  <c r="R502" i="14" s="1"/>
  <c r="Q552" i="14"/>
  <c r="R552" i="14" s="1"/>
  <c r="Q586" i="14"/>
  <c r="R586" i="14" s="1"/>
  <c r="Q606" i="14"/>
  <c r="R606" i="14" s="1"/>
  <c r="Q68" i="14"/>
  <c r="R68" i="14" s="1"/>
  <c r="Q196" i="14"/>
  <c r="R196" i="14" s="1"/>
  <c r="Q205" i="14"/>
  <c r="R205" i="14" s="1"/>
  <c r="Q255" i="14"/>
  <c r="R255" i="14" s="1"/>
  <c r="Q262" i="14"/>
  <c r="R262" i="14" s="1"/>
  <c r="Q327" i="14"/>
  <c r="R327" i="14" s="1"/>
  <c r="Q398" i="14"/>
  <c r="R398" i="14" s="1"/>
  <c r="Q414" i="14"/>
  <c r="R414" i="14" s="1"/>
  <c r="Q507" i="14"/>
  <c r="R507" i="14" s="1"/>
  <c r="Q516" i="14"/>
  <c r="R516" i="14" s="1"/>
  <c r="Q550" i="14"/>
  <c r="R550" i="14" s="1"/>
  <c r="Q615" i="14"/>
  <c r="R615" i="14" s="1"/>
  <c r="Q298" i="14"/>
  <c r="R298" i="14" s="1"/>
  <c r="Q323" i="14"/>
  <c r="R323" i="14" s="1"/>
  <c r="Q341" i="14"/>
  <c r="R341" i="14" s="1"/>
  <c r="Q361" i="14"/>
  <c r="R361" i="14" s="1"/>
  <c r="Q383" i="14"/>
  <c r="R383" i="14" s="1"/>
  <c r="Q466" i="14"/>
  <c r="R466" i="14" s="1"/>
  <c r="Q489" i="14"/>
  <c r="R489" i="14" s="1"/>
  <c r="Q573" i="14"/>
  <c r="R573" i="14" s="1"/>
  <c r="Q591" i="14"/>
  <c r="R591" i="14" s="1"/>
  <c r="Q244" i="14"/>
  <c r="R244" i="14" s="1"/>
  <c r="Q269" i="14"/>
  <c r="R269" i="14" s="1"/>
  <c r="Q412" i="14"/>
  <c r="R412" i="14" s="1"/>
  <c r="Q430" i="14"/>
  <c r="R430" i="14" s="1"/>
  <c r="Q453" i="14"/>
  <c r="R453" i="14" s="1"/>
  <c r="Q519" i="14"/>
  <c r="R519" i="14" s="1"/>
  <c r="Q555" i="14"/>
  <c r="R555" i="14" s="1"/>
  <c r="Q609" i="14"/>
  <c r="R609" i="14" s="1"/>
  <c r="Q233" i="14"/>
  <c r="R233" i="14" s="1"/>
  <c r="Q305" i="14"/>
  <c r="R305" i="14" s="1"/>
  <c r="Q337" i="14"/>
  <c r="R337" i="14" s="1"/>
  <c r="Q210" i="14"/>
  <c r="R210" i="14" s="1"/>
  <c r="Q289" i="14"/>
  <c r="R289" i="14" s="1"/>
  <c r="Q307" i="14"/>
  <c r="R307" i="14" s="1"/>
  <c r="Q316" i="14"/>
  <c r="R316" i="14" s="1"/>
  <c r="Q448" i="14"/>
  <c r="R448" i="14" s="1"/>
  <c r="Q537" i="14"/>
  <c r="R537" i="14" s="1"/>
  <c r="Q624" i="14"/>
  <c r="R624" i="14" s="1"/>
  <c r="Q5" i="14"/>
  <c r="R5" i="14" s="1"/>
  <c r="Q251" i="14"/>
  <c r="R251" i="14" s="1"/>
  <c r="Q419" i="14"/>
  <c r="R419" i="14" s="1"/>
  <c r="Q222" i="14"/>
  <c r="R222" i="14" s="1"/>
  <c r="Q287" i="14"/>
  <c r="R287" i="14" s="1"/>
  <c r="Q620" i="14"/>
  <c r="R620" i="14" s="1"/>
  <c r="Q12" i="14"/>
  <c r="R12" i="14" s="1"/>
  <c r="Q84" i="14"/>
  <c r="R84" i="14" s="1"/>
  <c r="Q256" i="14"/>
  <c r="R256" i="14" s="1"/>
  <c r="Q285" i="14"/>
  <c r="R285" i="14" s="1"/>
  <c r="Q328" i="14"/>
  <c r="R328" i="14" s="1"/>
  <c r="Q333" i="14"/>
  <c r="R333" i="14" s="1"/>
  <c r="Q377" i="14"/>
  <c r="R377" i="14" s="1"/>
  <c r="Q386" i="14"/>
  <c r="R386" i="14" s="1"/>
  <c r="Q388" i="14"/>
  <c r="R388" i="14" s="1"/>
  <c r="Q460" i="14"/>
  <c r="R460" i="14" s="1"/>
  <c r="Q471" i="14"/>
  <c r="R471" i="14" s="1"/>
  <c r="Q478" i="14"/>
  <c r="R478" i="14" s="1"/>
  <c r="Q576" i="14"/>
  <c r="R576" i="14" s="1"/>
  <c r="Q618" i="14"/>
  <c r="R618" i="14" s="1"/>
  <c r="Q633" i="14"/>
  <c r="R633" i="14" s="1"/>
  <c r="Q185" i="14"/>
  <c r="R185" i="14" s="1"/>
  <c r="Q208" i="14"/>
  <c r="R208" i="14" s="1"/>
  <c r="Q435" i="14"/>
  <c r="R435" i="14" s="1"/>
  <c r="Q449" i="14"/>
  <c r="R449" i="14" s="1"/>
  <c r="Q476" i="14"/>
  <c r="R476" i="14" s="1"/>
  <c r="Q168" i="14"/>
  <c r="R168" i="14" s="1"/>
  <c r="Q188" i="14"/>
  <c r="R188" i="14" s="1"/>
  <c r="Q213" i="14"/>
  <c r="R213" i="14" s="1"/>
  <c r="Q473" i="14"/>
  <c r="R473" i="14" s="1"/>
  <c r="Q488" i="14"/>
  <c r="R488" i="14" s="1"/>
  <c r="Q121" i="14"/>
  <c r="R121" i="14" s="1"/>
  <c r="Q240" i="14"/>
  <c r="R240" i="14" s="1"/>
  <c r="Q282" i="14"/>
  <c r="R282" i="14" s="1"/>
  <c r="Q400" i="14"/>
  <c r="R400" i="14" s="1"/>
  <c r="Q601" i="14"/>
  <c r="R601" i="14" s="1"/>
  <c r="Q455" i="14"/>
  <c r="R455" i="14" s="1"/>
  <c r="Q71" i="14"/>
  <c r="R71" i="14" s="1"/>
  <c r="Q95" i="14"/>
  <c r="R95" i="14" s="1"/>
  <c r="Q109" i="14"/>
  <c r="R109" i="14" s="1"/>
  <c r="Q264" i="14"/>
  <c r="R264" i="14" s="1"/>
  <c r="Q568" i="14"/>
  <c r="R568" i="14" s="1"/>
  <c r="Q13" i="14"/>
  <c r="R13" i="14" s="1"/>
  <c r="Q40" i="14"/>
  <c r="R40" i="14" s="1"/>
  <c r="Q47" i="14"/>
  <c r="R47" i="14" s="1"/>
  <c r="Q506" i="14"/>
  <c r="R506" i="14" s="1"/>
  <c r="Q28" i="14"/>
  <c r="R28" i="14" s="1"/>
  <c r="Q104" i="14"/>
  <c r="R104" i="14" s="1"/>
  <c r="Q201" i="14"/>
  <c r="R201" i="14" s="1"/>
  <c r="Q237" i="14"/>
  <c r="R237" i="14" s="1"/>
  <c r="Q297" i="14"/>
  <c r="R297" i="14" s="1"/>
  <c r="Q308" i="14"/>
  <c r="R308" i="14" s="1"/>
  <c r="Q169" i="14"/>
  <c r="R169" i="14" s="1"/>
  <c r="Q212" i="14"/>
  <c r="R212" i="14" s="1"/>
  <c r="Q223" i="14"/>
  <c r="R223" i="14" s="1"/>
  <c r="Q127" i="14"/>
  <c r="R127" i="14" s="1"/>
  <c r="Q25" i="14"/>
  <c r="R25" i="14" s="1"/>
  <c r="Q56" i="14"/>
  <c r="R56" i="14" s="1"/>
  <c r="Q89" i="14"/>
  <c r="R89" i="14" s="1"/>
  <c r="Q303" i="14"/>
  <c r="R303" i="14" s="1"/>
  <c r="Q374" i="14"/>
  <c r="R374" i="14" s="1"/>
  <c r="Q631" i="14"/>
  <c r="R631" i="14" s="1"/>
  <c r="Q20" i="14"/>
  <c r="R20" i="14" s="1"/>
  <c r="Q58" i="14"/>
  <c r="R58" i="14" s="1"/>
  <c r="Q65" i="14"/>
  <c r="R65" i="14" s="1"/>
  <c r="Q103" i="14"/>
  <c r="R103" i="14" s="1"/>
  <c r="Q110" i="14"/>
  <c r="R110" i="14" s="1"/>
  <c r="Q136" i="14"/>
  <c r="R136" i="14" s="1"/>
  <c r="Q173" i="14"/>
  <c r="R173" i="14" s="1"/>
  <c r="Q234" i="14"/>
  <c r="R234" i="14" s="1"/>
  <c r="Q439" i="14"/>
  <c r="R439" i="14" s="1"/>
  <c r="Q626" i="14"/>
  <c r="R626" i="14" s="1"/>
  <c r="Q486" i="14"/>
  <c r="R486" i="14" s="1"/>
  <c r="Q43" i="14"/>
  <c r="R43" i="14" s="1"/>
  <c r="Q100" i="14"/>
  <c r="R100" i="14" s="1"/>
  <c r="Q391" i="14"/>
  <c r="R391" i="14" s="1"/>
  <c r="Q462" i="14"/>
  <c r="R462" i="14" s="1"/>
  <c r="Q511" i="14"/>
  <c r="R511" i="14" s="1"/>
  <c r="Q76" i="14"/>
  <c r="R76" i="14" s="1"/>
  <c r="Q83" i="14"/>
  <c r="R83" i="14" s="1"/>
  <c r="Q517" i="14"/>
  <c r="R517" i="14" s="1"/>
  <c r="Q575" i="14"/>
  <c r="R575" i="14" s="1"/>
  <c r="Q64" i="14"/>
  <c r="R64" i="14" s="1"/>
  <c r="Q130" i="14"/>
  <c r="R130" i="14" s="1"/>
  <c r="Q137" i="14"/>
  <c r="R137" i="14" s="1"/>
  <c r="Q149" i="14"/>
  <c r="R149" i="14" s="1"/>
  <c r="Q293" i="14"/>
  <c r="R293" i="14" s="1"/>
  <c r="Q97" i="14"/>
  <c r="R97" i="14" s="1"/>
  <c r="Q275" i="14"/>
  <c r="R275" i="14" s="1"/>
  <c r="Q315" i="14"/>
  <c r="R315" i="14" s="1"/>
  <c r="Q368" i="14"/>
  <c r="R368" i="14" s="1"/>
  <c r="Q504" i="14"/>
  <c r="R504" i="14" s="1"/>
  <c r="Q8" i="14"/>
  <c r="R8" i="14" s="1"/>
  <c r="Q73" i="14"/>
  <c r="R73" i="14" s="1"/>
  <c r="Q160" i="14"/>
  <c r="R160" i="14" s="1"/>
  <c r="Q230" i="14"/>
  <c r="R230" i="14" s="1"/>
  <c r="Q408" i="14"/>
  <c r="R408" i="14" s="1"/>
  <c r="Q557" i="14"/>
  <c r="R557" i="14" s="1"/>
  <c r="Q49" i="14"/>
  <c r="R49" i="14" s="1"/>
  <c r="Q10" i="14"/>
  <c r="R10" i="14" s="1"/>
  <c r="Q113" i="14"/>
  <c r="R113" i="14" s="1"/>
  <c r="Q270" i="14"/>
  <c r="R270" i="14" s="1"/>
  <c r="Q288" i="14"/>
  <c r="R288" i="14" s="1"/>
  <c r="Q82" i="14"/>
  <c r="R82" i="14" s="1"/>
  <c r="Q155" i="14"/>
  <c r="R155" i="14" s="1"/>
  <c r="Q180" i="14"/>
  <c r="R180" i="14" s="1"/>
  <c r="Q182" i="14"/>
  <c r="R182" i="14" s="1"/>
  <c r="Q321" i="14"/>
  <c r="R321" i="14" s="1"/>
  <c r="Q2" i="14"/>
  <c r="R2" i="14" s="1"/>
  <c r="Q17" i="14"/>
  <c r="R17" i="14" s="1"/>
  <c r="Q46" i="14"/>
  <c r="R46" i="14" s="1"/>
  <c r="Q53" i="14"/>
  <c r="R53" i="14" s="1"/>
  <c r="Q77" i="14"/>
  <c r="R77" i="14" s="1"/>
  <c r="Q91" i="14"/>
  <c r="R91" i="14" s="1"/>
  <c r="Q191" i="14"/>
  <c r="R191" i="14" s="1"/>
  <c r="Q193" i="14"/>
  <c r="R193" i="14" s="1"/>
  <c r="Q218" i="14"/>
  <c r="R218" i="14" s="1"/>
  <c r="Q220" i="14"/>
  <c r="R220" i="14" s="1"/>
  <c r="Q245" i="14"/>
  <c r="R245" i="14" s="1"/>
  <c r="Q258" i="14"/>
  <c r="R258" i="14" s="1"/>
  <c r="Q278" i="14"/>
  <c r="R278" i="14" s="1"/>
  <c r="Q336" i="14"/>
  <c r="R336" i="14" s="1"/>
  <c r="Q356" i="14"/>
  <c r="R356" i="14" s="1"/>
  <c r="Q526" i="14"/>
  <c r="R526" i="14" s="1"/>
  <c r="Q617" i="14"/>
  <c r="R617" i="14" s="1"/>
  <c r="Q55" i="14"/>
  <c r="R55" i="14" s="1"/>
  <c r="Q320" i="14"/>
  <c r="R320" i="14" s="1"/>
  <c r="Q329" i="14"/>
  <c r="R329" i="14" s="1"/>
  <c r="Q31" i="14"/>
  <c r="R31" i="14" s="1"/>
  <c r="Q128" i="14"/>
  <c r="R128" i="14" s="1"/>
  <c r="Q353" i="14"/>
  <c r="R353" i="14" s="1"/>
  <c r="Q532" i="14"/>
  <c r="R532" i="14" s="1"/>
  <c r="Q50" i="14"/>
  <c r="R50" i="14" s="1"/>
  <c r="Q224" i="14"/>
  <c r="R224" i="14" s="1"/>
  <c r="Q249" i="14"/>
  <c r="R249" i="14" s="1"/>
  <c r="Q335" i="14"/>
  <c r="R335" i="14" s="1"/>
  <c r="Q344" i="14"/>
  <c r="R344" i="14" s="1"/>
  <c r="Q38" i="14"/>
  <c r="R38" i="14" s="1"/>
  <c r="Q154" i="14"/>
  <c r="R154" i="14" s="1"/>
  <c r="Q163" i="14"/>
  <c r="R163" i="14" s="1"/>
  <c r="Q235" i="14"/>
  <c r="R235" i="14" s="1"/>
  <c r="Q85" i="14"/>
  <c r="R85" i="14" s="1"/>
  <c r="Q219" i="14"/>
  <c r="R219" i="14" s="1"/>
  <c r="Q257" i="14"/>
  <c r="R257" i="14" s="1"/>
  <c r="Q442" i="14"/>
  <c r="R442" i="14" s="1"/>
  <c r="Q527" i="14"/>
  <c r="R527" i="14" s="1"/>
  <c r="Q632" i="14"/>
  <c r="R632" i="14" s="1"/>
  <c r="Q118" i="14"/>
  <c r="R118" i="14" s="1"/>
  <c r="Q139" i="14"/>
  <c r="R139" i="14" s="1"/>
  <c r="Q146" i="14"/>
  <c r="R146" i="14" s="1"/>
  <c r="Q174" i="14"/>
  <c r="R174" i="14" s="1"/>
  <c r="Q61" i="14"/>
  <c r="R61" i="14" s="1"/>
  <c r="Q92" i="14"/>
  <c r="R92" i="14" s="1"/>
  <c r="Q187" i="14"/>
  <c r="R187" i="14" s="1"/>
  <c r="Q248" i="14"/>
  <c r="R248" i="14" s="1"/>
  <c r="Q330" i="14"/>
  <c r="R330" i="14" s="1"/>
  <c r="Q37" i="14"/>
  <c r="R37" i="14" s="1"/>
  <c r="Q94" i="14"/>
  <c r="R94" i="14" s="1"/>
  <c r="Q101" i="14"/>
  <c r="R101" i="14" s="1"/>
  <c r="Q148" i="14"/>
  <c r="R148" i="14" s="1"/>
  <c r="Q162" i="14"/>
  <c r="R162" i="14" s="1"/>
  <c r="Q354" i="14"/>
  <c r="R354" i="14" s="1"/>
  <c r="Q512" i="14"/>
  <c r="R512" i="14" s="1"/>
  <c r="Q207" i="14"/>
  <c r="R207" i="14" s="1"/>
  <c r="Q29" i="14"/>
  <c r="R29" i="14" s="1"/>
  <c r="Q67" i="14"/>
  <c r="R67" i="14" s="1"/>
  <c r="Q79" i="14"/>
  <c r="R79" i="14" s="1"/>
  <c r="Q112" i="14"/>
  <c r="R112" i="14" s="1"/>
  <c r="Q119" i="14"/>
  <c r="R119" i="14" s="1"/>
  <c r="Q145" i="14"/>
  <c r="R145" i="14" s="1"/>
  <c r="Q202" i="14"/>
  <c r="R202" i="14" s="1"/>
  <c r="Q296" i="14"/>
  <c r="R296" i="14" s="1"/>
  <c r="Q351" i="14"/>
  <c r="R351" i="14" s="1"/>
  <c r="Q409" i="14"/>
  <c r="R409" i="14" s="1"/>
  <c r="Q426" i="14"/>
  <c r="R426" i="14" s="1"/>
  <c r="Q545" i="14"/>
  <c r="R545" i="14" s="1"/>
  <c r="Q115" i="14"/>
  <c r="R115" i="14" s="1"/>
  <c r="Q133" i="14"/>
  <c r="R133" i="14" s="1"/>
  <c r="Q151" i="14"/>
  <c r="R151" i="14" s="1"/>
  <c r="Q176" i="14"/>
  <c r="R176" i="14" s="1"/>
  <c r="Q198" i="14"/>
  <c r="R198" i="14" s="1"/>
  <c r="Q266" i="14"/>
  <c r="R266" i="14" s="1"/>
  <c r="Q311" i="14"/>
  <c r="R311" i="14" s="1"/>
  <c r="Q318" i="14"/>
  <c r="R318" i="14" s="1"/>
  <c r="Q493" i="14"/>
  <c r="R493" i="14" s="1"/>
  <c r="Q508" i="14"/>
  <c r="R508" i="14" s="1"/>
  <c r="Q581" i="14"/>
  <c r="R581" i="14" s="1"/>
  <c r="Q261" i="14"/>
  <c r="R261" i="14" s="1"/>
  <c r="Q360" i="14"/>
  <c r="R360" i="14" s="1"/>
  <c r="Q404" i="14"/>
  <c r="R404" i="14" s="1"/>
  <c r="Q444" i="14"/>
  <c r="R444" i="14" s="1"/>
  <c r="Q495" i="14"/>
  <c r="R495" i="14" s="1"/>
  <c r="Q421" i="14"/>
  <c r="R421" i="14" s="1"/>
  <c r="Q34" i="14"/>
  <c r="R34" i="14" s="1"/>
  <c r="Q52" i="14"/>
  <c r="R52" i="14" s="1"/>
  <c r="Q70" i="14"/>
  <c r="R70" i="14" s="1"/>
  <c r="Q88" i="14"/>
  <c r="R88" i="14" s="1"/>
  <c r="Q106" i="14"/>
  <c r="R106" i="14" s="1"/>
  <c r="Q124" i="14"/>
  <c r="R124" i="14" s="1"/>
  <c r="Q142" i="14"/>
  <c r="R142" i="14" s="1"/>
  <c r="Q165" i="14"/>
  <c r="R165" i="14" s="1"/>
  <c r="Q279" i="14"/>
  <c r="R279" i="14" s="1"/>
  <c r="Q423" i="14"/>
  <c r="R423" i="14" s="1"/>
  <c r="Q481" i="14"/>
  <c r="R481" i="14" s="1"/>
  <c r="Q529" i="14"/>
  <c r="R529" i="14" s="1"/>
  <c r="Q580" i="14"/>
  <c r="R580" i="14" s="1"/>
  <c r="Q598" i="14"/>
  <c r="R598" i="14" s="1"/>
  <c r="Q472" i="14"/>
  <c r="R472" i="14" s="1"/>
  <c r="Q490" i="14"/>
  <c r="R490" i="14" s="1"/>
  <c r="Q432" i="14"/>
  <c r="R432" i="14" s="1"/>
  <c r="Q434" i="14"/>
  <c r="R434" i="14" s="1"/>
  <c r="Q441" i="14"/>
  <c r="R441" i="14" s="1"/>
  <c r="Q503" i="14"/>
  <c r="R503" i="14" s="1"/>
  <c r="Q547" i="14"/>
  <c r="R547" i="14" s="1"/>
  <c r="Q7" i="14"/>
  <c r="R7" i="14" s="1"/>
  <c r="Q184" i="14"/>
  <c r="R184" i="14" s="1"/>
  <c r="Q209" i="14"/>
  <c r="R209" i="14" s="1"/>
  <c r="Q226" i="14"/>
  <c r="R226" i="14" s="1"/>
  <c r="Q246" i="14"/>
  <c r="R246" i="14" s="1"/>
  <c r="Q338" i="14"/>
  <c r="R338" i="14" s="1"/>
  <c r="Q403" i="14"/>
  <c r="R403" i="14" s="1"/>
  <c r="Q405" i="14"/>
  <c r="R405" i="14" s="1"/>
  <c r="Q418" i="14"/>
  <c r="R418" i="14" s="1"/>
  <c r="Q524" i="14"/>
  <c r="R524" i="14" s="1"/>
  <c r="Q542" i="14"/>
  <c r="R542" i="14" s="1"/>
  <c r="Q436" i="14"/>
  <c r="R436" i="14" s="1"/>
  <c r="Q457" i="14"/>
  <c r="R457" i="14" s="1"/>
  <c r="Q480" i="14"/>
  <c r="R480" i="14" s="1"/>
  <c r="Q365" i="14"/>
  <c r="R365" i="14" s="1"/>
  <c r="Q392" i="14"/>
  <c r="R392" i="14" s="1"/>
  <c r="Q475" i="14"/>
  <c r="R475" i="14" s="1"/>
  <c r="Q583" i="14"/>
  <c r="R583" i="14" s="1"/>
  <c r="Q544" i="14"/>
  <c r="R544" i="14" s="1"/>
  <c r="Q565" i="14"/>
  <c r="R565" i="14" s="1"/>
  <c r="Q611" i="14"/>
  <c r="R611" i="14" s="1"/>
  <c r="Q159" i="14"/>
  <c r="R159" i="14" s="1"/>
  <c r="Q170" i="14"/>
  <c r="R170" i="14" s="1"/>
  <c r="Q181" i="14"/>
  <c r="R181" i="14" s="1"/>
  <c r="Q206" i="14"/>
  <c r="R206" i="14" s="1"/>
  <c r="Q217" i="14"/>
  <c r="R217" i="14" s="1"/>
  <c r="Q231" i="14"/>
  <c r="R231" i="14" s="1"/>
  <c r="Q242" i="14"/>
  <c r="R242" i="14" s="1"/>
  <c r="Q276" i="14"/>
  <c r="R276" i="14" s="1"/>
  <c r="Q284" i="14"/>
  <c r="R284" i="14" s="1"/>
  <c r="Q302" i="14"/>
  <c r="R302" i="14" s="1"/>
  <c r="Q332" i="14"/>
  <c r="R332" i="14" s="1"/>
  <c r="Q347" i="14"/>
  <c r="R347" i="14" s="1"/>
  <c r="Q350" i="14"/>
  <c r="R350" i="14" s="1"/>
  <c r="Q378" i="14"/>
  <c r="R378" i="14" s="1"/>
  <c r="Q390" i="14"/>
  <c r="R390" i="14" s="1"/>
  <c r="Q450" i="14"/>
  <c r="R450" i="14" s="1"/>
  <c r="Q459" i="14"/>
  <c r="R459" i="14" s="1"/>
  <c r="Q468" i="14"/>
  <c r="R468" i="14" s="1"/>
  <c r="Q496" i="14"/>
  <c r="R496" i="14" s="1"/>
  <c r="Q498" i="14"/>
  <c r="R498" i="14" s="1"/>
  <c r="Q604" i="14"/>
  <c r="R604" i="14" s="1"/>
  <c r="Q628" i="14"/>
  <c r="R628" i="14" s="1"/>
  <c r="Q156" i="14"/>
  <c r="R156" i="14" s="1"/>
  <c r="Q192" i="14"/>
  <c r="R192" i="14" s="1"/>
  <c r="Q228" i="14"/>
  <c r="R228" i="14" s="1"/>
  <c r="Q263" i="14"/>
  <c r="R263" i="14" s="1"/>
  <c r="Q317" i="14"/>
  <c r="R317" i="14" s="1"/>
  <c r="Q385" i="14"/>
  <c r="R385" i="14" s="1"/>
  <c r="Q406" i="14"/>
  <c r="R406" i="14" s="1"/>
  <c r="Q413" i="14"/>
  <c r="R413" i="14" s="1"/>
  <c r="Q454" i="14"/>
  <c r="R454" i="14" s="1"/>
  <c r="Q477" i="14"/>
  <c r="R477" i="14" s="1"/>
  <c r="Q514" i="14"/>
  <c r="R514" i="14" s="1"/>
  <c r="Q521" i="14"/>
  <c r="R521" i="14" s="1"/>
  <c r="Q562" i="14"/>
  <c r="R562" i="14" s="1"/>
  <c r="Q625" i="14"/>
  <c r="R625" i="14" s="1"/>
  <c r="Q382" i="14"/>
  <c r="R382" i="14" s="1"/>
  <c r="Q387" i="14"/>
  <c r="R387" i="14" s="1"/>
  <c r="Q428" i="14"/>
  <c r="R428" i="14" s="1"/>
  <c r="Q464" i="14"/>
  <c r="R464" i="14" s="1"/>
  <c r="Q500" i="14"/>
  <c r="R500" i="14" s="1"/>
  <c r="Q536" i="14"/>
  <c r="R536" i="14" s="1"/>
  <c r="Q572" i="14"/>
  <c r="R572" i="14" s="1"/>
  <c r="Q608" i="14"/>
  <c r="R608" i="14" s="1"/>
  <c r="Q410" i="14"/>
  <c r="R410" i="14" s="1"/>
  <c r="Q446" i="14"/>
  <c r="R446" i="14" s="1"/>
  <c r="Q482" i="14"/>
  <c r="R482" i="14" s="1"/>
  <c r="Q518" i="14"/>
  <c r="R518" i="14" s="1"/>
  <c r="Q554" i="14"/>
  <c r="R554" i="14" s="1"/>
  <c r="Q590" i="14"/>
  <c r="R590" i="14" s="1"/>
  <c r="Q622" i="14"/>
  <c r="R622" i="14" s="1"/>
  <c r="Q415" i="14"/>
  <c r="R415" i="14" s="1"/>
  <c r="Q433" i="14"/>
  <c r="R433" i="14" s="1"/>
  <c r="Q451" i="14"/>
  <c r="R451" i="14" s="1"/>
  <c r="Q469" i="14"/>
  <c r="R469" i="14" s="1"/>
  <c r="Q487" i="14"/>
  <c r="R487" i="14" s="1"/>
  <c r="Q505" i="14"/>
  <c r="R505" i="14" s="1"/>
  <c r="Q523" i="14"/>
  <c r="R523" i="14" s="1"/>
  <c r="Q541" i="14"/>
  <c r="R541" i="14" s="1"/>
  <c r="Q559" i="14"/>
  <c r="R559" i="14" s="1"/>
  <c r="Q577" i="14"/>
  <c r="R577" i="14" s="1"/>
  <c r="Q595" i="14"/>
  <c r="R595" i="14" s="1"/>
  <c r="Q619" i="14"/>
  <c r="R619" i="14" s="1"/>
  <c r="W633" i="11"/>
  <c r="V633" i="1"/>
  <c r="E31" i="25"/>
  <c r="E11" i="25"/>
  <c r="E44" i="25"/>
  <c r="E34" i="25"/>
  <c r="E40" i="25"/>
  <c r="E49" i="25"/>
  <c r="E5" i="25"/>
  <c r="D64" i="25"/>
  <c r="D88" i="25"/>
  <c r="D95" i="25"/>
  <c r="D108" i="25"/>
  <c r="D96" i="25"/>
  <c r="H15" i="15"/>
  <c r="H5" i="15"/>
  <c r="H19" i="15"/>
  <c r="H8" i="15"/>
  <c r="D90" i="25"/>
  <c r="E32" i="25"/>
  <c r="D82" i="25"/>
  <c r="H4" i="13"/>
  <c r="E19" i="25"/>
  <c r="E33" i="25"/>
  <c r="E43" i="25"/>
  <c r="E14" i="25"/>
  <c r="E37" i="25"/>
  <c r="E30" i="25"/>
  <c r="E12" i="25"/>
  <c r="D85" i="25"/>
  <c r="D91" i="25"/>
  <c r="D98" i="25"/>
  <c r="D104" i="25"/>
  <c r="E26" i="25"/>
  <c r="H20" i="15"/>
  <c r="D94" i="25"/>
  <c r="D65" i="25"/>
  <c r="D109" i="25"/>
  <c r="E10" i="25"/>
  <c r="D102" i="25"/>
  <c r="D78" i="25"/>
  <c r="E52" i="25"/>
  <c r="D67" i="25"/>
  <c r="D60" i="25"/>
  <c r="D92" i="25"/>
  <c r="D70" i="25"/>
  <c r="D66" i="25"/>
  <c r="G5" i="13"/>
  <c r="H12" i="15"/>
  <c r="D97" i="25"/>
  <c r="D74" i="25"/>
  <c r="D107" i="25"/>
  <c r="D84" i="25"/>
  <c r="D106" i="25"/>
  <c r="D103" i="25"/>
  <c r="D86" i="25"/>
  <c r="D71" i="25"/>
  <c r="D68" i="25"/>
  <c r="E18" i="25"/>
  <c r="E54" i="25"/>
  <c r="E48" i="25"/>
  <c r="E13" i="25"/>
  <c r="H17" i="15"/>
  <c r="H9" i="15"/>
  <c r="H18" i="15"/>
  <c r="E45" i="25"/>
  <c r="E22" i="25"/>
  <c r="E6" i="25"/>
  <c r="E7" i="25"/>
  <c r="E41" i="25"/>
  <c r="H13" i="15"/>
  <c r="D69" i="25"/>
  <c r="D101" i="25"/>
  <c r="D81" i="25"/>
  <c r="D80" i="25"/>
  <c r="D75" i="25"/>
  <c r="D77" i="25"/>
  <c r="D72" i="25"/>
  <c r="D73" i="25"/>
  <c r="E35" i="25"/>
  <c r="E29" i="25"/>
  <c r="E39" i="25"/>
  <c r="E20" i="25"/>
  <c r="E17" i="25"/>
  <c r="H7" i="15"/>
  <c r="H14" i="15"/>
  <c r="D99" i="25"/>
  <c r="E25" i="25"/>
  <c r="D62" i="25"/>
  <c r="E23" i="25"/>
  <c r="D89" i="25"/>
  <c r="D63" i="25"/>
  <c r="D105" i="25"/>
  <c r="D79" i="25"/>
  <c r="E24" i="25"/>
  <c r="E27" i="25"/>
  <c r="H16" i="15"/>
  <c r="D87" i="25"/>
  <c r="D100" i="25"/>
  <c r="D83" i="25"/>
  <c r="H11" i="15"/>
  <c r="E16" i="25"/>
  <c r="E42" i="25"/>
  <c r="E8" i="25"/>
  <c r="E50" i="25"/>
  <c r="E46" i="25"/>
  <c r="E53" i="25"/>
  <c r="E51" i="25"/>
  <c r="E9" i="25"/>
  <c r="E15" i="25"/>
  <c r="E36" i="25"/>
  <c r="E47" i="25"/>
  <c r="E28" i="25"/>
  <c r="H6" i="15"/>
  <c r="H10" i="15"/>
  <c r="D61" i="25"/>
  <c r="H4" i="15"/>
  <c r="J7" i="32" l="1"/>
  <c r="I8" i="32"/>
  <c r="J8" i="32" s="1"/>
  <c r="I4" i="13"/>
  <c r="H5" i="13"/>
  <c r="G6" i="13"/>
  <c r="I5" i="13" l="1"/>
  <c r="H6" i="13"/>
  <c r="G7" i="13"/>
  <c r="I6" i="13" l="1"/>
  <c r="H7" i="13"/>
  <c r="G8" i="13"/>
  <c r="I7" i="13" l="1"/>
  <c r="H8" i="13"/>
  <c r="G9" i="13"/>
  <c r="I8" i="13" l="1"/>
  <c r="H9" i="13"/>
  <c r="G10" i="13"/>
  <c r="I9" i="13" l="1"/>
  <c r="G11" i="13"/>
  <c r="H10" i="13"/>
  <c r="I10" i="1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<sst xmlns="http://schemas.openxmlformats.org/spreadsheetml/2006/main" count="47299" uniqueCount="1524">
  <si>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</si>
  <si>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</si>
  <si>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</si>
  <si>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</si>
  <si>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</si>
  <si>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</si>
  <si>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</si>
  <si>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</si>
  <si>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</si>
  <si>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</si>
  <si>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</si>
  <si>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</si>
  <si>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</si>
  <si>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</si>
  <si>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</si>
  <si>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</si>
  <si>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Africa</t>
  </si>
  <si>
    <t>Kenya</t>
  </si>
  <si>
    <t>Kisumu</t>
  </si>
  <si>
    <t>Corporate</t>
  </si>
  <si>
    <t>Retail</t>
  </si>
  <si>
    <t>C. Otieno</t>
  </si>
  <si>
    <t>Components</t>
  </si>
  <si>
    <t>CMP-8270</t>
  </si>
  <si>
    <t>ORD-2024-358795</t>
  </si>
  <si>
    <t>Nigeria</t>
  </si>
  <si>
    <t>Port Harcourt</t>
  </si>
  <si>
    <t>Education</t>
  </si>
  <si>
    <t>Online</t>
  </si>
  <si>
    <t>J. Njeri</t>
  </si>
  <si>
    <t>Printers</t>
  </si>
  <si>
    <t>PRN-9322</t>
  </si>
  <si>
    <t>ORD-2023-373538</t>
  </si>
  <si>
    <t>Nairobi</t>
  </si>
  <si>
    <t>I. Johnson</t>
  </si>
  <si>
    <t>Networking</t>
  </si>
  <si>
    <t>NET-9666</t>
  </si>
  <si>
    <t>ORD-2025-168148</t>
  </si>
  <si>
    <t>Lagos</t>
  </si>
  <si>
    <t>Non-Profit</t>
  </si>
  <si>
    <t>Marketplace</t>
  </si>
  <si>
    <t>G. Dubois</t>
  </si>
  <si>
    <t>Phones</t>
  </si>
  <si>
    <t>PHN-4556</t>
  </si>
  <si>
    <t>ORD-2023-824839</t>
  </si>
  <si>
    <t>Asia</t>
  </si>
  <si>
    <t>Japan</t>
  </si>
  <si>
    <t>Osaka</t>
  </si>
  <si>
    <t>Consumer</t>
  </si>
  <si>
    <t>L. Okafor</t>
  </si>
  <si>
    <t>PRN-8041</t>
  </si>
  <si>
    <t>ORD-2023-723587</t>
  </si>
  <si>
    <t>Americas</t>
  </si>
  <si>
    <t>Canada</t>
  </si>
  <si>
    <t>Toronto</t>
  </si>
  <si>
    <t>Distributor</t>
  </si>
  <si>
    <t>B. Chen</t>
  </si>
  <si>
    <t>Laptops</t>
  </si>
  <si>
    <t>LAP-8555</t>
  </si>
  <si>
    <t>ORD-2024-336584</t>
  </si>
  <si>
    <t>India</t>
  </si>
  <si>
    <t>Bengaluru</t>
  </si>
  <si>
    <t>Small Business</t>
  </si>
  <si>
    <t>E. Garcia</t>
  </si>
  <si>
    <t>Monitors</t>
  </si>
  <si>
    <t>MON-8629</t>
  </si>
  <si>
    <t>ORD-2023-112666</t>
  </si>
  <si>
    <t>Abuja</t>
  </si>
  <si>
    <t>O. Wang</t>
  </si>
  <si>
    <t>PRN-6276</t>
  </si>
  <si>
    <t>ORD-2024-589570</t>
  </si>
  <si>
    <t>MON-6892</t>
  </si>
  <si>
    <t>ORD-2025-997421</t>
  </si>
  <si>
    <t>Brazil</t>
  </si>
  <si>
    <t>São Paulo</t>
  </si>
  <si>
    <t>A. Patel</t>
  </si>
  <si>
    <t>CMP-3731</t>
  </si>
  <si>
    <t>ORD-2024-210687</t>
  </si>
  <si>
    <t>Europe</t>
  </si>
  <si>
    <t>Germany</t>
  </si>
  <si>
    <t>Berlin</t>
  </si>
  <si>
    <t>Accessories</t>
  </si>
  <si>
    <t>ACC-7938</t>
  </si>
  <si>
    <t>ORD-2025-515515</t>
  </si>
  <si>
    <t>F. Müller</t>
  </si>
  <si>
    <t>PHN-7019</t>
  </si>
  <si>
    <t>ORD-2025-487261</t>
  </si>
  <si>
    <t>Brasília</t>
  </si>
  <si>
    <t>CMP-3693</t>
  </si>
  <si>
    <t>ORD-2024-890180</t>
  </si>
  <si>
    <t>France</t>
  </si>
  <si>
    <t>Marseille</t>
  </si>
  <si>
    <t>H. Kim</t>
  </si>
  <si>
    <t>PRN-8392</t>
  </si>
  <si>
    <t>ORD-2025-840976</t>
  </si>
  <si>
    <t>K. Singh</t>
  </si>
  <si>
    <t>ACC-1663</t>
  </si>
  <si>
    <t>ORD-2023-937291</t>
  </si>
  <si>
    <t>Direct</t>
  </si>
  <si>
    <t>LAP-1698</t>
  </si>
  <si>
    <t>ORD-2024-206081</t>
  </si>
  <si>
    <t>PRN-6791</t>
  </si>
  <si>
    <t>ORD-2025-233883</t>
  </si>
  <si>
    <t>PHN-1197</t>
  </si>
  <si>
    <t>ORD-2025-843974</t>
  </si>
  <si>
    <t>Enterprise</t>
  </si>
  <si>
    <t>ACC-8098</t>
  </si>
  <si>
    <t>ORD-2025-745263</t>
  </si>
  <si>
    <t>United Kingdom</t>
  </si>
  <si>
    <t>Birmingham</t>
  </si>
  <si>
    <t>M. Rossi</t>
  </si>
  <si>
    <t>LAP-3385</t>
  </si>
  <si>
    <t>ORD-2024-798002</t>
  </si>
  <si>
    <t>Mombasa</t>
  </si>
  <si>
    <t>LAP-9815</t>
  </si>
  <si>
    <t>ORD-2023-867836</t>
  </si>
  <si>
    <t>China</t>
  </si>
  <si>
    <t>Shenzhen</t>
  </si>
  <si>
    <t>NET-3255</t>
  </si>
  <si>
    <t>ORD-2025-580047</t>
  </si>
  <si>
    <t>ACC-3961</t>
  </si>
  <si>
    <t>ORD-2024-500109</t>
  </si>
  <si>
    <t>USA</t>
  </si>
  <si>
    <t>Chicago</t>
  </si>
  <si>
    <t>LAP-4987</t>
  </si>
  <si>
    <t>ORD-2023-271836</t>
  </si>
  <si>
    <t>N. Brown</t>
  </si>
  <si>
    <t>CMP-2693</t>
  </si>
  <si>
    <t>ORD-2024-215294</t>
  </si>
  <si>
    <t>ACC-8683</t>
  </si>
  <si>
    <t>ORD-2024-788105</t>
  </si>
  <si>
    <t>PRN-4170</t>
  </si>
  <si>
    <t>ORD-2024-855073</t>
  </si>
  <si>
    <t>PHN-6854</t>
  </si>
  <si>
    <t>ORD-2023-897079</t>
  </si>
  <si>
    <t>Nakuru</t>
  </si>
  <si>
    <t>PHN-1784</t>
  </si>
  <si>
    <t>ORD-2025-548982</t>
  </si>
  <si>
    <t>Lyon</t>
  </si>
  <si>
    <t>NET-9716</t>
  </si>
  <si>
    <t>ORD-2024-170313</t>
  </si>
  <si>
    <t>Delhi</t>
  </si>
  <si>
    <t>CMP-6919</t>
  </si>
  <si>
    <t>ORD-2023-562894</t>
  </si>
  <si>
    <t>Montreal</t>
  </si>
  <si>
    <t>D. Smith</t>
  </si>
  <si>
    <t>PHN-4854</t>
  </si>
  <si>
    <t>ORD-2025-474710</t>
  </si>
  <si>
    <t>South Africa</t>
  </si>
  <si>
    <t>Johannesburg</t>
  </si>
  <si>
    <t>NET-7966</t>
  </si>
  <si>
    <t>ORD-2024-629525</t>
  </si>
  <si>
    <t>London</t>
  </si>
  <si>
    <t>LAP-9932</t>
  </si>
  <si>
    <t>ORD-2024-167215</t>
  </si>
  <si>
    <t>CMP-1559</t>
  </si>
  <si>
    <t>ORD-2023-864121</t>
  </si>
  <si>
    <t>PRN-4506</t>
  </si>
  <si>
    <t>ORD-2024-692673</t>
  </si>
  <si>
    <t>Munich</t>
  </si>
  <si>
    <t>CMP-7617</t>
  </si>
  <si>
    <t>ORD-2025-718992</t>
  </si>
  <si>
    <t>Shanghai</t>
  </si>
  <si>
    <t>CMP-8390</t>
  </si>
  <si>
    <t>ORD-2024-599522</t>
  </si>
  <si>
    <t>PRN-7303</t>
  </si>
  <si>
    <t>ORD-2023-651638</t>
  </si>
  <si>
    <t>San Francisco</t>
  </si>
  <si>
    <t>PRN-6536</t>
  </si>
  <si>
    <t>ORD-2024-635626</t>
  </si>
  <si>
    <t>MON-9967</t>
  </si>
  <si>
    <t>ORD-2024-296582</t>
  </si>
  <si>
    <t>Durban</t>
  </si>
  <si>
    <t>NET-1412</t>
  </si>
  <si>
    <t>ORD-2024-998320</t>
  </si>
  <si>
    <t>PRN-3143</t>
  </si>
  <si>
    <t>ORD-2025-820255</t>
  </si>
  <si>
    <t>PRN-9787</t>
  </si>
  <si>
    <t>ORD-2024-389336</t>
  </si>
  <si>
    <t>Vancouver</t>
  </si>
  <si>
    <t>CMP-5946</t>
  </si>
  <si>
    <t>ORD-2023-308124</t>
  </si>
  <si>
    <t>NET-2062</t>
  </si>
  <si>
    <t>ORD-2023-128295</t>
  </si>
  <si>
    <t>PRN-2542</t>
  </si>
  <si>
    <t>ORD-2024-548345</t>
  </si>
  <si>
    <t>NET-2365</t>
  </si>
  <si>
    <t>ORD-2024-966651</t>
  </si>
  <si>
    <t>NET-5268</t>
  </si>
  <si>
    <t>ORD-2023-292714</t>
  </si>
  <si>
    <t>PRN-1504</t>
  </si>
  <si>
    <t>ORD-2024-468501</t>
  </si>
  <si>
    <t>ACC-6348</t>
  </si>
  <si>
    <t>ORD-2024-260775</t>
  </si>
  <si>
    <t>MON-4330</t>
  </si>
  <si>
    <t>ORD-2023-419187</t>
  </si>
  <si>
    <t>LAP-7819</t>
  </si>
  <si>
    <t>ORD-2025-578007</t>
  </si>
  <si>
    <t>LAP-3779</t>
  </si>
  <si>
    <t>ORD-2023-235230</t>
  </si>
  <si>
    <t>NET-9989</t>
  </si>
  <si>
    <t>ORD-2025-765220</t>
  </si>
  <si>
    <t>MON-4925</t>
  </si>
  <si>
    <t>ORD-2025-931538</t>
  </si>
  <si>
    <t>LAP-6989</t>
  </si>
  <si>
    <t>ORD-2024-289089</t>
  </si>
  <si>
    <t>ACC-5780</t>
  </si>
  <si>
    <t>ORD-2025-639542</t>
  </si>
  <si>
    <t>ACC-1770</t>
  </si>
  <si>
    <t>ORD-2025-762301</t>
  </si>
  <si>
    <t>ACC-2252</t>
  </si>
  <si>
    <t>ORD-2024-906395</t>
  </si>
  <si>
    <t>CMP-8002</t>
  </si>
  <si>
    <t>ORD-2025-779574</t>
  </si>
  <si>
    <t>Tokyo</t>
  </si>
  <si>
    <t>CMP-6971</t>
  </si>
  <si>
    <t>ORD-2025-526650</t>
  </si>
  <si>
    <t>Paris</t>
  </si>
  <si>
    <t>PHN-8350</t>
  </si>
  <si>
    <t>ORD-2024-247979</t>
  </si>
  <si>
    <t>Mumbai</t>
  </si>
  <si>
    <t>MON-5188</t>
  </si>
  <si>
    <t>ORD-2023-480975</t>
  </si>
  <si>
    <t>LAP-3393</t>
  </si>
  <si>
    <t>ORD-2023-239789</t>
  </si>
  <si>
    <t>Rio de Janeiro</t>
  </si>
  <si>
    <t>PHN-4644</t>
  </si>
  <si>
    <t>ORD-2023-548874</t>
  </si>
  <si>
    <t>Manchester</t>
  </si>
  <si>
    <t>ACC-9150</t>
  </si>
  <si>
    <t>ORD-2024-347736</t>
  </si>
  <si>
    <t>Nagoya</t>
  </si>
  <si>
    <t>MON-6870</t>
  </si>
  <si>
    <t>ORD-2023-749324</t>
  </si>
  <si>
    <t>MON-2296</t>
  </si>
  <si>
    <t>ORD-2023-809913</t>
  </si>
  <si>
    <t>CMP-7371</t>
  </si>
  <si>
    <t>ORD-2024-287210</t>
  </si>
  <si>
    <t>ACC-2761</t>
  </si>
  <si>
    <t>ORD-2025-640677</t>
  </si>
  <si>
    <t>LAP-4517</t>
  </si>
  <si>
    <t>ORD-2024-939873</t>
  </si>
  <si>
    <t>LAP-8489</t>
  </si>
  <si>
    <t>ORD-2024-800947</t>
  </si>
  <si>
    <t>NET-1846</t>
  </si>
  <si>
    <t>ORD-2023-382272</t>
  </si>
  <si>
    <t>CMP-5208</t>
  </si>
  <si>
    <t>ORD-2023-722117</t>
  </si>
  <si>
    <t>CMP-1009</t>
  </si>
  <si>
    <t>ORD-2024-446699</t>
  </si>
  <si>
    <t>ACC-4490</t>
  </si>
  <si>
    <t>ORD-2024-451005</t>
  </si>
  <si>
    <t>ACC-9162</t>
  </si>
  <si>
    <t>ORD-2023-290279</t>
  </si>
  <si>
    <t>CMP-5820</t>
  </si>
  <si>
    <t>ORD-2024-192263</t>
  </si>
  <si>
    <t>MON-7943</t>
  </si>
  <si>
    <t>ORD-2023-159379</t>
  </si>
  <si>
    <t>Cape Town</t>
  </si>
  <si>
    <t>NET-5018</t>
  </si>
  <si>
    <t>ORD-2023-343322</t>
  </si>
  <si>
    <t>PRN-9669</t>
  </si>
  <si>
    <t>ORD-2025-114382</t>
  </si>
  <si>
    <t>CMP-2865</t>
  </si>
  <si>
    <t>ORD-2025-488349</t>
  </si>
  <si>
    <t>MON-3371</t>
  </si>
  <si>
    <t>ORD-2025-330203</t>
  </si>
  <si>
    <t>NET-7166</t>
  </si>
  <si>
    <t>ORD-2023-841426</t>
  </si>
  <si>
    <t>CMP-4531</t>
  </si>
  <si>
    <t>ORD-2024-594592</t>
  </si>
  <si>
    <t>CMP-8196</t>
  </si>
  <si>
    <t>ORD-2025-863978</t>
  </si>
  <si>
    <t>CMP-2854</t>
  </si>
  <si>
    <t>ORD-2024-604471</t>
  </si>
  <si>
    <t>MON-8973</t>
  </si>
  <si>
    <t>ORD-2023-258768</t>
  </si>
  <si>
    <t>MON-2990</t>
  </si>
  <si>
    <t>ORD-2025-626047</t>
  </si>
  <si>
    <t>NET-1966</t>
  </si>
  <si>
    <t>ORD-2025-526752</t>
  </si>
  <si>
    <t>Hyderabad</t>
  </si>
  <si>
    <t>PHN-3482</t>
  </si>
  <si>
    <t>ORD-2023-374486</t>
  </si>
  <si>
    <t>PRN-6490</t>
  </si>
  <si>
    <t>ORD-2024-997336</t>
  </si>
  <si>
    <t>ACC-9038</t>
  </si>
  <si>
    <t>ORD-2025-725646</t>
  </si>
  <si>
    <t>PHN-6954</t>
  </si>
  <si>
    <t>ORD-2023-868734</t>
  </si>
  <si>
    <t>PRN-8970</t>
  </si>
  <si>
    <t>ORD-2025-262491</t>
  </si>
  <si>
    <t>MON-1822</t>
  </si>
  <si>
    <t>ORD-2024-638884</t>
  </si>
  <si>
    <t>ACC-5177</t>
  </si>
  <si>
    <t>ORD-2025-541501</t>
  </si>
  <si>
    <t>NET-1804</t>
  </si>
  <si>
    <t>ORD-2023-422918</t>
  </si>
  <si>
    <t>LAP-3679</t>
  </si>
  <si>
    <t>ORD-2025-328504</t>
  </si>
  <si>
    <t>PHN-8368</t>
  </si>
  <si>
    <t>ORD-2024-851883</t>
  </si>
  <si>
    <t>CMP-8141</t>
  </si>
  <si>
    <t>ORD-2025-662997</t>
  </si>
  <si>
    <t>LAP-7136</t>
  </si>
  <si>
    <t>ORD-2024-478165</t>
  </si>
  <si>
    <t>ACC-2386</t>
  </si>
  <si>
    <t>ORD-2024-771210</t>
  </si>
  <si>
    <t>LAP-5150</t>
  </si>
  <si>
    <t>ORD-2024-155337</t>
  </si>
  <si>
    <t>CMP-8101</t>
  </si>
  <si>
    <t>ORD-2023-251563</t>
  </si>
  <si>
    <t>PHN-8970</t>
  </si>
  <si>
    <t>ORD-2024-286833</t>
  </si>
  <si>
    <t>PHN-2341</t>
  </si>
  <si>
    <t>ORD-2024-792558</t>
  </si>
  <si>
    <t>NET-6387</t>
  </si>
  <si>
    <t>ORD-2024-166150</t>
  </si>
  <si>
    <t>ACC-9820</t>
  </si>
  <si>
    <t>ORD-2024-909942</t>
  </si>
  <si>
    <t>CMP-6392</t>
  </si>
  <si>
    <t>ORD-2024-223618</t>
  </si>
  <si>
    <t>LAP-9230</t>
  </si>
  <si>
    <t>ORD-2024-919471</t>
  </si>
  <si>
    <t>NET-4241</t>
  </si>
  <si>
    <t>ORD-2025-649239</t>
  </si>
  <si>
    <t>Austin</t>
  </si>
  <si>
    <t>ACC-4511</t>
  </si>
  <si>
    <t>ORD-2023-975863</t>
  </si>
  <si>
    <t>NET-3033</t>
  </si>
  <si>
    <t>ORD-2023-869884</t>
  </si>
  <si>
    <t>MON-2828</t>
  </si>
  <si>
    <t>ORD-2025-698069</t>
  </si>
  <si>
    <t>PRN-6429</t>
  </si>
  <si>
    <t>ORD-2024-474999</t>
  </si>
  <si>
    <t>Frankfurt</t>
  </si>
  <si>
    <t>LAP-8214</t>
  </si>
  <si>
    <t>ORD-2023-427304</t>
  </si>
  <si>
    <t>Beijing</t>
  </si>
  <si>
    <t>MON-9194</t>
  </si>
  <si>
    <t>ORD-2025-956101</t>
  </si>
  <si>
    <t>LAP-2218</t>
  </si>
  <si>
    <t>ORD-2025-184082</t>
  </si>
  <si>
    <t>NET-6370</t>
  </si>
  <si>
    <t>ORD-2023-576840</t>
  </si>
  <si>
    <t>MON-3745</t>
  </si>
  <si>
    <t>ORD-2023-178249</t>
  </si>
  <si>
    <t>PHN-7924</t>
  </si>
  <si>
    <t>ORD-2024-588972</t>
  </si>
  <si>
    <t>NET-8561</t>
  </si>
  <si>
    <t>ORD-2023-603238</t>
  </si>
  <si>
    <t>CMP-2136</t>
  </si>
  <si>
    <t>ORD-2023-883066</t>
  </si>
  <si>
    <t>CMP-6352</t>
  </si>
  <si>
    <t>ORD-2024-584090</t>
  </si>
  <si>
    <t>CMP-2040</t>
  </si>
  <si>
    <t>ORD-2025-537785</t>
  </si>
  <si>
    <t>CMP-6346</t>
  </si>
  <si>
    <t>ORD-2024-605518</t>
  </si>
  <si>
    <t>PHN-4356</t>
  </si>
  <si>
    <t>ORD-2023-521818</t>
  </si>
  <si>
    <t>NET-4155</t>
  </si>
  <si>
    <t>ORD-2025-650719</t>
  </si>
  <si>
    <t>MON-5179</t>
  </si>
  <si>
    <t>ORD-2025-501927</t>
  </si>
  <si>
    <t>ACC-4056</t>
  </si>
  <si>
    <t>ORD-2023-430904</t>
  </si>
  <si>
    <t>LAP-9782</t>
  </si>
  <si>
    <t>ORD-2025-354346</t>
  </si>
  <si>
    <t>PHN-2875</t>
  </si>
  <si>
    <t>ORD-2024-164288</t>
  </si>
  <si>
    <t>PRN-4788</t>
  </si>
  <si>
    <t>ORD-2023-867285</t>
  </si>
  <si>
    <t>MON-3043</t>
  </si>
  <si>
    <t>ORD-2024-836421</t>
  </si>
  <si>
    <t>CMP-3720</t>
  </si>
  <si>
    <t>ORD-2023-613287</t>
  </si>
  <si>
    <t>PHN-8014</t>
  </si>
  <si>
    <t>ORD-2024-783321</t>
  </si>
  <si>
    <t>PRN-4911</t>
  </si>
  <si>
    <t>ORD-2024-232632</t>
  </si>
  <si>
    <t>ACC-1021</t>
  </si>
  <si>
    <t>ORD-2023-906481</t>
  </si>
  <si>
    <t>MON-2266</t>
  </si>
  <si>
    <t>ORD-2024-902741</t>
  </si>
  <si>
    <t>PHN-8057</t>
  </si>
  <si>
    <t>ORD-2023-912395</t>
  </si>
  <si>
    <t>New York</t>
  </si>
  <si>
    <t>ACC-7078</t>
  </si>
  <si>
    <t>ORD-2024-389102</t>
  </si>
  <si>
    <t>PRN-4453</t>
  </si>
  <si>
    <t>ORD-2023-309373</t>
  </si>
  <si>
    <t>NET-2394</t>
  </si>
  <si>
    <t>ORD-2023-825495</t>
  </si>
  <si>
    <t>LAP-1525</t>
  </si>
  <si>
    <t>ORD-2025-244832</t>
  </si>
  <si>
    <t>LAP-3278</t>
  </si>
  <si>
    <t>ORD-2024-211453</t>
  </si>
  <si>
    <t>ACC-6543</t>
  </si>
  <si>
    <t>ORD-2023-192324</t>
  </si>
  <si>
    <t>PRN-4432</t>
  </si>
  <si>
    <t>ORD-2024-438404</t>
  </si>
  <si>
    <t>PHN-4568</t>
  </si>
  <si>
    <t>ORD-2025-246470</t>
  </si>
  <si>
    <t>PRN-6178</t>
  </si>
  <si>
    <t>ORD-2023-497686</t>
  </si>
  <si>
    <t>LAP-6342</t>
  </si>
  <si>
    <t>ORD-2023-596758</t>
  </si>
  <si>
    <t>PRN-8175</t>
  </si>
  <si>
    <t>ORD-2024-201376</t>
  </si>
  <si>
    <t>PRN-7089</t>
  </si>
  <si>
    <t>ORD-2023-842488</t>
  </si>
  <si>
    <t>ACC-4124</t>
  </si>
  <si>
    <t>ORD-2024-136321</t>
  </si>
  <si>
    <t>NET-7924</t>
  </si>
  <si>
    <t>ORD-2024-764468</t>
  </si>
  <si>
    <t>NET-8761</t>
  </si>
  <si>
    <t>ORD-2024-553449</t>
  </si>
  <si>
    <t>CMP-3875</t>
  </si>
  <si>
    <t>ORD-2025-766923</t>
  </si>
  <si>
    <t>ACC-3989</t>
  </si>
  <si>
    <t>ORD-2025-418232</t>
  </si>
  <si>
    <t>PHN-9234</t>
  </si>
  <si>
    <t>ORD-2023-848013</t>
  </si>
  <si>
    <t>MON-9906</t>
  </si>
  <si>
    <t>ORD-2024-357368</t>
  </si>
  <si>
    <t>CMP-4610</t>
  </si>
  <si>
    <t>ORD-2024-219735</t>
  </si>
  <si>
    <t>PHN-5445</t>
  </si>
  <si>
    <t>ORD-2023-240507</t>
  </si>
  <si>
    <t>MON-9227</t>
  </si>
  <si>
    <t>ORD-2024-134084</t>
  </si>
  <si>
    <t>PRN-4097</t>
  </si>
  <si>
    <t>ORD-2023-884625</t>
  </si>
  <si>
    <t>MON-6699</t>
  </si>
  <si>
    <t>ORD-2023-157993</t>
  </si>
  <si>
    <t>LAP-1482</t>
  </si>
  <si>
    <t>ORD-2024-329104</t>
  </si>
  <si>
    <t>MON-2100</t>
  </si>
  <si>
    <t>ORD-2023-304451</t>
  </si>
  <si>
    <t>MON-7602</t>
  </si>
  <si>
    <t>ORD-2024-942981</t>
  </si>
  <si>
    <t>CMP-1072</t>
  </si>
  <si>
    <t>ORD-2024-605629</t>
  </si>
  <si>
    <t>ACC-2735</t>
  </si>
  <si>
    <t>ORD-2023-450877</t>
  </si>
  <si>
    <t>CMP-5211</t>
  </si>
  <si>
    <t>ORD-2023-286994</t>
  </si>
  <si>
    <t>CMP-1632</t>
  </si>
  <si>
    <t>ORD-2025-700847</t>
  </si>
  <si>
    <t>LAP-7099</t>
  </si>
  <si>
    <t>ORD-2024-970848</t>
  </si>
  <si>
    <t>PRN-3785</t>
  </si>
  <si>
    <t>ORD-2025-845715</t>
  </si>
  <si>
    <t>MON-6962</t>
  </si>
  <si>
    <t>ORD-2023-664749</t>
  </si>
  <si>
    <t>PRN-5107</t>
  </si>
  <si>
    <t>ORD-2024-960952</t>
  </si>
  <si>
    <t>CMP-9264</t>
  </si>
  <si>
    <t>ORD-2023-987700</t>
  </si>
  <si>
    <t>MON-5259</t>
  </si>
  <si>
    <t>ORD-2025-652467</t>
  </si>
  <si>
    <t>PRN-8137</t>
  </si>
  <si>
    <t>ORD-2025-667201</t>
  </si>
  <si>
    <t>ACC-6777</t>
  </si>
  <si>
    <t>ORD-2024-237478</t>
  </si>
  <si>
    <t>PHN-7488</t>
  </si>
  <si>
    <t>ORD-2025-898843</t>
  </si>
  <si>
    <t>ACC-9591</t>
  </si>
  <si>
    <t>ORD-2023-334213</t>
  </si>
  <si>
    <t>MON-5517</t>
  </si>
  <si>
    <t>ORD-2024-640340</t>
  </si>
  <si>
    <t>MON-8758</t>
  </si>
  <si>
    <t>ORD-2023-399631</t>
  </si>
  <si>
    <t>ACC-3385</t>
  </si>
  <si>
    <t>ORD-2025-542939</t>
  </si>
  <si>
    <t>MON-1593</t>
  </si>
  <si>
    <t>ACC-4631</t>
  </si>
  <si>
    <t>ORD-2023-825836</t>
  </si>
  <si>
    <t>MON-7869</t>
  </si>
  <si>
    <t>ORD-2024-503082</t>
  </si>
  <si>
    <t>MON-4271</t>
  </si>
  <si>
    <t>ORD-2024-760799</t>
  </si>
  <si>
    <t>LAP-5531</t>
  </si>
  <si>
    <t>ORD-2023-197661</t>
  </si>
  <si>
    <t>MON-7511</t>
  </si>
  <si>
    <t>ORD-2024-212990</t>
  </si>
  <si>
    <t>LAP-7979</t>
  </si>
  <si>
    <t>ORD-2023-925146</t>
  </si>
  <si>
    <t>PRN-4983</t>
  </si>
  <si>
    <t>ORD-2023-177794</t>
  </si>
  <si>
    <t>NET-5941</t>
  </si>
  <si>
    <t>ORD-2024-444710</t>
  </si>
  <si>
    <t>MON-6341</t>
  </si>
  <si>
    <t>ORD-2024-668926</t>
  </si>
  <si>
    <t>PHN-9789</t>
  </si>
  <si>
    <t>ORD-2024-968374</t>
  </si>
  <si>
    <t>PHN-5082</t>
  </si>
  <si>
    <t>ORD-2023-575584</t>
  </si>
  <si>
    <t>NET-3460</t>
  </si>
  <si>
    <t>ORD-2023-701153</t>
  </si>
  <si>
    <t>PRN-7019</t>
  </si>
  <si>
    <t>ORD-2023-382017</t>
  </si>
  <si>
    <t>PHN-3159</t>
  </si>
  <si>
    <t>ORD-2024-999607</t>
  </si>
  <si>
    <t>PRN-8604</t>
  </si>
  <si>
    <t>ORD-2023-133848</t>
  </si>
  <si>
    <t>PHN-2013</t>
  </si>
  <si>
    <t>ORD-2023-586275</t>
  </si>
  <si>
    <t>NET-6036</t>
  </si>
  <si>
    <t>ORD-2025-964661</t>
  </si>
  <si>
    <t>MON-4959</t>
  </si>
  <si>
    <t>ORD-2023-390998</t>
  </si>
  <si>
    <t>MON-1663</t>
  </si>
  <si>
    <t>ORD-2023-920483</t>
  </si>
  <si>
    <t>CMP-7256</t>
  </si>
  <si>
    <t>ORD-2025-146850</t>
  </si>
  <si>
    <t>ACC-1659</t>
  </si>
  <si>
    <t>ORD-2024-687100</t>
  </si>
  <si>
    <t>PRN-6068</t>
  </si>
  <si>
    <t>ORD-2025-629393</t>
  </si>
  <si>
    <t>ACC-8999</t>
  </si>
  <si>
    <t>ORD-2024-686712</t>
  </si>
  <si>
    <t>CMP-3978</t>
  </si>
  <si>
    <t>ORD-2025-586799</t>
  </si>
  <si>
    <t>MON-7868</t>
  </si>
  <si>
    <t>ORD-2024-988736</t>
  </si>
  <si>
    <t>PRN-3014</t>
  </si>
  <si>
    <t>ORD-2025-564184</t>
  </si>
  <si>
    <t>PHN-1671</t>
  </si>
  <si>
    <t>ORD-2023-653343</t>
  </si>
  <si>
    <t>ACC-5260</t>
  </si>
  <si>
    <t>ORD-2024-197852</t>
  </si>
  <si>
    <t>NET-7588</t>
  </si>
  <si>
    <t>ORD-2023-431328</t>
  </si>
  <si>
    <t>MON-1572</t>
  </si>
  <si>
    <t>ORD-2023-613317</t>
  </si>
  <si>
    <t>MON-2537</t>
  </si>
  <si>
    <t>ORD-2024-720756</t>
  </si>
  <si>
    <t>PRN-5666</t>
  </si>
  <si>
    <t>ORD-2024-777623</t>
  </si>
  <si>
    <t>PRN-2749</t>
  </si>
  <si>
    <t>ORD-2025-762212</t>
  </si>
  <si>
    <t>CMP-4970</t>
  </si>
  <si>
    <t>ORD-2023-271918</t>
  </si>
  <si>
    <t>ACC-3551</t>
  </si>
  <si>
    <t>ORD-2023-713375</t>
  </si>
  <si>
    <t>CMP-7063</t>
  </si>
  <si>
    <t>ORD-2025-678688</t>
  </si>
  <si>
    <t>NET-1612</t>
  </si>
  <si>
    <t>ORD-2023-501220</t>
  </si>
  <si>
    <t>LAP-9766</t>
  </si>
  <si>
    <t>ORD-2023-195665</t>
  </si>
  <si>
    <t>PHN-7274</t>
  </si>
  <si>
    <t>ORD-2023-290237</t>
  </si>
  <si>
    <t>NET-1645</t>
  </si>
  <si>
    <t>ORD-2023-302041</t>
  </si>
  <si>
    <t>ACC-5079</t>
  </si>
  <si>
    <t>ORD-2025-289139</t>
  </si>
  <si>
    <t>PRN-2098</t>
  </si>
  <si>
    <t>ORD-2023-949710</t>
  </si>
  <si>
    <t>PRN-7049</t>
  </si>
  <si>
    <t>ORD-2023-603650</t>
  </si>
  <si>
    <t>CMP-6925</t>
  </si>
  <si>
    <t>ORD-2025-757957</t>
  </si>
  <si>
    <t>PHN-2787</t>
  </si>
  <si>
    <t>ORD-2024-423853</t>
  </si>
  <si>
    <t>PRN-1141</t>
  </si>
  <si>
    <t>ORD-2024-569164</t>
  </si>
  <si>
    <t>MON-5249</t>
  </si>
  <si>
    <t>ORD-2023-946143</t>
  </si>
  <si>
    <t>CMP-8230</t>
  </si>
  <si>
    <t>ORD-2024-281211</t>
  </si>
  <si>
    <t>PRN-7816</t>
  </si>
  <si>
    <t>ORD-2024-805860</t>
  </si>
  <si>
    <t>PHN-8804</t>
  </si>
  <si>
    <t>ORD-2025-132174</t>
  </si>
  <si>
    <t>CMP-8851</t>
  </si>
  <si>
    <t>ORD-2023-964434</t>
  </si>
  <si>
    <t>PHN-2447</t>
  </si>
  <si>
    <t>ORD-2024-897622</t>
  </si>
  <si>
    <t>LAP-2846</t>
  </si>
  <si>
    <t>ORD-2023-517216</t>
  </si>
  <si>
    <t>PRN-5005</t>
  </si>
  <si>
    <t>ORD-2025-509940</t>
  </si>
  <si>
    <t>PHN-3800</t>
  </si>
  <si>
    <t>ORD-2025-646342</t>
  </si>
  <si>
    <t>LAP-4828</t>
  </si>
  <si>
    <t>ORD-2024-866535</t>
  </si>
  <si>
    <t>PRN-5492</t>
  </si>
  <si>
    <t>ORD-2023-747341</t>
  </si>
  <si>
    <t>PHN-7132</t>
  </si>
  <si>
    <t>ORD-2024-853298</t>
  </si>
  <si>
    <t>PHN-4741</t>
  </si>
  <si>
    <t>ORD-2024-544865</t>
  </si>
  <si>
    <t>LAP-2774</t>
  </si>
  <si>
    <t>ORD-2025-946490</t>
  </si>
  <si>
    <t>MON-2842</t>
  </si>
  <si>
    <t>ORD-2024-320972</t>
  </si>
  <si>
    <t>NET-2628</t>
  </si>
  <si>
    <t>ORD-2025-248586</t>
  </si>
  <si>
    <t>MON-2998</t>
  </si>
  <si>
    <t>ORD-2024-664046</t>
  </si>
  <si>
    <t>CMP-7563</t>
  </si>
  <si>
    <t>ORD-2023-276806</t>
  </si>
  <si>
    <t>LAP-6160</t>
  </si>
  <si>
    <t>ORD-2024-220234</t>
  </si>
  <si>
    <t>MON-4361</t>
  </si>
  <si>
    <t>ORD-2024-301260</t>
  </si>
  <si>
    <t>PRN-2829</t>
  </si>
  <si>
    <t>ORD-2024-350100</t>
  </si>
  <si>
    <t>MON-8939</t>
  </si>
  <si>
    <t>ORD-2024-855600</t>
  </si>
  <si>
    <t>LAP-5009</t>
  </si>
  <si>
    <t>ORD-2023-474313</t>
  </si>
  <si>
    <t>CMP-4807</t>
  </si>
  <si>
    <t>ORD-2023-256951</t>
  </si>
  <si>
    <t>NET-2439</t>
  </si>
  <si>
    <t>ORD-2025-184754</t>
  </si>
  <si>
    <t>MON-7626</t>
  </si>
  <si>
    <t>ORD-2023-888140</t>
  </si>
  <si>
    <t>ACC-3567</t>
  </si>
  <si>
    <t>ORD-2023-638181</t>
  </si>
  <si>
    <t>CMP-4630</t>
  </si>
  <si>
    <t>ORD-2023-521280</t>
  </si>
  <si>
    <t>ACC-1882</t>
  </si>
  <si>
    <t>ORD-2023-630430</t>
  </si>
  <si>
    <t>NET-9125</t>
  </si>
  <si>
    <t>ORD-2025-908258</t>
  </si>
  <si>
    <t>PHN-3819</t>
  </si>
  <si>
    <t>ORD-2025-440093</t>
  </si>
  <si>
    <t>LAP-3490</t>
  </si>
  <si>
    <t>ORD-2025-898022</t>
  </si>
  <si>
    <t>PRN-1276</t>
  </si>
  <si>
    <t>ORD-2024-500511</t>
  </si>
  <si>
    <t>MON-9733</t>
  </si>
  <si>
    <t>ORD-2023-632893</t>
  </si>
  <si>
    <t>CMP-9392</t>
  </si>
  <si>
    <t>ORD-2023-967239</t>
  </si>
  <si>
    <t>PHN-3014</t>
  </si>
  <si>
    <t>ORD-2024-885858</t>
  </si>
  <si>
    <t>PRN-6776</t>
  </si>
  <si>
    <t>ORD-2023-253245</t>
  </si>
  <si>
    <t>ACC-3951</t>
  </si>
  <si>
    <t>ORD-2025-484073</t>
  </si>
  <si>
    <t>MON-1436</t>
  </si>
  <si>
    <t>ORD-2024-745822</t>
  </si>
  <si>
    <t>MON-8651</t>
  </si>
  <si>
    <t>ORD-2023-369160</t>
  </si>
  <si>
    <t>MON-3307</t>
  </si>
  <si>
    <t>ORD-2024-834983</t>
  </si>
  <si>
    <t>PRN-8758</t>
  </si>
  <si>
    <t>ORD-2024-499009</t>
  </si>
  <si>
    <t>LAP-7056</t>
  </si>
  <si>
    <t>ORD-2024-948800</t>
  </si>
  <si>
    <t>NET-5523</t>
  </si>
  <si>
    <t>ORD-2025-678328</t>
  </si>
  <si>
    <t>ACC-8094</t>
  </si>
  <si>
    <t>ORD-2024-580808</t>
  </si>
  <si>
    <t>PHN-6832</t>
  </si>
  <si>
    <t>ORD-2023-211715</t>
  </si>
  <si>
    <t>LAP-2378</t>
  </si>
  <si>
    <t>ORD-2023-715175</t>
  </si>
  <si>
    <t>MON-5424</t>
  </si>
  <si>
    <t>ORD-2025-685236</t>
  </si>
  <si>
    <t>NET-8430</t>
  </si>
  <si>
    <t>ORD-2023-274037</t>
  </si>
  <si>
    <t>PHN-1234</t>
  </si>
  <si>
    <t>ORD-2025-983096</t>
  </si>
  <si>
    <t>LAP-9016</t>
  </si>
  <si>
    <t>ORD-2024-366010</t>
  </si>
  <si>
    <t>LAP-9931</t>
  </si>
  <si>
    <t>ORD-2023-610470</t>
  </si>
  <si>
    <t>PHN-6818</t>
  </si>
  <si>
    <t>ORD-2025-541048</t>
  </si>
  <si>
    <t>PHN-3803</t>
  </si>
  <si>
    <t>ORD-2024-862371</t>
  </si>
  <si>
    <t>NET-9835</t>
  </si>
  <si>
    <t>ORD-2024-277241</t>
  </si>
  <si>
    <t>ACC-6223</t>
  </si>
  <si>
    <t>ORD-2023-369150</t>
  </si>
  <si>
    <t>CMP-8659</t>
  </si>
  <si>
    <t>ORD-2025-922513</t>
  </si>
  <si>
    <t>ACC-4483</t>
  </si>
  <si>
    <t>ORD-2025-752845</t>
  </si>
  <si>
    <t>PRN-8763</t>
  </si>
  <si>
    <t>ORD-2023-667815</t>
  </si>
  <si>
    <t>ACC-8557</t>
  </si>
  <si>
    <t>ORD-2023-375011</t>
  </si>
  <si>
    <t>ACC-1492</t>
  </si>
  <si>
    <t>ORD-2025-487025</t>
  </si>
  <si>
    <t>CMP-3743</t>
  </si>
  <si>
    <t>ORD-2025-398335</t>
  </si>
  <si>
    <t>LAP-1619</t>
  </si>
  <si>
    <t>ORD-2024-792137</t>
  </si>
  <si>
    <t>PRN-7976</t>
  </si>
  <si>
    <t>ORD-2023-602648</t>
  </si>
  <si>
    <t>MON-4326</t>
  </si>
  <si>
    <t>ORD-2024-207096</t>
  </si>
  <si>
    <t>MON-5444</t>
  </si>
  <si>
    <t>ORD-2025-939953</t>
  </si>
  <si>
    <t>ACC-5422</t>
  </si>
  <si>
    <t>ORD-2025-191328</t>
  </si>
  <si>
    <t>CMP-9307</t>
  </si>
  <si>
    <t>ORD-2023-166668</t>
  </si>
  <si>
    <t>PRN-6520</t>
  </si>
  <si>
    <t>ORD-2023-594700</t>
  </si>
  <si>
    <t>NET-1699</t>
  </si>
  <si>
    <t>ORD-2025-278048</t>
  </si>
  <si>
    <t>PHN-5316</t>
  </si>
  <si>
    <t>ORD-2024-878493</t>
  </si>
  <si>
    <t>LAP-4607</t>
  </si>
  <si>
    <t>ORD-2025-138578</t>
  </si>
  <si>
    <t>MON-5276</t>
  </si>
  <si>
    <t>ORD-2025-944081</t>
  </si>
  <si>
    <t>ACC-9533</t>
  </si>
  <si>
    <t>ORD-2025-364852</t>
  </si>
  <si>
    <t>NET-3749</t>
  </si>
  <si>
    <t>ORD-2025-415018</t>
  </si>
  <si>
    <t>PRN-2991</t>
  </si>
  <si>
    <t>ORD-2023-884192</t>
  </si>
  <si>
    <t>LAP-4551</t>
  </si>
  <si>
    <t>ORD-2024-165942</t>
  </si>
  <si>
    <t>MON-6310</t>
  </si>
  <si>
    <t>ORD-2024-403664</t>
  </si>
  <si>
    <t>NET-1166</t>
  </si>
  <si>
    <t>ORD-2023-890605</t>
  </si>
  <si>
    <t>ACC-2903</t>
  </si>
  <si>
    <t>ORD-2024-925626</t>
  </si>
  <si>
    <t>PRN-2293</t>
  </si>
  <si>
    <t>ORD-2024-427031</t>
  </si>
  <si>
    <t>MON-1389</t>
  </si>
  <si>
    <t>ORD-2025-231184</t>
  </si>
  <si>
    <t>CMP-4093</t>
  </si>
  <si>
    <t>ORD-2023-363031</t>
  </si>
  <si>
    <t>PHN-6131</t>
  </si>
  <si>
    <t>ORD-2023-619570</t>
  </si>
  <si>
    <t>NET-4104</t>
  </si>
  <si>
    <t>ORD-2025-861401</t>
  </si>
  <si>
    <t>MON-9319</t>
  </si>
  <si>
    <t>ORD-2023-835010</t>
  </si>
  <si>
    <t>ACC-2988</t>
  </si>
  <si>
    <t>ORD-2024-819979</t>
  </si>
  <si>
    <t>PHN-9399</t>
  </si>
  <si>
    <t>ORD-2024-719055</t>
  </si>
  <si>
    <t>NET-4554</t>
  </si>
  <si>
    <t>ORD-2023-888245</t>
  </si>
  <si>
    <t>NET-5195</t>
  </si>
  <si>
    <t>ORD-2024-206121</t>
  </si>
  <si>
    <t>CMP-9801</t>
  </si>
  <si>
    <t>ORD-2024-500890</t>
  </si>
  <si>
    <t>CMP-3093</t>
  </si>
  <si>
    <t>ORD-2023-144816</t>
  </si>
  <si>
    <t>ACC-2364</t>
  </si>
  <si>
    <t>ORD-2024-153053</t>
  </si>
  <si>
    <t>CMP-5138</t>
  </si>
  <si>
    <t>ORD-2023-536542</t>
  </si>
  <si>
    <t>PHN-2337</t>
  </si>
  <si>
    <t>ORD-2025-779530</t>
  </si>
  <si>
    <t>MON-2993</t>
  </si>
  <si>
    <t>ORD-2023-163610</t>
  </si>
  <si>
    <t>LAP-9024</t>
  </si>
  <si>
    <t>ORD-2025-653781</t>
  </si>
  <si>
    <t>PHN-6307</t>
  </si>
  <si>
    <t>ORD-2025-737787</t>
  </si>
  <si>
    <t>NET-9003</t>
  </si>
  <si>
    <t>ORD-2023-944052</t>
  </si>
  <si>
    <t>ACC-3068</t>
  </si>
  <si>
    <t>ORD-2023-181257</t>
  </si>
  <si>
    <t>ACC-1060</t>
  </si>
  <si>
    <t>ORD-2025-323492</t>
  </si>
  <si>
    <t>PHN-3854</t>
  </si>
  <si>
    <t>ORD-2024-332076</t>
  </si>
  <si>
    <t>PRN-1086</t>
  </si>
  <si>
    <t>ORD-2024-571797</t>
  </si>
  <si>
    <t>PHN-7815</t>
  </si>
  <si>
    <t>ORD-2024-129345</t>
  </si>
  <si>
    <t>PRN-5384</t>
  </si>
  <si>
    <t>ORD-2023-660608</t>
  </si>
  <si>
    <t>ACC-8178</t>
  </si>
  <si>
    <t>ORD-2023-825084</t>
  </si>
  <si>
    <t>MON-1018</t>
  </si>
  <si>
    <t>ORD-2023-261081</t>
  </si>
  <si>
    <t>ACC-1238</t>
  </si>
  <si>
    <t>ORD-2023-766015</t>
  </si>
  <si>
    <t>NET-1816</t>
  </si>
  <si>
    <t>ORD-2024-333192</t>
  </si>
  <si>
    <t>PRN-4893</t>
  </si>
  <si>
    <t>ORD-2024-647473</t>
  </si>
  <si>
    <t>PHN-1717</t>
  </si>
  <si>
    <t>ORD-2024-892908</t>
  </si>
  <si>
    <t>NET-9575</t>
  </si>
  <si>
    <t>ORD-2023-573146</t>
  </si>
  <si>
    <t>LAP-3604</t>
  </si>
  <si>
    <t>ORD-2024-901115</t>
  </si>
  <si>
    <t>ACC-6626</t>
  </si>
  <si>
    <t>ORD-2023-898009</t>
  </si>
  <si>
    <t>PHN-1670</t>
  </si>
  <si>
    <t>ORD-2023-208944</t>
  </si>
  <si>
    <t>CMP-4792</t>
  </si>
  <si>
    <t>ORD-2025-480172</t>
  </si>
  <si>
    <t>LAP-1990</t>
  </si>
  <si>
    <t>ORD-2023-735274</t>
  </si>
  <si>
    <t>PRN-7410</t>
  </si>
  <si>
    <t>ORD-2023-212701</t>
  </si>
  <si>
    <t>MON-4278</t>
  </si>
  <si>
    <t>ORD-2023-479747</t>
  </si>
  <si>
    <t>ACC-5334</t>
  </si>
  <si>
    <t>ORD-2024-915495</t>
  </si>
  <si>
    <t>NET-8957</t>
  </si>
  <si>
    <t>ORD-2024-225829</t>
  </si>
  <si>
    <t>PRN-9960</t>
  </si>
  <si>
    <t>ORD-2024-921935</t>
  </si>
  <si>
    <t>ACC-3103</t>
  </si>
  <si>
    <t>ORD-2025-949776</t>
  </si>
  <si>
    <t>PRN-9490</t>
  </si>
  <si>
    <t>ORD-2024-510591</t>
  </si>
  <si>
    <t>NET-3850</t>
  </si>
  <si>
    <t>ORD-2024-961756</t>
  </si>
  <si>
    <t>ACC-7047</t>
  </si>
  <si>
    <t>ORD-2024-892173</t>
  </si>
  <si>
    <t>PRN-6660</t>
  </si>
  <si>
    <t>ORD-2024-704056</t>
  </si>
  <si>
    <t>ACC-7838</t>
  </si>
  <si>
    <t>ORD-2025-591006</t>
  </si>
  <si>
    <t>PHN-5383</t>
  </si>
  <si>
    <t>ORD-2023-159821</t>
  </si>
  <si>
    <t>LAP-3904</t>
  </si>
  <si>
    <t>ORD-2024-343877</t>
  </si>
  <si>
    <t>MON-5749</t>
  </si>
  <si>
    <t>ORD-2023-386663</t>
  </si>
  <si>
    <t>PRN-3690</t>
  </si>
  <si>
    <t>ORD-2025-125517</t>
  </si>
  <si>
    <t>CMP-7055</t>
  </si>
  <si>
    <t>ORD-2024-819778</t>
  </si>
  <si>
    <t>PHN-6866</t>
  </si>
  <si>
    <t>ORD-2025-624006</t>
  </si>
  <si>
    <t>CMP-3259</t>
  </si>
  <si>
    <t>ORD-2023-132101</t>
  </si>
  <si>
    <t>LAP-6750</t>
  </si>
  <si>
    <t>ORD-2025-306903</t>
  </si>
  <si>
    <t>PRN-3775</t>
  </si>
  <si>
    <t>ORD-2023-813340</t>
  </si>
  <si>
    <t>LAP-2942</t>
  </si>
  <si>
    <t>ORD-2023-855675</t>
  </si>
  <si>
    <t>PHN-2036</t>
  </si>
  <si>
    <t>ORD-2023-545150</t>
  </si>
  <si>
    <t>MON-4373</t>
  </si>
  <si>
    <t>ORD-2025-269934</t>
  </si>
  <si>
    <t>PRN-8657</t>
  </si>
  <si>
    <t>ORD-2024-690270</t>
  </si>
  <si>
    <t>PHN-7974</t>
  </si>
  <si>
    <t>ORD-2024-868223</t>
  </si>
  <si>
    <t>PHN-4915</t>
  </si>
  <si>
    <t>ORD-2025-188059</t>
  </si>
  <si>
    <t>NET-3535</t>
  </si>
  <si>
    <t>ORD-2023-281890</t>
  </si>
  <si>
    <t>CMP-2574</t>
  </si>
  <si>
    <t>ORD-2025-636162</t>
  </si>
  <si>
    <t>NET-7901</t>
  </si>
  <si>
    <t>ORD-2025-915869</t>
  </si>
  <si>
    <t>NET-5482</t>
  </si>
  <si>
    <t>ORD-2025-192876</t>
  </si>
  <si>
    <t>ORD-2025-822030</t>
  </si>
  <si>
    <t>NET-1336</t>
  </si>
  <si>
    <t>ORD-2025-789245</t>
  </si>
  <si>
    <t>PRN-5876</t>
  </si>
  <si>
    <t>ORD-2023-594955</t>
  </si>
  <si>
    <t>NET-3828</t>
  </si>
  <si>
    <t>ORD-2024-398783</t>
  </si>
  <si>
    <t>MON-7622</t>
  </si>
  <si>
    <t>ORD-2023-676553</t>
  </si>
  <si>
    <t>LAP-2806</t>
  </si>
  <si>
    <t>ORD-2025-866565</t>
  </si>
  <si>
    <t>PRN-8850</t>
  </si>
  <si>
    <t>ORD-2024-527858</t>
  </si>
  <si>
    <t>LAP-9100</t>
  </si>
  <si>
    <t>ORD-2023-619385</t>
  </si>
  <si>
    <t>LAP-5763</t>
  </si>
  <si>
    <t>ORD-2023-835226</t>
  </si>
  <si>
    <t>LAP-7320</t>
  </si>
  <si>
    <t>ORD-2025-485946</t>
  </si>
  <si>
    <t>MON-5891</t>
  </si>
  <si>
    <t>ORD-2024-307849</t>
  </si>
  <si>
    <t>PRN-1183</t>
  </si>
  <si>
    <t>ORD-2023-368449</t>
  </si>
  <si>
    <t>CMP-2096</t>
  </si>
  <si>
    <t>ORD-2024-251426</t>
  </si>
  <si>
    <t>PHN-3398</t>
  </si>
  <si>
    <t>ORD-2023-927385</t>
  </si>
  <si>
    <t>CMP-8545</t>
  </si>
  <si>
    <t>ORD-2025-486350</t>
  </si>
  <si>
    <t>ACC-1249</t>
  </si>
  <si>
    <t>ORD-2025-677880</t>
  </si>
  <si>
    <t>MON-9662</t>
  </si>
  <si>
    <t>ORD-2024-102866</t>
  </si>
  <si>
    <t>LAP-8347</t>
  </si>
  <si>
    <t>ORD-2025-588029</t>
  </si>
  <si>
    <t>CMP-6898</t>
  </si>
  <si>
    <t>ORD-2024-972999</t>
  </si>
  <si>
    <t>MON-3504</t>
  </si>
  <si>
    <t>ORD-2025-608069</t>
  </si>
  <si>
    <t>NET-3432</t>
  </si>
  <si>
    <t>ORD-2024-626750</t>
  </si>
  <si>
    <t>PRN-5591</t>
  </si>
  <si>
    <t>ORD-2024-170021</t>
  </si>
  <si>
    <t>CMP-2015</t>
  </si>
  <si>
    <t>ORD-2024-678110</t>
  </si>
  <si>
    <t>LAP-9901</t>
  </si>
  <si>
    <t>ORD-2025-909340</t>
  </si>
  <si>
    <t>CMP-8658</t>
  </si>
  <si>
    <t>ORD-2023-854471</t>
  </si>
  <si>
    <t>MON-2073</t>
  </si>
  <si>
    <t>ORD-2024-390951</t>
  </si>
  <si>
    <t>PRN-9378</t>
  </si>
  <si>
    <t>ORD-2025-881624</t>
  </si>
  <si>
    <t>PHN-5887</t>
  </si>
  <si>
    <t>ORD-2025-512310</t>
  </si>
  <si>
    <t>LAP-8119</t>
  </si>
  <si>
    <t>ORD-2023-674887</t>
  </si>
  <si>
    <t>ACC-9644</t>
  </si>
  <si>
    <t>ORD-2024-542244</t>
  </si>
  <si>
    <t>LAP-7009</t>
  </si>
  <si>
    <t>ORD-2024-375848</t>
  </si>
  <si>
    <t>PRN-1725</t>
  </si>
  <si>
    <t>ORD-2023-933238</t>
  </si>
  <si>
    <t>PHN-8483</t>
  </si>
  <si>
    <t>ORD-2023-732585</t>
  </si>
  <si>
    <t>PHN-3971</t>
  </si>
  <si>
    <t>ORD-2024-465898</t>
  </si>
  <si>
    <t>NET-6578</t>
  </si>
  <si>
    <t>ORD-2023-987081</t>
  </si>
  <si>
    <t>PRN-9975</t>
  </si>
  <si>
    <t>ORD-2024-655710</t>
  </si>
  <si>
    <t>ACC-1075</t>
  </si>
  <si>
    <t>ORD-2025-411385</t>
  </si>
  <si>
    <t>ACC-2902</t>
  </si>
  <si>
    <t>ORD-2025-222035</t>
  </si>
  <si>
    <t>PRN-5815</t>
  </si>
  <si>
    <t>ORD-2024-749242</t>
  </si>
  <si>
    <t>MON-4195</t>
  </si>
  <si>
    <t>ORD-2023-623293</t>
  </si>
  <si>
    <t>PHN-8478</t>
  </si>
  <si>
    <t>ORD-2025-276968</t>
  </si>
  <si>
    <t>PHN-1044</t>
  </si>
  <si>
    <t>ORD-2025-650841</t>
  </si>
  <si>
    <t>LAP-8910</t>
  </si>
  <si>
    <t>ORD-2025-831576</t>
  </si>
  <si>
    <t>PHN-2859</t>
  </si>
  <si>
    <t>ORD-2024-468655</t>
  </si>
  <si>
    <t>PRN-6308</t>
  </si>
  <si>
    <t>ORD-2024-515105</t>
  </si>
  <si>
    <t>LAP-8469</t>
  </si>
  <si>
    <t>ORD-2025-803803</t>
  </si>
  <si>
    <t>LAP-7553</t>
  </si>
  <si>
    <t>ORD-2024-993481</t>
  </si>
  <si>
    <t>PHN-3077</t>
  </si>
  <si>
    <t>ORD-2024-811752</t>
  </si>
  <si>
    <t>MON-3350</t>
  </si>
  <si>
    <t>ORD-2025-673091</t>
  </si>
  <si>
    <t>PHN-5683</t>
  </si>
  <si>
    <t>ORD-2024-381197</t>
  </si>
  <si>
    <t>PRN-2409</t>
  </si>
  <si>
    <t>ORD-2024-651852</t>
  </si>
  <si>
    <t>LAP-8825</t>
  </si>
  <si>
    <t>ORD-2023-659070</t>
  </si>
  <si>
    <t>MON-8697</t>
  </si>
  <si>
    <t>ORD-2024-837651</t>
  </si>
  <si>
    <t>MON-4789</t>
  </si>
  <si>
    <t>ORD-2024-581530</t>
  </si>
  <si>
    <t>NET-7998</t>
  </si>
  <si>
    <t>ORD-2023-378104</t>
  </si>
  <si>
    <t>PHN-8891</t>
  </si>
  <si>
    <t>ORD-2024-972318</t>
  </si>
  <si>
    <t>NET-9832</t>
  </si>
  <si>
    <t>ORD-2023-752962</t>
  </si>
  <si>
    <t>CMP-8604</t>
  </si>
  <si>
    <t>ORD-2023-808024</t>
  </si>
  <si>
    <t>ACC-6594</t>
  </si>
  <si>
    <t>ORD-2023-156396</t>
  </si>
  <si>
    <t>NET-2499</t>
  </si>
  <si>
    <t>ORD-2023-184577</t>
  </si>
  <si>
    <t>PRN-1923</t>
  </si>
  <si>
    <t>ORD-2024-446030</t>
  </si>
  <si>
    <t>PHN-4346</t>
  </si>
  <si>
    <t>ORD-2023-842820</t>
  </si>
  <si>
    <t>ACC-1375</t>
  </si>
  <si>
    <t>ORD-2024-745424</t>
  </si>
  <si>
    <t>PRN-4892</t>
  </si>
  <si>
    <t>ORD-2024-510520</t>
  </si>
  <si>
    <t>PRN-9557</t>
  </si>
  <si>
    <t>ORD-2023-769774</t>
  </si>
  <si>
    <t>PRN-8008</t>
  </si>
  <si>
    <t>ORD-2023-580751</t>
  </si>
  <si>
    <t>LAP-1946</t>
  </si>
  <si>
    <t>ORD-2025-473192</t>
  </si>
  <si>
    <t>MON-7106</t>
  </si>
  <si>
    <t>ORD-2024-886939</t>
  </si>
  <si>
    <t>MON-5386</t>
  </si>
  <si>
    <t>ORD-2024-566589</t>
  </si>
  <si>
    <t>PHN-2436</t>
  </si>
  <si>
    <t>ORD-2023-109927</t>
  </si>
  <si>
    <t>PRN-2301</t>
  </si>
  <si>
    <t>ORD-2023-780206</t>
  </si>
  <si>
    <t>ACC-3645</t>
  </si>
  <si>
    <t>ORD-2024-851993</t>
  </si>
  <si>
    <t>CMP-6811</t>
  </si>
  <si>
    <t>ORD-2025-417942</t>
  </si>
  <si>
    <t>PHN-5675</t>
  </si>
  <si>
    <t>ORD-2023-172095</t>
  </si>
  <si>
    <t>MON-6882</t>
  </si>
  <si>
    <t>ORD-2024-257550</t>
  </si>
  <si>
    <t>ACC-8620</t>
  </si>
  <si>
    <t>ORD-2023-581799</t>
  </si>
  <si>
    <t>PHN-6506</t>
  </si>
  <si>
    <t>ORD-2023-880296</t>
  </si>
  <si>
    <t>MON-5086</t>
  </si>
  <si>
    <t>ORD-2023-191563</t>
  </si>
  <si>
    <t>LAP-4899</t>
  </si>
  <si>
    <t>ORD-2024-202166</t>
  </si>
  <si>
    <t>CMP-3313</t>
  </si>
  <si>
    <t>ORD-2023-539967</t>
  </si>
  <si>
    <t>CMP-6649</t>
  </si>
  <si>
    <t>ORD-2023-704111</t>
  </si>
  <si>
    <t>ACC-5206</t>
  </si>
  <si>
    <t>ORD-2024-356812</t>
  </si>
  <si>
    <t>PRN-6911</t>
  </si>
  <si>
    <t>ORD-2025-306251</t>
  </si>
  <si>
    <t>NET-5270</t>
  </si>
  <si>
    <t>ORD-2025-496178</t>
  </si>
  <si>
    <t>CMP-5658</t>
  </si>
  <si>
    <t>ORD-2024-508213</t>
  </si>
  <si>
    <t>CMP-3938</t>
  </si>
  <si>
    <t>ORD-2024-787018</t>
  </si>
  <si>
    <t>ACC-7671</t>
  </si>
  <si>
    <t>ORD-2023-728177</t>
  </si>
  <si>
    <t>NET-6014</t>
  </si>
  <si>
    <t>ORD-2025-795385</t>
  </si>
  <si>
    <t>CMP-4159</t>
  </si>
  <si>
    <t>ORD-2025-947929</t>
  </si>
  <si>
    <t>PRN-3159</t>
  </si>
  <si>
    <t>ORD-2023-931633</t>
  </si>
  <si>
    <t>PRN-9488</t>
  </si>
  <si>
    <t>ORD-2023-243704</t>
  </si>
  <si>
    <t>PRN-7079</t>
  </si>
  <si>
    <t>ORD-2025-779659</t>
  </si>
  <si>
    <t>CMP-1220</t>
  </si>
  <si>
    <t>ORD-2024-647571</t>
  </si>
  <si>
    <t>MON-2462</t>
  </si>
  <si>
    <t>ORD-2025-683043</t>
  </si>
  <si>
    <t>PHN-9465</t>
  </si>
  <si>
    <t>ORD-2023-588455</t>
  </si>
  <si>
    <t>PRN-1271</t>
  </si>
  <si>
    <t>ORD-2024-641220</t>
  </si>
  <si>
    <t>LAP-1066</t>
  </si>
  <si>
    <t>ORD-2023-799597</t>
  </si>
  <si>
    <t>CMP-8675</t>
  </si>
  <si>
    <t>ORD-2023-569862</t>
  </si>
  <si>
    <t>LAP-1178</t>
  </si>
  <si>
    <t>ORD-2023-609394</t>
  </si>
  <si>
    <t>ACC-1731</t>
  </si>
  <si>
    <t>ORD-2024-105586</t>
  </si>
  <si>
    <t>NET-1893</t>
  </si>
  <si>
    <t>ORD-2024-207792</t>
  </si>
  <si>
    <t>PRN-3917</t>
  </si>
  <si>
    <t>ORD-2025-417336</t>
  </si>
  <si>
    <t>LAP-3220</t>
  </si>
  <si>
    <t>ORD-2025-252117</t>
  </si>
  <si>
    <t>PHN-2462</t>
  </si>
  <si>
    <t>ORD-2023-867175</t>
  </si>
  <si>
    <t>NET-2894</t>
  </si>
  <si>
    <t>ORD-2024-382152</t>
  </si>
  <si>
    <t>CMP-2335</t>
  </si>
  <si>
    <t>ORD-2023-597666</t>
  </si>
  <si>
    <t>PHN-5938</t>
  </si>
  <si>
    <t>ORD-2024-371409</t>
  </si>
  <si>
    <t>PRN-1371</t>
  </si>
  <si>
    <t>ORD-2024-973420</t>
  </si>
  <si>
    <t>PRN-5813</t>
  </si>
  <si>
    <t>ORD-2025-254721</t>
  </si>
  <si>
    <t>PHN-6480</t>
  </si>
  <si>
    <t>ORD-2024-247032</t>
  </si>
  <si>
    <t>ACC-2990</t>
  </si>
  <si>
    <t>ORD-2024-792353</t>
  </si>
  <si>
    <t>CMP-5435</t>
  </si>
  <si>
    <t>ORD-2025-703623</t>
  </si>
  <si>
    <t>ACC-1596</t>
  </si>
  <si>
    <t>ORD-2024-516704</t>
  </si>
  <si>
    <t>PHN-7852</t>
  </si>
  <si>
    <t>ORD-2024-578646</t>
  </si>
  <si>
    <t>ACC-7240</t>
  </si>
  <si>
    <t>ORD-2024-433936</t>
  </si>
  <si>
    <t>MON-8867</t>
  </si>
  <si>
    <t>ORD-2023-434071</t>
  </si>
  <si>
    <t>NET-1228</t>
  </si>
  <si>
    <t>ORD-2024-728474</t>
  </si>
  <si>
    <t>NET-1145</t>
  </si>
  <si>
    <t>ORD-2023-406606</t>
  </si>
  <si>
    <t>ACC-2867</t>
  </si>
  <si>
    <t>ORD-2025-823055</t>
  </si>
  <si>
    <t>MON-9274</t>
  </si>
  <si>
    <t>ORD-2023-573656</t>
  </si>
  <si>
    <t>MON-4830</t>
  </si>
  <si>
    <t>ORD-2024-567435</t>
  </si>
  <si>
    <t>PHN-9107</t>
  </si>
  <si>
    <t>ORD-2023-744942</t>
  </si>
  <si>
    <t>PRN-1060</t>
  </si>
  <si>
    <t>ORD-2025-331237</t>
  </si>
  <si>
    <t>NET-8329</t>
  </si>
  <si>
    <t>ORD-2025-680118</t>
  </si>
  <si>
    <t>NET-6269</t>
  </si>
  <si>
    <t>ORD-2024-310809</t>
  </si>
  <si>
    <t>CMP-6529</t>
  </si>
  <si>
    <t>ORD-2025-474368</t>
  </si>
  <si>
    <t>PHN-8776</t>
  </si>
  <si>
    <t>ORD-2024-732543</t>
  </si>
  <si>
    <t>NET-3728</t>
  </si>
  <si>
    <t>ORD-2023-867166</t>
  </si>
  <si>
    <t>LAP-3565</t>
  </si>
  <si>
    <t>ORD-2024-776337</t>
  </si>
  <si>
    <t>LAP-5078</t>
  </si>
  <si>
    <t>ORD-2023-913592</t>
  </si>
  <si>
    <t>MON-2465</t>
  </si>
  <si>
    <t>ORD-2024-961501</t>
  </si>
  <si>
    <t>CMP-3223</t>
  </si>
  <si>
    <t>ORD-2024-964950</t>
  </si>
  <si>
    <t>CMP-8127</t>
  </si>
  <si>
    <t>ORD-2023-349264</t>
  </si>
  <si>
    <t>PHN-1924</t>
  </si>
  <si>
    <t>ORD-2025-137394</t>
  </si>
  <si>
    <t>CMP-1156</t>
  </si>
  <si>
    <t>ORD-2025-635337</t>
  </si>
  <si>
    <t>LAP-3905</t>
  </si>
  <si>
    <t>ORD-2023-568013</t>
  </si>
  <si>
    <t>PRN-1786</t>
  </si>
  <si>
    <t>ORD-2025-828263</t>
  </si>
  <si>
    <t>ACC-3349</t>
  </si>
  <si>
    <t>ORD-2024-402240</t>
  </si>
  <si>
    <t>NET-4228</t>
  </si>
  <si>
    <t>ORD-2023-125739</t>
  </si>
  <si>
    <t>CMP-5633</t>
  </si>
  <si>
    <t>ORD-2024-892879</t>
  </si>
  <si>
    <t>CMP-5825</t>
  </si>
  <si>
    <t>ORD-2023-472050</t>
  </si>
  <si>
    <t>LAP-6499</t>
  </si>
  <si>
    <t>ORD-2024-468615</t>
  </si>
  <si>
    <t>ACC-3721</t>
  </si>
  <si>
    <t>ORD-2024-833375</t>
  </si>
  <si>
    <t>MON-6190</t>
  </si>
  <si>
    <t>ORD-2024-206311</t>
  </si>
  <si>
    <t>CMP-2410</t>
  </si>
  <si>
    <t>ORD-2024-364080</t>
  </si>
  <si>
    <t>PRN-2641</t>
  </si>
  <si>
    <t>ORD-2025-460466</t>
  </si>
  <si>
    <t>PRN-1882</t>
  </si>
  <si>
    <t>ORD-2023-700699</t>
  </si>
  <si>
    <t>PRN-1641</t>
  </si>
  <si>
    <t>ORD-2024-713332</t>
  </si>
  <si>
    <t>LAP-1739</t>
  </si>
  <si>
    <t>ORD-2023-640022</t>
  </si>
  <si>
    <t>PRN-4732</t>
  </si>
  <si>
    <t>ORD-2024-532184</t>
  </si>
  <si>
    <t>NET-9569</t>
  </si>
  <si>
    <t>ORD-2025-926547</t>
  </si>
  <si>
    <t>PHN-3007</t>
  </si>
  <si>
    <t>ORD-2025-778145</t>
  </si>
  <si>
    <t>MON-9216</t>
  </si>
  <si>
    <t>ORD-2023-525643</t>
  </si>
  <si>
    <t>PHN-8072</t>
  </si>
  <si>
    <t>ORD-2025-312803</t>
  </si>
  <si>
    <t>LAP-1308</t>
  </si>
  <si>
    <t>ORD-2025-149156</t>
  </si>
  <si>
    <t>LAP-7353</t>
  </si>
  <si>
    <t>ORD-2023-215819</t>
  </si>
  <si>
    <t>NET-6533</t>
  </si>
  <si>
    <t>ORD-2024-353078</t>
  </si>
  <si>
    <t>ORD-2023-621393</t>
  </si>
  <si>
    <t>ACC-9445</t>
  </si>
  <si>
    <t>ORD-2023-974506</t>
  </si>
  <si>
    <t>PRN-1654</t>
  </si>
  <si>
    <t>ORD-2023-811823</t>
  </si>
  <si>
    <t>NET-8787</t>
  </si>
  <si>
    <t>ORD-2023-286720</t>
  </si>
  <si>
    <t>LAP-1989</t>
  </si>
  <si>
    <t>ORD-2024-626925</t>
  </si>
  <si>
    <t>MON-8688</t>
  </si>
  <si>
    <t>ORD-2023-960380</t>
  </si>
  <si>
    <t>ACC-8242</t>
  </si>
  <si>
    <t>ORD-2023-453699</t>
  </si>
  <si>
    <t>LAP-4666</t>
  </si>
  <si>
    <t>ORD-2025-960931</t>
  </si>
  <si>
    <t>NET-5196</t>
  </si>
  <si>
    <t>ORD-2024-419248</t>
  </si>
  <si>
    <t>MON-8422</t>
  </si>
  <si>
    <t>ORD-2023-488227</t>
  </si>
  <si>
    <t>ACC-3415</t>
  </si>
  <si>
    <t>ORD-2023-472078</t>
  </si>
  <si>
    <t>PRN-9624</t>
  </si>
  <si>
    <t>ORD-2024-202877</t>
  </si>
  <si>
    <t>MON-6287</t>
  </si>
  <si>
    <t>ORD-2024-140633</t>
  </si>
  <si>
    <t>NET-4491</t>
  </si>
  <si>
    <t>ORD-2025-419532</t>
  </si>
  <si>
    <t>MON-4317</t>
  </si>
  <si>
    <t>ORD-2023-139236</t>
  </si>
  <si>
    <t>NET-7349</t>
  </si>
  <si>
    <t>ORD-2025-337268</t>
  </si>
  <si>
    <t>ACC-5150</t>
  </si>
  <si>
    <t>ORD-2025-332931</t>
  </si>
  <si>
    <t>ACC-5144</t>
  </si>
  <si>
    <t>ORD-2024-536442</t>
  </si>
  <si>
    <t>PHN-6111</t>
  </si>
  <si>
    <t>ORD-2023-957692</t>
  </si>
  <si>
    <t>ACC-9283</t>
  </si>
  <si>
    <t>ORD-2025-874124</t>
  </si>
  <si>
    <t>PRN-2407</t>
  </si>
  <si>
    <t>ORD-2024-687073</t>
  </si>
  <si>
    <t>MON-7099</t>
  </si>
  <si>
    <t>ORD-2024-555229</t>
  </si>
  <si>
    <t>ACC-7354</t>
  </si>
  <si>
    <t>ORD-2024-872291</t>
  </si>
  <si>
    <t>PRN-6585</t>
  </si>
  <si>
    <t>ORD-2024-250862</t>
  </si>
  <si>
    <t>CMP-9498</t>
  </si>
  <si>
    <t>ORD-2024-331226</t>
  </si>
  <si>
    <t>PHN-1919</t>
  </si>
  <si>
    <t>ORD-2023-356427</t>
  </si>
  <si>
    <t>MON-6053</t>
  </si>
  <si>
    <t>ORD-2025-659650</t>
  </si>
  <si>
    <t>NET-2502</t>
  </si>
  <si>
    <t>ORD-2024-207669</t>
  </si>
  <si>
    <t>LAP-5689</t>
  </si>
  <si>
    <t>ORD-2024-979401</t>
  </si>
  <si>
    <t>CMP-5911</t>
  </si>
  <si>
    <t>ORD-2025-929414</t>
  </si>
  <si>
    <t>LAP-7523</t>
  </si>
  <si>
    <t>ORD-2024-766980</t>
  </si>
  <si>
    <t>MON-1118</t>
  </si>
  <si>
    <t>ORD-2024-437164</t>
  </si>
  <si>
    <t>NET-9177</t>
  </si>
  <si>
    <t>ORD-2025-169093</t>
  </si>
  <si>
    <t>CMP-6495</t>
  </si>
  <si>
    <t>ORD-2023-868460</t>
  </si>
  <si>
    <t>ACC-4587</t>
  </si>
  <si>
    <t>ORD-2025-177994</t>
  </si>
  <si>
    <t>PHN-4395</t>
  </si>
  <si>
    <t>ORD-2024-355095</t>
  </si>
  <si>
    <t>LAP-3581</t>
  </si>
  <si>
    <t>ORD-2023-126505</t>
  </si>
  <si>
    <t>MON-6065</t>
  </si>
  <si>
    <t>ORD-2023-340056</t>
  </si>
  <si>
    <t>CMP-4945</t>
  </si>
  <si>
    <t>ORD-2025-281413</t>
  </si>
  <si>
    <t>NET-3785</t>
  </si>
  <si>
    <t>ORD-2023-713614</t>
  </si>
  <si>
    <t>NET-3689</t>
  </si>
  <si>
    <t>ORD-2023-173313</t>
  </si>
  <si>
    <t>ACC-3833</t>
  </si>
  <si>
    <t>ORD-2024-496601</t>
  </si>
  <si>
    <t>NET-2932</t>
  </si>
  <si>
    <t>ORD-2025-155182</t>
  </si>
  <si>
    <t>PHN-7636</t>
  </si>
  <si>
    <t>ORD-2023-244375</t>
  </si>
  <si>
    <t>CMP-1223</t>
  </si>
  <si>
    <t>ORD-2023-856322</t>
  </si>
  <si>
    <t>MON-7207</t>
  </si>
  <si>
    <t>ORD-2024-594527</t>
  </si>
  <si>
    <t>LAP-4483</t>
  </si>
  <si>
    <t>ORD-2024-689872</t>
  </si>
  <si>
    <t>LAP-1969</t>
  </si>
  <si>
    <t>ORD-2025-246692</t>
  </si>
  <si>
    <t>PHN-4566</t>
  </si>
  <si>
    <t>ORD-2023-378676</t>
  </si>
  <si>
    <t>PHN-5366</t>
  </si>
  <si>
    <t>ORD-2024-243988</t>
  </si>
  <si>
    <t>CMP-9001</t>
  </si>
  <si>
    <t>ORD-2024-572312</t>
  </si>
  <si>
    <t>PHN-9677</t>
  </si>
  <si>
    <t>ORD-2025-281062</t>
  </si>
  <si>
    <t>ACC-1604</t>
  </si>
  <si>
    <t>ORD-2023-727290</t>
  </si>
  <si>
    <t>ACC-4815</t>
  </si>
  <si>
    <t>ORD-2025-993993</t>
  </si>
  <si>
    <t>CMP-5311</t>
  </si>
  <si>
    <t>ORD-2023-619493</t>
  </si>
  <si>
    <t>NET-1282</t>
  </si>
  <si>
    <t>ORD-2024-947056</t>
  </si>
  <si>
    <t>MON-1564</t>
  </si>
  <si>
    <t>ORD-2025-856556</t>
  </si>
  <si>
    <t>ACC-7906</t>
  </si>
  <si>
    <t>ORD-2024-442776</t>
  </si>
  <si>
    <t>LAP-6577</t>
  </si>
  <si>
    <t>ORD-2025-705398</t>
  </si>
  <si>
    <t>CMP-5065</t>
  </si>
  <si>
    <t>ORD-2023-689428</t>
  </si>
  <si>
    <t>PRN-4787</t>
  </si>
  <si>
    <t>ORD-2025-683247</t>
  </si>
  <si>
    <t>PRN-9867</t>
  </si>
  <si>
    <t>ORD-2024-585443</t>
  </si>
  <si>
    <t>MON-2849</t>
  </si>
  <si>
    <t>ORD-2024-907733</t>
  </si>
  <si>
    <t>LAP-8633</t>
  </si>
  <si>
    <t>ORD-2024-550400</t>
  </si>
  <si>
    <t>PRN-9793</t>
  </si>
  <si>
    <t>ORD-2025-189846</t>
  </si>
  <si>
    <t>NET-6218</t>
  </si>
  <si>
    <t>ORD-2025-752192</t>
  </si>
  <si>
    <t>PRN-6131</t>
  </si>
  <si>
    <t>ORD-2023-294716</t>
  </si>
  <si>
    <t>PRN-5067</t>
  </si>
  <si>
    <t>ORD-2023-552115</t>
  </si>
  <si>
    <t>LAP-4932</t>
  </si>
  <si>
    <t>ORD-2023-107265</t>
  </si>
  <si>
    <t>ACC-7713</t>
  </si>
  <si>
    <t>ORD-2025-262434</t>
  </si>
  <si>
    <t>PHN-7379</t>
  </si>
  <si>
    <t>ORD-2024-266562</t>
  </si>
  <si>
    <t>PRN-5569</t>
  </si>
  <si>
    <t>ORD-2024-838925</t>
  </si>
  <si>
    <t>CMP-1470</t>
  </si>
  <si>
    <t>ORD-2023-664790</t>
  </si>
  <si>
    <t>PRN-9249</t>
  </si>
  <si>
    <t>ORD-2024-331408</t>
  </si>
  <si>
    <t>PRN-4906</t>
  </si>
  <si>
    <t>ORD-2024-741404</t>
  </si>
  <si>
    <t>MON-8129</t>
  </si>
  <si>
    <t>ORD-2024-341535</t>
  </si>
  <si>
    <t>NET-5987</t>
  </si>
  <si>
    <t>ORD-2023-451931</t>
  </si>
  <si>
    <t>NET-5423</t>
  </si>
  <si>
    <t>ORD-2025-532859</t>
  </si>
  <si>
    <t>PRN-5264</t>
  </si>
  <si>
    <t>ORD-2023-502205</t>
  </si>
  <si>
    <t>NET-8856</t>
  </si>
  <si>
    <t>ORD-2024-930679</t>
  </si>
  <si>
    <t>MON-4215</t>
  </si>
  <si>
    <t>ORD-2025-150713</t>
  </si>
  <si>
    <t>PRN-5753</t>
  </si>
  <si>
    <t>ORD-2024-756884</t>
  </si>
  <si>
    <t>CMP-5006</t>
  </si>
  <si>
    <t>ORD-2023-755337</t>
  </si>
  <si>
    <t>ACC-4766</t>
  </si>
  <si>
    <t>ORD-2025-907040</t>
  </si>
  <si>
    <t>NET-8610</t>
  </si>
  <si>
    <t>ORD-2024-817997</t>
  </si>
  <si>
    <t>NET-4675</t>
  </si>
  <si>
    <t>ORD-2025-649633</t>
  </si>
  <si>
    <t>ACC-1028</t>
  </si>
  <si>
    <t>ORD-2023-885216</t>
  </si>
  <si>
    <t>NET-4735</t>
  </si>
  <si>
    <t>ORD-2023-561823</t>
  </si>
  <si>
    <t>NET-2460</t>
  </si>
  <si>
    <t>ORD-2023-249805</t>
  </si>
  <si>
    <t>CMP-1555</t>
  </si>
  <si>
    <t>ORD-2023-548934</t>
  </si>
  <si>
    <t>MON-3773</t>
  </si>
  <si>
    <t>ORD-2023-921939</t>
  </si>
  <si>
    <t>PHN-4677</t>
  </si>
  <si>
    <t>ORD-2023-961864</t>
  </si>
  <si>
    <t>CMP-1940</t>
  </si>
  <si>
    <t>ORD-2023-455933</t>
  </si>
  <si>
    <t>PHN-9184</t>
  </si>
  <si>
    <t>ORD-2025-728935</t>
  </si>
  <si>
    <t>LAP-3017</t>
  </si>
  <si>
    <t>Not Provided</t>
  </si>
  <si>
    <t>Leadtime days</t>
  </si>
  <si>
    <t>Gross Revenue</t>
  </si>
  <si>
    <t>Cost of Goods</t>
  </si>
  <si>
    <t>Gross Profit</t>
  </si>
  <si>
    <t>Margin Percentage</t>
  </si>
  <si>
    <t>Quarter</t>
  </si>
  <si>
    <t>Month</t>
  </si>
  <si>
    <t>Region Hierachy</t>
  </si>
  <si>
    <t>Product  Category</t>
  </si>
  <si>
    <t>Derived Price Band</t>
  </si>
  <si>
    <t>Price Band</t>
  </si>
  <si>
    <t>Row Labels</t>
  </si>
  <si>
    <t>Grand Total</t>
  </si>
  <si>
    <t>Jan-2023</t>
  </si>
  <si>
    <t>Feb-2023</t>
  </si>
  <si>
    <t>Mar-2023</t>
  </si>
  <si>
    <t>Apr-2023</t>
  </si>
  <si>
    <t>May-2023</t>
  </si>
  <si>
    <t>Jun-2023</t>
  </si>
  <si>
    <t>Jul-2023</t>
  </si>
  <si>
    <t>Aug-2023</t>
  </si>
  <si>
    <t>Sept-2023</t>
  </si>
  <si>
    <t>Oct-2023</t>
  </si>
  <si>
    <t>Nov-2023</t>
  </si>
  <si>
    <t>Dec-2023</t>
  </si>
  <si>
    <t>Jan-2024</t>
  </si>
  <si>
    <t>Feb-2024</t>
  </si>
  <si>
    <t>Mar-2024</t>
  </si>
  <si>
    <t>Apr-2024</t>
  </si>
  <si>
    <t>May-2024</t>
  </si>
  <si>
    <t>Jun-2024</t>
  </si>
  <si>
    <t>Jul-2024</t>
  </si>
  <si>
    <t>Aug-2024</t>
  </si>
  <si>
    <t>Sept-2024</t>
  </si>
  <si>
    <t>Oct-2024</t>
  </si>
  <si>
    <t>Nov-2024</t>
  </si>
  <si>
    <t>Dec-2024</t>
  </si>
  <si>
    <t>Jan-2025</t>
  </si>
  <si>
    <t>Feb-2025</t>
  </si>
  <si>
    <t>Mar-2025</t>
  </si>
  <si>
    <t>Apr-2025</t>
  </si>
  <si>
    <t>May-2025</t>
  </si>
  <si>
    <t>Jun-2025</t>
  </si>
  <si>
    <t>Jul-2025</t>
  </si>
  <si>
    <t>Aug-2025</t>
  </si>
  <si>
    <t>Sept-2025</t>
  </si>
  <si>
    <t>Column Labels</t>
  </si>
  <si>
    <t>(All)</t>
  </si>
  <si>
    <t>Order Month</t>
  </si>
  <si>
    <t>Cohort Month</t>
  </si>
  <si>
    <t>First Sale Date</t>
  </si>
  <si>
    <t>Dec-2025</t>
  </si>
  <si>
    <t>Nov-2025</t>
  </si>
  <si>
    <t>Oct-2025</t>
  </si>
  <si>
    <t>Sum of Gross Revenue</t>
  </si>
  <si>
    <t>Revenue Per Order</t>
  </si>
  <si>
    <t>Count of OrderID</t>
  </si>
  <si>
    <t>Average Orders Per Month</t>
  </si>
  <si>
    <t>Sum of Gross Profit</t>
  </si>
  <si>
    <t>GP/Order</t>
  </si>
  <si>
    <t>Highest Rank</t>
  </si>
  <si>
    <t>Lowest Rank</t>
  </si>
  <si>
    <t>Sales Person</t>
  </si>
  <si>
    <t>Revenue % Share</t>
  </si>
  <si>
    <t>Month two we have channel migration</t>
  </si>
  <si>
    <t>Month 3 , Market place is the prefered channel.</t>
  </si>
  <si>
    <t>Market Place</t>
  </si>
  <si>
    <t>Sum of Leadtime days</t>
  </si>
  <si>
    <t>Service Level %</t>
  </si>
  <si>
    <t>Performance Band</t>
  </si>
  <si>
    <t>Sum of DiscountPct</t>
  </si>
  <si>
    <t>High Discount Flag</t>
  </si>
  <si>
    <t>Share Of High Discount Orders</t>
  </si>
  <si>
    <t>Scenario Control</t>
  </si>
  <si>
    <t>Parameter</t>
  </si>
  <si>
    <t>Cell</t>
  </si>
  <si>
    <t>Min</t>
  </si>
  <si>
    <t>Max</t>
  </si>
  <si>
    <t>Current Value</t>
  </si>
  <si>
    <t>Global Discount Cap</t>
  </si>
  <si>
    <t>UnitCost Inflation</t>
  </si>
  <si>
    <t>Quantity Uplift</t>
  </si>
  <si>
    <t>C5</t>
  </si>
  <si>
    <t>C6</t>
  </si>
  <si>
    <t>C7</t>
  </si>
  <si>
    <t>Original Data</t>
  </si>
  <si>
    <t>Scenario Data</t>
  </si>
  <si>
    <t>Revenue</t>
  </si>
  <si>
    <t>Current</t>
  </si>
  <si>
    <t>Scenario</t>
  </si>
  <si>
    <t>Revenue Contribution %</t>
  </si>
  <si>
    <t>Frequency</t>
  </si>
  <si>
    <t>Cummulative %</t>
  </si>
  <si>
    <t>Class</t>
  </si>
  <si>
    <t>Product Category</t>
  </si>
  <si>
    <t>B</t>
  </si>
  <si>
    <t>C</t>
  </si>
  <si>
    <t>A</t>
  </si>
  <si>
    <t>Africa Region : Generated the highest revenue contribution accounting for approximately 25.72% of total sales indicating strong market demand and effective channel coverage.</t>
  </si>
  <si>
    <t>Discount Management : Several sales persons and regions showed discount rates  exceeding 20% yet these transactions did not consistently produce higer revenue or profit indicating opportunities to improve pricing compliance and margin protection.</t>
  </si>
  <si>
    <t>SKU Concentration: The top 10SKUs contributed approximately 24% of total revenue , revealing a high reliance on a relatively number of products and suggesting the need for inventory prioritization.</t>
  </si>
  <si>
    <t>Channel Profitability: The retail channel generated the largest share of revenue while the online channel delivered the highest profit marginindicating stronger profitability despite lower sales volume.</t>
  </si>
  <si>
    <t>Asia Region: Recorded the fastest month over month revenue growth driven primarily by strong performance in the online channel and increased sales.</t>
  </si>
  <si>
    <t>Europe : Achieved the highest revenue percentage in the direct channel of 33% suggesting better pricing discipline and lower discount dependency compared to other regions.</t>
  </si>
  <si>
    <t>Online sales appear more profitable than traditional channels.</t>
  </si>
  <si>
    <t>Margin%</t>
  </si>
  <si>
    <t>On Time</t>
  </si>
  <si>
    <t>Lead Time Days</t>
  </si>
  <si>
    <t>OnTime</t>
  </si>
  <si>
    <t>High</t>
  </si>
  <si>
    <t>Price band</t>
  </si>
  <si>
    <t>Cost of goods</t>
  </si>
  <si>
    <t>Gross profit</t>
  </si>
  <si>
    <t>Margin Pct</t>
  </si>
  <si>
    <t>Q1-2024</t>
  </si>
  <si>
    <t>Low</t>
  </si>
  <si>
    <t>Q4-2024</t>
  </si>
  <si>
    <t>Q1-2023</t>
  </si>
  <si>
    <t>Q1-2025</t>
  </si>
  <si>
    <t>Q4-2023</t>
  </si>
  <si>
    <t>Medium</t>
  </si>
  <si>
    <t>Q2-2024</t>
  </si>
  <si>
    <t>Q2-2025</t>
  </si>
  <si>
    <t>Q3-2025</t>
  </si>
  <si>
    <t>Sep-2025</t>
  </si>
  <si>
    <t>Q2-2023</t>
  </si>
  <si>
    <t>Q3-2024</t>
  </si>
  <si>
    <t>Q3-2023</t>
  </si>
  <si>
    <t>Sep-2023</t>
  </si>
  <si>
    <t>Sep-2024</t>
  </si>
  <si>
    <t>WHAT-IF CONTROL PANEL</t>
  </si>
  <si>
    <t>Scenario Summary</t>
  </si>
  <si>
    <t>Variable</t>
  </si>
  <si>
    <t>Input Value</t>
  </si>
  <si>
    <t>Allowed range</t>
  </si>
  <si>
    <t>Metric</t>
  </si>
  <si>
    <t>Baseline</t>
  </si>
  <si>
    <t>Delta</t>
  </si>
  <si>
    <t>Delta %</t>
  </si>
  <si>
    <t>Discount cap</t>
  </si>
  <si>
    <t>0% to 25%</t>
  </si>
  <si>
    <t>Total Revenue</t>
  </si>
  <si>
    <t>Cost inflation</t>
  </si>
  <si>
    <t>0% to 15%</t>
  </si>
  <si>
    <t>Total COGS</t>
  </si>
  <si>
    <t>Quantity uplift</t>
  </si>
  <si>
    <t>0% to 20%</t>
  </si>
  <si>
    <t>Total Gross Profit</t>
  </si>
  <si>
    <t>Product Catgory</t>
  </si>
  <si>
    <t>Baseline Gross Revenue</t>
  </si>
  <si>
    <t xml:space="preserve">Baseline COGS </t>
  </si>
  <si>
    <t>Baseline profit</t>
  </si>
  <si>
    <t>Scenario Gross Revenue</t>
  </si>
  <si>
    <t>Scenario COGS</t>
  </si>
  <si>
    <t>Scenario Profit</t>
  </si>
  <si>
    <t>Revenue Delta</t>
  </si>
  <si>
    <t>Profit Delta</t>
  </si>
  <si>
    <t>Margin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</si>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</sst>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mmm\-yyyy"/>
    <numFmt numFmtId="166" formatCode="dd\-mmm\-yyyy"/>
    <numFmt numFmtId="167"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
      <left style="thin">
        <color auto="1"/>
      </left>
      <right style="thin">
        <color auto="1"/>
      </right>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50">
    <xf numFmtId="0" fontId="0" fillId="0" borderId="0" xfId="0"/>
    <xf numFmtId="0" fontId="1" fillId="0" borderId="1" xfId="0" applyFont="1" applyBorder="1" applyAlignment="1">
      <alignment horizontal="center" vertical="top"/>
    </xf>
    <xf numFmtId="164" fontId="0" fillId="0" borderId="0" xfId="0" applyNumberFormat="1"/>
    <xf numFmtId="2" fontId="1" fillId="0" borderId="1" xfId="0" applyNumberFormat="1" applyFont="1" applyBorder="1" applyAlignment="1">
      <alignment horizontal="center" vertical="top"/>
    </xf>
    <xf numFmtId="2" fontId="0" fillId="0" borderId="0" xfId="0" applyNumberFormat="1"/>
    <xf numFmtId="165" fontId="1" fillId="0" borderId="1" xfId="0" applyNumberFormat="1" applyFont="1" applyBorder="1" applyAlignment="1">
      <alignment horizontal="center" vertical="top"/>
    </xf>
    <xf numFmtId="165" fontId="0" fillId="0" borderId="0" xfId="0" applyNumberFormat="1"/>
    <xf numFmtId="2" fontId="0" fillId="0" borderId="0" xfId="0" quotePrefix="1"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5" fontId="0" fillId="0" borderId="0" xfId="0" applyNumberFormat="1"/>
    <xf numFmtId="2" fontId="1" fillId="0" borderId="2" xfId="0" applyNumberFormat="1" applyFont="1" applyBorder="1" applyAlignment="1">
      <alignment horizontal="center" vertical="top"/>
    </xf>
    <xf numFmtId="0" fontId="1" fillId="0" borderId="0" xfId="0" applyFont="1"/>
    <xf numFmtId="1" fontId="0" fillId="0" borderId="0" xfId="0" applyNumberFormat="1"/>
    <xf numFmtId="10" fontId="0" fillId="0" borderId="0" xfId="0" applyNumberFormat="1"/>
    <xf numFmtId="10" fontId="1" fillId="0" borderId="0" xfId="0" applyNumberFormat="1" applyFont="1"/>
    <xf numFmtId="10" fontId="0" fillId="2" borderId="0" xfId="0" applyNumberFormat="1" applyFill="1"/>
    <xf numFmtId="9" fontId="0" fillId="0" borderId="0" xfId="0" applyNumberFormat="1"/>
    <xf numFmtId="167" fontId="0" fillId="0" borderId="0" xfId="0" applyNumberFormat="1"/>
    <xf numFmtId="2" fontId="1" fillId="0" borderId="0" xfId="0" applyNumberFormat="1" applyFont="1" applyAlignment="1">
      <alignment horizontal="center" vertical="top"/>
    </xf>
    <xf numFmtId="0" fontId="0" fillId="0" borderId="1" xfId="0" applyBorder="1"/>
    <xf numFmtId="2" fontId="0" fillId="0" borderId="1" xfId="0" applyNumberFormat="1" applyBorder="1"/>
    <xf numFmtId="0" fontId="1" fillId="0" borderId="1" xfId="0" applyFont="1" applyBorder="1"/>
    <xf numFmtId="10" fontId="0" fillId="0" borderId="0" xfId="0" applyNumberFormat="1" applyAlignment="1">
      <alignment horizontal="left"/>
    </xf>
    <xf numFmtId="0" fontId="1" fillId="0" borderId="3" xfId="0" applyFont="1" applyBorder="1" applyAlignment="1">
      <alignment horizontal="left"/>
    </xf>
    <xf numFmtId="0" fontId="1" fillId="0" borderId="3" xfId="0" applyFont="1" applyBorder="1"/>
    <xf numFmtId="2" fontId="1" fillId="0" borderId="0" xfId="0" applyNumberFormat="1" applyFont="1"/>
    <xf numFmtId="0" fontId="1" fillId="0" borderId="4" xfId="0" applyFont="1" applyBorder="1" applyAlignment="1">
      <alignment horizontal="center" vertical="top"/>
    </xf>
    <xf numFmtId="165" fontId="1" fillId="0" borderId="4" xfId="0" applyNumberFormat="1" applyFont="1" applyBorder="1" applyAlignment="1">
      <alignment horizontal="center" vertical="top"/>
    </xf>
    <xf numFmtId="2" fontId="1" fillId="0" borderId="4" xfId="0" applyNumberFormat="1" applyFont="1" applyBorder="1" applyAlignment="1">
      <alignment horizontal="center" vertical="top"/>
    </xf>
    <xf numFmtId="0" fontId="0" fillId="3" borderId="5" xfId="0" applyFill="1" applyBorder="1"/>
    <xf numFmtId="0" fontId="0" fillId="0" borderId="5" xfId="0" applyBorder="1"/>
    <xf numFmtId="0" fontId="0" fillId="3" borderId="7" xfId="0" applyFill="1" applyBorder="1"/>
    <xf numFmtId="165" fontId="0" fillId="3" borderId="5" xfId="0" applyNumberFormat="1" applyFill="1" applyBorder="1"/>
    <xf numFmtId="164" fontId="0" fillId="3" borderId="5" xfId="0" applyNumberFormat="1" applyFill="1" applyBorder="1"/>
    <xf numFmtId="2" fontId="0" fillId="3" borderId="5" xfId="0" applyNumberFormat="1" applyFill="1" applyBorder="1"/>
    <xf numFmtId="2" fontId="0" fillId="3" borderId="5" xfId="0" quotePrefix="1" applyNumberFormat="1" applyFill="1" applyBorder="1"/>
    <xf numFmtId="2" fontId="0" fillId="3" borderId="6" xfId="0" applyNumberFormat="1" applyFill="1" applyBorder="1"/>
    <xf numFmtId="0" fontId="0" fillId="0" borderId="7" xfId="0" applyBorder="1"/>
    <xf numFmtId="165" fontId="0" fillId="0" borderId="5" xfId="0" applyNumberFormat="1" applyBorder="1"/>
    <xf numFmtId="164" fontId="0" fillId="0" borderId="5" xfId="0" applyNumberFormat="1" applyBorder="1"/>
    <xf numFmtId="2" fontId="0" fillId="0" borderId="5" xfId="0" applyNumberFormat="1" applyBorder="1"/>
    <xf numFmtId="2" fontId="0" fillId="0" borderId="5" xfId="0" quotePrefix="1" applyNumberFormat="1" applyBorder="1"/>
    <xf numFmtId="2" fontId="0" fillId="0" borderId="6" xfId="0" applyNumberFormat="1" applyBorder="1"/>
    <xf numFmtId="49" fontId="0" fillId="0" borderId="0" xfId="0" applyNumberFormat="1"/>
    <xf numFmtId="9" fontId="0" fillId="0" borderId="0" xfId="1" applyFont="1"/>
    <xf numFmtId="167" fontId="0" fillId="0" borderId="0" xfId="1" applyNumberFormat="1" applyFont="1"/>
    <xf numFmtId="0" fontId="0" fillId="0" borderId="0" xfId="0" applyNumberFormat="1"/>
  </cellXfs>
  <cellStyles count="2">
    <cellStyle name="Normal" xfId="0" builtinId="0"/>
    <cellStyle name="Percent" xfId="1" builtinId="5"/>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yyyy\-mm\-dd"/>
    </dxf>
    <dxf>
      <numFmt numFmtId="165" formatCode="m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07/relationships/slicerCache" Target="slicerCaches/slicerCache4.xml"/><Relationship Id="rId42" Type="http://schemas.microsoft.com/office/2007/relationships/slicerCache" Target="slicerCaches/slicerCache1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microsoft.com/office/2007/relationships/slicerCache" Target="slicerCaches/slicerCache3.xml"/><Relationship Id="rId38" Type="http://schemas.microsoft.com/office/2007/relationships/slicerCache" Target="slicerCaches/slicerCache8.xml"/><Relationship Id="rId46"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6.xml"/><Relationship Id="rId41"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microsoft.com/office/2007/relationships/slicerCache" Target="slicerCaches/slicerCache2.xml"/><Relationship Id="rId37" Type="http://schemas.microsoft.com/office/2007/relationships/slicerCache" Target="slicerCaches/slicerCache7.xml"/><Relationship Id="rId40" Type="http://schemas.microsoft.com/office/2007/relationships/slicerCache" Target="slicerCaches/slicerCache1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pivotCacheDefinition" Target="pivotCache/pivotCacheDefinition5.xml"/><Relationship Id="rId36"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microsoft.com/office/2007/relationships/slicerCache" Target="slicerCaches/slicerCache5.xml"/><Relationship Id="rId43"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Modified.xlsx]Pivot ABC Data!PivotTable2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ABC Data'!$E$16</c:f>
              <c:strCache>
                <c:ptCount val="1"/>
                <c:pt idx="0">
                  <c:v>Total</c:v>
                </c:pt>
              </c:strCache>
            </c:strRef>
          </c:tx>
          <c:spPr>
            <a:solidFill>
              <a:schemeClr val="accent1"/>
            </a:solidFill>
            <a:ln>
              <a:noFill/>
            </a:ln>
            <a:effectLst/>
          </c:spPr>
          <c:invertIfNegative val="0"/>
          <c:cat>
            <c:multiLvlStrRef>
              <c:f>'Pivot ABC Data'!$D$17:$D$31</c:f>
              <c:multiLvlStrCache>
                <c:ptCount val="7"/>
                <c:lvl>
                  <c:pt idx="0">
                    <c:v>B</c:v>
                  </c:pt>
                  <c:pt idx="1">
                    <c:v>C</c:v>
                  </c:pt>
                  <c:pt idx="2">
                    <c:v>A</c:v>
                  </c:pt>
                  <c:pt idx="3">
                    <c:v>A</c:v>
                  </c:pt>
                  <c:pt idx="4">
                    <c:v>A</c:v>
                  </c:pt>
                  <c:pt idx="5">
                    <c:v>A</c:v>
                  </c:pt>
                  <c:pt idx="6">
                    <c:v>A</c:v>
                  </c:pt>
                </c:lvl>
                <c:lvl>
                  <c:pt idx="0">
                    <c:v>Accessories</c:v>
                  </c:pt>
                  <c:pt idx="1">
                    <c:v>Components</c:v>
                  </c:pt>
                  <c:pt idx="2">
                    <c:v>Laptops</c:v>
                  </c:pt>
                  <c:pt idx="3">
                    <c:v>Monitors</c:v>
                  </c:pt>
                  <c:pt idx="4">
                    <c:v>Networking</c:v>
                  </c:pt>
                  <c:pt idx="5">
                    <c:v>Phones</c:v>
                  </c:pt>
                  <c:pt idx="6">
                    <c:v>Printers</c:v>
                  </c:pt>
                </c:lvl>
              </c:multiLvlStrCache>
            </c:multiLvlStrRef>
          </c:cat>
          <c:val>
            <c:numRef>
              <c:f>'Pivot ABC Data'!$E$17:$E$31</c:f>
              <c:numCache>
                <c:formatCode>General</c:formatCode>
                <c:ptCount val="7"/>
                <c:pt idx="0">
                  <c:v>1352771.8338100002</c:v>
                </c:pt>
                <c:pt idx="1">
                  <c:v>1248766.6529700004</c:v>
                </c:pt>
                <c:pt idx="2">
                  <c:v>1405895.7169900001</c:v>
                </c:pt>
                <c:pt idx="3">
                  <c:v>1493059.8076100003</c:v>
                </c:pt>
                <c:pt idx="4">
                  <c:v>1471202.46594</c:v>
                </c:pt>
                <c:pt idx="5">
                  <c:v>1573214.03728</c:v>
                </c:pt>
                <c:pt idx="6">
                  <c:v>1926575.4344300001</c:v>
                </c:pt>
              </c:numCache>
            </c:numRef>
          </c:val>
          <c:extLst>
            <c:ext xmlns:c16="http://schemas.microsoft.com/office/drawing/2014/chart" uri="{C3380CC4-5D6E-409C-BE32-E72D297353CC}">
              <c16:uniqueId val="{00000000-1C6B-45EB-B69A-305CCA8062D6}"/>
            </c:ext>
          </c:extLst>
        </c:ser>
        <c:dLbls>
          <c:showLegendKey val="0"/>
          <c:showVal val="0"/>
          <c:showCatName val="0"/>
          <c:showSerName val="0"/>
          <c:showPercent val="0"/>
          <c:showBubbleSize val="0"/>
        </c:dLbls>
        <c:gapWidth val="150"/>
        <c:overlap val="100"/>
        <c:axId val="582258904"/>
        <c:axId val="582256280"/>
      </c:barChart>
      <c:catAx>
        <c:axId val="58225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2256280"/>
        <c:crosses val="autoZero"/>
        <c:auto val="1"/>
        <c:lblAlgn val="ctr"/>
        <c:lblOffset val="100"/>
        <c:noMultiLvlLbl val="0"/>
      </c:catAx>
      <c:valAx>
        <c:axId val="582256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2258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'Sales person Pivot'!$F$3</c:f>
              <c:strCache>
                <c:ptCount val="1"/>
                <c:pt idx="0">
                  <c:v>Revenue Per Order</c:v>
                </c:pt>
              </c:strCache>
            </c:strRef>
          </c:tx>
          <c:spPr>
            <a:solidFill>
              <a:schemeClr val="accent1"/>
            </a:solidFill>
            <a:ln>
              <a:noFill/>
            </a:ln>
            <a:effectLst/>
          </c:spPr>
          <c:invertIfNegative val="0"/>
          <c:cat>
            <c:strRef>
              <c:f>'Sales person Pivot'!$E$4:$E$19</c:f>
              <c:strCache>
                <c:ptCount val="16"/>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strCache>
            </c:strRef>
          </c:cat>
          <c:val>
            <c:numRef>
              <c:f>'Sales person Pivot'!$F$4:$F$19</c:f>
              <c:numCache>
                <c:formatCode>0.00</c:formatCode>
                <c:ptCount val="16"/>
                <c:pt idx="0">
                  <c:v>17388.643956216212</c:v>
                </c:pt>
                <c:pt idx="1">
                  <c:v>24051.574898749997</c:v>
                </c:pt>
                <c:pt idx="2">
                  <c:v>16290.509833750004</c:v>
                </c:pt>
                <c:pt idx="3">
                  <c:v>15999.650141874998</c:v>
                </c:pt>
                <c:pt idx="4">
                  <c:v>15871.240650434778</c:v>
                </c:pt>
                <c:pt idx="5">
                  <c:v>20529.390231136364</c:v>
                </c:pt>
                <c:pt idx="6">
                  <c:v>15450.870679999998</c:v>
                </c:pt>
                <c:pt idx="7">
                  <c:v>15426.493877894738</c:v>
                </c:pt>
                <c:pt idx="8">
                  <c:v>15102.098098888893</c:v>
                </c:pt>
                <c:pt idx="9">
                  <c:v>20771.717332666663</c:v>
                </c:pt>
                <c:pt idx="10">
                  <c:v>21388.230059411766</c:v>
                </c:pt>
                <c:pt idx="11">
                  <c:v>14191.833629705883</c:v>
                </c:pt>
                <c:pt idx="12">
                  <c:v>14805.831474999995</c:v>
                </c:pt>
                <c:pt idx="13">
                  <c:v>14511.758131891891</c:v>
                </c:pt>
                <c:pt idx="14">
                  <c:v>16235.266306874997</c:v>
                </c:pt>
                <c:pt idx="15">
                  <c:v>13029.913478043474</c:v>
                </c:pt>
              </c:numCache>
            </c:numRef>
          </c:val>
          <c:extLst>
            <c:ext xmlns:c16="http://schemas.microsoft.com/office/drawing/2014/chart" uri="{C3380CC4-5D6E-409C-BE32-E72D297353CC}">
              <c16:uniqueId val="{00000000-7DAF-4DB6-9329-0B2397251E9C}"/>
            </c:ext>
          </c:extLst>
        </c:ser>
        <c:dLbls>
          <c:showLegendKey val="0"/>
          <c:showVal val="0"/>
          <c:showCatName val="0"/>
          <c:showSerName val="0"/>
          <c:showPercent val="0"/>
          <c:showBubbleSize val="0"/>
        </c:dLbls>
        <c:gapWidth val="219"/>
        <c:overlap val="-27"/>
        <c:axId val="589798144"/>
        <c:axId val="589801096"/>
      </c:barChart>
      <c:catAx>
        <c:axId val="58979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801096"/>
        <c:crosses val="autoZero"/>
        <c:auto val="1"/>
        <c:lblAlgn val="ctr"/>
        <c:lblOffset val="100"/>
        <c:noMultiLvlLbl val="0"/>
      </c:catAx>
      <c:valAx>
        <c:axId val="589801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79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Modified.xlsx]Sales person Pivot!PivotTable6</c:name>
    <c:fmtId val="2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person Pivot'!$B$3</c:f>
              <c:strCache>
                <c:ptCount val="1"/>
                <c:pt idx="0">
                  <c:v>Sum of Gross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Pivot'!$B$4:$B$20</c:f>
              <c:numCache>
                <c:formatCode>General</c:formatCode>
                <c:ptCount val="16"/>
                <c:pt idx="0">
                  <c:v>599376.01998999983</c:v>
                </c:pt>
                <c:pt idx="1">
                  <c:v>779292.78272999986</c:v>
                </c:pt>
                <c:pt idx="2">
                  <c:v>536935.05088</c:v>
                </c:pt>
                <c:pt idx="3">
                  <c:v>562621.59604999982</c:v>
                </c:pt>
                <c:pt idx="4">
                  <c:v>482522.34341000003</c:v>
                </c:pt>
                <c:pt idx="5">
                  <c:v>1090799.73303</c:v>
                </c:pt>
                <c:pt idx="6">
                  <c:v>623151.51997999987</c:v>
                </c:pt>
                <c:pt idx="7">
                  <c:v>679594.41445000016</c:v>
                </c:pt>
                <c:pt idx="8">
                  <c:v>586206.76736000006</c:v>
                </c:pt>
                <c:pt idx="9">
                  <c:v>772543.53399999987</c:v>
                </c:pt>
                <c:pt idx="10">
                  <c:v>903293.17016999994</c:v>
                </c:pt>
                <c:pt idx="11">
                  <c:v>730077.06991999981</c:v>
                </c:pt>
                <c:pt idx="12">
                  <c:v>767983.20680999989</c:v>
                </c:pt>
                <c:pt idx="13">
                  <c:v>521296.31468000013</c:v>
                </c:pt>
                <c:pt idx="14">
                  <c:v>192412.59918999998</c:v>
                </c:pt>
                <c:pt idx="15">
                  <c:v>643379.82637999987</c:v>
                </c:pt>
              </c:numCache>
            </c:numRef>
          </c:val>
          <c:smooth val="0"/>
          <c:extLst>
            <c:ext xmlns:c16="http://schemas.microsoft.com/office/drawing/2014/chart" uri="{C3380CC4-5D6E-409C-BE32-E72D297353CC}">
              <c16:uniqueId val="{00000000-91D8-498A-AF13-39B3DDE47FA7}"/>
            </c:ext>
          </c:extLst>
        </c:ser>
        <c:ser>
          <c:idx val="1"/>
          <c:order val="1"/>
          <c:tx>
            <c:strRef>
              <c:f>'Sales person Pivot'!$C$3</c:f>
              <c:strCache>
                <c:ptCount val="1"/>
                <c:pt idx="0">
                  <c:v>Count of OrderID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Pivot'!$C$4:$C$20</c:f>
              <c:numCache>
                <c:formatCode>General</c:formatCode>
                <c:ptCount val="16"/>
                <c:pt idx="0">
                  <c:v>46</c:v>
                </c:pt>
                <c:pt idx="1">
                  <c:v>48</c:v>
                </c:pt>
                <c:pt idx="2">
                  <c:v>37</c:v>
                </c:pt>
                <c:pt idx="3">
                  <c:v>38</c:v>
                </c:pt>
                <c:pt idx="4">
                  <c:v>34</c:v>
                </c:pt>
                <c:pt idx="5">
                  <c:v>51</c:v>
                </c:pt>
                <c:pt idx="6">
                  <c:v>30</c:v>
                </c:pt>
                <c:pt idx="7">
                  <c:v>45</c:v>
                </c:pt>
                <c:pt idx="8">
                  <c:v>38</c:v>
                </c:pt>
                <c:pt idx="9">
                  <c:v>50</c:v>
                </c:pt>
                <c:pt idx="10">
                  <c:v>44</c:v>
                </c:pt>
                <c:pt idx="11">
                  <c:v>46</c:v>
                </c:pt>
                <c:pt idx="12">
                  <c:v>48</c:v>
                </c:pt>
                <c:pt idx="13">
                  <c:v>32</c:v>
                </c:pt>
                <c:pt idx="14">
                  <c:v>8</c:v>
                </c:pt>
                <c:pt idx="15">
                  <c:v>37</c:v>
                </c:pt>
              </c:numCache>
            </c:numRef>
          </c:val>
          <c:smooth val="0"/>
          <c:extLst>
            <c:ext xmlns:c16="http://schemas.microsoft.com/office/drawing/2014/chart" uri="{C3380CC4-5D6E-409C-BE32-E72D297353CC}">
              <c16:uniqueId val="{00000001-91D8-498A-AF13-39B3DDE47FA7}"/>
            </c:ext>
          </c:extLst>
        </c:ser>
        <c:ser>
          <c:idx val="2"/>
          <c:order val="2"/>
          <c:tx>
            <c:strRef>
              <c:f>'Sales person Pivot'!$D$3</c:f>
              <c:strCache>
                <c:ptCount val="1"/>
                <c:pt idx="0">
                  <c:v>Sum of Gross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Pivot'!$D$4:$D$20</c:f>
              <c:numCache>
                <c:formatCode>General</c:formatCode>
                <c:ptCount val="16"/>
                <c:pt idx="0">
                  <c:v>4160.9699900000087</c:v>
                </c:pt>
                <c:pt idx="1">
                  <c:v>201527.09272999997</c:v>
                </c:pt>
                <c:pt idx="2">
                  <c:v>77518.21087999997</c:v>
                </c:pt>
                <c:pt idx="3">
                  <c:v>136878.33605000004</c:v>
                </c:pt>
                <c:pt idx="4">
                  <c:v>143657.24340999994</c:v>
                </c:pt>
                <c:pt idx="5">
                  <c:v>529895.57303000009</c:v>
                </c:pt>
                <c:pt idx="6">
                  <c:v>284939.67998000002</c:v>
                </c:pt>
                <c:pt idx="7">
                  <c:v>119046.92444999995</c:v>
                </c:pt>
                <c:pt idx="8">
                  <c:v>185062.78736000002</c:v>
                </c:pt>
                <c:pt idx="9">
                  <c:v>243271.98399999997</c:v>
                </c:pt>
                <c:pt idx="10">
                  <c:v>298707.31016999995</c:v>
                </c:pt>
                <c:pt idx="11">
                  <c:v>146755.09991999998</c:v>
                </c:pt>
                <c:pt idx="12">
                  <c:v>104341.27681000004</c:v>
                </c:pt>
                <c:pt idx="13">
                  <c:v>243617.63468000002</c:v>
                </c:pt>
                <c:pt idx="14">
                  <c:v>43483.749190000002</c:v>
                </c:pt>
                <c:pt idx="15">
                  <c:v>180874.36638000002</c:v>
                </c:pt>
              </c:numCache>
            </c:numRef>
          </c:val>
          <c:smooth val="0"/>
          <c:extLst>
            <c:ext xmlns:c16="http://schemas.microsoft.com/office/drawing/2014/chart" uri="{C3380CC4-5D6E-409C-BE32-E72D297353CC}">
              <c16:uniqueId val="{00000002-91D8-498A-AF13-39B3DDE47FA7}"/>
            </c:ext>
          </c:extLst>
        </c:ser>
        <c:dLbls>
          <c:showLegendKey val="0"/>
          <c:showVal val="0"/>
          <c:showCatName val="0"/>
          <c:showSerName val="0"/>
          <c:showPercent val="0"/>
          <c:showBubbleSize val="0"/>
        </c:dLbls>
        <c:marker val="1"/>
        <c:smooth val="0"/>
        <c:axId val="570901888"/>
        <c:axId val="570902216"/>
      </c:lineChart>
      <c:catAx>
        <c:axId val="5709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2216"/>
        <c:crosses val="autoZero"/>
        <c:auto val="1"/>
        <c:lblAlgn val="ctr"/>
        <c:lblOffset val="100"/>
        <c:noMultiLvlLbl val="0"/>
      </c:catAx>
      <c:valAx>
        <c:axId val="570902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Modified.xlsx]Channel Mix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 Mix Pivot'!$B$3:$B$4</c:f>
              <c:strCache>
                <c:ptCount val="1"/>
                <c:pt idx="0">
                  <c:v>Direct</c:v>
                </c:pt>
              </c:strCache>
            </c:strRef>
          </c:tx>
          <c:spPr>
            <a:solidFill>
              <a:schemeClr val="accent1"/>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Pivot'!$B$5:$B$10</c:f>
              <c:numCache>
                <c:formatCode>General</c:formatCode>
                <c:ptCount val="5"/>
                <c:pt idx="0">
                  <c:v>221557.91543999998</c:v>
                </c:pt>
                <c:pt idx="1">
                  <c:v>810323.27522000019</c:v>
                </c:pt>
                <c:pt idx="2">
                  <c:v>502810.96600000007</c:v>
                </c:pt>
                <c:pt idx="3">
                  <c:v>864934.80995000002</c:v>
                </c:pt>
              </c:numCache>
            </c:numRef>
          </c:val>
          <c:extLst>
            <c:ext xmlns:c16="http://schemas.microsoft.com/office/drawing/2014/chart" uri="{C3380CC4-5D6E-409C-BE32-E72D297353CC}">
              <c16:uniqueId val="{00000000-142D-4D1B-A444-A40A3C9E52EF}"/>
            </c:ext>
          </c:extLst>
        </c:ser>
        <c:ser>
          <c:idx val="1"/>
          <c:order val="1"/>
          <c:tx>
            <c:strRef>
              <c:f>'Channel Mix Pivot'!$C$3:$C$4</c:f>
              <c:strCache>
                <c:ptCount val="1"/>
                <c:pt idx="0">
                  <c:v>Distributor</c:v>
                </c:pt>
              </c:strCache>
            </c:strRef>
          </c:tx>
          <c:spPr>
            <a:solidFill>
              <a:schemeClr val="accent2"/>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Pivot'!$C$5:$C$10</c:f>
              <c:numCache>
                <c:formatCode>General</c:formatCode>
                <c:ptCount val="5"/>
                <c:pt idx="0">
                  <c:v>609034.81166000001</c:v>
                </c:pt>
                <c:pt idx="1">
                  <c:v>535213.82120000001</c:v>
                </c:pt>
                <c:pt idx="2">
                  <c:v>733734.99893000012</c:v>
                </c:pt>
                <c:pt idx="3">
                  <c:v>280509.11341000005</c:v>
                </c:pt>
              </c:numCache>
            </c:numRef>
          </c:val>
          <c:extLst>
            <c:ext xmlns:c16="http://schemas.microsoft.com/office/drawing/2014/chart" uri="{C3380CC4-5D6E-409C-BE32-E72D297353CC}">
              <c16:uniqueId val="{00000001-5E1D-4790-822E-76AFAD0826BD}"/>
            </c:ext>
          </c:extLst>
        </c:ser>
        <c:ser>
          <c:idx val="2"/>
          <c:order val="2"/>
          <c:tx>
            <c:strRef>
              <c:f>'Channel Mix Pivot'!$D$3:$D$4</c:f>
              <c:strCache>
                <c:ptCount val="1"/>
                <c:pt idx="0">
                  <c:v>Marketplace</c:v>
                </c:pt>
              </c:strCache>
            </c:strRef>
          </c:tx>
          <c:spPr>
            <a:solidFill>
              <a:schemeClr val="accent3"/>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Pivot'!$D$5:$D$10</c:f>
              <c:numCache>
                <c:formatCode>General</c:formatCode>
                <c:ptCount val="5"/>
                <c:pt idx="0">
                  <c:v>547113.83230000001</c:v>
                </c:pt>
                <c:pt idx="1">
                  <c:v>378272.95461000007</c:v>
                </c:pt>
                <c:pt idx="2">
                  <c:v>533246.94006000005</c:v>
                </c:pt>
                <c:pt idx="3">
                  <c:v>529056.67933000007</c:v>
                </c:pt>
              </c:numCache>
            </c:numRef>
          </c:val>
          <c:extLst>
            <c:ext xmlns:c16="http://schemas.microsoft.com/office/drawing/2014/chart" uri="{C3380CC4-5D6E-409C-BE32-E72D297353CC}">
              <c16:uniqueId val="{00000002-5E1D-4790-822E-76AFAD0826BD}"/>
            </c:ext>
          </c:extLst>
        </c:ser>
        <c:ser>
          <c:idx val="3"/>
          <c:order val="3"/>
          <c:tx>
            <c:strRef>
              <c:f>'Channel Mix Pivot'!$E$3:$E$4</c:f>
              <c:strCache>
                <c:ptCount val="1"/>
                <c:pt idx="0">
                  <c:v>Not Provided</c:v>
                </c:pt>
              </c:strCache>
            </c:strRef>
          </c:tx>
          <c:spPr>
            <a:solidFill>
              <a:schemeClr val="accent4"/>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Pivot'!$E$5:$E$10</c:f>
              <c:numCache>
                <c:formatCode>General</c:formatCode>
                <c:ptCount val="5"/>
                <c:pt idx="0">
                  <c:v>32176.557119999994</c:v>
                </c:pt>
                <c:pt idx="1">
                  <c:v>0</c:v>
                </c:pt>
                <c:pt idx="2">
                  <c:v>30599.393100000001</c:v>
                </c:pt>
                <c:pt idx="3">
                  <c:v>20690.58468</c:v>
                </c:pt>
              </c:numCache>
            </c:numRef>
          </c:val>
          <c:extLst>
            <c:ext xmlns:c16="http://schemas.microsoft.com/office/drawing/2014/chart" uri="{C3380CC4-5D6E-409C-BE32-E72D297353CC}">
              <c16:uniqueId val="{00000003-5E1D-4790-822E-76AFAD0826BD}"/>
            </c:ext>
          </c:extLst>
        </c:ser>
        <c:ser>
          <c:idx val="4"/>
          <c:order val="4"/>
          <c:tx>
            <c:strRef>
              <c:f>'Channel Mix Pivot'!$F$3:$F$4</c:f>
              <c:strCache>
                <c:ptCount val="1"/>
                <c:pt idx="0">
                  <c:v>Online</c:v>
                </c:pt>
              </c:strCache>
            </c:strRef>
          </c:tx>
          <c:spPr>
            <a:solidFill>
              <a:schemeClr val="accent5"/>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Pivot'!$F$5:$F$10</c:f>
              <c:numCache>
                <c:formatCode>General</c:formatCode>
                <c:ptCount val="5"/>
                <c:pt idx="0">
                  <c:v>488253.39859000011</c:v>
                </c:pt>
                <c:pt idx="1">
                  <c:v>684409.16889999993</c:v>
                </c:pt>
                <c:pt idx="2">
                  <c:v>461186.45322000008</c:v>
                </c:pt>
                <c:pt idx="3">
                  <c:v>450760.49241999997</c:v>
                </c:pt>
              </c:numCache>
            </c:numRef>
          </c:val>
          <c:extLst>
            <c:ext xmlns:c16="http://schemas.microsoft.com/office/drawing/2014/chart" uri="{C3380CC4-5D6E-409C-BE32-E72D297353CC}">
              <c16:uniqueId val="{00000004-5E1D-4790-822E-76AFAD0826BD}"/>
            </c:ext>
          </c:extLst>
        </c:ser>
        <c:ser>
          <c:idx val="5"/>
          <c:order val="5"/>
          <c:tx>
            <c:strRef>
              <c:f>'Channel Mix Pivot'!$G$3:$G$4</c:f>
              <c:strCache>
                <c:ptCount val="1"/>
                <c:pt idx="0">
                  <c:v>Retail</c:v>
                </c:pt>
              </c:strCache>
            </c:strRef>
          </c:tx>
          <c:spPr>
            <a:solidFill>
              <a:schemeClr val="accent6"/>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Pivot'!$G$5:$G$10</c:f>
              <c:numCache>
                <c:formatCode>General</c:formatCode>
                <c:ptCount val="5"/>
                <c:pt idx="0">
                  <c:v>469950.91472999996</c:v>
                </c:pt>
                <c:pt idx="1">
                  <c:v>251720.18796000001</c:v>
                </c:pt>
                <c:pt idx="2">
                  <c:v>591814.68848000001</c:v>
                </c:pt>
                <c:pt idx="3">
                  <c:v>444113.99171999999</c:v>
                </c:pt>
              </c:numCache>
            </c:numRef>
          </c:val>
          <c:extLst>
            <c:ext xmlns:c16="http://schemas.microsoft.com/office/drawing/2014/chart" uri="{C3380CC4-5D6E-409C-BE32-E72D297353CC}">
              <c16:uniqueId val="{00000005-5E1D-4790-822E-76AFAD0826BD}"/>
            </c:ext>
          </c:extLst>
        </c:ser>
        <c:ser>
          <c:idx val="6"/>
          <c:order val="6"/>
          <c:tx>
            <c:strRef>
              <c:f>'Channel Mix Pivot'!$H$3:$H$4</c:f>
              <c:strCache>
                <c:ptCount val="1"/>
                <c:pt idx="0">
                  <c:v>(blank)</c:v>
                </c:pt>
              </c:strCache>
            </c:strRef>
          </c:tx>
          <c:spPr>
            <a:solidFill>
              <a:schemeClr val="accent1">
                <a:lumMod val="60000"/>
              </a:schemeClr>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Pivot'!$H$5:$H$10</c:f>
              <c:numCache>
                <c:formatCode>General</c:formatCode>
                <c:ptCount val="5"/>
              </c:numCache>
            </c:numRef>
          </c:val>
          <c:extLst>
            <c:ext xmlns:c16="http://schemas.microsoft.com/office/drawing/2014/chart" uri="{C3380CC4-5D6E-409C-BE32-E72D297353CC}">
              <c16:uniqueId val="{00000000-9442-4CBB-81D3-7E851E74DA44}"/>
            </c:ext>
          </c:extLst>
        </c:ser>
        <c:dLbls>
          <c:showLegendKey val="0"/>
          <c:showVal val="0"/>
          <c:showCatName val="0"/>
          <c:showSerName val="0"/>
          <c:showPercent val="0"/>
          <c:showBubbleSize val="0"/>
        </c:dLbls>
        <c:gapWidth val="150"/>
        <c:overlap val="100"/>
        <c:axId val="591226592"/>
        <c:axId val="591226920"/>
      </c:barChart>
      <c:catAx>
        <c:axId val="59122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920"/>
        <c:crosses val="autoZero"/>
        <c:auto val="1"/>
        <c:lblAlgn val="ctr"/>
        <c:lblOffset val="100"/>
        <c:noMultiLvlLbl val="0"/>
      </c:catAx>
      <c:valAx>
        <c:axId val="591226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Modified.xlsx]Service Level 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'Service Level Pivot'!$B$3</c:f>
              <c:strCache>
                <c:ptCount val="1"/>
                <c:pt idx="0">
                  <c:v>Count of OrderID</c:v>
                </c:pt>
              </c:strCache>
            </c:strRef>
          </c:tx>
          <c:spPr>
            <a:solidFill>
              <a:schemeClr val="accent1"/>
            </a:solidFill>
            <a:ln>
              <a:noFill/>
            </a:ln>
            <a:effectLst/>
          </c:spPr>
          <c:invertIfNegative val="0"/>
          <c:cat>
            <c:multiLvlStrRef>
              <c:f>'Service Level Pivot'!$A$4:$A$28</c:f>
              <c:multiLvlStrCache>
                <c:ptCount val="21"/>
                <c:lvl>
                  <c:pt idx="0">
                    <c:v>Accessories</c:v>
                  </c:pt>
                  <c:pt idx="1">
                    <c:v>Components</c:v>
                  </c:pt>
                  <c:pt idx="2">
                    <c:v>Laptops</c:v>
                  </c:pt>
                  <c:pt idx="3">
                    <c:v>Monitors</c:v>
                  </c:pt>
                  <c:pt idx="4">
                    <c:v>Networking</c:v>
                  </c:pt>
                  <c:pt idx="5">
                    <c:v>Phones</c:v>
                  </c:pt>
                  <c:pt idx="6">
                    <c:v>Printers</c:v>
                  </c:pt>
                  <c:pt idx="7">
                    <c:v>Accessories</c:v>
                  </c:pt>
                  <c:pt idx="8">
                    <c:v>Components</c:v>
                  </c:pt>
                  <c:pt idx="9">
                    <c:v>Laptops</c:v>
                  </c:pt>
                  <c:pt idx="10">
                    <c:v>Monitors</c:v>
                  </c:pt>
                  <c:pt idx="11">
                    <c:v>Networking</c:v>
                  </c:pt>
                  <c:pt idx="12">
                    <c:v>Phones</c:v>
                  </c:pt>
                  <c:pt idx="13">
                    <c:v>Printers</c:v>
                  </c:pt>
                  <c:pt idx="14">
                    <c:v>Accessories</c:v>
                  </c:pt>
                  <c:pt idx="15">
                    <c:v>Components</c:v>
                  </c:pt>
                  <c:pt idx="16">
                    <c:v>Laptops</c:v>
                  </c:pt>
                  <c:pt idx="17">
                    <c:v>Monitors</c:v>
                  </c:pt>
                  <c:pt idx="18">
                    <c:v>Networking</c:v>
                  </c:pt>
                  <c:pt idx="19">
                    <c:v>Phones</c:v>
                  </c:pt>
                  <c:pt idx="20">
                    <c:v>Printers</c:v>
                  </c:pt>
                </c:lvl>
                <c:lvl>
                  <c:pt idx="0">
                    <c:v>Brazil</c:v>
                  </c:pt>
                  <c:pt idx="7">
                    <c:v>Canada</c:v>
                  </c:pt>
                  <c:pt idx="14">
                    <c:v>China</c:v>
                  </c:pt>
                </c:lvl>
              </c:multiLvlStrCache>
            </c:multiLvlStrRef>
          </c:cat>
          <c:val>
            <c:numRef>
              <c:f>'Service Level Pivot'!$B$4:$B$28</c:f>
              <c:numCache>
                <c:formatCode>General</c:formatCode>
                <c:ptCount val="21"/>
                <c:pt idx="0">
                  <c:v>10</c:v>
                </c:pt>
                <c:pt idx="1">
                  <c:v>7</c:v>
                </c:pt>
                <c:pt idx="2">
                  <c:v>5</c:v>
                </c:pt>
                <c:pt idx="3">
                  <c:v>12</c:v>
                </c:pt>
                <c:pt idx="4">
                  <c:v>12</c:v>
                </c:pt>
                <c:pt idx="5">
                  <c:v>9</c:v>
                </c:pt>
                <c:pt idx="6">
                  <c:v>7</c:v>
                </c:pt>
                <c:pt idx="7">
                  <c:v>6</c:v>
                </c:pt>
                <c:pt idx="8">
                  <c:v>6</c:v>
                </c:pt>
                <c:pt idx="9">
                  <c:v>6</c:v>
                </c:pt>
                <c:pt idx="10">
                  <c:v>7</c:v>
                </c:pt>
                <c:pt idx="11">
                  <c:v>3</c:v>
                </c:pt>
                <c:pt idx="12">
                  <c:v>3</c:v>
                </c:pt>
                <c:pt idx="13">
                  <c:v>13</c:v>
                </c:pt>
                <c:pt idx="14">
                  <c:v>4</c:v>
                </c:pt>
                <c:pt idx="15">
                  <c:v>10</c:v>
                </c:pt>
                <c:pt idx="16">
                  <c:v>5</c:v>
                </c:pt>
                <c:pt idx="17">
                  <c:v>6</c:v>
                </c:pt>
                <c:pt idx="18">
                  <c:v>8</c:v>
                </c:pt>
                <c:pt idx="19">
                  <c:v>7</c:v>
                </c:pt>
                <c:pt idx="20">
                  <c:v>11</c:v>
                </c:pt>
              </c:numCache>
            </c:numRef>
          </c:val>
          <c:extLst>
            <c:ext xmlns:c16="http://schemas.microsoft.com/office/drawing/2014/chart" uri="{C3380CC4-5D6E-409C-BE32-E72D297353CC}">
              <c16:uniqueId val="{00000000-8504-4792-AB0A-D3C2FD277C03}"/>
            </c:ext>
          </c:extLst>
        </c:ser>
        <c:ser>
          <c:idx val="1"/>
          <c:order val="1"/>
          <c:tx>
            <c:strRef>
              <c:f>'Service Level Pivot'!$C$3</c:f>
              <c:strCache>
                <c:ptCount val="1"/>
                <c:pt idx="0">
                  <c:v>Sum of Leadtime days</c:v>
                </c:pt>
              </c:strCache>
            </c:strRef>
          </c:tx>
          <c:spPr>
            <a:solidFill>
              <a:schemeClr val="accent2"/>
            </a:solidFill>
            <a:ln>
              <a:noFill/>
            </a:ln>
            <a:effectLst/>
          </c:spPr>
          <c:invertIfNegative val="0"/>
          <c:cat>
            <c:multiLvlStrRef>
              <c:f>'Service Level Pivot'!$A$4:$A$28</c:f>
              <c:multiLvlStrCache>
                <c:ptCount val="21"/>
                <c:lvl>
                  <c:pt idx="0">
                    <c:v>Accessories</c:v>
                  </c:pt>
                  <c:pt idx="1">
                    <c:v>Components</c:v>
                  </c:pt>
                  <c:pt idx="2">
                    <c:v>Laptops</c:v>
                  </c:pt>
                  <c:pt idx="3">
                    <c:v>Monitors</c:v>
                  </c:pt>
                  <c:pt idx="4">
                    <c:v>Networking</c:v>
                  </c:pt>
                  <c:pt idx="5">
                    <c:v>Phones</c:v>
                  </c:pt>
                  <c:pt idx="6">
                    <c:v>Printers</c:v>
                  </c:pt>
                  <c:pt idx="7">
                    <c:v>Accessories</c:v>
                  </c:pt>
                  <c:pt idx="8">
                    <c:v>Components</c:v>
                  </c:pt>
                  <c:pt idx="9">
                    <c:v>Laptops</c:v>
                  </c:pt>
                  <c:pt idx="10">
                    <c:v>Monitors</c:v>
                  </c:pt>
                  <c:pt idx="11">
                    <c:v>Networking</c:v>
                  </c:pt>
                  <c:pt idx="12">
                    <c:v>Phones</c:v>
                  </c:pt>
                  <c:pt idx="13">
                    <c:v>Printers</c:v>
                  </c:pt>
                  <c:pt idx="14">
                    <c:v>Accessories</c:v>
                  </c:pt>
                  <c:pt idx="15">
                    <c:v>Components</c:v>
                  </c:pt>
                  <c:pt idx="16">
                    <c:v>Laptops</c:v>
                  </c:pt>
                  <c:pt idx="17">
                    <c:v>Monitors</c:v>
                  </c:pt>
                  <c:pt idx="18">
                    <c:v>Networking</c:v>
                  </c:pt>
                  <c:pt idx="19">
                    <c:v>Phones</c:v>
                  </c:pt>
                  <c:pt idx="20">
                    <c:v>Printers</c:v>
                  </c:pt>
                </c:lvl>
                <c:lvl>
                  <c:pt idx="0">
                    <c:v>Brazil</c:v>
                  </c:pt>
                  <c:pt idx="7">
                    <c:v>Canada</c:v>
                  </c:pt>
                  <c:pt idx="14">
                    <c:v>China</c:v>
                  </c:pt>
                </c:lvl>
              </c:multiLvlStrCache>
            </c:multiLvlStrRef>
          </c:cat>
          <c:val>
            <c:numRef>
              <c:f>'Service Level Pivot'!$C$4:$C$28</c:f>
              <c:numCache>
                <c:formatCode>General</c:formatCode>
                <c:ptCount val="21"/>
                <c:pt idx="0">
                  <c:v>126</c:v>
                </c:pt>
                <c:pt idx="1">
                  <c:v>142</c:v>
                </c:pt>
                <c:pt idx="2">
                  <c:v>91</c:v>
                </c:pt>
                <c:pt idx="3">
                  <c:v>161</c:v>
                </c:pt>
                <c:pt idx="4">
                  <c:v>169</c:v>
                </c:pt>
                <c:pt idx="5">
                  <c:v>65</c:v>
                </c:pt>
                <c:pt idx="6">
                  <c:v>97</c:v>
                </c:pt>
                <c:pt idx="7">
                  <c:v>75</c:v>
                </c:pt>
                <c:pt idx="8">
                  <c:v>55</c:v>
                </c:pt>
                <c:pt idx="9">
                  <c:v>74</c:v>
                </c:pt>
                <c:pt idx="10">
                  <c:v>130</c:v>
                </c:pt>
                <c:pt idx="11">
                  <c:v>60</c:v>
                </c:pt>
                <c:pt idx="12">
                  <c:v>52</c:v>
                </c:pt>
                <c:pt idx="13">
                  <c:v>165</c:v>
                </c:pt>
                <c:pt idx="14">
                  <c:v>18</c:v>
                </c:pt>
                <c:pt idx="15">
                  <c:v>216</c:v>
                </c:pt>
                <c:pt idx="16">
                  <c:v>51</c:v>
                </c:pt>
                <c:pt idx="17">
                  <c:v>102</c:v>
                </c:pt>
                <c:pt idx="18">
                  <c:v>80</c:v>
                </c:pt>
                <c:pt idx="19">
                  <c:v>100</c:v>
                </c:pt>
                <c:pt idx="20">
                  <c:v>235</c:v>
                </c:pt>
              </c:numCache>
            </c:numRef>
          </c:val>
          <c:extLst>
            <c:ext xmlns:c16="http://schemas.microsoft.com/office/drawing/2014/chart" uri="{C3380CC4-5D6E-409C-BE32-E72D297353CC}">
              <c16:uniqueId val="{00000001-8504-4792-AB0A-D3C2FD277C03}"/>
            </c:ext>
          </c:extLst>
        </c:ser>
        <c:dLbls>
          <c:showLegendKey val="0"/>
          <c:showVal val="0"/>
          <c:showCatName val="0"/>
          <c:showSerName val="0"/>
          <c:showPercent val="0"/>
          <c:showBubbleSize val="0"/>
        </c:dLbls>
        <c:gapWidth val="182"/>
        <c:axId val="589802408"/>
        <c:axId val="589802736"/>
      </c:barChart>
      <c:catAx>
        <c:axId val="589802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802736"/>
        <c:crosses val="autoZero"/>
        <c:auto val="1"/>
        <c:lblAlgn val="ctr"/>
        <c:lblOffset val="100"/>
        <c:noMultiLvlLbl val="0"/>
      </c:catAx>
      <c:valAx>
        <c:axId val="58980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89802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Modified.xlsx]Price Compliance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'Price Compliance Pivot'!$B$3</c:f>
              <c:strCache>
                <c:ptCount val="1"/>
                <c:pt idx="0">
                  <c:v>Count of OrderID</c:v>
                </c:pt>
              </c:strCache>
            </c:strRef>
          </c:tx>
          <c:spPr>
            <a:solidFill>
              <a:schemeClr val="accent1"/>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Pivot'!$B$4:$B$55</c:f>
              <c:numCache>
                <c:formatCode>General</c:formatCode>
                <c:ptCount val="48"/>
                <c:pt idx="0">
                  <c:v>8</c:v>
                </c:pt>
                <c:pt idx="1">
                  <c:v>2</c:v>
                </c:pt>
                <c:pt idx="2">
                  <c:v>10</c:v>
                </c:pt>
                <c:pt idx="3">
                  <c:v>10</c:v>
                </c:pt>
                <c:pt idx="4">
                  <c:v>14</c:v>
                </c:pt>
                <c:pt idx="5">
                  <c:v>7</c:v>
                </c:pt>
                <c:pt idx="6">
                  <c:v>19</c:v>
                </c:pt>
                <c:pt idx="7">
                  <c:v>8</c:v>
                </c:pt>
                <c:pt idx="8">
                  <c:v>16</c:v>
                </c:pt>
                <c:pt idx="9">
                  <c:v>11</c:v>
                </c:pt>
                <c:pt idx="10">
                  <c:v>12</c:v>
                </c:pt>
                <c:pt idx="11">
                  <c:v>8</c:v>
                </c:pt>
                <c:pt idx="12">
                  <c:v>9</c:v>
                </c:pt>
                <c:pt idx="13">
                  <c:v>10</c:v>
                </c:pt>
                <c:pt idx="14">
                  <c:v>17</c:v>
                </c:pt>
                <c:pt idx="15">
                  <c:v>10</c:v>
                </c:pt>
                <c:pt idx="16">
                  <c:v>12</c:v>
                </c:pt>
                <c:pt idx="17">
                  <c:v>3</c:v>
                </c:pt>
                <c:pt idx="18">
                  <c:v>7</c:v>
                </c:pt>
                <c:pt idx="19">
                  <c:v>12</c:v>
                </c:pt>
                <c:pt idx="20">
                  <c:v>12</c:v>
                </c:pt>
                <c:pt idx="21">
                  <c:v>10</c:v>
                </c:pt>
                <c:pt idx="22">
                  <c:v>10</c:v>
                </c:pt>
                <c:pt idx="23">
                  <c:v>14</c:v>
                </c:pt>
                <c:pt idx="24">
                  <c:v>9</c:v>
                </c:pt>
                <c:pt idx="25">
                  <c:v>8</c:v>
                </c:pt>
                <c:pt idx="26">
                  <c:v>15</c:v>
                </c:pt>
                <c:pt idx="27">
                  <c:v>5</c:v>
                </c:pt>
                <c:pt idx="28">
                  <c:v>8</c:v>
                </c:pt>
                <c:pt idx="29">
                  <c:v>14</c:v>
                </c:pt>
                <c:pt idx="30">
                  <c:v>8</c:v>
                </c:pt>
                <c:pt idx="31">
                  <c:v>10</c:v>
                </c:pt>
                <c:pt idx="32">
                  <c:v>9</c:v>
                </c:pt>
                <c:pt idx="33">
                  <c:v>2</c:v>
                </c:pt>
                <c:pt idx="34">
                  <c:v>4</c:v>
                </c:pt>
                <c:pt idx="35">
                  <c:v>16</c:v>
                </c:pt>
                <c:pt idx="36">
                  <c:v>10</c:v>
                </c:pt>
                <c:pt idx="37">
                  <c:v>14</c:v>
                </c:pt>
                <c:pt idx="38">
                  <c:v>12</c:v>
                </c:pt>
                <c:pt idx="39">
                  <c:v>8</c:v>
                </c:pt>
                <c:pt idx="40">
                  <c:v>7</c:v>
                </c:pt>
                <c:pt idx="41">
                  <c:v>3</c:v>
                </c:pt>
                <c:pt idx="42">
                  <c:v>13</c:v>
                </c:pt>
                <c:pt idx="43">
                  <c:v>5</c:v>
                </c:pt>
                <c:pt idx="44">
                  <c:v>10</c:v>
                </c:pt>
                <c:pt idx="45">
                  <c:v>8</c:v>
                </c:pt>
                <c:pt idx="46">
                  <c:v>8</c:v>
                </c:pt>
                <c:pt idx="47">
                  <c:v>16</c:v>
                </c:pt>
              </c:numCache>
            </c:numRef>
          </c:val>
          <c:extLst>
            <c:ext xmlns:c16="http://schemas.microsoft.com/office/drawing/2014/chart" uri="{C3380CC4-5D6E-409C-BE32-E72D297353CC}">
              <c16:uniqueId val="{00000000-2C85-4965-965B-637FDB96493B}"/>
            </c:ext>
          </c:extLst>
        </c:ser>
        <c:ser>
          <c:idx val="1"/>
          <c:order val="1"/>
          <c:tx>
            <c:strRef>
              <c:f>'Price Compliance Pivot'!$C$3</c:f>
              <c:strCache>
                <c:ptCount val="1"/>
                <c:pt idx="0">
                  <c:v>Sum of DiscountPct</c:v>
                </c:pt>
              </c:strCache>
            </c:strRef>
          </c:tx>
          <c:spPr>
            <a:solidFill>
              <a:schemeClr val="accent2"/>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Pivot'!$C$4:$C$55</c:f>
              <c:numCache>
                <c:formatCode>General</c:formatCode>
                <c:ptCount val="48"/>
                <c:pt idx="0">
                  <c:v>1.5699999999999998</c:v>
                </c:pt>
                <c:pt idx="1">
                  <c:v>0.20700000000000002</c:v>
                </c:pt>
                <c:pt idx="2">
                  <c:v>1.129</c:v>
                </c:pt>
                <c:pt idx="3">
                  <c:v>1.0210000000000001</c:v>
                </c:pt>
                <c:pt idx="4">
                  <c:v>1.7799999999999998</c:v>
                </c:pt>
                <c:pt idx="5">
                  <c:v>0.91999999999999993</c:v>
                </c:pt>
                <c:pt idx="6">
                  <c:v>2.1710000000000003</c:v>
                </c:pt>
                <c:pt idx="7">
                  <c:v>0.87800000000000011</c:v>
                </c:pt>
                <c:pt idx="8">
                  <c:v>2.4420000000000002</c:v>
                </c:pt>
                <c:pt idx="9">
                  <c:v>1.2859999999999998</c:v>
                </c:pt>
                <c:pt idx="10">
                  <c:v>1.6029999999999998</c:v>
                </c:pt>
                <c:pt idx="11">
                  <c:v>0.88600000000000012</c:v>
                </c:pt>
                <c:pt idx="12">
                  <c:v>1.036</c:v>
                </c:pt>
                <c:pt idx="13">
                  <c:v>1.6680000000000001</c:v>
                </c:pt>
                <c:pt idx="14">
                  <c:v>2.0590000000000002</c:v>
                </c:pt>
                <c:pt idx="15">
                  <c:v>1.0329999999999999</c:v>
                </c:pt>
                <c:pt idx="16">
                  <c:v>1.264</c:v>
                </c:pt>
                <c:pt idx="17">
                  <c:v>0.49</c:v>
                </c:pt>
                <c:pt idx="18">
                  <c:v>0.67599999999999993</c:v>
                </c:pt>
                <c:pt idx="19">
                  <c:v>1.798</c:v>
                </c:pt>
                <c:pt idx="20">
                  <c:v>1.5189999999999997</c:v>
                </c:pt>
                <c:pt idx="21">
                  <c:v>1.139</c:v>
                </c:pt>
                <c:pt idx="22">
                  <c:v>1.1620000000000001</c:v>
                </c:pt>
                <c:pt idx="23">
                  <c:v>1.9949999999999997</c:v>
                </c:pt>
                <c:pt idx="24">
                  <c:v>0.93799999999999983</c:v>
                </c:pt>
                <c:pt idx="25">
                  <c:v>0.99199999999999999</c:v>
                </c:pt>
                <c:pt idx="26">
                  <c:v>1.518</c:v>
                </c:pt>
                <c:pt idx="27">
                  <c:v>0.41500000000000004</c:v>
                </c:pt>
                <c:pt idx="28">
                  <c:v>1.421</c:v>
                </c:pt>
                <c:pt idx="29">
                  <c:v>1.53</c:v>
                </c:pt>
                <c:pt idx="30">
                  <c:v>0.94100000000000006</c:v>
                </c:pt>
                <c:pt idx="31">
                  <c:v>1.615</c:v>
                </c:pt>
                <c:pt idx="32">
                  <c:v>1.1579999999999999</c:v>
                </c:pt>
                <c:pt idx="33">
                  <c:v>0.45599999999999996</c:v>
                </c:pt>
                <c:pt idx="34">
                  <c:v>0.24399999999999999</c:v>
                </c:pt>
                <c:pt idx="35">
                  <c:v>2.5680000000000001</c:v>
                </c:pt>
                <c:pt idx="36">
                  <c:v>1.3789999999999998</c:v>
                </c:pt>
                <c:pt idx="37">
                  <c:v>1.403</c:v>
                </c:pt>
                <c:pt idx="38">
                  <c:v>1.5010000000000001</c:v>
                </c:pt>
                <c:pt idx="39">
                  <c:v>1.1680000000000001</c:v>
                </c:pt>
                <c:pt idx="40">
                  <c:v>0.96000000000000008</c:v>
                </c:pt>
                <c:pt idx="41">
                  <c:v>0.29599999999999999</c:v>
                </c:pt>
                <c:pt idx="42">
                  <c:v>0.87500000000000022</c:v>
                </c:pt>
                <c:pt idx="43">
                  <c:v>0.50900000000000001</c:v>
                </c:pt>
                <c:pt idx="44">
                  <c:v>1.0949999999999998</c:v>
                </c:pt>
                <c:pt idx="45">
                  <c:v>1.0150000000000001</c:v>
                </c:pt>
                <c:pt idx="46">
                  <c:v>0.48199999999999998</c:v>
                </c:pt>
                <c:pt idx="47">
                  <c:v>2.2249999999999996</c:v>
                </c:pt>
              </c:numCache>
            </c:numRef>
          </c:val>
          <c:extLst>
            <c:ext xmlns:c16="http://schemas.microsoft.com/office/drawing/2014/chart" uri="{C3380CC4-5D6E-409C-BE32-E72D297353CC}">
              <c16:uniqueId val="{00000001-2C85-4965-965B-637FDB96493B}"/>
            </c:ext>
          </c:extLst>
        </c:ser>
        <c:dLbls>
          <c:showLegendKey val="0"/>
          <c:showVal val="0"/>
          <c:showCatName val="0"/>
          <c:showSerName val="0"/>
          <c:showPercent val="0"/>
          <c:showBubbleSize val="0"/>
        </c:dLbls>
        <c:gapWidth val="150"/>
        <c:overlap val="100"/>
        <c:axId val="465504208"/>
        <c:axId val="465503552"/>
      </c:barChart>
      <c:catAx>
        <c:axId val="46550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5503552"/>
        <c:crosses val="autoZero"/>
        <c:auto val="1"/>
        <c:lblAlgn val="ctr"/>
        <c:lblOffset val="100"/>
        <c:noMultiLvlLbl val="0"/>
      </c:catAx>
      <c:valAx>
        <c:axId val="46550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6550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Modified.xlsx]Price Compliance Pivot!PivotTable1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Compliance Pivot'!$B$3</c:f>
              <c:strCache>
                <c:ptCount val="1"/>
                <c:pt idx="0">
                  <c:v>Count of OrderID</c:v>
                </c:pt>
              </c:strCache>
            </c:strRef>
          </c:tx>
          <c:spPr>
            <a:solidFill>
              <a:schemeClr val="accent1"/>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Pivot'!$B$4:$B$55</c:f>
              <c:numCache>
                <c:formatCode>General</c:formatCode>
                <c:ptCount val="48"/>
                <c:pt idx="0">
                  <c:v>8</c:v>
                </c:pt>
                <c:pt idx="1">
                  <c:v>2</c:v>
                </c:pt>
                <c:pt idx="2">
                  <c:v>10</c:v>
                </c:pt>
                <c:pt idx="3">
                  <c:v>10</c:v>
                </c:pt>
                <c:pt idx="4">
                  <c:v>14</c:v>
                </c:pt>
                <c:pt idx="5">
                  <c:v>7</c:v>
                </c:pt>
                <c:pt idx="6">
                  <c:v>19</c:v>
                </c:pt>
                <c:pt idx="7">
                  <c:v>8</c:v>
                </c:pt>
                <c:pt idx="8">
                  <c:v>16</c:v>
                </c:pt>
                <c:pt idx="9">
                  <c:v>11</c:v>
                </c:pt>
                <c:pt idx="10">
                  <c:v>12</c:v>
                </c:pt>
                <c:pt idx="11">
                  <c:v>8</c:v>
                </c:pt>
                <c:pt idx="12">
                  <c:v>9</c:v>
                </c:pt>
                <c:pt idx="13">
                  <c:v>10</c:v>
                </c:pt>
                <c:pt idx="14">
                  <c:v>17</c:v>
                </c:pt>
                <c:pt idx="15">
                  <c:v>10</c:v>
                </c:pt>
                <c:pt idx="16">
                  <c:v>12</c:v>
                </c:pt>
                <c:pt idx="17">
                  <c:v>3</c:v>
                </c:pt>
                <c:pt idx="18">
                  <c:v>7</c:v>
                </c:pt>
                <c:pt idx="19">
                  <c:v>12</c:v>
                </c:pt>
                <c:pt idx="20">
                  <c:v>12</c:v>
                </c:pt>
                <c:pt idx="21">
                  <c:v>10</c:v>
                </c:pt>
                <c:pt idx="22">
                  <c:v>10</c:v>
                </c:pt>
                <c:pt idx="23">
                  <c:v>14</c:v>
                </c:pt>
                <c:pt idx="24">
                  <c:v>9</c:v>
                </c:pt>
                <c:pt idx="25">
                  <c:v>8</c:v>
                </c:pt>
                <c:pt idx="26">
                  <c:v>15</c:v>
                </c:pt>
                <c:pt idx="27">
                  <c:v>5</c:v>
                </c:pt>
                <c:pt idx="28">
                  <c:v>8</c:v>
                </c:pt>
                <c:pt idx="29">
                  <c:v>14</c:v>
                </c:pt>
                <c:pt idx="30">
                  <c:v>8</c:v>
                </c:pt>
                <c:pt idx="31">
                  <c:v>10</c:v>
                </c:pt>
                <c:pt idx="32">
                  <c:v>9</c:v>
                </c:pt>
                <c:pt idx="33">
                  <c:v>2</c:v>
                </c:pt>
                <c:pt idx="34">
                  <c:v>4</c:v>
                </c:pt>
                <c:pt idx="35">
                  <c:v>16</c:v>
                </c:pt>
                <c:pt idx="36">
                  <c:v>10</c:v>
                </c:pt>
                <c:pt idx="37">
                  <c:v>14</c:v>
                </c:pt>
                <c:pt idx="38">
                  <c:v>12</c:v>
                </c:pt>
                <c:pt idx="39">
                  <c:v>8</c:v>
                </c:pt>
                <c:pt idx="40">
                  <c:v>7</c:v>
                </c:pt>
                <c:pt idx="41">
                  <c:v>3</c:v>
                </c:pt>
                <c:pt idx="42">
                  <c:v>13</c:v>
                </c:pt>
                <c:pt idx="43">
                  <c:v>5</c:v>
                </c:pt>
                <c:pt idx="44">
                  <c:v>10</c:v>
                </c:pt>
                <c:pt idx="45">
                  <c:v>8</c:v>
                </c:pt>
                <c:pt idx="46">
                  <c:v>8</c:v>
                </c:pt>
                <c:pt idx="47">
                  <c:v>16</c:v>
                </c:pt>
              </c:numCache>
            </c:numRef>
          </c:val>
          <c:extLst>
            <c:ext xmlns:c16="http://schemas.microsoft.com/office/drawing/2014/chart" uri="{C3380CC4-5D6E-409C-BE32-E72D297353CC}">
              <c16:uniqueId val="{00000000-BC67-40E7-B845-3C31AA99D6E7}"/>
            </c:ext>
          </c:extLst>
        </c:ser>
        <c:ser>
          <c:idx val="1"/>
          <c:order val="1"/>
          <c:tx>
            <c:strRef>
              <c:f>'Price Compliance Pivot'!$C$3</c:f>
              <c:strCache>
                <c:ptCount val="1"/>
                <c:pt idx="0">
                  <c:v>Sum of DiscountPct</c:v>
                </c:pt>
              </c:strCache>
            </c:strRef>
          </c:tx>
          <c:spPr>
            <a:solidFill>
              <a:schemeClr val="accent2"/>
            </a:solidFill>
            <a:ln>
              <a:noFill/>
            </a:ln>
            <a:effectLst/>
          </c:spPr>
          <c:invertIfNegative val="0"/>
          <c:cat>
            <c:multiLvlStrRef>
              <c:f>'Price Compliance Pivot'!$A$4:$A$55</c:f>
              <c:multiLvlStrCache>
                <c:ptCount val="48"/>
                <c:lvl>
                  <c:pt idx="0">
                    <c:v>O. Wang</c:v>
                  </c:pt>
                  <c:pt idx="1">
                    <c:v>Not Provided</c:v>
                  </c:pt>
                  <c:pt idx="2">
                    <c:v>N. Brown</c:v>
                  </c:pt>
                  <c:pt idx="3">
                    <c:v>M. Rossi</c:v>
                  </c:pt>
                  <c:pt idx="4">
                    <c:v>L. Okafor</c:v>
                  </c:pt>
                  <c:pt idx="5">
                    <c:v>K. Singh</c:v>
                  </c:pt>
                  <c:pt idx="6">
                    <c:v>J. Njeri</c:v>
                  </c:pt>
                  <c:pt idx="7">
                    <c:v>I. Johnson</c:v>
                  </c:pt>
                  <c:pt idx="8">
                    <c:v>H. Kim</c:v>
                  </c:pt>
                  <c:pt idx="9">
                    <c:v>G. Dubois</c:v>
                  </c:pt>
                  <c:pt idx="10">
                    <c:v>F. Müller</c:v>
                  </c:pt>
                  <c:pt idx="11">
                    <c:v>E. Garcia</c:v>
                  </c:pt>
                  <c:pt idx="12">
                    <c:v>D. Smith</c:v>
                  </c:pt>
                  <c:pt idx="13">
                    <c:v>C. Otieno</c:v>
                  </c:pt>
                  <c:pt idx="14">
                    <c:v>B. Chen</c:v>
                  </c:pt>
                  <c:pt idx="15">
                    <c:v>A. Patel</c:v>
                  </c:pt>
                  <c:pt idx="16">
                    <c:v>O. Wang</c:v>
                  </c:pt>
                  <c:pt idx="17">
                    <c:v>Not Provided</c:v>
                  </c:pt>
                  <c:pt idx="18">
                    <c:v>N. Brown</c:v>
                  </c:pt>
                  <c:pt idx="19">
                    <c:v>M. Rossi</c:v>
                  </c:pt>
                  <c:pt idx="20">
                    <c:v>L. Okafor</c:v>
                  </c:pt>
                  <c:pt idx="21">
                    <c:v>K. Singh</c:v>
                  </c:pt>
                  <c:pt idx="22">
                    <c:v>J. Njeri</c:v>
                  </c:pt>
                  <c:pt idx="23">
                    <c:v>I. Johnson</c:v>
                  </c:pt>
                  <c:pt idx="24">
                    <c:v>H. Kim</c:v>
                  </c:pt>
                  <c:pt idx="25">
                    <c:v>G. Dubois</c:v>
                  </c:pt>
                  <c:pt idx="26">
                    <c:v>F. Müller</c:v>
                  </c:pt>
                  <c:pt idx="27">
                    <c:v>E. Garcia</c:v>
                  </c:pt>
                  <c:pt idx="28">
                    <c:v>D. Smith</c:v>
                  </c:pt>
                  <c:pt idx="29">
                    <c:v>C. Otieno</c:v>
                  </c:pt>
                  <c:pt idx="30">
                    <c:v>B. Chen</c:v>
                  </c:pt>
                  <c:pt idx="31">
                    <c:v>A. Patel</c:v>
                  </c:pt>
                  <c:pt idx="32">
                    <c:v>O. Wang</c:v>
                  </c:pt>
                  <c:pt idx="33">
                    <c:v>Not Provided</c:v>
                  </c:pt>
                  <c:pt idx="34">
                    <c:v>N. Brown</c:v>
                  </c:pt>
                  <c:pt idx="35">
                    <c:v>M. Rossi</c:v>
                  </c:pt>
                  <c:pt idx="36">
                    <c:v>L. Okafor</c:v>
                  </c:pt>
                  <c:pt idx="37">
                    <c:v>K. Singh</c:v>
                  </c:pt>
                  <c:pt idx="38">
                    <c:v>J. Njeri</c:v>
                  </c:pt>
                  <c:pt idx="39">
                    <c:v>I. Johnson</c:v>
                  </c:pt>
                  <c:pt idx="40">
                    <c:v>H. Kim</c:v>
                  </c:pt>
                  <c:pt idx="41">
                    <c:v>G. Dubois</c:v>
                  </c:pt>
                  <c:pt idx="42">
                    <c:v>F. Müller</c:v>
                  </c:pt>
                  <c:pt idx="43">
                    <c:v>E. Garcia</c:v>
                  </c:pt>
                  <c:pt idx="44">
                    <c:v>D. Smith</c:v>
                  </c:pt>
                  <c:pt idx="45">
                    <c:v>C. Otieno</c:v>
                  </c:pt>
                  <c:pt idx="46">
                    <c:v>B. Chen</c:v>
                  </c:pt>
                  <c:pt idx="47">
                    <c:v>A. Patel</c:v>
                  </c:pt>
                </c:lvl>
                <c:lvl>
                  <c:pt idx="0">
                    <c:v>Asia</c:v>
                  </c:pt>
                  <c:pt idx="16">
                    <c:v>Americas</c:v>
                  </c:pt>
                  <c:pt idx="32">
                    <c:v>Africa</c:v>
                  </c:pt>
                </c:lvl>
              </c:multiLvlStrCache>
            </c:multiLvlStrRef>
          </c:cat>
          <c:val>
            <c:numRef>
              <c:f>'Price Compliance Pivot'!$C$4:$C$55</c:f>
              <c:numCache>
                <c:formatCode>General</c:formatCode>
                <c:ptCount val="48"/>
                <c:pt idx="0">
                  <c:v>1.5699999999999998</c:v>
                </c:pt>
                <c:pt idx="1">
                  <c:v>0.20700000000000002</c:v>
                </c:pt>
                <c:pt idx="2">
                  <c:v>1.129</c:v>
                </c:pt>
                <c:pt idx="3">
                  <c:v>1.0210000000000001</c:v>
                </c:pt>
                <c:pt idx="4">
                  <c:v>1.7799999999999998</c:v>
                </c:pt>
                <c:pt idx="5">
                  <c:v>0.91999999999999993</c:v>
                </c:pt>
                <c:pt idx="6">
                  <c:v>2.1710000000000003</c:v>
                </c:pt>
                <c:pt idx="7">
                  <c:v>0.87800000000000011</c:v>
                </c:pt>
                <c:pt idx="8">
                  <c:v>2.4420000000000002</c:v>
                </c:pt>
                <c:pt idx="9">
                  <c:v>1.2859999999999998</c:v>
                </c:pt>
                <c:pt idx="10">
                  <c:v>1.6029999999999998</c:v>
                </c:pt>
                <c:pt idx="11">
                  <c:v>0.88600000000000012</c:v>
                </c:pt>
                <c:pt idx="12">
                  <c:v>1.036</c:v>
                </c:pt>
                <c:pt idx="13">
                  <c:v>1.6680000000000001</c:v>
                </c:pt>
                <c:pt idx="14">
                  <c:v>2.0590000000000002</c:v>
                </c:pt>
                <c:pt idx="15">
                  <c:v>1.0329999999999999</c:v>
                </c:pt>
                <c:pt idx="16">
                  <c:v>1.264</c:v>
                </c:pt>
                <c:pt idx="17">
                  <c:v>0.49</c:v>
                </c:pt>
                <c:pt idx="18">
                  <c:v>0.67599999999999993</c:v>
                </c:pt>
                <c:pt idx="19">
                  <c:v>1.798</c:v>
                </c:pt>
                <c:pt idx="20">
                  <c:v>1.5189999999999997</c:v>
                </c:pt>
                <c:pt idx="21">
                  <c:v>1.139</c:v>
                </c:pt>
                <c:pt idx="22">
                  <c:v>1.1620000000000001</c:v>
                </c:pt>
                <c:pt idx="23">
                  <c:v>1.9949999999999997</c:v>
                </c:pt>
                <c:pt idx="24">
                  <c:v>0.93799999999999983</c:v>
                </c:pt>
                <c:pt idx="25">
                  <c:v>0.99199999999999999</c:v>
                </c:pt>
                <c:pt idx="26">
                  <c:v>1.518</c:v>
                </c:pt>
                <c:pt idx="27">
                  <c:v>0.41500000000000004</c:v>
                </c:pt>
                <c:pt idx="28">
                  <c:v>1.421</c:v>
                </c:pt>
                <c:pt idx="29">
                  <c:v>1.53</c:v>
                </c:pt>
                <c:pt idx="30">
                  <c:v>0.94100000000000006</c:v>
                </c:pt>
                <c:pt idx="31">
                  <c:v>1.615</c:v>
                </c:pt>
                <c:pt idx="32">
                  <c:v>1.1579999999999999</c:v>
                </c:pt>
                <c:pt idx="33">
                  <c:v>0.45599999999999996</c:v>
                </c:pt>
                <c:pt idx="34">
                  <c:v>0.24399999999999999</c:v>
                </c:pt>
                <c:pt idx="35">
                  <c:v>2.5680000000000001</c:v>
                </c:pt>
                <c:pt idx="36">
                  <c:v>1.3789999999999998</c:v>
                </c:pt>
                <c:pt idx="37">
                  <c:v>1.403</c:v>
                </c:pt>
                <c:pt idx="38">
                  <c:v>1.5010000000000001</c:v>
                </c:pt>
                <c:pt idx="39">
                  <c:v>1.1680000000000001</c:v>
                </c:pt>
                <c:pt idx="40">
                  <c:v>0.96000000000000008</c:v>
                </c:pt>
                <c:pt idx="41">
                  <c:v>0.29599999999999999</c:v>
                </c:pt>
                <c:pt idx="42">
                  <c:v>0.87500000000000022</c:v>
                </c:pt>
                <c:pt idx="43">
                  <c:v>0.50900000000000001</c:v>
                </c:pt>
                <c:pt idx="44">
                  <c:v>1.0949999999999998</c:v>
                </c:pt>
                <c:pt idx="45">
                  <c:v>1.0150000000000001</c:v>
                </c:pt>
                <c:pt idx="46">
                  <c:v>0.48199999999999998</c:v>
                </c:pt>
                <c:pt idx="47">
                  <c:v>2.2249999999999996</c:v>
                </c:pt>
              </c:numCache>
            </c:numRef>
          </c:val>
          <c:extLst>
            <c:ext xmlns:c16="http://schemas.microsoft.com/office/drawing/2014/chart" uri="{C3380CC4-5D6E-409C-BE32-E72D297353CC}">
              <c16:uniqueId val="{00000001-BC67-40E7-B845-3C31AA99D6E7}"/>
            </c:ext>
          </c:extLst>
        </c:ser>
        <c:dLbls>
          <c:showLegendKey val="0"/>
          <c:showVal val="0"/>
          <c:showCatName val="0"/>
          <c:showSerName val="0"/>
          <c:showPercent val="0"/>
          <c:showBubbleSize val="0"/>
        </c:dLbls>
        <c:gapWidth val="182"/>
        <c:axId val="541177272"/>
        <c:axId val="541178912"/>
      </c:barChart>
      <c:catAx>
        <c:axId val="541177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1178912"/>
        <c:crosses val="autoZero"/>
        <c:auto val="1"/>
        <c:lblAlgn val="ctr"/>
        <c:lblOffset val="100"/>
        <c:noMultiLvlLbl val="0"/>
      </c:catAx>
      <c:valAx>
        <c:axId val="54117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117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'Price Compliance Pivot'!$C$58</c:f>
              <c:strCache>
                <c:ptCount val="1"/>
                <c:pt idx="0">
                  <c:v>High Discount Flag</c:v>
                </c:pt>
              </c:strCache>
            </c:strRef>
          </c:tx>
          <c:spPr>
            <a:ln w="19050" cap="rnd">
              <a:noFill/>
              <a:round/>
            </a:ln>
            <a:effectLst/>
          </c:spPr>
          <c:marker>
            <c:symbol val="circle"/>
            <c:size val="5"/>
            <c:spPr>
              <a:solidFill>
                <a:schemeClr val="accent1"/>
              </a:solidFill>
              <a:ln w="9525">
                <a:solidFill>
                  <a:schemeClr val="accent1"/>
                </a:solidFill>
              </a:ln>
              <a:effectLst/>
            </c:spPr>
          </c:marker>
          <c:xVal>
            <c:numRef>
              <c:f>'Price Compliance Pivot'!$B$59:$B$110</c:f>
              <c:numCache>
                <c:formatCode>General</c:formatCode>
                <c:ptCount val="52"/>
                <c:pt idx="0">
                  <c:v>21.688999999999997</c:v>
                </c:pt>
                <c:pt idx="1">
                  <c:v>1.5699999999999998</c:v>
                </c:pt>
                <c:pt idx="2">
                  <c:v>0.20700000000000002</c:v>
                </c:pt>
                <c:pt idx="3">
                  <c:v>1.129</c:v>
                </c:pt>
                <c:pt idx="4">
                  <c:v>1.0210000000000001</c:v>
                </c:pt>
                <c:pt idx="5">
                  <c:v>1.7799999999999998</c:v>
                </c:pt>
                <c:pt idx="6">
                  <c:v>0.91999999999999993</c:v>
                </c:pt>
                <c:pt idx="7">
                  <c:v>2.1710000000000003</c:v>
                </c:pt>
                <c:pt idx="8">
                  <c:v>0.87800000000000011</c:v>
                </c:pt>
                <c:pt idx="9">
                  <c:v>2.4420000000000002</c:v>
                </c:pt>
                <c:pt idx="10">
                  <c:v>1.2859999999999998</c:v>
                </c:pt>
                <c:pt idx="11">
                  <c:v>1.6029999999999998</c:v>
                </c:pt>
                <c:pt idx="12">
                  <c:v>0.88600000000000012</c:v>
                </c:pt>
                <c:pt idx="13">
                  <c:v>1.036</c:v>
                </c:pt>
                <c:pt idx="14">
                  <c:v>1.6680000000000001</c:v>
                </c:pt>
                <c:pt idx="15">
                  <c:v>2.0590000000000002</c:v>
                </c:pt>
                <c:pt idx="16">
                  <c:v>1.0329999999999999</c:v>
                </c:pt>
                <c:pt idx="17">
                  <c:v>19.413000000000004</c:v>
                </c:pt>
                <c:pt idx="18">
                  <c:v>1.264</c:v>
                </c:pt>
                <c:pt idx="19">
                  <c:v>0.49</c:v>
                </c:pt>
                <c:pt idx="20">
                  <c:v>0.67599999999999993</c:v>
                </c:pt>
                <c:pt idx="21">
                  <c:v>1.798</c:v>
                </c:pt>
                <c:pt idx="22">
                  <c:v>1.5189999999999997</c:v>
                </c:pt>
                <c:pt idx="23">
                  <c:v>1.139</c:v>
                </c:pt>
                <c:pt idx="24">
                  <c:v>1.1620000000000001</c:v>
                </c:pt>
                <c:pt idx="25">
                  <c:v>1.9949999999999997</c:v>
                </c:pt>
                <c:pt idx="26">
                  <c:v>0.93799999999999983</c:v>
                </c:pt>
                <c:pt idx="27">
                  <c:v>0.99199999999999999</c:v>
                </c:pt>
                <c:pt idx="28">
                  <c:v>1.518</c:v>
                </c:pt>
                <c:pt idx="29">
                  <c:v>0.41500000000000004</c:v>
                </c:pt>
                <c:pt idx="30">
                  <c:v>1.421</c:v>
                </c:pt>
                <c:pt idx="31">
                  <c:v>1.53</c:v>
                </c:pt>
                <c:pt idx="32">
                  <c:v>0.94100000000000006</c:v>
                </c:pt>
                <c:pt idx="33">
                  <c:v>1.615</c:v>
                </c:pt>
                <c:pt idx="34">
                  <c:v>17.333999999999993</c:v>
                </c:pt>
                <c:pt idx="35">
                  <c:v>1.1579999999999999</c:v>
                </c:pt>
                <c:pt idx="36">
                  <c:v>0.45599999999999996</c:v>
                </c:pt>
                <c:pt idx="37">
                  <c:v>0.24399999999999999</c:v>
                </c:pt>
                <c:pt idx="38">
                  <c:v>2.5680000000000001</c:v>
                </c:pt>
                <c:pt idx="39">
                  <c:v>1.3789999999999998</c:v>
                </c:pt>
                <c:pt idx="40">
                  <c:v>1.403</c:v>
                </c:pt>
                <c:pt idx="41">
                  <c:v>1.5010000000000001</c:v>
                </c:pt>
                <c:pt idx="42">
                  <c:v>1.1680000000000001</c:v>
                </c:pt>
                <c:pt idx="43">
                  <c:v>0.96000000000000008</c:v>
                </c:pt>
                <c:pt idx="44">
                  <c:v>0.29599999999999999</c:v>
                </c:pt>
                <c:pt idx="45">
                  <c:v>0.87500000000000022</c:v>
                </c:pt>
                <c:pt idx="46">
                  <c:v>0.50900000000000001</c:v>
                </c:pt>
                <c:pt idx="47">
                  <c:v>1.0949999999999998</c:v>
                </c:pt>
                <c:pt idx="48">
                  <c:v>1.0150000000000001</c:v>
                </c:pt>
                <c:pt idx="49">
                  <c:v>0.48199999999999998</c:v>
                </c:pt>
                <c:pt idx="50">
                  <c:v>2.2249999999999996</c:v>
                </c:pt>
                <c:pt idx="51">
                  <c:v>58.436</c:v>
                </c:pt>
              </c:numCache>
            </c:numRef>
          </c:xVal>
          <c:yVal>
            <c:numRef>
              <c:f>'Price Compliance Pivot'!$C$59:$C$110</c:f>
              <c:numCache>
                <c:formatCode>General</c:formatCode>
                <c:ptCount val="52"/>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yVal>
          <c:smooth val="0"/>
          <c:extLst>
            <c:ext xmlns:c16="http://schemas.microsoft.com/office/drawing/2014/chart" uri="{C3380CC4-5D6E-409C-BE32-E72D297353CC}">
              <c16:uniqueId val="{00000000-8EE5-4E2B-9EBE-9AC2529A1E53}"/>
            </c:ext>
          </c:extLst>
        </c:ser>
        <c:ser>
          <c:idx val="1"/>
          <c:order val="1"/>
          <c:tx>
            <c:strRef>
              <c:f>'Price Compliance Pivot'!$D$58</c:f>
              <c:strCache>
                <c:ptCount val="1"/>
                <c:pt idx="0">
                  <c:v>Share Of High Discount Orders</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'Price Compliance Pivot'!$B$59:$B$110</c:f>
              <c:numCache>
                <c:formatCode>General</c:formatCode>
                <c:ptCount val="52"/>
                <c:pt idx="0">
                  <c:v>21.688999999999997</c:v>
                </c:pt>
                <c:pt idx="1">
                  <c:v>1.5699999999999998</c:v>
                </c:pt>
                <c:pt idx="2">
                  <c:v>0.20700000000000002</c:v>
                </c:pt>
                <c:pt idx="3">
                  <c:v>1.129</c:v>
                </c:pt>
                <c:pt idx="4">
                  <c:v>1.0210000000000001</c:v>
                </c:pt>
                <c:pt idx="5">
                  <c:v>1.7799999999999998</c:v>
                </c:pt>
                <c:pt idx="6">
                  <c:v>0.91999999999999993</c:v>
                </c:pt>
                <c:pt idx="7">
                  <c:v>2.1710000000000003</c:v>
                </c:pt>
                <c:pt idx="8">
                  <c:v>0.87800000000000011</c:v>
                </c:pt>
                <c:pt idx="9">
                  <c:v>2.4420000000000002</c:v>
                </c:pt>
                <c:pt idx="10">
                  <c:v>1.2859999999999998</c:v>
                </c:pt>
                <c:pt idx="11">
                  <c:v>1.6029999999999998</c:v>
                </c:pt>
                <c:pt idx="12">
                  <c:v>0.88600000000000012</c:v>
                </c:pt>
                <c:pt idx="13">
                  <c:v>1.036</c:v>
                </c:pt>
                <c:pt idx="14">
                  <c:v>1.6680000000000001</c:v>
                </c:pt>
                <c:pt idx="15">
                  <c:v>2.0590000000000002</c:v>
                </c:pt>
                <c:pt idx="16">
                  <c:v>1.0329999999999999</c:v>
                </c:pt>
                <c:pt idx="17">
                  <c:v>19.413000000000004</c:v>
                </c:pt>
                <c:pt idx="18">
                  <c:v>1.264</c:v>
                </c:pt>
                <c:pt idx="19">
                  <c:v>0.49</c:v>
                </c:pt>
                <c:pt idx="20">
                  <c:v>0.67599999999999993</c:v>
                </c:pt>
                <c:pt idx="21">
                  <c:v>1.798</c:v>
                </c:pt>
                <c:pt idx="22">
                  <c:v>1.5189999999999997</c:v>
                </c:pt>
                <c:pt idx="23">
                  <c:v>1.139</c:v>
                </c:pt>
                <c:pt idx="24">
                  <c:v>1.1620000000000001</c:v>
                </c:pt>
                <c:pt idx="25">
                  <c:v>1.9949999999999997</c:v>
                </c:pt>
                <c:pt idx="26">
                  <c:v>0.93799999999999983</c:v>
                </c:pt>
                <c:pt idx="27">
                  <c:v>0.99199999999999999</c:v>
                </c:pt>
                <c:pt idx="28">
                  <c:v>1.518</c:v>
                </c:pt>
                <c:pt idx="29">
                  <c:v>0.41500000000000004</c:v>
                </c:pt>
                <c:pt idx="30">
                  <c:v>1.421</c:v>
                </c:pt>
                <c:pt idx="31">
                  <c:v>1.53</c:v>
                </c:pt>
                <c:pt idx="32">
                  <c:v>0.94100000000000006</c:v>
                </c:pt>
                <c:pt idx="33">
                  <c:v>1.615</c:v>
                </c:pt>
                <c:pt idx="34">
                  <c:v>17.333999999999993</c:v>
                </c:pt>
                <c:pt idx="35">
                  <c:v>1.1579999999999999</c:v>
                </c:pt>
                <c:pt idx="36">
                  <c:v>0.45599999999999996</c:v>
                </c:pt>
                <c:pt idx="37">
                  <c:v>0.24399999999999999</c:v>
                </c:pt>
                <c:pt idx="38">
                  <c:v>2.5680000000000001</c:v>
                </c:pt>
                <c:pt idx="39">
                  <c:v>1.3789999999999998</c:v>
                </c:pt>
                <c:pt idx="40">
                  <c:v>1.403</c:v>
                </c:pt>
                <c:pt idx="41">
                  <c:v>1.5010000000000001</c:v>
                </c:pt>
                <c:pt idx="42">
                  <c:v>1.1680000000000001</c:v>
                </c:pt>
                <c:pt idx="43">
                  <c:v>0.96000000000000008</c:v>
                </c:pt>
                <c:pt idx="44">
                  <c:v>0.29599999999999999</c:v>
                </c:pt>
                <c:pt idx="45">
                  <c:v>0.87500000000000022</c:v>
                </c:pt>
                <c:pt idx="46">
                  <c:v>0.50900000000000001</c:v>
                </c:pt>
                <c:pt idx="47">
                  <c:v>1.0949999999999998</c:v>
                </c:pt>
                <c:pt idx="48">
                  <c:v>1.0150000000000001</c:v>
                </c:pt>
                <c:pt idx="49">
                  <c:v>0.48199999999999998</c:v>
                </c:pt>
                <c:pt idx="50">
                  <c:v>2.2249999999999996</c:v>
                </c:pt>
                <c:pt idx="51">
                  <c:v>58.436</c:v>
                </c:pt>
              </c:numCache>
            </c:numRef>
          </c:xVal>
          <c:yVal>
            <c:numRef>
              <c:f>'Price Compliance Pivot'!$D$59:$D$110</c:f>
              <c:numCache>
                <c:formatCode>0.00%</c:formatCode>
                <c:ptCount val="52"/>
                <c:pt idx="1">
                  <c:v>6.25E-2</c:v>
                </c:pt>
                <c:pt idx="2">
                  <c:v>0.125</c:v>
                </c:pt>
                <c:pt idx="3">
                  <c:v>0.125</c:v>
                </c:pt>
                <c:pt idx="4">
                  <c:v>0.1</c:v>
                </c:pt>
                <c:pt idx="5">
                  <c:v>0.2</c:v>
                </c:pt>
                <c:pt idx="6">
                  <c:v>7.6923076923076927E-2</c:v>
                </c:pt>
                <c:pt idx="7">
                  <c:v>0.33333333333333331</c:v>
                </c:pt>
                <c:pt idx="8">
                  <c:v>0.14285714285714285</c:v>
                </c:pt>
                <c:pt idx="9">
                  <c:v>0.125</c:v>
                </c:pt>
                <c:pt idx="10">
                  <c:v>8.3333333333333329E-2</c:v>
                </c:pt>
                <c:pt idx="11">
                  <c:v>7.1428571428571425E-2</c:v>
                </c:pt>
                <c:pt idx="12">
                  <c:v>0.1</c:v>
                </c:pt>
                <c:pt idx="13">
                  <c:v>6.25E-2</c:v>
                </c:pt>
                <c:pt idx="14">
                  <c:v>0.25</c:v>
                </c:pt>
                <c:pt idx="15">
                  <c:v>0.5</c:v>
                </c:pt>
                <c:pt idx="16">
                  <c:v>0.1111111111111111</c:v>
                </c:pt>
                <c:pt idx="18">
                  <c:v>0.1</c:v>
                </c:pt>
                <c:pt idx="19">
                  <c:v>0.125</c:v>
                </c:pt>
                <c:pt idx="20">
                  <c:v>7.1428571428571425E-2</c:v>
                </c:pt>
                <c:pt idx="21">
                  <c:v>0.125</c:v>
                </c:pt>
                <c:pt idx="22">
                  <c:v>0.2</c:v>
                </c:pt>
                <c:pt idx="23">
                  <c:v>6.6666666666666666E-2</c:v>
                </c:pt>
                <c:pt idx="24">
                  <c:v>0.125</c:v>
                </c:pt>
                <c:pt idx="25">
                  <c:v>0.1111111111111111</c:v>
                </c:pt>
                <c:pt idx="26">
                  <c:v>7.1428571428571425E-2</c:v>
                </c:pt>
                <c:pt idx="27">
                  <c:v>0.1</c:v>
                </c:pt>
                <c:pt idx="28">
                  <c:v>0.1</c:v>
                </c:pt>
                <c:pt idx="29">
                  <c:v>8.3333333333333329E-2</c:v>
                </c:pt>
                <c:pt idx="30">
                  <c:v>8.3333333333333329E-2</c:v>
                </c:pt>
                <c:pt idx="31">
                  <c:v>0.14285714285714285</c:v>
                </c:pt>
                <c:pt idx="32">
                  <c:v>0.33333333333333331</c:v>
                </c:pt>
                <c:pt idx="33">
                  <c:v>8.3333333333333329E-2</c:v>
                </c:pt>
                <c:pt idx="35">
                  <c:v>0.1</c:v>
                </c:pt>
                <c:pt idx="36">
                  <c:v>5.8823529411764705E-2</c:v>
                </c:pt>
                <c:pt idx="37">
                  <c:v>0.1</c:v>
                </c:pt>
                <c:pt idx="38">
                  <c:v>0.1111111111111111</c:v>
                </c:pt>
                <c:pt idx="39">
                  <c:v>0.125</c:v>
                </c:pt>
                <c:pt idx="40">
                  <c:v>8.3333333333333329E-2</c:v>
                </c:pt>
                <c:pt idx="41">
                  <c:v>9.0909090909090912E-2</c:v>
                </c:pt>
                <c:pt idx="42">
                  <c:v>6.25E-2</c:v>
                </c:pt>
                <c:pt idx="43">
                  <c:v>0.125</c:v>
                </c:pt>
                <c:pt idx="44">
                  <c:v>5.2631578947368418E-2</c:v>
                </c:pt>
                <c:pt idx="45">
                  <c:v>0.14285714285714285</c:v>
                </c:pt>
                <c:pt idx="46">
                  <c:v>7.1428571428571425E-2</c:v>
                </c:pt>
                <c:pt idx="47">
                  <c:v>0.1</c:v>
                </c:pt>
                <c:pt idx="48">
                  <c:v>0.1</c:v>
                </c:pt>
                <c:pt idx="49">
                  <c:v>0.5</c:v>
                </c:pt>
                <c:pt idx="50">
                  <c:v>0.125</c:v>
                </c:pt>
              </c:numCache>
            </c:numRef>
          </c:yVal>
          <c:smooth val="0"/>
          <c:extLst>
            <c:ext xmlns:c16="http://schemas.microsoft.com/office/drawing/2014/chart" uri="{C3380CC4-5D6E-409C-BE32-E72D297353CC}">
              <c16:uniqueId val="{00000001-8EE5-4E2B-9EBE-9AC2529A1E53}"/>
            </c:ext>
          </c:extLst>
        </c:ser>
        <c:dLbls>
          <c:showLegendKey val="0"/>
          <c:showVal val="0"/>
          <c:showCatName val="0"/>
          <c:showSerName val="0"/>
          <c:showPercent val="0"/>
          <c:showBubbleSize val="0"/>
        </c:dLbls>
        <c:axId val="542439272"/>
        <c:axId val="542441568"/>
      </c:scatterChart>
      <c:valAx>
        <c:axId val="542439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441568"/>
        <c:crosses val="autoZero"/>
        <c:crossBetween val="midCat"/>
      </c:valAx>
      <c:valAx>
        <c:axId val="54244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24392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'What IF'!$D$27</c:f>
              <c:strCache>
                <c:ptCount val="1"/>
                <c:pt idx="0">
                  <c:v>Revenue</c:v>
                </c:pt>
              </c:strCache>
            </c:strRef>
          </c:tx>
          <c:spPr>
            <a:solidFill>
              <a:schemeClr val="accent1"/>
            </a:solidFill>
            <a:ln>
              <a:noFill/>
            </a:ln>
            <a:effectLst/>
          </c:spPr>
          <c:invertIfNegative val="0"/>
          <c:cat>
            <c:strRef>
              <c:f>'What IF'!$C$28:$C$29</c:f>
              <c:strCache>
                <c:ptCount val="2"/>
                <c:pt idx="0">
                  <c:v>Current</c:v>
                </c:pt>
                <c:pt idx="1">
                  <c:v>Scenario</c:v>
                </c:pt>
              </c:strCache>
            </c:strRef>
          </c:cat>
          <c:val>
            <c:numRef>
              <c:f>'What IF'!$D$28:$D$29</c:f>
              <c:numCache>
                <c:formatCode>General</c:formatCode>
                <c:ptCount val="2"/>
                <c:pt idx="0" formatCode="0.00">
                  <c:v>4866.33</c:v>
                </c:pt>
                <c:pt idx="1">
                  <c:v>5448.86</c:v>
                </c:pt>
              </c:numCache>
            </c:numRef>
          </c:val>
          <c:extLst>
            <c:ext xmlns:c16="http://schemas.microsoft.com/office/drawing/2014/chart" uri="{C3380CC4-5D6E-409C-BE32-E72D297353CC}">
              <c16:uniqueId val="{00000000-9D70-45A2-9427-FF8F82A2C6E6}"/>
            </c:ext>
          </c:extLst>
        </c:ser>
        <c:ser>
          <c:idx val="1"/>
          <c:order val="1"/>
          <c:tx>
            <c:strRef>
              <c:f>'What IF'!$E$27</c:f>
              <c:strCache>
                <c:ptCount val="1"/>
                <c:pt idx="0">
                  <c:v>Gross Profit</c:v>
                </c:pt>
              </c:strCache>
            </c:strRef>
          </c:tx>
          <c:spPr>
            <a:solidFill>
              <a:schemeClr val="accent2"/>
            </a:solidFill>
            <a:ln>
              <a:noFill/>
            </a:ln>
            <a:effectLst/>
          </c:spPr>
          <c:invertIfNegative val="0"/>
          <c:cat>
            <c:strRef>
              <c:f>'What IF'!$C$28:$C$29</c:f>
              <c:strCache>
                <c:ptCount val="2"/>
                <c:pt idx="0">
                  <c:v>Current</c:v>
                </c:pt>
                <c:pt idx="1">
                  <c:v>Scenario</c:v>
                </c:pt>
              </c:strCache>
            </c:strRef>
          </c:cat>
          <c:val>
            <c:numRef>
              <c:f>'What IF'!$E$28:$E$29</c:f>
              <c:numCache>
                <c:formatCode>General</c:formatCode>
                <c:ptCount val="2"/>
                <c:pt idx="0">
                  <c:v>2353.17</c:v>
                </c:pt>
                <c:pt idx="1">
                  <c:v>2598.9299999999998</c:v>
                </c:pt>
              </c:numCache>
            </c:numRef>
          </c:val>
          <c:extLst>
            <c:ext xmlns:c16="http://schemas.microsoft.com/office/drawing/2014/chart" uri="{C3380CC4-5D6E-409C-BE32-E72D297353CC}">
              <c16:uniqueId val="{00000001-9D70-45A2-9427-FF8F82A2C6E6}"/>
            </c:ext>
          </c:extLst>
        </c:ser>
        <c:dLbls>
          <c:showLegendKey val="0"/>
          <c:showVal val="0"/>
          <c:showCatName val="0"/>
          <c:showSerName val="0"/>
          <c:showPercent val="0"/>
          <c:showBubbleSize val="0"/>
        </c:dLbls>
        <c:gapWidth val="219"/>
        <c:overlap val="-27"/>
        <c:axId val="502738944"/>
        <c:axId val="502739928"/>
      </c:barChart>
      <c:catAx>
        <c:axId val="5027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2739928"/>
        <c:crosses val="autoZero"/>
        <c:auto val="1"/>
        <c:lblAlgn val="ctr"/>
        <c:lblOffset val="100"/>
        <c:noMultiLvlLbl val="0"/>
      </c:catAx>
      <c:valAx>
        <c:axId val="502739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273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Modified.xlsx]Sales person Pivot!PivotTable6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dbl">
                <a:latin typeface="Book Antiqua" panose="02040602050305030304" pitchFamily="18" charset="0"/>
              </a:rPr>
              <a:t>Sales</a:t>
            </a:r>
            <a:r>
              <a:rPr lang="en-GB" b="1" u="dbl" baseline="0">
                <a:latin typeface="Book Antiqua" panose="02040602050305030304" pitchFamily="18" charset="0"/>
              </a:rPr>
              <a:t> Person Scatter Plot</a:t>
            </a:r>
            <a:endParaRPr lang="en-GB" b="1" u="dbl">
              <a:latin typeface="Book Antiqua" panose="02040602050305030304" pitchFamily="18" charset="0"/>
            </a:endParaRPr>
          </a:p>
        </c:rich>
      </c:tx>
      <c:layout>
        <c:manualLayout>
          <c:xMode val="edge"/>
          <c:yMode val="edge"/>
          <c:x val="0.33252567271286632"/>
          <c:y val="2.7991214089175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person Pivot'!$B$3</c:f>
              <c:strCache>
                <c:ptCount val="1"/>
                <c:pt idx="0">
                  <c:v>Sum of Gross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Pivot'!$B$4:$B$20</c:f>
              <c:numCache>
                <c:formatCode>General</c:formatCode>
                <c:ptCount val="16"/>
                <c:pt idx="0">
                  <c:v>599376.01998999983</c:v>
                </c:pt>
                <c:pt idx="1">
                  <c:v>779292.78272999986</c:v>
                </c:pt>
                <c:pt idx="2">
                  <c:v>536935.05088</c:v>
                </c:pt>
                <c:pt idx="3">
                  <c:v>562621.59604999982</c:v>
                </c:pt>
                <c:pt idx="4">
                  <c:v>482522.34341000003</c:v>
                </c:pt>
                <c:pt idx="5">
                  <c:v>1090799.73303</c:v>
                </c:pt>
                <c:pt idx="6">
                  <c:v>623151.51997999987</c:v>
                </c:pt>
                <c:pt idx="7">
                  <c:v>679594.41445000016</c:v>
                </c:pt>
                <c:pt idx="8">
                  <c:v>586206.76736000006</c:v>
                </c:pt>
                <c:pt idx="9">
                  <c:v>772543.53399999987</c:v>
                </c:pt>
                <c:pt idx="10">
                  <c:v>903293.17016999994</c:v>
                </c:pt>
                <c:pt idx="11">
                  <c:v>730077.06991999981</c:v>
                </c:pt>
                <c:pt idx="12">
                  <c:v>767983.20680999989</c:v>
                </c:pt>
                <c:pt idx="13">
                  <c:v>521296.31468000013</c:v>
                </c:pt>
                <c:pt idx="14">
                  <c:v>192412.59918999998</c:v>
                </c:pt>
                <c:pt idx="15">
                  <c:v>643379.82637999987</c:v>
                </c:pt>
              </c:numCache>
            </c:numRef>
          </c:val>
          <c:smooth val="0"/>
          <c:extLst>
            <c:ext xmlns:c16="http://schemas.microsoft.com/office/drawing/2014/chart" uri="{C3380CC4-5D6E-409C-BE32-E72D297353CC}">
              <c16:uniqueId val="{00000000-FE6D-4CF1-A2A6-D46943E961EA}"/>
            </c:ext>
          </c:extLst>
        </c:ser>
        <c:ser>
          <c:idx val="1"/>
          <c:order val="1"/>
          <c:tx>
            <c:strRef>
              <c:f>'Sales person Pivot'!$C$3</c:f>
              <c:strCache>
                <c:ptCount val="1"/>
                <c:pt idx="0">
                  <c:v>Count of OrderID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Pivot'!$C$4:$C$20</c:f>
              <c:numCache>
                <c:formatCode>General</c:formatCode>
                <c:ptCount val="16"/>
                <c:pt idx="0">
                  <c:v>46</c:v>
                </c:pt>
                <c:pt idx="1">
                  <c:v>48</c:v>
                </c:pt>
                <c:pt idx="2">
                  <c:v>37</c:v>
                </c:pt>
                <c:pt idx="3">
                  <c:v>38</c:v>
                </c:pt>
                <c:pt idx="4">
                  <c:v>34</c:v>
                </c:pt>
                <c:pt idx="5">
                  <c:v>51</c:v>
                </c:pt>
                <c:pt idx="6">
                  <c:v>30</c:v>
                </c:pt>
                <c:pt idx="7">
                  <c:v>45</c:v>
                </c:pt>
                <c:pt idx="8">
                  <c:v>38</c:v>
                </c:pt>
                <c:pt idx="9">
                  <c:v>50</c:v>
                </c:pt>
                <c:pt idx="10">
                  <c:v>44</c:v>
                </c:pt>
                <c:pt idx="11">
                  <c:v>46</c:v>
                </c:pt>
                <c:pt idx="12">
                  <c:v>48</c:v>
                </c:pt>
                <c:pt idx="13">
                  <c:v>32</c:v>
                </c:pt>
                <c:pt idx="14">
                  <c:v>8</c:v>
                </c:pt>
                <c:pt idx="15">
                  <c:v>37</c:v>
                </c:pt>
              </c:numCache>
            </c:numRef>
          </c:val>
          <c:smooth val="0"/>
          <c:extLst>
            <c:ext xmlns:c16="http://schemas.microsoft.com/office/drawing/2014/chart" uri="{C3380CC4-5D6E-409C-BE32-E72D297353CC}">
              <c16:uniqueId val="{00000001-FE6D-4CF1-A2A6-D46943E961EA}"/>
            </c:ext>
          </c:extLst>
        </c:ser>
        <c:ser>
          <c:idx val="2"/>
          <c:order val="2"/>
          <c:tx>
            <c:strRef>
              <c:f>'Sales person Pivot'!$D$3</c:f>
              <c:strCache>
                <c:ptCount val="1"/>
                <c:pt idx="0">
                  <c:v>Sum of Gross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person Pivot'!$A$4:$A$20</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Not Provided</c:v>
                </c:pt>
                <c:pt idx="15">
                  <c:v>O. Wang</c:v>
                </c:pt>
              </c:strCache>
            </c:strRef>
          </c:cat>
          <c:val>
            <c:numRef>
              <c:f>'Sales person Pivot'!$D$4:$D$20</c:f>
              <c:numCache>
                <c:formatCode>General</c:formatCode>
                <c:ptCount val="16"/>
                <c:pt idx="0">
                  <c:v>4160.9699900000087</c:v>
                </c:pt>
                <c:pt idx="1">
                  <c:v>201527.09272999997</c:v>
                </c:pt>
                <c:pt idx="2">
                  <c:v>77518.21087999997</c:v>
                </c:pt>
                <c:pt idx="3">
                  <c:v>136878.33605000004</c:v>
                </c:pt>
                <c:pt idx="4">
                  <c:v>143657.24340999994</c:v>
                </c:pt>
                <c:pt idx="5">
                  <c:v>529895.57303000009</c:v>
                </c:pt>
                <c:pt idx="6">
                  <c:v>284939.67998000002</c:v>
                </c:pt>
                <c:pt idx="7">
                  <c:v>119046.92444999995</c:v>
                </c:pt>
                <c:pt idx="8">
                  <c:v>185062.78736000002</c:v>
                </c:pt>
                <c:pt idx="9">
                  <c:v>243271.98399999997</c:v>
                </c:pt>
                <c:pt idx="10">
                  <c:v>298707.31016999995</c:v>
                </c:pt>
                <c:pt idx="11">
                  <c:v>146755.09991999998</c:v>
                </c:pt>
                <c:pt idx="12">
                  <c:v>104341.27681000004</c:v>
                </c:pt>
                <c:pt idx="13">
                  <c:v>243617.63468000002</c:v>
                </c:pt>
                <c:pt idx="14">
                  <c:v>43483.749190000002</c:v>
                </c:pt>
                <c:pt idx="15">
                  <c:v>180874.36638000002</c:v>
                </c:pt>
              </c:numCache>
            </c:numRef>
          </c:val>
          <c:smooth val="0"/>
          <c:extLst>
            <c:ext xmlns:c16="http://schemas.microsoft.com/office/drawing/2014/chart" uri="{C3380CC4-5D6E-409C-BE32-E72D297353CC}">
              <c16:uniqueId val="{00000002-FE6D-4CF1-A2A6-D46943E961EA}"/>
            </c:ext>
          </c:extLst>
        </c:ser>
        <c:dLbls>
          <c:showLegendKey val="0"/>
          <c:showVal val="0"/>
          <c:showCatName val="0"/>
          <c:showSerName val="0"/>
          <c:showPercent val="0"/>
          <c:showBubbleSize val="0"/>
        </c:dLbls>
        <c:marker val="1"/>
        <c:smooth val="0"/>
        <c:axId val="570901888"/>
        <c:axId val="570902216"/>
      </c:lineChart>
      <c:catAx>
        <c:axId val="5709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2216"/>
        <c:crosses val="autoZero"/>
        <c:auto val="1"/>
        <c:lblAlgn val="ctr"/>
        <c:lblOffset val="100"/>
        <c:noMultiLvlLbl val="0"/>
      </c:catAx>
      <c:valAx>
        <c:axId val="570902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09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2. Modified.xlsx]Channel Mix Pivot!PivotTable1</c:name>
    <c:fmtId val="3"/>
  </c:pivotSource>
  <c:chart>
    <c:title>
      <c:tx>
        <c:rich>
          <a:bodyPr rot="0" spcFirstLastPara="1" vertOverflow="ellipsis" vert="horz" wrap="square" anchor="ctr" anchorCtr="1"/>
          <a:lstStyle/>
          <a:p>
            <a:pPr>
              <a:defRPr sz="1400" b="0" i="0" u="dbl" strike="noStrike" kern="1200" spc="0" baseline="0">
                <a:solidFill>
                  <a:schemeClr val="tx1">
                    <a:lumMod val="65000"/>
                    <a:lumOff val="35000"/>
                  </a:schemeClr>
                </a:solidFill>
                <a:latin typeface="+mn-lt"/>
                <a:ea typeface="+mn-ea"/>
                <a:cs typeface="+mn-cs"/>
              </a:defRPr>
            </a:pPr>
            <a:r>
              <a:rPr lang="en-US" b="1" u="dbl">
                <a:solidFill>
                  <a:schemeClr val="tx1"/>
                </a:solidFill>
                <a:latin typeface="Book Antiqua" panose="02040602050305030304" pitchFamily="18" charset="0"/>
              </a:rPr>
              <a:t>Profit by</a:t>
            </a:r>
            <a:r>
              <a:rPr lang="en-US" b="1" u="dbl" baseline="0">
                <a:solidFill>
                  <a:schemeClr val="tx1"/>
                </a:solidFill>
                <a:latin typeface="Book Antiqua" panose="02040602050305030304" pitchFamily="18" charset="0"/>
              </a:rPr>
              <a:t> Region and Channel</a:t>
            </a:r>
            <a:endParaRPr lang="en-US" b="1" u="dbl">
              <a:solidFill>
                <a:schemeClr val="tx1"/>
              </a:solidFill>
              <a:latin typeface="Book Antiqua" panose="02040602050305030304" pitchFamily="18" charset="0"/>
            </a:endParaRPr>
          </a:p>
        </c:rich>
      </c:tx>
      <c:layout>
        <c:manualLayout>
          <c:xMode val="edge"/>
          <c:yMode val="edge"/>
          <c:x val="0.29656445201590004"/>
          <c:y val="2.9101347225856593E-2"/>
        </c:manualLayout>
      </c:layout>
      <c:overlay val="0"/>
      <c:spPr>
        <a:noFill/>
        <a:ln>
          <a:noFill/>
        </a:ln>
        <a:effectLst/>
      </c:spPr>
      <c:txPr>
        <a:bodyPr rot="0" spcFirstLastPara="1" vertOverflow="ellipsis" vert="horz" wrap="square" anchor="ctr" anchorCtr="1"/>
        <a:lstStyle/>
        <a:p>
          <a:pPr>
            <a:defRPr sz="1400" b="0" i="0" u="dbl"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 Mix Pivot'!$B$3:$B$4</c:f>
              <c:strCache>
                <c:ptCount val="1"/>
                <c:pt idx="0">
                  <c:v>Direct</c:v>
                </c:pt>
              </c:strCache>
            </c:strRef>
          </c:tx>
          <c:spPr>
            <a:solidFill>
              <a:schemeClr val="accent1"/>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Pivot'!$B$5:$B$10</c:f>
              <c:numCache>
                <c:formatCode>General</c:formatCode>
                <c:ptCount val="5"/>
                <c:pt idx="0">
                  <c:v>221557.91543999998</c:v>
                </c:pt>
                <c:pt idx="1">
                  <c:v>810323.27522000019</c:v>
                </c:pt>
                <c:pt idx="2">
                  <c:v>502810.96600000007</c:v>
                </c:pt>
                <c:pt idx="3">
                  <c:v>864934.80995000002</c:v>
                </c:pt>
              </c:numCache>
            </c:numRef>
          </c:val>
          <c:extLst>
            <c:ext xmlns:c16="http://schemas.microsoft.com/office/drawing/2014/chart" uri="{C3380CC4-5D6E-409C-BE32-E72D297353CC}">
              <c16:uniqueId val="{00000000-BEC0-41A3-BA1F-C536CA74C4A3}"/>
            </c:ext>
          </c:extLst>
        </c:ser>
        <c:ser>
          <c:idx val="1"/>
          <c:order val="1"/>
          <c:tx>
            <c:strRef>
              <c:f>'Channel Mix Pivot'!$C$3:$C$4</c:f>
              <c:strCache>
                <c:ptCount val="1"/>
                <c:pt idx="0">
                  <c:v>Distributor</c:v>
                </c:pt>
              </c:strCache>
            </c:strRef>
          </c:tx>
          <c:spPr>
            <a:solidFill>
              <a:schemeClr val="accent2"/>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Pivot'!$C$5:$C$10</c:f>
              <c:numCache>
                <c:formatCode>General</c:formatCode>
                <c:ptCount val="5"/>
                <c:pt idx="0">
                  <c:v>609034.81166000001</c:v>
                </c:pt>
                <c:pt idx="1">
                  <c:v>535213.82120000001</c:v>
                </c:pt>
                <c:pt idx="2">
                  <c:v>733734.99893000012</c:v>
                </c:pt>
                <c:pt idx="3">
                  <c:v>280509.11341000005</c:v>
                </c:pt>
              </c:numCache>
            </c:numRef>
          </c:val>
          <c:extLst>
            <c:ext xmlns:c16="http://schemas.microsoft.com/office/drawing/2014/chart" uri="{C3380CC4-5D6E-409C-BE32-E72D297353CC}">
              <c16:uniqueId val="{00000001-4841-40A9-BC23-D87B1A09AC85}"/>
            </c:ext>
          </c:extLst>
        </c:ser>
        <c:ser>
          <c:idx val="2"/>
          <c:order val="2"/>
          <c:tx>
            <c:strRef>
              <c:f>'Channel Mix Pivot'!$D$3:$D$4</c:f>
              <c:strCache>
                <c:ptCount val="1"/>
                <c:pt idx="0">
                  <c:v>Marketplace</c:v>
                </c:pt>
              </c:strCache>
            </c:strRef>
          </c:tx>
          <c:spPr>
            <a:solidFill>
              <a:schemeClr val="accent3"/>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Pivot'!$D$5:$D$10</c:f>
              <c:numCache>
                <c:formatCode>General</c:formatCode>
                <c:ptCount val="5"/>
                <c:pt idx="0">
                  <c:v>547113.83230000001</c:v>
                </c:pt>
                <c:pt idx="1">
                  <c:v>378272.95461000007</c:v>
                </c:pt>
                <c:pt idx="2">
                  <c:v>533246.94006000005</c:v>
                </c:pt>
                <c:pt idx="3">
                  <c:v>529056.67933000007</c:v>
                </c:pt>
              </c:numCache>
            </c:numRef>
          </c:val>
          <c:extLst>
            <c:ext xmlns:c16="http://schemas.microsoft.com/office/drawing/2014/chart" uri="{C3380CC4-5D6E-409C-BE32-E72D297353CC}">
              <c16:uniqueId val="{00000002-4841-40A9-BC23-D87B1A09AC85}"/>
            </c:ext>
          </c:extLst>
        </c:ser>
        <c:ser>
          <c:idx val="3"/>
          <c:order val="3"/>
          <c:tx>
            <c:strRef>
              <c:f>'Channel Mix Pivot'!$E$3:$E$4</c:f>
              <c:strCache>
                <c:ptCount val="1"/>
                <c:pt idx="0">
                  <c:v>Not Provided</c:v>
                </c:pt>
              </c:strCache>
            </c:strRef>
          </c:tx>
          <c:spPr>
            <a:solidFill>
              <a:schemeClr val="accent4"/>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Pivot'!$E$5:$E$10</c:f>
              <c:numCache>
                <c:formatCode>General</c:formatCode>
                <c:ptCount val="5"/>
                <c:pt idx="0">
                  <c:v>32176.557119999994</c:v>
                </c:pt>
                <c:pt idx="1">
                  <c:v>0</c:v>
                </c:pt>
                <c:pt idx="2">
                  <c:v>30599.393100000001</c:v>
                </c:pt>
                <c:pt idx="3">
                  <c:v>20690.58468</c:v>
                </c:pt>
              </c:numCache>
            </c:numRef>
          </c:val>
          <c:extLst>
            <c:ext xmlns:c16="http://schemas.microsoft.com/office/drawing/2014/chart" uri="{C3380CC4-5D6E-409C-BE32-E72D297353CC}">
              <c16:uniqueId val="{00000003-4841-40A9-BC23-D87B1A09AC85}"/>
            </c:ext>
          </c:extLst>
        </c:ser>
        <c:ser>
          <c:idx val="4"/>
          <c:order val="4"/>
          <c:tx>
            <c:strRef>
              <c:f>'Channel Mix Pivot'!$F$3:$F$4</c:f>
              <c:strCache>
                <c:ptCount val="1"/>
                <c:pt idx="0">
                  <c:v>Online</c:v>
                </c:pt>
              </c:strCache>
            </c:strRef>
          </c:tx>
          <c:spPr>
            <a:solidFill>
              <a:schemeClr val="accent5"/>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Pivot'!$F$5:$F$10</c:f>
              <c:numCache>
                <c:formatCode>General</c:formatCode>
                <c:ptCount val="5"/>
                <c:pt idx="0">
                  <c:v>488253.39859000011</c:v>
                </c:pt>
                <c:pt idx="1">
                  <c:v>684409.16889999993</c:v>
                </c:pt>
                <c:pt idx="2">
                  <c:v>461186.45322000008</c:v>
                </c:pt>
                <c:pt idx="3">
                  <c:v>450760.49241999997</c:v>
                </c:pt>
              </c:numCache>
            </c:numRef>
          </c:val>
          <c:extLst>
            <c:ext xmlns:c16="http://schemas.microsoft.com/office/drawing/2014/chart" uri="{C3380CC4-5D6E-409C-BE32-E72D297353CC}">
              <c16:uniqueId val="{00000004-4841-40A9-BC23-D87B1A09AC85}"/>
            </c:ext>
          </c:extLst>
        </c:ser>
        <c:ser>
          <c:idx val="5"/>
          <c:order val="5"/>
          <c:tx>
            <c:strRef>
              <c:f>'Channel Mix Pivot'!$G$3:$G$4</c:f>
              <c:strCache>
                <c:ptCount val="1"/>
                <c:pt idx="0">
                  <c:v>Retail</c:v>
                </c:pt>
              </c:strCache>
            </c:strRef>
          </c:tx>
          <c:spPr>
            <a:solidFill>
              <a:schemeClr val="accent6"/>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Pivot'!$G$5:$G$10</c:f>
              <c:numCache>
                <c:formatCode>General</c:formatCode>
                <c:ptCount val="5"/>
                <c:pt idx="0">
                  <c:v>469950.91472999996</c:v>
                </c:pt>
                <c:pt idx="1">
                  <c:v>251720.18796000001</c:v>
                </c:pt>
                <c:pt idx="2">
                  <c:v>591814.68848000001</c:v>
                </c:pt>
                <c:pt idx="3">
                  <c:v>444113.99171999999</c:v>
                </c:pt>
              </c:numCache>
            </c:numRef>
          </c:val>
          <c:extLst>
            <c:ext xmlns:c16="http://schemas.microsoft.com/office/drawing/2014/chart" uri="{C3380CC4-5D6E-409C-BE32-E72D297353CC}">
              <c16:uniqueId val="{00000005-4841-40A9-BC23-D87B1A09AC85}"/>
            </c:ext>
          </c:extLst>
        </c:ser>
        <c:ser>
          <c:idx val="6"/>
          <c:order val="6"/>
          <c:tx>
            <c:strRef>
              <c:f>'Channel Mix Pivot'!$H$3:$H$4</c:f>
              <c:strCache>
                <c:ptCount val="1"/>
                <c:pt idx="0">
                  <c:v>(blank)</c:v>
                </c:pt>
              </c:strCache>
            </c:strRef>
          </c:tx>
          <c:spPr>
            <a:solidFill>
              <a:schemeClr val="accent1">
                <a:lumMod val="60000"/>
              </a:schemeClr>
            </a:solidFill>
            <a:ln>
              <a:noFill/>
            </a:ln>
            <a:effectLst/>
          </c:spPr>
          <c:invertIfNegative val="0"/>
          <c:cat>
            <c:strRef>
              <c:f>'Channel Mix Pivot'!$A$5:$A$10</c:f>
              <c:strCache>
                <c:ptCount val="5"/>
                <c:pt idx="0">
                  <c:v>Africa</c:v>
                </c:pt>
                <c:pt idx="1">
                  <c:v>Americas</c:v>
                </c:pt>
                <c:pt idx="2">
                  <c:v>Asia</c:v>
                </c:pt>
                <c:pt idx="3">
                  <c:v>Europe</c:v>
                </c:pt>
                <c:pt idx="4">
                  <c:v>(blank)</c:v>
                </c:pt>
              </c:strCache>
            </c:strRef>
          </c:cat>
          <c:val>
            <c:numRef>
              <c:f>'Channel Mix Pivot'!$H$5:$H$10</c:f>
              <c:numCache>
                <c:formatCode>General</c:formatCode>
                <c:ptCount val="5"/>
              </c:numCache>
            </c:numRef>
          </c:val>
          <c:extLst>
            <c:ext xmlns:c16="http://schemas.microsoft.com/office/drawing/2014/chart" uri="{C3380CC4-5D6E-409C-BE32-E72D297353CC}">
              <c16:uniqueId val="{00000000-5648-4627-B5F7-5F505AE0EE94}"/>
            </c:ext>
          </c:extLst>
        </c:ser>
        <c:dLbls>
          <c:showLegendKey val="0"/>
          <c:showVal val="0"/>
          <c:showCatName val="0"/>
          <c:showSerName val="0"/>
          <c:showPercent val="0"/>
          <c:showBubbleSize val="0"/>
        </c:dLbls>
        <c:gapWidth val="150"/>
        <c:overlap val="100"/>
        <c:axId val="591226592"/>
        <c:axId val="591226920"/>
      </c:barChart>
      <c:catAx>
        <c:axId val="59122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920"/>
        <c:crosses val="autoZero"/>
        <c:auto val="1"/>
        <c:lblAlgn val="ctr"/>
        <c:lblOffset val="100"/>
        <c:noMultiLvlLbl val="0"/>
      </c:catAx>
      <c:valAx>
        <c:axId val="591226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12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dbl" strike="noStrike" kern="1200" spc="0" baseline="0">
                <a:solidFill>
                  <a:schemeClr val="tx1"/>
                </a:solidFill>
                <a:latin typeface="Book Antiqua" panose="02040602050305030304" pitchFamily="18" charset="0"/>
                <a:ea typeface="+mn-ea"/>
                <a:cs typeface="+mn-cs"/>
              </a:defRPr>
            </a:pPr>
            <a:r>
              <a:rPr lang="en-US" b="1" u="dbl">
                <a:solidFill>
                  <a:schemeClr val="tx1"/>
                </a:solidFill>
                <a:latin typeface="Book Antiqua" panose="02040602050305030304" pitchFamily="18" charset="0"/>
              </a:rPr>
              <a:t> Top 10 SKUs by Revenue </a:t>
            </a:r>
          </a:p>
        </c:rich>
      </c:tx>
      <c:overlay val="0"/>
      <c:spPr>
        <a:noFill/>
        <a:ln>
          <a:noFill/>
        </a:ln>
        <a:effectLst/>
      </c:spPr>
      <c:txPr>
        <a:bodyPr rot="0" spcFirstLastPara="1" vertOverflow="ellipsis" vert="horz" wrap="square" anchor="ctr" anchorCtr="1"/>
        <a:lstStyle/>
        <a:p>
          <a:pPr>
            <a:defRPr sz="1400" b="1" i="0" u="dbl" strike="noStrike" kern="1200" spc="0" baseline="0">
              <a:solidFill>
                <a:schemeClr val="tx1"/>
              </a:solidFill>
              <a:latin typeface="Book Antiqua" panose="02040602050305030304" pitchFamily="18" charset="0"/>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68787827081932"/>
          <c:y val="0.19066230943100984"/>
          <c:w val="0.65497219624133984"/>
          <c:h val="0.70943997964753369"/>
        </c:manualLayout>
      </c:layout>
      <c:barChart>
        <c:barDir val="bar"/>
        <c:grouping val="clustered"/>
        <c:varyColors val="0"/>
        <c:ser>
          <c:idx val="0"/>
          <c:order val="0"/>
          <c:tx>
            <c:v>Total</c:v>
          </c:tx>
          <c:spPr>
            <a:solidFill>
              <a:schemeClr val="accent1"/>
            </a:solidFill>
            <a:ln>
              <a:noFill/>
            </a:ln>
            <a:effectLst/>
          </c:spPr>
          <c:invertIfNegative val="0"/>
          <c:cat>
            <c:strLit>
              <c:ptCount val="10"/>
              <c:pt idx="0">
                <c:v>NET-5987 Networking</c:v>
              </c:pt>
              <c:pt idx="1">
                <c:v>NET-5523 Networking</c:v>
              </c:pt>
              <c:pt idx="2">
                <c:v>NET-2365 Networking</c:v>
              </c:pt>
              <c:pt idx="3">
                <c:v>MON-6962 Monitors</c:v>
              </c:pt>
              <c:pt idx="4">
                <c:v>MON-6699 Monitors</c:v>
              </c:pt>
              <c:pt idx="5">
                <c:v>MON-2266 Monitors</c:v>
              </c:pt>
              <c:pt idx="6">
                <c:v>LAP-8910 Laptops</c:v>
              </c:pt>
              <c:pt idx="7">
                <c:v>LAP-3904 Laptops</c:v>
              </c:pt>
              <c:pt idx="8">
                <c:v>CMP-8851 Components</c:v>
              </c:pt>
              <c:pt idx="9">
                <c:v>CMP-3938 Components</c:v>
              </c:pt>
            </c:strLit>
          </c:cat>
          <c:val>
            <c:numLit>
              <c:formatCode>General</c:formatCode>
              <c:ptCount val="10"/>
              <c:pt idx="0">
                <c:v>82141.339799999987</c:v>
              </c:pt>
              <c:pt idx="1">
                <c:v>79548.755999999994</c:v>
              </c:pt>
              <c:pt idx="2">
                <c:v>109244</c:v>
              </c:pt>
              <c:pt idx="3">
                <c:v>92715.25</c:v>
              </c:pt>
              <c:pt idx="4">
                <c:v>85637.740319999997</c:v>
              </c:pt>
              <c:pt idx="5">
                <c:v>87404.929919999995</c:v>
              </c:pt>
              <c:pt idx="6">
                <c:v>102122.94203999999</c:v>
              </c:pt>
              <c:pt idx="7">
                <c:v>82514.711519999997</c:v>
              </c:pt>
              <c:pt idx="8">
                <c:v>139277.83032000001</c:v>
              </c:pt>
              <c:pt idx="9">
                <c:v>84136.119600000005</c:v>
              </c:pt>
            </c:numLit>
          </c:val>
          <c:extLst>
            <c:ext xmlns:c16="http://schemas.microsoft.com/office/drawing/2014/chart" uri="{C3380CC4-5D6E-409C-BE32-E72D297353CC}">
              <c16:uniqueId val="{00000000-05A2-4B42-ADFB-7471B705F0A3}"/>
            </c:ext>
          </c:extLst>
        </c:ser>
        <c:dLbls>
          <c:showLegendKey val="0"/>
          <c:showVal val="0"/>
          <c:showCatName val="0"/>
          <c:showSerName val="0"/>
          <c:showPercent val="0"/>
          <c:showBubbleSize val="0"/>
        </c:dLbls>
        <c:gapWidth val="182"/>
        <c:axId val="1312008496"/>
        <c:axId val="1312028176"/>
      </c:barChart>
      <c:catAx>
        <c:axId val="131200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12028176"/>
        <c:crosses val="autoZero"/>
        <c:auto val="1"/>
        <c:lblAlgn val="ctr"/>
        <c:lblOffset val="100"/>
        <c:noMultiLvlLbl val="0"/>
      </c:catAx>
      <c:valAx>
        <c:axId val="131202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12008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Book Antiqua" panose="02040602050305030304" pitchFamily="18" charset="0"/>
                <a:ea typeface="+mn-ea"/>
                <a:cs typeface="+mn-cs"/>
              </a:defRPr>
            </a:pPr>
            <a:r>
              <a:rPr lang="en-US">
                <a:solidFill>
                  <a:schemeClr val="tx1"/>
                </a:solidFill>
                <a:latin typeface="Book Antiqua" panose="02040602050305030304" pitchFamily="18" charset="0"/>
              </a:rPr>
              <a:t>Discount</a:t>
            </a:r>
            <a:r>
              <a:rPr lang="en-US" baseline="0">
                <a:solidFill>
                  <a:schemeClr val="tx1"/>
                </a:solidFill>
                <a:latin typeface="Book Antiqua" panose="02040602050305030304" pitchFamily="18" charset="0"/>
              </a:rPr>
              <a:t> Outliers</a:t>
            </a:r>
            <a:endParaRPr lang="en-US">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Book Antiqua" panose="02040602050305030304" pitchFamily="18" charset="0"/>
              <a:ea typeface="+mn-ea"/>
              <a:cs typeface="+mn-cs"/>
            </a:defRPr>
          </a:pPr>
          <a:endParaRPr lang="en-KE"/>
        </a:p>
      </c:txPr>
    </c:title>
    <c:autoTitleDeleted val="0"/>
    <c:plotArea>
      <c:layout>
        <c:manualLayout>
          <c:layoutTarget val="inner"/>
          <c:xMode val="edge"/>
          <c:yMode val="edge"/>
          <c:x val="8.2775371828521432E-2"/>
          <c:y val="0.15319444444444447"/>
          <c:w val="0.8648912948381452"/>
          <c:h val="0.72088764946048411"/>
        </c:manualLayout>
      </c:layout>
      <c:scatterChart>
        <c:scatterStyle val="lineMarker"/>
        <c:varyColors val="0"/>
        <c:ser>
          <c:idx val="0"/>
          <c:order val="0"/>
          <c:tx>
            <c:strRef>
              <c:f>'[1]Staging area'!$W$1</c:f>
              <c:strCache>
                <c:ptCount val="1"/>
                <c:pt idx="0">
                  <c:v>DiscountPct</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yVal>
            <c:numRef>
              <c:f>'[1]Staging area'!$W$2:$W$636</c:f>
              <c:numCache>
                <c:formatCode>General</c:formatCode>
                <c:ptCount val="635"/>
                <c:pt idx="0">
                  <c:v>0.112</c:v>
                </c:pt>
                <c:pt idx="1">
                  <c:v>0.23699999999999999</c:v>
                </c:pt>
                <c:pt idx="2">
                  <c:v>0.13100000000000001</c:v>
                </c:pt>
                <c:pt idx="3">
                  <c:v>7.1999999999999995E-2</c:v>
                </c:pt>
                <c:pt idx="4">
                  <c:v>0.10199999999999999</c:v>
                </c:pt>
                <c:pt idx="5">
                  <c:v>0</c:v>
                </c:pt>
                <c:pt idx="6">
                  <c:v>0.14699999999999999</c:v>
                </c:pt>
                <c:pt idx="7">
                  <c:v>0.19400000000000001</c:v>
                </c:pt>
                <c:pt idx="8">
                  <c:v>3.1E-2</c:v>
                </c:pt>
                <c:pt idx="9">
                  <c:v>0.14899999999999999</c:v>
                </c:pt>
                <c:pt idx="10">
                  <c:v>6.0000000000000001E-3</c:v>
                </c:pt>
                <c:pt idx="11">
                  <c:v>0.25</c:v>
                </c:pt>
                <c:pt idx="12">
                  <c:v>9.4E-2</c:v>
                </c:pt>
                <c:pt idx="13">
                  <c:v>0</c:v>
                </c:pt>
                <c:pt idx="14">
                  <c:v>0</c:v>
                </c:pt>
                <c:pt idx="15">
                  <c:v>7.3999999999999996E-2</c:v>
                </c:pt>
                <c:pt idx="16">
                  <c:v>0.109</c:v>
                </c:pt>
                <c:pt idx="17">
                  <c:v>0.183</c:v>
                </c:pt>
                <c:pt idx="18">
                  <c:v>0.109</c:v>
                </c:pt>
                <c:pt idx="19">
                  <c:v>3.7999999999999999E-2</c:v>
                </c:pt>
                <c:pt idx="20">
                  <c:v>7.1999999999999995E-2</c:v>
                </c:pt>
                <c:pt idx="21">
                  <c:v>0.14299999999999999</c:v>
                </c:pt>
                <c:pt idx="22">
                  <c:v>0.12</c:v>
                </c:pt>
                <c:pt idx="23">
                  <c:v>0.01</c:v>
                </c:pt>
                <c:pt idx="24">
                  <c:v>7.0000000000000001E-3</c:v>
                </c:pt>
                <c:pt idx="25">
                  <c:v>0.16800000000000001</c:v>
                </c:pt>
                <c:pt idx="26">
                  <c:v>0</c:v>
                </c:pt>
                <c:pt idx="27">
                  <c:v>0.125</c:v>
                </c:pt>
                <c:pt idx="28">
                  <c:v>0</c:v>
                </c:pt>
                <c:pt idx="29">
                  <c:v>0.13900000000000001</c:v>
                </c:pt>
                <c:pt idx="30">
                  <c:v>8.6999999999999994E-2</c:v>
                </c:pt>
                <c:pt idx="31">
                  <c:v>8.8999999999999996E-2</c:v>
                </c:pt>
                <c:pt idx="32">
                  <c:v>8.4000000000000005E-2</c:v>
                </c:pt>
                <c:pt idx="33">
                  <c:v>0</c:v>
                </c:pt>
                <c:pt idx="34">
                  <c:v>0</c:v>
                </c:pt>
                <c:pt idx="35">
                  <c:v>0.10100000000000001</c:v>
                </c:pt>
                <c:pt idx="36">
                  <c:v>0.24299999999999999</c:v>
                </c:pt>
                <c:pt idx="37">
                  <c:v>0.13600000000000001</c:v>
                </c:pt>
                <c:pt idx="38">
                  <c:v>0.17499999999999999</c:v>
                </c:pt>
                <c:pt idx="39">
                  <c:v>0.129</c:v>
                </c:pt>
                <c:pt idx="40">
                  <c:v>3.6999999999999998E-2</c:v>
                </c:pt>
                <c:pt idx="41">
                  <c:v>0</c:v>
                </c:pt>
                <c:pt idx="42">
                  <c:v>0.3</c:v>
                </c:pt>
                <c:pt idx="43">
                  <c:v>0.14599999999999999</c:v>
                </c:pt>
                <c:pt idx="44">
                  <c:v>0.182</c:v>
                </c:pt>
                <c:pt idx="45">
                  <c:v>0.16900000000000001</c:v>
                </c:pt>
                <c:pt idx="46">
                  <c:v>0</c:v>
                </c:pt>
                <c:pt idx="47">
                  <c:v>0</c:v>
                </c:pt>
                <c:pt idx="48">
                  <c:v>0.187</c:v>
                </c:pt>
                <c:pt idx="49">
                  <c:v>0.126</c:v>
                </c:pt>
                <c:pt idx="50">
                  <c:v>0.29199999999999998</c:v>
                </c:pt>
                <c:pt idx="51">
                  <c:v>0.29499999999999998</c:v>
                </c:pt>
                <c:pt idx="52">
                  <c:v>0</c:v>
                </c:pt>
                <c:pt idx="53">
                  <c:v>0.182</c:v>
                </c:pt>
                <c:pt idx="54">
                  <c:v>0.14399999999999999</c:v>
                </c:pt>
                <c:pt idx="55">
                  <c:v>0.14699999999999999</c:v>
                </c:pt>
                <c:pt idx="56">
                  <c:v>3.5000000000000003E-2</c:v>
                </c:pt>
                <c:pt idx="57">
                  <c:v>0.14699999999999999</c:v>
                </c:pt>
                <c:pt idx="58">
                  <c:v>7.4999999999999997E-2</c:v>
                </c:pt>
                <c:pt idx="59">
                  <c:v>0.20499999999999999</c:v>
                </c:pt>
                <c:pt idx="60">
                  <c:v>0.11899999999999999</c:v>
                </c:pt>
                <c:pt idx="61">
                  <c:v>0.11</c:v>
                </c:pt>
                <c:pt idx="62">
                  <c:v>0.2</c:v>
                </c:pt>
                <c:pt idx="63">
                  <c:v>0.255</c:v>
                </c:pt>
                <c:pt idx="64">
                  <c:v>0.13</c:v>
                </c:pt>
                <c:pt idx="65">
                  <c:v>0.184</c:v>
                </c:pt>
                <c:pt idx="66">
                  <c:v>0.189</c:v>
                </c:pt>
                <c:pt idx="67">
                  <c:v>0.105</c:v>
                </c:pt>
                <c:pt idx="68">
                  <c:v>0.20399999999999999</c:v>
                </c:pt>
                <c:pt idx="69">
                  <c:v>0.05</c:v>
                </c:pt>
                <c:pt idx="70">
                  <c:v>6.8000000000000005E-2</c:v>
                </c:pt>
                <c:pt idx="71">
                  <c:v>0.14199999999999999</c:v>
                </c:pt>
                <c:pt idx="72">
                  <c:v>0.185</c:v>
                </c:pt>
                <c:pt idx="73">
                  <c:v>4.7E-2</c:v>
                </c:pt>
                <c:pt idx="74">
                  <c:v>0.3</c:v>
                </c:pt>
                <c:pt idx="75">
                  <c:v>0.114</c:v>
                </c:pt>
                <c:pt idx="76">
                  <c:v>0.13400000000000001</c:v>
                </c:pt>
                <c:pt idx="77">
                  <c:v>7.1999999999999995E-2</c:v>
                </c:pt>
                <c:pt idx="78">
                  <c:v>0.25700000000000001</c:v>
                </c:pt>
                <c:pt idx="79">
                  <c:v>0.186</c:v>
                </c:pt>
                <c:pt idx="80">
                  <c:v>0.161</c:v>
                </c:pt>
                <c:pt idx="81">
                  <c:v>0.24099999999999999</c:v>
                </c:pt>
                <c:pt idx="82">
                  <c:v>8.4000000000000005E-2</c:v>
                </c:pt>
                <c:pt idx="83">
                  <c:v>0.215</c:v>
                </c:pt>
                <c:pt idx="84">
                  <c:v>0.104</c:v>
                </c:pt>
                <c:pt idx="85">
                  <c:v>7.0000000000000007E-2</c:v>
                </c:pt>
                <c:pt idx="86">
                  <c:v>0.154</c:v>
                </c:pt>
                <c:pt idx="87">
                  <c:v>0.188</c:v>
                </c:pt>
                <c:pt idx="88">
                  <c:v>0.03</c:v>
                </c:pt>
                <c:pt idx="89">
                  <c:v>6.6000000000000003E-2</c:v>
                </c:pt>
                <c:pt idx="90">
                  <c:v>7.3999999999999996E-2</c:v>
                </c:pt>
                <c:pt idx="91">
                  <c:v>0.14399999999999999</c:v>
                </c:pt>
                <c:pt idx="92">
                  <c:v>9.6000000000000002E-2</c:v>
                </c:pt>
                <c:pt idx="93">
                  <c:v>9.9000000000000005E-2</c:v>
                </c:pt>
                <c:pt idx="94">
                  <c:v>0.16</c:v>
                </c:pt>
                <c:pt idx="95">
                  <c:v>3.4000000000000002E-2</c:v>
                </c:pt>
                <c:pt idx="96">
                  <c:v>0.14599999999999999</c:v>
                </c:pt>
                <c:pt idx="97">
                  <c:v>0</c:v>
                </c:pt>
                <c:pt idx="98">
                  <c:v>9.1999999999999998E-2</c:v>
                </c:pt>
                <c:pt idx="99">
                  <c:v>0.29199999999999998</c:v>
                </c:pt>
                <c:pt idx="100">
                  <c:v>0</c:v>
                </c:pt>
                <c:pt idx="101">
                  <c:v>0.14000000000000001</c:v>
                </c:pt>
                <c:pt idx="102">
                  <c:v>0</c:v>
                </c:pt>
                <c:pt idx="103">
                  <c:v>0.18</c:v>
                </c:pt>
                <c:pt idx="104">
                  <c:v>0.16900000000000001</c:v>
                </c:pt>
                <c:pt idx="105">
                  <c:v>0.27800000000000002</c:v>
                </c:pt>
                <c:pt idx="106">
                  <c:v>0.13700000000000001</c:v>
                </c:pt>
                <c:pt idx="107">
                  <c:v>0.123</c:v>
                </c:pt>
                <c:pt idx="108">
                  <c:v>0</c:v>
                </c:pt>
                <c:pt idx="109">
                  <c:v>0.22900000000000001</c:v>
                </c:pt>
                <c:pt idx="110">
                  <c:v>0</c:v>
                </c:pt>
                <c:pt idx="111">
                  <c:v>1.2E-2</c:v>
                </c:pt>
                <c:pt idx="112">
                  <c:v>0.11799999999999999</c:v>
                </c:pt>
                <c:pt idx="113">
                  <c:v>0.11899999999999999</c:v>
                </c:pt>
                <c:pt idx="114">
                  <c:v>0</c:v>
                </c:pt>
                <c:pt idx="115">
                  <c:v>0.108</c:v>
                </c:pt>
                <c:pt idx="116">
                  <c:v>0.157</c:v>
                </c:pt>
                <c:pt idx="117">
                  <c:v>0.184</c:v>
                </c:pt>
                <c:pt idx="118">
                  <c:v>7.0999999999999994E-2</c:v>
                </c:pt>
                <c:pt idx="119">
                  <c:v>4.2999999999999997E-2</c:v>
                </c:pt>
                <c:pt idx="120">
                  <c:v>0.123</c:v>
                </c:pt>
                <c:pt idx="121">
                  <c:v>6.9000000000000006E-2</c:v>
                </c:pt>
                <c:pt idx="122">
                  <c:v>0.20300000000000001</c:v>
                </c:pt>
                <c:pt idx="123">
                  <c:v>5.7000000000000002E-2</c:v>
                </c:pt>
                <c:pt idx="124">
                  <c:v>8.8999999999999996E-2</c:v>
                </c:pt>
                <c:pt idx="125">
                  <c:v>8.4000000000000005E-2</c:v>
                </c:pt>
                <c:pt idx="126">
                  <c:v>7.2999999999999995E-2</c:v>
                </c:pt>
                <c:pt idx="127">
                  <c:v>0.17899999999999999</c:v>
                </c:pt>
                <c:pt idx="128">
                  <c:v>0.187</c:v>
                </c:pt>
                <c:pt idx="129">
                  <c:v>0.111</c:v>
                </c:pt>
                <c:pt idx="130">
                  <c:v>6.3E-2</c:v>
                </c:pt>
                <c:pt idx="131">
                  <c:v>0.14199999999999999</c:v>
                </c:pt>
                <c:pt idx="132">
                  <c:v>0.22</c:v>
                </c:pt>
                <c:pt idx="133">
                  <c:v>0.187</c:v>
                </c:pt>
                <c:pt idx="134">
                  <c:v>0.192</c:v>
                </c:pt>
                <c:pt idx="135">
                  <c:v>9.4E-2</c:v>
                </c:pt>
                <c:pt idx="136">
                  <c:v>8.9999999999999993E-3</c:v>
                </c:pt>
                <c:pt idx="137">
                  <c:v>0.26500000000000001</c:v>
                </c:pt>
                <c:pt idx="138">
                  <c:v>0.129</c:v>
                </c:pt>
                <c:pt idx="139">
                  <c:v>0.25900000000000001</c:v>
                </c:pt>
                <c:pt idx="140">
                  <c:v>0.11799999999999999</c:v>
                </c:pt>
                <c:pt idx="141">
                  <c:v>0.01</c:v>
                </c:pt>
                <c:pt idx="142">
                  <c:v>0.151</c:v>
                </c:pt>
                <c:pt idx="143">
                  <c:v>0.245</c:v>
                </c:pt>
                <c:pt idx="144">
                  <c:v>8.2000000000000003E-2</c:v>
                </c:pt>
                <c:pt idx="145">
                  <c:v>0.107</c:v>
                </c:pt>
                <c:pt idx="146">
                  <c:v>0.185</c:v>
                </c:pt>
                <c:pt idx="147">
                  <c:v>0</c:v>
                </c:pt>
                <c:pt idx="148">
                  <c:v>0.188</c:v>
                </c:pt>
                <c:pt idx="149">
                  <c:v>2.1000000000000001E-2</c:v>
                </c:pt>
                <c:pt idx="150">
                  <c:v>0.13100000000000001</c:v>
                </c:pt>
                <c:pt idx="151">
                  <c:v>4.4999999999999998E-2</c:v>
                </c:pt>
                <c:pt idx="152">
                  <c:v>0.184</c:v>
                </c:pt>
                <c:pt idx="153">
                  <c:v>0.13600000000000001</c:v>
                </c:pt>
                <c:pt idx="154">
                  <c:v>0.184</c:v>
                </c:pt>
                <c:pt idx="155">
                  <c:v>0.111</c:v>
                </c:pt>
                <c:pt idx="156">
                  <c:v>1.7999999999999999E-2</c:v>
                </c:pt>
                <c:pt idx="157">
                  <c:v>2.5000000000000001E-2</c:v>
                </c:pt>
                <c:pt idx="158">
                  <c:v>0.127</c:v>
                </c:pt>
                <c:pt idx="159">
                  <c:v>0.18099999999999999</c:v>
                </c:pt>
                <c:pt idx="160">
                  <c:v>0.157</c:v>
                </c:pt>
                <c:pt idx="161">
                  <c:v>7.1999999999999995E-2</c:v>
                </c:pt>
                <c:pt idx="162">
                  <c:v>0.13300000000000001</c:v>
                </c:pt>
                <c:pt idx="163">
                  <c:v>0.14000000000000001</c:v>
                </c:pt>
                <c:pt idx="164">
                  <c:v>0.02</c:v>
                </c:pt>
                <c:pt idx="165">
                  <c:v>5.2999999999999999E-2</c:v>
                </c:pt>
                <c:pt idx="166">
                  <c:v>0.19700000000000001</c:v>
                </c:pt>
                <c:pt idx="167">
                  <c:v>0.254</c:v>
                </c:pt>
                <c:pt idx="168">
                  <c:v>0.185</c:v>
                </c:pt>
                <c:pt idx="169">
                  <c:v>0.13900000000000001</c:v>
                </c:pt>
                <c:pt idx="170">
                  <c:v>0.254</c:v>
                </c:pt>
                <c:pt idx="171">
                  <c:v>0.13400000000000001</c:v>
                </c:pt>
                <c:pt idx="172">
                  <c:v>4.7E-2</c:v>
                </c:pt>
                <c:pt idx="173">
                  <c:v>7.8E-2</c:v>
                </c:pt>
                <c:pt idx="174">
                  <c:v>2.1999999999999999E-2</c:v>
                </c:pt>
                <c:pt idx="175">
                  <c:v>0.255</c:v>
                </c:pt>
                <c:pt idx="176">
                  <c:v>9.0999999999999998E-2</c:v>
                </c:pt>
                <c:pt idx="177">
                  <c:v>0.17699999999999999</c:v>
                </c:pt>
                <c:pt idx="178">
                  <c:v>5.6000000000000001E-2</c:v>
                </c:pt>
                <c:pt idx="179">
                  <c:v>0.17299999999999999</c:v>
                </c:pt>
                <c:pt idx="180">
                  <c:v>0.21199999999999999</c:v>
                </c:pt>
                <c:pt idx="181">
                  <c:v>6.3E-2</c:v>
                </c:pt>
                <c:pt idx="182">
                  <c:v>0.19600000000000001</c:v>
                </c:pt>
                <c:pt idx="183">
                  <c:v>0.10100000000000001</c:v>
                </c:pt>
                <c:pt idx="184">
                  <c:v>0.153</c:v>
                </c:pt>
                <c:pt idx="185">
                  <c:v>2.5000000000000001E-2</c:v>
                </c:pt>
                <c:pt idx="186">
                  <c:v>0.21099999999999999</c:v>
                </c:pt>
                <c:pt idx="187">
                  <c:v>0.23300000000000001</c:v>
                </c:pt>
                <c:pt idx="188">
                  <c:v>0.11799999999999999</c:v>
                </c:pt>
                <c:pt idx="189">
                  <c:v>1.2E-2</c:v>
                </c:pt>
                <c:pt idx="190">
                  <c:v>0.215</c:v>
                </c:pt>
                <c:pt idx="191">
                  <c:v>9.4E-2</c:v>
                </c:pt>
                <c:pt idx="192">
                  <c:v>0.23599999999999999</c:v>
                </c:pt>
                <c:pt idx="193">
                  <c:v>7.1999999999999995E-2</c:v>
                </c:pt>
                <c:pt idx="194">
                  <c:v>9.4E-2</c:v>
                </c:pt>
                <c:pt idx="195">
                  <c:v>0.159</c:v>
                </c:pt>
                <c:pt idx="196">
                  <c:v>0.185</c:v>
                </c:pt>
                <c:pt idx="197">
                  <c:v>5.0999999999999997E-2</c:v>
                </c:pt>
                <c:pt idx="198">
                  <c:v>0.186</c:v>
                </c:pt>
                <c:pt idx="199">
                  <c:v>0.155</c:v>
                </c:pt>
                <c:pt idx="200">
                  <c:v>5.7000000000000002E-2</c:v>
                </c:pt>
                <c:pt idx="201">
                  <c:v>0.25800000000000001</c:v>
                </c:pt>
                <c:pt idx="202">
                  <c:v>0</c:v>
                </c:pt>
                <c:pt idx="203">
                  <c:v>0.24299999999999999</c:v>
                </c:pt>
                <c:pt idx="204">
                  <c:v>5.5E-2</c:v>
                </c:pt>
                <c:pt idx="205">
                  <c:v>2.9000000000000001E-2</c:v>
                </c:pt>
                <c:pt idx="206">
                  <c:v>3.7999999999999999E-2</c:v>
                </c:pt>
                <c:pt idx="207">
                  <c:v>0.14799999999999999</c:v>
                </c:pt>
                <c:pt idx="208">
                  <c:v>0.20300000000000001</c:v>
                </c:pt>
                <c:pt idx="209">
                  <c:v>0.13600000000000001</c:v>
                </c:pt>
                <c:pt idx="210">
                  <c:v>0.152</c:v>
                </c:pt>
                <c:pt idx="211">
                  <c:v>0.10199999999999999</c:v>
                </c:pt>
                <c:pt idx="212">
                  <c:v>0.128</c:v>
                </c:pt>
                <c:pt idx="213">
                  <c:v>0</c:v>
                </c:pt>
                <c:pt idx="214">
                  <c:v>0.157</c:v>
                </c:pt>
                <c:pt idx="215">
                  <c:v>0.20100000000000001</c:v>
                </c:pt>
                <c:pt idx="216">
                  <c:v>0.113</c:v>
                </c:pt>
                <c:pt idx="217">
                  <c:v>0.19600000000000001</c:v>
                </c:pt>
                <c:pt idx="218">
                  <c:v>4.0000000000000001E-3</c:v>
                </c:pt>
                <c:pt idx="219">
                  <c:v>0.26600000000000001</c:v>
                </c:pt>
                <c:pt idx="220">
                  <c:v>5.5E-2</c:v>
                </c:pt>
                <c:pt idx="221">
                  <c:v>0.20399999999999999</c:v>
                </c:pt>
                <c:pt idx="222">
                  <c:v>9.2999999999999999E-2</c:v>
                </c:pt>
                <c:pt idx="223">
                  <c:v>5.0999999999999997E-2</c:v>
                </c:pt>
                <c:pt idx="224">
                  <c:v>5.0999999999999997E-2</c:v>
                </c:pt>
                <c:pt idx="225">
                  <c:v>0.14699999999999999</c:v>
                </c:pt>
                <c:pt idx="226">
                  <c:v>0.13100000000000001</c:v>
                </c:pt>
                <c:pt idx="227">
                  <c:v>6.7000000000000004E-2</c:v>
                </c:pt>
                <c:pt idx="228">
                  <c:v>0.123</c:v>
                </c:pt>
                <c:pt idx="229">
                  <c:v>0.189</c:v>
                </c:pt>
                <c:pt idx="230">
                  <c:v>0.14799999999999999</c:v>
                </c:pt>
                <c:pt idx="231">
                  <c:v>0.109</c:v>
                </c:pt>
                <c:pt idx="232">
                  <c:v>0.11600000000000001</c:v>
                </c:pt>
                <c:pt idx="233">
                  <c:v>0.187</c:v>
                </c:pt>
                <c:pt idx="234">
                  <c:v>0.10199999999999999</c:v>
                </c:pt>
                <c:pt idx="235">
                  <c:v>6.8000000000000005E-2</c:v>
                </c:pt>
                <c:pt idx="236">
                  <c:v>0.126</c:v>
                </c:pt>
                <c:pt idx="237">
                  <c:v>0.17199999999999999</c:v>
                </c:pt>
                <c:pt idx="238">
                  <c:v>0.23499999999999999</c:v>
                </c:pt>
                <c:pt idx="239">
                  <c:v>0.13</c:v>
                </c:pt>
                <c:pt idx="240">
                  <c:v>8.5999999999999993E-2</c:v>
                </c:pt>
                <c:pt idx="241">
                  <c:v>9.5000000000000001E-2</c:v>
                </c:pt>
                <c:pt idx="242">
                  <c:v>0.13600000000000001</c:v>
                </c:pt>
                <c:pt idx="243">
                  <c:v>0.23799999999999999</c:v>
                </c:pt>
                <c:pt idx="244">
                  <c:v>0.17499999999999999</c:v>
                </c:pt>
                <c:pt idx="245">
                  <c:v>0.16700000000000001</c:v>
                </c:pt>
                <c:pt idx="246">
                  <c:v>0.26300000000000001</c:v>
                </c:pt>
                <c:pt idx="247">
                  <c:v>0.151</c:v>
                </c:pt>
                <c:pt idx="248">
                  <c:v>0.11</c:v>
                </c:pt>
                <c:pt idx="249">
                  <c:v>0.107</c:v>
                </c:pt>
                <c:pt idx="250">
                  <c:v>0.14299999999999999</c:v>
                </c:pt>
                <c:pt idx="251">
                  <c:v>0.20300000000000001</c:v>
                </c:pt>
                <c:pt idx="252">
                  <c:v>0.22500000000000001</c:v>
                </c:pt>
                <c:pt idx="253">
                  <c:v>0.122</c:v>
                </c:pt>
                <c:pt idx="254">
                  <c:v>5.2999999999999999E-2</c:v>
                </c:pt>
                <c:pt idx="255">
                  <c:v>3.4000000000000002E-2</c:v>
                </c:pt>
                <c:pt idx="256">
                  <c:v>0.17299999999999999</c:v>
                </c:pt>
                <c:pt idx="257">
                  <c:v>0.19700000000000001</c:v>
                </c:pt>
                <c:pt idx="258">
                  <c:v>0.20499999999999999</c:v>
                </c:pt>
                <c:pt idx="259">
                  <c:v>0.14000000000000001</c:v>
                </c:pt>
                <c:pt idx="260">
                  <c:v>7.8E-2</c:v>
                </c:pt>
                <c:pt idx="261">
                  <c:v>4.0000000000000001E-3</c:v>
                </c:pt>
                <c:pt idx="262">
                  <c:v>0.216</c:v>
                </c:pt>
                <c:pt idx="263">
                  <c:v>5.7000000000000002E-2</c:v>
                </c:pt>
                <c:pt idx="264">
                  <c:v>0.126</c:v>
                </c:pt>
                <c:pt idx="265">
                  <c:v>0.19600000000000001</c:v>
                </c:pt>
                <c:pt idx="266">
                  <c:v>0.184</c:v>
                </c:pt>
                <c:pt idx="267">
                  <c:v>0.107</c:v>
                </c:pt>
                <c:pt idx="268">
                  <c:v>0</c:v>
                </c:pt>
                <c:pt idx="269">
                  <c:v>0.154</c:v>
                </c:pt>
                <c:pt idx="270">
                  <c:v>0.13400000000000001</c:v>
                </c:pt>
                <c:pt idx="271">
                  <c:v>0.17399999999999999</c:v>
                </c:pt>
                <c:pt idx="272">
                  <c:v>0.13900000000000001</c:v>
                </c:pt>
                <c:pt idx="273">
                  <c:v>0.16400000000000001</c:v>
                </c:pt>
                <c:pt idx="274">
                  <c:v>0.13500000000000001</c:v>
                </c:pt>
                <c:pt idx="275">
                  <c:v>0.13500000000000001</c:v>
                </c:pt>
                <c:pt idx="276">
                  <c:v>0.115</c:v>
                </c:pt>
                <c:pt idx="277">
                  <c:v>0.151</c:v>
                </c:pt>
                <c:pt idx="278">
                  <c:v>0.12</c:v>
                </c:pt>
                <c:pt idx="279">
                  <c:v>0.13800000000000001</c:v>
                </c:pt>
                <c:pt idx="280">
                  <c:v>0.112</c:v>
                </c:pt>
                <c:pt idx="281">
                  <c:v>0.3</c:v>
                </c:pt>
                <c:pt idx="282">
                  <c:v>0</c:v>
                </c:pt>
                <c:pt idx="283">
                  <c:v>0.114</c:v>
                </c:pt>
                <c:pt idx="284">
                  <c:v>0.155</c:v>
                </c:pt>
                <c:pt idx="285">
                  <c:v>0.22</c:v>
                </c:pt>
                <c:pt idx="286">
                  <c:v>0.13400000000000001</c:v>
                </c:pt>
                <c:pt idx="287">
                  <c:v>0.13400000000000001</c:v>
                </c:pt>
                <c:pt idx="288">
                  <c:v>6.6000000000000003E-2</c:v>
                </c:pt>
                <c:pt idx="289">
                  <c:v>0.192</c:v>
                </c:pt>
                <c:pt idx="290">
                  <c:v>0.14599999999999999</c:v>
                </c:pt>
                <c:pt idx="291">
                  <c:v>0.156</c:v>
                </c:pt>
                <c:pt idx="292">
                  <c:v>0.20699999999999999</c:v>
                </c:pt>
                <c:pt idx="293">
                  <c:v>5.8999999999999997E-2</c:v>
                </c:pt>
                <c:pt idx="294">
                  <c:v>0.08</c:v>
                </c:pt>
                <c:pt idx="295">
                  <c:v>0.113</c:v>
                </c:pt>
                <c:pt idx="296">
                  <c:v>0.16900000000000001</c:v>
                </c:pt>
                <c:pt idx="297">
                  <c:v>0.108</c:v>
                </c:pt>
                <c:pt idx="298">
                  <c:v>0.11899999999999999</c:v>
                </c:pt>
                <c:pt idx="299">
                  <c:v>0</c:v>
                </c:pt>
                <c:pt idx="300">
                  <c:v>5.6000000000000001E-2</c:v>
                </c:pt>
                <c:pt idx="301">
                  <c:v>0.19400000000000001</c:v>
                </c:pt>
                <c:pt idx="302">
                  <c:v>0.129</c:v>
                </c:pt>
                <c:pt idx="303">
                  <c:v>0.17399999999999999</c:v>
                </c:pt>
                <c:pt idx="304">
                  <c:v>0.08</c:v>
                </c:pt>
                <c:pt idx="305">
                  <c:v>3.7999999999999999E-2</c:v>
                </c:pt>
                <c:pt idx="306">
                  <c:v>0.1</c:v>
                </c:pt>
                <c:pt idx="307">
                  <c:v>0.17599999999999999</c:v>
                </c:pt>
                <c:pt idx="308">
                  <c:v>0.153</c:v>
                </c:pt>
                <c:pt idx="309">
                  <c:v>8.8999999999999996E-2</c:v>
                </c:pt>
                <c:pt idx="310">
                  <c:v>0.185</c:v>
                </c:pt>
                <c:pt idx="311">
                  <c:v>4.4999999999999998E-2</c:v>
                </c:pt>
                <c:pt idx="312">
                  <c:v>8.7999999999999995E-2</c:v>
                </c:pt>
                <c:pt idx="313">
                  <c:v>0</c:v>
                </c:pt>
                <c:pt idx="314">
                  <c:v>3.1E-2</c:v>
                </c:pt>
                <c:pt idx="315">
                  <c:v>0.09</c:v>
                </c:pt>
                <c:pt idx="316">
                  <c:v>0.14099999999999999</c:v>
                </c:pt>
                <c:pt idx="317">
                  <c:v>7.4999999999999997E-2</c:v>
                </c:pt>
                <c:pt idx="318">
                  <c:v>1.4E-2</c:v>
                </c:pt>
                <c:pt idx="319">
                  <c:v>0.151</c:v>
                </c:pt>
                <c:pt idx="320">
                  <c:v>7.5999999999999998E-2</c:v>
                </c:pt>
                <c:pt idx="321">
                  <c:v>0.215</c:v>
                </c:pt>
                <c:pt idx="322">
                  <c:v>0.10299999999999999</c:v>
                </c:pt>
                <c:pt idx="323">
                  <c:v>0.17599999999999999</c:v>
                </c:pt>
                <c:pt idx="324">
                  <c:v>5.0999999999999997E-2</c:v>
                </c:pt>
                <c:pt idx="325">
                  <c:v>0.121</c:v>
                </c:pt>
                <c:pt idx="326">
                  <c:v>4.2000000000000003E-2</c:v>
                </c:pt>
                <c:pt idx="327">
                  <c:v>0.109</c:v>
                </c:pt>
                <c:pt idx="328">
                  <c:v>0.3</c:v>
                </c:pt>
                <c:pt idx="329">
                  <c:v>0.2</c:v>
                </c:pt>
                <c:pt idx="330">
                  <c:v>6.5000000000000002E-2</c:v>
                </c:pt>
                <c:pt idx="331">
                  <c:v>0.23899999999999999</c:v>
                </c:pt>
                <c:pt idx="332">
                  <c:v>0.27</c:v>
                </c:pt>
                <c:pt idx="333">
                  <c:v>2.8000000000000001E-2</c:v>
                </c:pt>
                <c:pt idx="334">
                  <c:v>0.14499999999999999</c:v>
                </c:pt>
                <c:pt idx="335">
                  <c:v>0.158</c:v>
                </c:pt>
                <c:pt idx="336">
                  <c:v>6.6000000000000003E-2</c:v>
                </c:pt>
                <c:pt idx="337">
                  <c:v>0.21</c:v>
                </c:pt>
                <c:pt idx="338">
                  <c:v>0.24</c:v>
                </c:pt>
                <c:pt idx="339">
                  <c:v>0.29899999999999999</c:v>
                </c:pt>
                <c:pt idx="340">
                  <c:v>0.3</c:v>
                </c:pt>
                <c:pt idx="341">
                  <c:v>0.28199999999999997</c:v>
                </c:pt>
                <c:pt idx="342">
                  <c:v>0</c:v>
                </c:pt>
                <c:pt idx="343">
                  <c:v>0.26100000000000001</c:v>
                </c:pt>
                <c:pt idx="344">
                  <c:v>7.0999999999999994E-2</c:v>
                </c:pt>
                <c:pt idx="345">
                  <c:v>0.02</c:v>
                </c:pt>
                <c:pt idx="346">
                  <c:v>0.10299999999999999</c:v>
                </c:pt>
                <c:pt idx="347">
                  <c:v>0</c:v>
                </c:pt>
                <c:pt idx="348">
                  <c:v>0.14399999999999999</c:v>
                </c:pt>
                <c:pt idx="349">
                  <c:v>0.113</c:v>
                </c:pt>
                <c:pt idx="350">
                  <c:v>0.188</c:v>
                </c:pt>
                <c:pt idx="351">
                  <c:v>0.113</c:v>
                </c:pt>
                <c:pt idx="352">
                  <c:v>3.9E-2</c:v>
                </c:pt>
                <c:pt idx="353">
                  <c:v>0.17899999999999999</c:v>
                </c:pt>
                <c:pt idx="354">
                  <c:v>0.128</c:v>
                </c:pt>
                <c:pt idx="355">
                  <c:v>0.16700000000000001</c:v>
                </c:pt>
                <c:pt idx="356">
                  <c:v>0</c:v>
                </c:pt>
                <c:pt idx="357">
                  <c:v>0.17</c:v>
                </c:pt>
                <c:pt idx="358">
                  <c:v>0</c:v>
                </c:pt>
                <c:pt idx="359">
                  <c:v>0.17599999999999999</c:v>
                </c:pt>
                <c:pt idx="360">
                  <c:v>0.11</c:v>
                </c:pt>
                <c:pt idx="361">
                  <c:v>7.8E-2</c:v>
                </c:pt>
                <c:pt idx="362">
                  <c:v>1.4E-2</c:v>
                </c:pt>
                <c:pt idx="363">
                  <c:v>0.27200000000000002</c:v>
                </c:pt>
                <c:pt idx="364">
                  <c:v>0.13200000000000001</c:v>
                </c:pt>
                <c:pt idx="365">
                  <c:v>8.9999999999999993E-3</c:v>
                </c:pt>
                <c:pt idx="366">
                  <c:v>0.192</c:v>
                </c:pt>
                <c:pt idx="367">
                  <c:v>0.105</c:v>
                </c:pt>
                <c:pt idx="368">
                  <c:v>0.106</c:v>
                </c:pt>
                <c:pt idx="369">
                  <c:v>0.115</c:v>
                </c:pt>
                <c:pt idx="370">
                  <c:v>5.8000000000000003E-2</c:v>
                </c:pt>
                <c:pt idx="371">
                  <c:v>0</c:v>
                </c:pt>
                <c:pt idx="372">
                  <c:v>0.107</c:v>
                </c:pt>
                <c:pt idx="373">
                  <c:v>3.4000000000000002E-2</c:v>
                </c:pt>
                <c:pt idx="374">
                  <c:v>0.25600000000000001</c:v>
                </c:pt>
                <c:pt idx="375">
                  <c:v>6.3E-2</c:v>
                </c:pt>
                <c:pt idx="376">
                  <c:v>9.9000000000000005E-2</c:v>
                </c:pt>
                <c:pt idx="377">
                  <c:v>0.13900000000000001</c:v>
                </c:pt>
                <c:pt idx="378">
                  <c:v>9.1999999999999998E-2</c:v>
                </c:pt>
                <c:pt idx="379">
                  <c:v>3.2000000000000001E-2</c:v>
                </c:pt>
                <c:pt idx="380">
                  <c:v>0.16300000000000001</c:v>
                </c:pt>
                <c:pt idx="381">
                  <c:v>0.17599999999999999</c:v>
                </c:pt>
                <c:pt idx="382">
                  <c:v>7.8E-2</c:v>
                </c:pt>
                <c:pt idx="383">
                  <c:v>0.09</c:v>
                </c:pt>
                <c:pt idx="384">
                  <c:v>5.8000000000000003E-2</c:v>
                </c:pt>
                <c:pt idx="385">
                  <c:v>0.19</c:v>
                </c:pt>
                <c:pt idx="386">
                  <c:v>0.104</c:v>
                </c:pt>
                <c:pt idx="387">
                  <c:v>0.127</c:v>
                </c:pt>
                <c:pt idx="388">
                  <c:v>0.14699999999999999</c:v>
                </c:pt>
                <c:pt idx="389">
                  <c:v>7.1999999999999995E-2</c:v>
                </c:pt>
                <c:pt idx="390">
                  <c:v>8.9999999999999993E-3</c:v>
                </c:pt>
                <c:pt idx="391">
                  <c:v>0.105</c:v>
                </c:pt>
                <c:pt idx="392">
                  <c:v>0.3</c:v>
                </c:pt>
                <c:pt idx="393">
                  <c:v>0.254</c:v>
                </c:pt>
                <c:pt idx="394">
                  <c:v>0.14799999999999999</c:v>
                </c:pt>
                <c:pt idx="395">
                  <c:v>9.8000000000000004E-2</c:v>
                </c:pt>
                <c:pt idx="396">
                  <c:v>0.10299999999999999</c:v>
                </c:pt>
                <c:pt idx="397">
                  <c:v>0.24099999999999999</c:v>
                </c:pt>
                <c:pt idx="398">
                  <c:v>8.3000000000000004E-2</c:v>
                </c:pt>
                <c:pt idx="399">
                  <c:v>0.122</c:v>
                </c:pt>
                <c:pt idx="400">
                  <c:v>2.5000000000000001E-2</c:v>
                </c:pt>
                <c:pt idx="401">
                  <c:v>0.18</c:v>
                </c:pt>
                <c:pt idx="402">
                  <c:v>0.106</c:v>
                </c:pt>
                <c:pt idx="403">
                  <c:v>0.126</c:v>
                </c:pt>
                <c:pt idx="404">
                  <c:v>0.111</c:v>
                </c:pt>
                <c:pt idx="405">
                  <c:v>6.4000000000000001E-2</c:v>
                </c:pt>
                <c:pt idx="406">
                  <c:v>7.6999999999999999E-2</c:v>
                </c:pt>
                <c:pt idx="407">
                  <c:v>0.13800000000000001</c:v>
                </c:pt>
                <c:pt idx="408">
                  <c:v>0.19600000000000001</c:v>
                </c:pt>
                <c:pt idx="409">
                  <c:v>0</c:v>
                </c:pt>
                <c:pt idx="410">
                  <c:v>0.24099999999999999</c:v>
                </c:pt>
                <c:pt idx="411">
                  <c:v>0.23899999999999999</c:v>
                </c:pt>
                <c:pt idx="412">
                  <c:v>0.112</c:v>
                </c:pt>
                <c:pt idx="413">
                  <c:v>8.3000000000000004E-2</c:v>
                </c:pt>
                <c:pt idx="414">
                  <c:v>7.1999999999999995E-2</c:v>
                </c:pt>
                <c:pt idx="415">
                  <c:v>3.2000000000000001E-2</c:v>
                </c:pt>
                <c:pt idx="416">
                  <c:v>0.245</c:v>
                </c:pt>
                <c:pt idx="417">
                  <c:v>0.09</c:v>
                </c:pt>
                <c:pt idx="418">
                  <c:v>0.217</c:v>
                </c:pt>
                <c:pt idx="419">
                  <c:v>0.22600000000000001</c:v>
                </c:pt>
                <c:pt idx="420">
                  <c:v>0.151</c:v>
                </c:pt>
                <c:pt idx="421">
                  <c:v>1.9E-2</c:v>
                </c:pt>
                <c:pt idx="422">
                  <c:v>0.157</c:v>
                </c:pt>
                <c:pt idx="423">
                  <c:v>0.16800000000000001</c:v>
                </c:pt>
                <c:pt idx="424">
                  <c:v>0.24299999999999999</c:v>
                </c:pt>
                <c:pt idx="425">
                  <c:v>0.17299999999999999</c:v>
                </c:pt>
                <c:pt idx="426">
                  <c:v>0.25</c:v>
                </c:pt>
                <c:pt idx="427">
                  <c:v>0.3</c:v>
                </c:pt>
                <c:pt idx="428">
                  <c:v>0</c:v>
                </c:pt>
                <c:pt idx="429">
                  <c:v>0.17499999999999999</c:v>
                </c:pt>
                <c:pt idx="430">
                  <c:v>0.115</c:v>
                </c:pt>
                <c:pt idx="431">
                  <c:v>0</c:v>
                </c:pt>
                <c:pt idx="432">
                  <c:v>5.6000000000000001E-2</c:v>
                </c:pt>
                <c:pt idx="433">
                  <c:v>5.8999999999999997E-2</c:v>
                </c:pt>
                <c:pt idx="434">
                  <c:v>0.214</c:v>
                </c:pt>
                <c:pt idx="435">
                  <c:v>0</c:v>
                </c:pt>
                <c:pt idx="436">
                  <c:v>0.113</c:v>
                </c:pt>
                <c:pt idx="437">
                  <c:v>0.14699999999999999</c:v>
                </c:pt>
                <c:pt idx="438">
                  <c:v>0.17399999999999999</c:v>
                </c:pt>
                <c:pt idx="439">
                  <c:v>4.1000000000000002E-2</c:v>
                </c:pt>
                <c:pt idx="440">
                  <c:v>0.15</c:v>
                </c:pt>
                <c:pt idx="441">
                  <c:v>0.14799999999999999</c:v>
                </c:pt>
                <c:pt idx="442">
                  <c:v>0.157</c:v>
                </c:pt>
                <c:pt idx="443">
                  <c:v>4.2999999999999997E-2</c:v>
                </c:pt>
                <c:pt idx="444">
                  <c:v>0</c:v>
                </c:pt>
                <c:pt idx="445">
                  <c:v>2.8000000000000001E-2</c:v>
                </c:pt>
                <c:pt idx="446">
                  <c:v>7.3999999999999996E-2</c:v>
                </c:pt>
                <c:pt idx="447">
                  <c:v>0.29299999999999998</c:v>
                </c:pt>
                <c:pt idx="448">
                  <c:v>0.104</c:v>
                </c:pt>
                <c:pt idx="449">
                  <c:v>0.216</c:v>
                </c:pt>
                <c:pt idx="450">
                  <c:v>0.16500000000000001</c:v>
                </c:pt>
                <c:pt idx="451">
                  <c:v>6.6000000000000003E-2</c:v>
                </c:pt>
                <c:pt idx="452">
                  <c:v>7.0999999999999994E-2</c:v>
                </c:pt>
                <c:pt idx="453">
                  <c:v>0.115</c:v>
                </c:pt>
                <c:pt idx="454">
                  <c:v>1.7000000000000001E-2</c:v>
                </c:pt>
                <c:pt idx="455">
                  <c:v>0.111</c:v>
                </c:pt>
                <c:pt idx="456">
                  <c:v>0</c:v>
                </c:pt>
                <c:pt idx="457">
                  <c:v>0.13600000000000001</c:v>
                </c:pt>
                <c:pt idx="458">
                  <c:v>0.125</c:v>
                </c:pt>
                <c:pt idx="459">
                  <c:v>0</c:v>
                </c:pt>
                <c:pt idx="460">
                  <c:v>0.107</c:v>
                </c:pt>
                <c:pt idx="461">
                  <c:v>0.129</c:v>
                </c:pt>
                <c:pt idx="462">
                  <c:v>0.152</c:v>
                </c:pt>
                <c:pt idx="463">
                  <c:v>0.124</c:v>
                </c:pt>
                <c:pt idx="464">
                  <c:v>0.25700000000000001</c:v>
                </c:pt>
                <c:pt idx="465">
                  <c:v>0.21099999999999999</c:v>
                </c:pt>
                <c:pt idx="466">
                  <c:v>0.22900000000000001</c:v>
                </c:pt>
                <c:pt idx="467">
                  <c:v>7.0999999999999994E-2</c:v>
                </c:pt>
                <c:pt idx="468">
                  <c:v>0.23</c:v>
                </c:pt>
                <c:pt idx="469">
                  <c:v>4.5999999999999999E-2</c:v>
                </c:pt>
                <c:pt idx="470">
                  <c:v>4.9000000000000002E-2</c:v>
                </c:pt>
                <c:pt idx="471">
                  <c:v>0.13800000000000001</c:v>
                </c:pt>
                <c:pt idx="472">
                  <c:v>7.3999999999999996E-2</c:v>
                </c:pt>
                <c:pt idx="473">
                  <c:v>0.126</c:v>
                </c:pt>
                <c:pt idx="474">
                  <c:v>0.20499999999999999</c:v>
                </c:pt>
                <c:pt idx="475">
                  <c:v>4.2000000000000003E-2</c:v>
                </c:pt>
                <c:pt idx="476">
                  <c:v>8.8999999999999996E-2</c:v>
                </c:pt>
                <c:pt idx="477">
                  <c:v>0.16500000000000001</c:v>
                </c:pt>
                <c:pt idx="478">
                  <c:v>0.216</c:v>
                </c:pt>
                <c:pt idx="479">
                  <c:v>0.02</c:v>
                </c:pt>
                <c:pt idx="480">
                  <c:v>7.5999999999999998E-2</c:v>
                </c:pt>
                <c:pt idx="481">
                  <c:v>9.0999999999999998E-2</c:v>
                </c:pt>
                <c:pt idx="482">
                  <c:v>0.13200000000000001</c:v>
                </c:pt>
                <c:pt idx="483">
                  <c:v>5.2999999999999999E-2</c:v>
                </c:pt>
                <c:pt idx="484">
                  <c:v>0.123</c:v>
                </c:pt>
                <c:pt idx="485">
                  <c:v>9.1999999999999998E-2</c:v>
                </c:pt>
                <c:pt idx="486">
                  <c:v>0.222</c:v>
                </c:pt>
                <c:pt idx="487">
                  <c:v>7.3999999999999996E-2</c:v>
                </c:pt>
                <c:pt idx="488">
                  <c:v>0.19700000000000001</c:v>
                </c:pt>
                <c:pt idx="489">
                  <c:v>0.13500000000000001</c:v>
                </c:pt>
                <c:pt idx="490">
                  <c:v>0</c:v>
                </c:pt>
                <c:pt idx="491">
                  <c:v>0</c:v>
                </c:pt>
                <c:pt idx="492">
                  <c:v>8.3000000000000004E-2</c:v>
                </c:pt>
                <c:pt idx="493">
                  <c:v>0.13200000000000001</c:v>
                </c:pt>
                <c:pt idx="494">
                  <c:v>4.2000000000000003E-2</c:v>
                </c:pt>
                <c:pt idx="495">
                  <c:v>0.113</c:v>
                </c:pt>
                <c:pt idx="496">
                  <c:v>0.14199999999999999</c:v>
                </c:pt>
                <c:pt idx="497">
                  <c:v>4.2000000000000003E-2</c:v>
                </c:pt>
                <c:pt idx="498">
                  <c:v>5.7000000000000002E-2</c:v>
                </c:pt>
                <c:pt idx="499">
                  <c:v>0.218</c:v>
                </c:pt>
                <c:pt idx="500">
                  <c:v>4.1000000000000002E-2</c:v>
                </c:pt>
                <c:pt idx="501">
                  <c:v>0.16700000000000001</c:v>
                </c:pt>
                <c:pt idx="502">
                  <c:v>6.9000000000000006E-2</c:v>
                </c:pt>
                <c:pt idx="503">
                  <c:v>0.10100000000000001</c:v>
                </c:pt>
                <c:pt idx="504">
                  <c:v>7.0000000000000007E-2</c:v>
                </c:pt>
                <c:pt idx="505">
                  <c:v>0.123</c:v>
                </c:pt>
                <c:pt idx="506">
                  <c:v>0.23499999999999999</c:v>
                </c:pt>
                <c:pt idx="507">
                  <c:v>0.02</c:v>
                </c:pt>
                <c:pt idx="508">
                  <c:v>9.8000000000000004E-2</c:v>
                </c:pt>
                <c:pt idx="509">
                  <c:v>0.108</c:v>
                </c:pt>
                <c:pt idx="510">
                  <c:v>0.20899999999999999</c:v>
                </c:pt>
                <c:pt idx="511">
                  <c:v>0.11899999999999999</c:v>
                </c:pt>
                <c:pt idx="512">
                  <c:v>0.14599999999999999</c:v>
                </c:pt>
                <c:pt idx="513">
                  <c:v>3.2000000000000001E-2</c:v>
                </c:pt>
                <c:pt idx="514">
                  <c:v>0</c:v>
                </c:pt>
                <c:pt idx="515">
                  <c:v>0</c:v>
                </c:pt>
                <c:pt idx="516">
                  <c:v>0.157</c:v>
                </c:pt>
                <c:pt idx="517">
                  <c:v>0.107</c:v>
                </c:pt>
                <c:pt idx="518">
                  <c:v>0.13800000000000001</c:v>
                </c:pt>
                <c:pt idx="519">
                  <c:v>4.9000000000000002E-2</c:v>
                </c:pt>
                <c:pt idx="520">
                  <c:v>0.18</c:v>
                </c:pt>
                <c:pt idx="521">
                  <c:v>0.1</c:v>
                </c:pt>
                <c:pt idx="522">
                  <c:v>0</c:v>
                </c:pt>
                <c:pt idx="523">
                  <c:v>9.4E-2</c:v>
                </c:pt>
                <c:pt idx="524">
                  <c:v>0.17</c:v>
                </c:pt>
                <c:pt idx="525">
                  <c:v>0.22500000000000001</c:v>
                </c:pt>
                <c:pt idx="526">
                  <c:v>0.13500000000000001</c:v>
                </c:pt>
                <c:pt idx="527">
                  <c:v>0</c:v>
                </c:pt>
                <c:pt idx="528">
                  <c:v>5.8999999999999997E-2</c:v>
                </c:pt>
                <c:pt idx="529">
                  <c:v>0</c:v>
                </c:pt>
                <c:pt idx="530">
                  <c:v>3.7999999999999999E-2</c:v>
                </c:pt>
                <c:pt idx="531">
                  <c:v>0.122</c:v>
                </c:pt>
                <c:pt idx="532">
                  <c:v>0.114</c:v>
                </c:pt>
                <c:pt idx="533">
                  <c:v>6.6000000000000003E-2</c:v>
                </c:pt>
                <c:pt idx="534">
                  <c:v>0.248</c:v>
                </c:pt>
                <c:pt idx="535">
                  <c:v>0.19</c:v>
                </c:pt>
                <c:pt idx="536">
                  <c:v>0.14899999999999999</c:v>
                </c:pt>
                <c:pt idx="537">
                  <c:v>8.6999999999999994E-2</c:v>
                </c:pt>
                <c:pt idx="538">
                  <c:v>4.3999999999999997E-2</c:v>
                </c:pt>
                <c:pt idx="539">
                  <c:v>0.107</c:v>
                </c:pt>
                <c:pt idx="540">
                  <c:v>8.8999999999999996E-2</c:v>
                </c:pt>
                <c:pt idx="541">
                  <c:v>0</c:v>
                </c:pt>
                <c:pt idx="542">
                  <c:v>0.13300000000000001</c:v>
                </c:pt>
                <c:pt idx="543">
                  <c:v>5.8999999999999997E-2</c:v>
                </c:pt>
                <c:pt idx="544">
                  <c:v>0.115</c:v>
                </c:pt>
                <c:pt idx="545">
                  <c:v>0.21199999999999999</c:v>
                </c:pt>
                <c:pt idx="546">
                  <c:v>0.23699999999999999</c:v>
                </c:pt>
                <c:pt idx="547">
                  <c:v>0.20799999999999999</c:v>
                </c:pt>
                <c:pt idx="548">
                  <c:v>0.123</c:v>
                </c:pt>
                <c:pt idx="549">
                  <c:v>0.17499999999999999</c:v>
                </c:pt>
                <c:pt idx="550">
                  <c:v>0.17</c:v>
                </c:pt>
                <c:pt idx="551">
                  <c:v>0.21199999999999999</c:v>
                </c:pt>
                <c:pt idx="552">
                  <c:v>0.157</c:v>
                </c:pt>
                <c:pt idx="553">
                  <c:v>4.2000000000000003E-2</c:v>
                </c:pt>
                <c:pt idx="554">
                  <c:v>8.6999999999999994E-2</c:v>
                </c:pt>
                <c:pt idx="555">
                  <c:v>0.125</c:v>
                </c:pt>
                <c:pt idx="556">
                  <c:v>0</c:v>
                </c:pt>
                <c:pt idx="557">
                  <c:v>5.3999999999999999E-2</c:v>
                </c:pt>
                <c:pt idx="558">
                  <c:v>0.21099999999999999</c:v>
                </c:pt>
                <c:pt idx="559">
                  <c:v>0.122</c:v>
                </c:pt>
                <c:pt idx="560">
                  <c:v>0.12</c:v>
                </c:pt>
                <c:pt idx="561">
                  <c:v>0.14499999999999999</c:v>
                </c:pt>
                <c:pt idx="562">
                  <c:v>5.5E-2</c:v>
                </c:pt>
                <c:pt idx="563">
                  <c:v>0.13700000000000001</c:v>
                </c:pt>
                <c:pt idx="564">
                  <c:v>6.8000000000000005E-2</c:v>
                </c:pt>
                <c:pt idx="565">
                  <c:v>0.14299999999999999</c:v>
                </c:pt>
                <c:pt idx="566">
                  <c:v>0.126</c:v>
                </c:pt>
                <c:pt idx="567">
                  <c:v>9.1999999999999998E-2</c:v>
                </c:pt>
                <c:pt idx="568">
                  <c:v>0.19700000000000001</c:v>
                </c:pt>
                <c:pt idx="569">
                  <c:v>0</c:v>
                </c:pt>
                <c:pt idx="570">
                  <c:v>2.9000000000000001E-2</c:v>
                </c:pt>
                <c:pt idx="571">
                  <c:v>8.2000000000000003E-2</c:v>
                </c:pt>
                <c:pt idx="572">
                  <c:v>6.4000000000000001E-2</c:v>
                </c:pt>
                <c:pt idx="573">
                  <c:v>0.20699999999999999</c:v>
                </c:pt>
                <c:pt idx="574">
                  <c:v>5.6000000000000001E-2</c:v>
                </c:pt>
                <c:pt idx="575">
                  <c:v>0.121</c:v>
                </c:pt>
                <c:pt idx="576">
                  <c:v>7.1999999999999995E-2</c:v>
                </c:pt>
                <c:pt idx="577">
                  <c:v>7.1999999999999995E-2</c:v>
                </c:pt>
                <c:pt idx="578">
                  <c:v>0.13500000000000001</c:v>
                </c:pt>
                <c:pt idx="579">
                  <c:v>6.7000000000000004E-2</c:v>
                </c:pt>
                <c:pt idx="580">
                  <c:v>0.13200000000000001</c:v>
                </c:pt>
                <c:pt idx="581">
                  <c:v>0.01</c:v>
                </c:pt>
                <c:pt idx="582">
                  <c:v>0.22600000000000001</c:v>
                </c:pt>
                <c:pt idx="583">
                  <c:v>0.16300000000000001</c:v>
                </c:pt>
                <c:pt idx="584">
                  <c:v>0.14099999999999999</c:v>
                </c:pt>
                <c:pt idx="585">
                  <c:v>4.1000000000000002E-2</c:v>
                </c:pt>
                <c:pt idx="586">
                  <c:v>0</c:v>
                </c:pt>
                <c:pt idx="587">
                  <c:v>9.2999999999999999E-2</c:v>
                </c:pt>
                <c:pt idx="588">
                  <c:v>0.10299999999999999</c:v>
                </c:pt>
                <c:pt idx="589">
                  <c:v>8.7999999999999995E-2</c:v>
                </c:pt>
                <c:pt idx="590">
                  <c:v>0</c:v>
                </c:pt>
                <c:pt idx="591">
                  <c:v>0.17399999999999999</c:v>
                </c:pt>
                <c:pt idx="592">
                  <c:v>0.14599999999999999</c:v>
                </c:pt>
                <c:pt idx="593">
                  <c:v>0.192</c:v>
                </c:pt>
                <c:pt idx="594">
                  <c:v>0.08</c:v>
                </c:pt>
                <c:pt idx="595">
                  <c:v>7.2999999999999995E-2</c:v>
                </c:pt>
                <c:pt idx="596">
                  <c:v>4.2999999999999997E-2</c:v>
                </c:pt>
                <c:pt idx="597">
                  <c:v>0.14000000000000001</c:v>
                </c:pt>
                <c:pt idx="598">
                  <c:v>0.187</c:v>
                </c:pt>
                <c:pt idx="599">
                  <c:v>0.13300000000000001</c:v>
                </c:pt>
                <c:pt idx="600">
                  <c:v>8.9999999999999993E-3</c:v>
                </c:pt>
                <c:pt idx="601">
                  <c:v>0.16</c:v>
                </c:pt>
                <c:pt idx="602">
                  <c:v>7.0999999999999994E-2</c:v>
                </c:pt>
                <c:pt idx="603">
                  <c:v>0.15</c:v>
                </c:pt>
                <c:pt idx="604">
                  <c:v>0.19</c:v>
                </c:pt>
                <c:pt idx="605">
                  <c:v>0.186</c:v>
                </c:pt>
                <c:pt idx="606">
                  <c:v>0.10299999999999999</c:v>
                </c:pt>
                <c:pt idx="607">
                  <c:v>9.7000000000000003E-2</c:v>
                </c:pt>
                <c:pt idx="608">
                  <c:v>0.16300000000000001</c:v>
                </c:pt>
                <c:pt idx="609">
                  <c:v>0.12</c:v>
                </c:pt>
                <c:pt idx="610">
                  <c:v>0.104</c:v>
                </c:pt>
                <c:pt idx="611">
                  <c:v>0.19400000000000001</c:v>
                </c:pt>
                <c:pt idx="612">
                  <c:v>0</c:v>
                </c:pt>
                <c:pt idx="613">
                  <c:v>2.1999999999999999E-2</c:v>
                </c:pt>
                <c:pt idx="614">
                  <c:v>0.17100000000000001</c:v>
                </c:pt>
                <c:pt idx="615">
                  <c:v>8.1000000000000003E-2</c:v>
                </c:pt>
                <c:pt idx="616">
                  <c:v>4.0000000000000001E-3</c:v>
                </c:pt>
                <c:pt idx="617">
                  <c:v>0.10199999999999999</c:v>
                </c:pt>
                <c:pt idx="618">
                  <c:v>0.109</c:v>
                </c:pt>
                <c:pt idx="619">
                  <c:v>4.7E-2</c:v>
                </c:pt>
                <c:pt idx="620">
                  <c:v>0.16500000000000001</c:v>
                </c:pt>
                <c:pt idx="621">
                  <c:v>0.186</c:v>
                </c:pt>
                <c:pt idx="622">
                  <c:v>0.192</c:v>
                </c:pt>
                <c:pt idx="623">
                  <c:v>0.113</c:v>
                </c:pt>
                <c:pt idx="624">
                  <c:v>0.161</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2196-4D36-AD1D-81F8E64EB9FD}"/>
            </c:ext>
          </c:extLst>
        </c:ser>
        <c:dLbls>
          <c:showLegendKey val="0"/>
          <c:showVal val="0"/>
          <c:showCatName val="0"/>
          <c:showSerName val="0"/>
          <c:showPercent val="0"/>
          <c:showBubbleSize val="0"/>
        </c:dLbls>
        <c:axId val="1225268431"/>
        <c:axId val="1225280431"/>
      </c:scatterChart>
      <c:valAx>
        <c:axId val="12252684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5280431"/>
        <c:crosses val="autoZero"/>
        <c:crossBetween val="midCat"/>
      </c:valAx>
      <c:valAx>
        <c:axId val="12252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KE"/>
          </a:p>
        </c:txPr>
        <c:crossAx val="12252684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Scroll" dx="26" fmlaLink="$G$4" max="3" page="0"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2.emf"/><Relationship Id="rId7" Type="http://schemas.openxmlformats.org/officeDocument/2006/relationships/image" Target="../media/image6.emf"/><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5.emf"/><Relationship Id="rId5" Type="http://schemas.openxmlformats.org/officeDocument/2006/relationships/image" Target="../media/image4.emf"/><Relationship Id="rId4" Type="http://schemas.openxmlformats.org/officeDocument/2006/relationships/image" Target="../media/image3.emf"/><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15240</xdr:colOff>
      <xdr:row>14</xdr:row>
      <xdr:rowOff>171450</xdr:rowOff>
    </xdr:from>
    <xdr:to>
      <xdr:col>7</xdr:col>
      <xdr:colOff>929640</xdr:colOff>
      <xdr:row>29</xdr:row>
      <xdr:rowOff>171450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167640</xdr:colOff>
      <xdr:row>35</xdr:row>
      <xdr:rowOff>22860</xdr:rowOff>
    </xdr:from>
    <xdr:to>
      <xdr:col>4</xdr:col>
      <xdr:colOff>640080</xdr:colOff>
      <xdr:row>48</xdr:row>
      <xdr:rowOff>112395</xdr:rowOff>
    </xdr:to>
    <mc:AlternateContent xmlns:mc="http://schemas.openxmlformats.org/markup-compatibility/2006" xmlns:a14="http://schemas.microsoft.com/office/drawing/2010/main">
      <mc:Choice Requires="a14">
        <xdr:graphicFrame macro="">
          <xdr:nvGraphicFramePr>
            <xdr:cNvPr id="2" name="ProductCategory">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2484120" y="64236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464820</xdr:colOff>
      <xdr:row>35</xdr:row>
      <xdr:rowOff>68580</xdr:rowOff>
    </xdr:from>
    <xdr:to>
      <xdr:col>2</xdr:col>
      <xdr:colOff>2540</xdr:colOff>
      <xdr:row>48</xdr:row>
      <xdr:rowOff>158115</xdr:rowOff>
    </xdr:to>
    <mc:AlternateContent xmlns:mc="http://schemas.openxmlformats.org/markup-compatibility/2006" xmlns:a14="http://schemas.microsoft.com/office/drawing/2010/main">
      <mc:Choice Requires="a14">
        <xdr:graphicFrame macro="">
          <xdr:nvGraphicFramePr>
            <xdr:cNvPr id="3" name="SKU">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mlns="">
        <xdr:sp macro="" textlink="">
          <xdr:nvSpPr>
            <xdr:cNvPr id="0" name=""/>
            <xdr:cNvSpPr>
              <a:spLocks noTextEdit="1"/>
            </xdr:cNvSpPr>
          </xdr:nvSpPr>
          <xdr:spPr>
            <a:xfrm>
              <a:off x="464820" y="6469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1120140</xdr:colOff>
      <xdr:row>35</xdr:row>
      <xdr:rowOff>68580</xdr:rowOff>
    </xdr:from>
    <xdr:to>
      <xdr:col>5</xdr:col>
      <xdr:colOff>1577340</xdr:colOff>
      <xdr:row>48</xdr:row>
      <xdr:rowOff>158115</xdr:rowOff>
    </xdr:to>
    <mc:AlternateContent xmlns:mc="http://schemas.openxmlformats.org/markup-compatibility/2006" xmlns:a14="http://schemas.microsoft.com/office/drawing/2010/main">
      <mc:Choice Requires="a14">
        <xdr:graphicFrame macro="">
          <xdr:nvGraphicFramePr>
            <xdr:cNvPr id="5" name="Gross Revenue">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microsoft.com/office/drawing/2010/slicer">
              <sle:slicer xmlns:sle="http://schemas.microsoft.com/office/drawing/2010/slicer" name="Gross Revenue"/>
            </a:graphicData>
          </a:graphic>
        </xdr:graphicFrame>
      </mc:Choice>
      <mc:Fallback xmlns="">
        <xdr:sp macro="" textlink="">
          <xdr:nvSpPr>
            <xdr:cNvPr id="0" name=""/>
            <xdr:cNvSpPr>
              <a:spLocks noTextEdit="1"/>
            </xdr:cNvSpPr>
          </xdr:nvSpPr>
          <xdr:spPr>
            <a:xfrm>
              <a:off x="4792980" y="6469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20</xdr:row>
      <xdr:rowOff>80010</xdr:rowOff>
    </xdr:from>
    <xdr:to>
      <xdr:col>8</xdr:col>
      <xdr:colOff>60960</xdr:colOff>
      <xdr:row>35</xdr:row>
      <xdr:rowOff>80010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21</xdr:row>
      <xdr:rowOff>121920</xdr:rowOff>
    </xdr:from>
    <xdr:to>
      <xdr:col>4</xdr:col>
      <xdr:colOff>104029</xdr:colOff>
      <xdr:row>36</xdr:row>
      <xdr:rowOff>134351</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0" y="3962400"/>
          <a:ext cx="4584589" cy="2755631"/>
        </a:xfrm>
        <a:prstGeom prst="rect">
          <a:avLst/>
        </a:prstGeom>
      </xdr:spPr>
    </xdr:pic>
    <xdr:clientData/>
  </xdr:twoCellAnchor>
  <xdr:twoCellAnchor>
    <xdr:from>
      <xdr:col>4</xdr:col>
      <xdr:colOff>594360</xdr:colOff>
      <xdr:row>35</xdr:row>
      <xdr:rowOff>171450</xdr:rowOff>
    </xdr:from>
    <xdr:to>
      <xdr:col>8</xdr:col>
      <xdr:colOff>53340</xdr:colOff>
      <xdr:row>50</xdr:row>
      <xdr:rowOff>171450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822960</xdr:colOff>
      <xdr:row>37</xdr:row>
      <xdr:rowOff>144780</xdr:rowOff>
    </xdr:from>
    <xdr:to>
      <xdr:col>4</xdr:col>
      <xdr:colOff>403860</xdr:colOff>
      <xdr:row>51</xdr:row>
      <xdr:rowOff>51435</xdr:rowOff>
    </xdr:to>
    <mc:AlternateContent xmlns:mc="http://schemas.openxmlformats.org/markup-compatibility/2006" xmlns:a14="http://schemas.microsoft.com/office/drawing/2010/main">
      <mc:Choice Requires="a14">
        <xdr:graphicFrame macro="">
          <xdr:nvGraphicFramePr>
            <xdr:cNvPr id="3" name="OrderID">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3055620" y="69113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868680</xdr:colOff>
      <xdr:row>38</xdr:row>
      <xdr:rowOff>7620</xdr:rowOff>
    </xdr:from>
    <xdr:to>
      <xdr:col>3</xdr:col>
      <xdr:colOff>266700</xdr:colOff>
      <xdr:row>51</xdr:row>
      <xdr:rowOff>97155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729740" y="69570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38</xdr:row>
      <xdr:rowOff>22860</xdr:rowOff>
    </xdr:from>
    <xdr:to>
      <xdr:col>1</xdr:col>
      <xdr:colOff>1028700</xdr:colOff>
      <xdr:row>51</xdr:row>
      <xdr:rowOff>112395</xdr:rowOff>
    </xdr:to>
    <mc:AlternateContent xmlns:mc="http://schemas.openxmlformats.org/markup-compatibility/2006" xmlns:a14="http://schemas.microsoft.com/office/drawing/2010/main">
      <mc:Choice Requires="a14">
        <xdr:graphicFrame macro="">
          <xdr:nvGraphicFramePr>
            <xdr:cNvPr id="7" name="Gross Profit">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microsoft.com/office/drawing/2010/slicer">
              <sle:slicer xmlns:sle="http://schemas.microsoft.com/office/drawing/2010/slicer" name="Gross Profit"/>
            </a:graphicData>
          </a:graphic>
        </xdr:graphicFrame>
      </mc:Choice>
      <mc:Fallback xmlns="">
        <xdr:sp macro="" textlink="">
          <xdr:nvSpPr>
            <xdr:cNvPr id="0" name=""/>
            <xdr:cNvSpPr>
              <a:spLocks noTextEdit="1"/>
            </xdr:cNvSpPr>
          </xdr:nvSpPr>
          <xdr:spPr>
            <a:xfrm>
              <a:off x="60960" y="69723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52</xdr:row>
      <xdr:rowOff>7620</xdr:rowOff>
    </xdr:from>
    <xdr:to>
      <xdr:col>1</xdr:col>
      <xdr:colOff>1234440</xdr:colOff>
      <xdr:row>65</xdr:row>
      <xdr:rowOff>97155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6700" y="9517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12</xdr:row>
      <xdr:rowOff>11430</xdr:rowOff>
    </xdr:from>
    <xdr:to>
      <xdr:col>7</xdr:col>
      <xdr:colOff>449580</xdr:colOff>
      <xdr:row>27</xdr:row>
      <xdr:rowOff>11430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228600</xdr:colOff>
      <xdr:row>14</xdr:row>
      <xdr:rowOff>7620</xdr:rowOff>
    </xdr:from>
    <xdr:to>
      <xdr:col>9</xdr:col>
      <xdr:colOff>1247140</xdr:colOff>
      <xdr:row>27</xdr:row>
      <xdr:rowOff>97155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12380" y="25679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281940</xdr:colOff>
      <xdr:row>23</xdr:row>
      <xdr:rowOff>114300</xdr:rowOff>
    </xdr:from>
    <xdr:to>
      <xdr:col>10</xdr:col>
      <xdr:colOff>27940</xdr:colOff>
      <xdr:row>37</xdr:row>
      <xdr:rowOff>20955</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665720" y="43205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365760</xdr:colOff>
      <xdr:row>2</xdr:row>
      <xdr:rowOff>163830</xdr:rowOff>
    </xdr:from>
    <xdr:to>
      <xdr:col>13</xdr:col>
      <xdr:colOff>60960</xdr:colOff>
      <xdr:row>17</xdr:row>
      <xdr:rowOff>163830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266700</xdr:colOff>
      <xdr:row>19</xdr:row>
      <xdr:rowOff>160020</xdr:rowOff>
    </xdr:from>
    <xdr:to>
      <xdr:col>12</xdr:col>
      <xdr:colOff>266700</xdr:colOff>
      <xdr:row>33</xdr:row>
      <xdr:rowOff>66675</xdr:rowOff>
    </xdr:to>
    <mc:AlternateContent xmlns:mc="http://schemas.openxmlformats.org/markup-compatibility/2006" xmlns:a14="http://schemas.microsoft.com/office/drawing/2010/main">
      <mc:Choice Requires="a14">
        <xdr:graphicFrame macro="">
          <xdr:nvGraphicFramePr>
            <xdr:cNvPr id="3" name="Leadtime days">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microsoft.com/office/drawing/2010/slicer">
              <sle:slicer xmlns:sle="http://schemas.microsoft.com/office/drawing/2010/slicer" name="Leadtime days"/>
            </a:graphicData>
          </a:graphic>
        </xdr:graphicFrame>
      </mc:Choice>
      <mc:Fallback xmlns="">
        <xdr:sp macro="" textlink="">
          <xdr:nvSpPr>
            <xdr:cNvPr id="0" name=""/>
            <xdr:cNvSpPr>
              <a:spLocks noTextEdit="1"/>
            </xdr:cNvSpPr>
          </xdr:nvSpPr>
          <xdr:spPr>
            <a:xfrm>
              <a:off x="8542020" y="36347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20</xdr:row>
      <xdr:rowOff>7620</xdr:rowOff>
    </xdr:from>
    <xdr:to>
      <xdr:col>9</xdr:col>
      <xdr:colOff>0</xdr:colOff>
      <xdr:row>33</xdr:row>
      <xdr:rowOff>97155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446520" y="366522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441960</xdr:colOff>
      <xdr:row>2</xdr:row>
      <xdr:rowOff>179070</xdr:rowOff>
    </xdr:from>
    <xdr:to>
      <xdr:col>13</xdr:col>
      <xdr:colOff>137160</xdr:colOff>
      <xdr:row>17</xdr:row>
      <xdr:rowOff>179070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24</xdr:row>
      <xdr:rowOff>171450</xdr:rowOff>
    </xdr:from>
    <xdr:to>
      <xdr:col>13</xdr:col>
      <xdr:colOff>312420</xdr:colOff>
      <xdr:row>39</xdr:row>
      <xdr:rowOff>171450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43</xdr:row>
      <xdr:rowOff>3810</xdr:rowOff>
    </xdr:from>
    <xdr:to>
      <xdr:col>13</xdr:col>
      <xdr:colOff>304800</xdr:colOff>
      <xdr:row>58</xdr:row>
      <xdr:rowOff>3810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525780</xdr:colOff>
      <xdr:row>3</xdr:row>
      <xdr:rowOff>152400</xdr:rowOff>
    </xdr:from>
    <xdr:to>
      <xdr:col>16</xdr:col>
      <xdr:colOff>525780</xdr:colOff>
      <xdr:row>17</xdr:row>
      <xdr:rowOff>59055</xdr:rowOff>
    </xdr:to>
    <mc:AlternateContent xmlns:mc="http://schemas.openxmlformats.org/markup-compatibility/2006" xmlns:a14="http://schemas.microsoft.com/office/drawing/2010/main">
      <mc:Choice Requires="a14">
        <xdr:graphicFrame macro="">
          <xdr:nvGraphicFramePr>
            <xdr:cNvPr id="5" name="DiscountPct">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microsoft.com/office/drawing/2010/slicer">
              <sle:slicer xmlns:sle="http://schemas.microsoft.com/office/drawing/2010/slicer" name="DiscountPct"/>
            </a:graphicData>
          </a:graphic>
        </xdr:graphicFrame>
      </mc:Choice>
      <mc:Fallback xmlns="">
        <xdr:sp macro="" textlink="">
          <xdr:nvSpPr>
            <xdr:cNvPr id="0" name=""/>
            <xdr:cNvSpPr>
              <a:spLocks noTextEdit="1"/>
            </xdr:cNvSpPr>
          </xdr:nvSpPr>
          <xdr:spPr>
            <a:xfrm>
              <a:off x="12016740" y="7010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0</xdr:colOff>
          <xdr:row>4</xdr:row>
          <xdr:rowOff>137160</xdr:rowOff>
        </xdr:from>
        <xdr:to>
          <xdr:col>12</xdr:col>
          <xdr:colOff>914400</xdr:colOff>
          <xdr:row>19</xdr:row>
          <xdr:rowOff>137160</xdr:rowOff>
        </xdr:to>
        <xdr:sp macro="" textlink="">
          <xdr:nvSpPr>
            <xdr:cNvPr id="5126" name="Scroll Bar 6" hidden="1">
              <a:extLst>
                <a:ext uri="{63B3BB69-23CF-44E3-9099-C40C66FF867C}">
                  <a14:compatExt spid="_x0000_s5126"/>
                </a:ext>
                <a:ext uri="{FF2B5EF4-FFF2-40B4-BE49-F238E27FC236}">
                  <a16:creationId xmlns:a16="http://schemas.microsoft.com/office/drawing/2014/main" id="{00000000-0008-0000-1000-00000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0</xdr:colOff>
      <xdr:row>27</xdr:row>
      <xdr:rowOff>171450</xdr:rowOff>
    </xdr:from>
    <xdr:to>
      <xdr:col>11</xdr:col>
      <xdr:colOff>441960</xdr:colOff>
      <xdr:row>42</xdr:row>
      <xdr:rowOff>171450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0</xdr:colOff>
      <xdr:row>15</xdr:row>
      <xdr:rowOff>89535</xdr:rowOff>
    </xdr:to>
    <mc:AlternateContent xmlns:mc="http://schemas.openxmlformats.org/markup-compatibility/2006" xmlns:a14="http://schemas.microsoft.com/office/drawing/2010/main">
      <mc:Choice Requires="a14">
        <xdr:graphicFrame macro="">
          <xdr:nvGraphicFramePr>
            <xdr:cNvPr id="2" name="SKU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microsoft.com/office/drawing/2010/slicer">
              <sle:slicer xmlns:sle="http://schemas.microsoft.com/office/drawing/2010/slicer" name="SKU 1"/>
            </a:graphicData>
          </a:graphic>
        </xdr:graphicFrame>
      </mc:Choice>
      <mc:Fallback xmlns="">
        <xdr:sp macro="" textlink="">
          <xdr:nvSpPr>
            <xdr:cNvPr id="0" name=""/>
            <xdr:cNvSpPr>
              <a:spLocks noTextEdit="1"/>
            </xdr:cNvSpPr>
          </xdr:nvSpPr>
          <xdr:spPr>
            <a:xfrm>
              <a:off x="6096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xdr:row>
      <xdr:rowOff>0</xdr:rowOff>
    </xdr:from>
    <xdr:to>
      <xdr:col>8</xdr:col>
      <xdr:colOff>0</xdr:colOff>
      <xdr:row>15</xdr:row>
      <xdr:rowOff>89535</xdr:rowOff>
    </xdr:to>
    <mc:AlternateContent xmlns:mc="http://schemas.openxmlformats.org/markup-compatibility/2006" xmlns:a14="http://schemas.microsoft.com/office/drawing/2010/main">
      <mc:Choice Requires="a14">
        <xdr:graphicFrame macro="">
          <xdr:nvGraphicFramePr>
            <xdr:cNvPr id="3" name="ProductCategory 1">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30480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0</xdr:rowOff>
    </xdr:from>
    <xdr:to>
      <xdr:col>12</xdr:col>
      <xdr:colOff>0</xdr:colOff>
      <xdr:row>15</xdr:row>
      <xdr:rowOff>89535</xdr:rowOff>
    </xdr:to>
    <mc:AlternateContent xmlns:mc="http://schemas.openxmlformats.org/markup-compatibility/2006" xmlns:a14="http://schemas.microsoft.com/office/drawing/2010/main">
      <mc:Choice Requires="a14">
        <xdr:graphicFrame macro="">
          <xdr:nvGraphicFramePr>
            <xdr:cNvPr id="4" name="Gross Revenue 1">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microsoft.com/office/drawing/2010/slicer">
              <sle:slicer xmlns:sle="http://schemas.microsoft.com/office/drawing/2010/slicer" name="Gross Revenue 1"/>
            </a:graphicData>
          </a:graphic>
        </xdr:graphicFrame>
      </mc:Choice>
      <mc:Fallback xmlns="">
        <xdr:sp macro="" textlink="">
          <xdr:nvSpPr>
            <xdr:cNvPr id="0" name=""/>
            <xdr:cNvSpPr>
              <a:spLocks noTextEdit="1"/>
            </xdr:cNvSpPr>
          </xdr:nvSpPr>
          <xdr:spPr>
            <a:xfrm>
              <a:off x="54864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xdr:row>
      <xdr:rowOff>0</xdr:rowOff>
    </xdr:from>
    <xdr:to>
      <xdr:col>16</xdr:col>
      <xdr:colOff>0</xdr:colOff>
      <xdr:row>15</xdr:row>
      <xdr:rowOff>89535</xdr:rowOff>
    </xdr:to>
    <mc:AlternateContent xmlns:mc="http://schemas.openxmlformats.org/markup-compatibility/2006" xmlns:a14="http://schemas.microsoft.com/office/drawing/2010/main">
      <mc:Choice Requires="a14">
        <xdr:graphicFrame macro="">
          <xdr:nvGraphicFramePr>
            <xdr:cNvPr id="5" name="Gross Profit 1">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microsoft.com/office/drawing/2010/slicer">
              <sle:slicer xmlns:sle="http://schemas.microsoft.com/office/drawing/2010/slicer" name="Gross Profit 1"/>
            </a:graphicData>
          </a:graphic>
        </xdr:graphicFrame>
      </mc:Choice>
      <mc:Fallback xmlns="">
        <xdr:sp macro="" textlink="">
          <xdr:nvSpPr>
            <xdr:cNvPr id="0" name=""/>
            <xdr:cNvSpPr>
              <a:spLocks noTextEdit="1"/>
            </xdr:cNvSpPr>
          </xdr:nvSpPr>
          <xdr:spPr>
            <a:xfrm>
              <a:off x="79248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xdr:row>
      <xdr:rowOff>0</xdr:rowOff>
    </xdr:from>
    <xdr:to>
      <xdr:col>20</xdr:col>
      <xdr:colOff>0</xdr:colOff>
      <xdr:row>15</xdr:row>
      <xdr:rowOff>89535</xdr:rowOff>
    </xdr:to>
    <mc:AlternateContent xmlns:mc="http://schemas.openxmlformats.org/markup-compatibility/2006" xmlns:a14="http://schemas.microsoft.com/office/drawing/2010/main">
      <mc:Choice Requires="a14">
        <xdr:graphicFrame macro="">
          <xdr:nvGraphicFramePr>
            <xdr:cNvPr id="6" name="Salesperson 1">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363200" y="365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17</xdr:row>
      <xdr:rowOff>0</xdr:rowOff>
    </xdr:from>
    <xdr:to>
      <xdr:col>4</xdr:col>
      <xdr:colOff>0</xdr:colOff>
      <xdr:row>30</xdr:row>
      <xdr:rowOff>89535</xdr:rowOff>
    </xdr:to>
    <mc:AlternateContent xmlns:mc="http://schemas.openxmlformats.org/markup-compatibility/2006" xmlns:a14="http://schemas.microsoft.com/office/drawing/2010/main">
      <mc:Choice Requires="a14">
        <xdr:graphicFrame macro="">
          <xdr:nvGraphicFramePr>
            <xdr:cNvPr id="7" name="OrderID 1">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microsoft.com/office/drawing/2010/slicer">
              <sle:slicer xmlns:sle="http://schemas.microsoft.com/office/drawing/2010/slicer" name="OrderID 1"/>
            </a:graphicData>
          </a:graphic>
        </xdr:graphicFrame>
      </mc:Choice>
      <mc:Fallback xmlns="">
        <xdr:sp macro="" textlink="">
          <xdr:nvSpPr>
            <xdr:cNvPr id="0" name=""/>
            <xdr:cNvSpPr>
              <a:spLocks noTextEdit="1"/>
            </xdr:cNvSpPr>
          </xdr:nvSpPr>
          <xdr:spPr>
            <a:xfrm>
              <a:off x="6096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17</xdr:row>
      <xdr:rowOff>0</xdr:rowOff>
    </xdr:from>
    <xdr:to>
      <xdr:col>8</xdr:col>
      <xdr:colOff>0</xdr:colOff>
      <xdr:row>30</xdr:row>
      <xdr:rowOff>89535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0000000-0008-0000-1200-000008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17</xdr:row>
      <xdr:rowOff>0</xdr:rowOff>
    </xdr:from>
    <xdr:to>
      <xdr:col>12</xdr:col>
      <xdr:colOff>0</xdr:colOff>
      <xdr:row>30</xdr:row>
      <xdr:rowOff>89535</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00000000-0008-0000-1200-000009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4864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17</xdr:row>
      <xdr:rowOff>0</xdr:rowOff>
    </xdr:from>
    <xdr:to>
      <xdr:col>16</xdr:col>
      <xdr:colOff>0</xdr:colOff>
      <xdr:row>30</xdr:row>
      <xdr:rowOff>89535</xdr:rowOff>
    </xdr:to>
    <mc:AlternateContent xmlns:mc="http://schemas.openxmlformats.org/markup-compatibility/2006" xmlns:a14="http://schemas.microsoft.com/office/drawing/2010/main">
      <mc:Choice Requires="a14">
        <xdr:graphicFrame macro="">
          <xdr:nvGraphicFramePr>
            <xdr:cNvPr id="10" name="Leadtime days 1">
              <a:extLst>
                <a:ext uri="{FF2B5EF4-FFF2-40B4-BE49-F238E27FC236}">
                  <a16:creationId xmlns:a16="http://schemas.microsoft.com/office/drawing/2014/main" id="{00000000-0008-0000-1200-00000A000000}"/>
                </a:ext>
              </a:extLst>
            </xdr:cNvPr>
            <xdr:cNvGraphicFramePr/>
          </xdr:nvGraphicFramePr>
          <xdr:xfrm>
            <a:off x="0" y="0"/>
            <a:ext cx="0" cy="0"/>
          </xdr:xfrm>
          <a:graphic>
            <a:graphicData uri="http://schemas.microsoft.com/office/drawing/2010/slicer">
              <sle:slicer xmlns:sle="http://schemas.microsoft.com/office/drawing/2010/slicer" name="Leadtime days 1"/>
            </a:graphicData>
          </a:graphic>
        </xdr:graphicFrame>
      </mc:Choice>
      <mc:Fallback xmlns="">
        <xdr:sp macro="" textlink="">
          <xdr:nvSpPr>
            <xdr:cNvPr id="0" name=""/>
            <xdr:cNvSpPr>
              <a:spLocks noTextEdit="1"/>
            </xdr:cNvSpPr>
          </xdr:nvSpPr>
          <xdr:spPr>
            <a:xfrm>
              <a:off x="79248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17</xdr:row>
      <xdr:rowOff>0</xdr:rowOff>
    </xdr:from>
    <xdr:to>
      <xdr:col>20</xdr:col>
      <xdr:colOff>0</xdr:colOff>
      <xdr:row>30</xdr:row>
      <xdr:rowOff>89535</xdr:rowOff>
    </xdr:to>
    <mc:AlternateContent xmlns:mc="http://schemas.openxmlformats.org/markup-compatibility/2006" xmlns:a14="http://schemas.microsoft.com/office/drawing/2010/main">
      <mc:Choice Requires="a14">
        <xdr:graphicFrame macro="">
          <xdr:nvGraphicFramePr>
            <xdr:cNvPr id="11" name="DiscountPct 1">
              <a:extLst>
                <a:ext uri="{FF2B5EF4-FFF2-40B4-BE49-F238E27FC236}">
                  <a16:creationId xmlns:a16="http://schemas.microsoft.com/office/drawing/2014/main" id="{00000000-0008-0000-1200-00000B000000}"/>
                </a:ext>
              </a:extLst>
            </xdr:cNvPr>
            <xdr:cNvGraphicFramePr/>
          </xdr:nvGraphicFramePr>
          <xdr:xfrm>
            <a:off x="0" y="0"/>
            <a:ext cx="0" cy="0"/>
          </xdr:xfrm>
          <a:graphic>
            <a:graphicData uri="http://schemas.microsoft.com/office/drawing/2010/slicer">
              <sle:slicer xmlns:sle="http://schemas.microsoft.com/office/drawing/2010/slicer" name="DiscountPct 1"/>
            </a:graphicData>
          </a:graphic>
        </xdr:graphicFrame>
      </mc:Choice>
      <mc:Fallback xmlns="">
        <xdr:sp macro="" textlink="">
          <xdr:nvSpPr>
            <xdr:cNvPr id="0" name=""/>
            <xdr:cNvSpPr>
              <a:spLocks noTextEdit="1"/>
            </xdr:cNvSpPr>
          </xdr:nvSpPr>
          <xdr:spPr>
            <a:xfrm>
              <a:off x="10363200" y="31089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32</xdr:row>
      <xdr:rowOff>0</xdr:rowOff>
    </xdr:from>
    <xdr:to>
      <xdr:col>4</xdr:col>
      <xdr:colOff>0</xdr:colOff>
      <xdr:row>45</xdr:row>
      <xdr:rowOff>89535</xdr:rowOff>
    </xdr:to>
    <mc:AlternateContent xmlns:mc="http://schemas.openxmlformats.org/markup-compatibility/2006" xmlns:a14="http://schemas.microsoft.com/office/drawing/2010/main">
      <mc:Choice Requires="a14">
        <xdr:graphicFrame macro="">
          <xdr:nvGraphicFramePr>
            <xdr:cNvPr id="13" name="Channel 1">
              <a:extLst>
                <a:ext uri="{FF2B5EF4-FFF2-40B4-BE49-F238E27FC236}">
                  <a16:creationId xmlns:a16="http://schemas.microsoft.com/office/drawing/2014/main" id="{00000000-0008-0000-1200-00000D00000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609600" y="58521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32</xdr:row>
      <xdr:rowOff>0</xdr:rowOff>
    </xdr:from>
    <xdr:to>
      <xdr:col>8</xdr:col>
      <xdr:colOff>0</xdr:colOff>
      <xdr:row>45</xdr:row>
      <xdr:rowOff>89535</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00000000-0008-0000-1200-00000E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048000" y="58521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1120140</xdr:colOff>
      <xdr:row>1</xdr:row>
      <xdr:rowOff>114300</xdr:rowOff>
    </xdr:from>
    <xdr:to>
      <xdr:col>2</xdr:col>
      <xdr:colOff>2080260</xdr:colOff>
      <xdr:row>3</xdr:row>
      <xdr:rowOff>30480</xdr:rowOff>
    </xdr:to>
    <xdr:sp macro="" textlink="">
      <xdr:nvSpPr>
        <xdr:cNvPr id="2" name="Rectangle 1">
          <a:extLst>
            <a:ext uri="{FF2B5EF4-FFF2-40B4-BE49-F238E27FC236}">
              <a16:creationId xmlns:a16="http://schemas.microsoft.com/office/drawing/2014/main" id="{00000000-0008-0000-1300-000002000000}"/>
            </a:ext>
          </a:extLst>
        </xdr:cNvPr>
        <xdr:cNvSpPr/>
      </xdr:nvSpPr>
      <xdr:spPr>
        <a:xfrm>
          <a:off x="1912620" y="297180"/>
          <a:ext cx="960120" cy="28194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100"/>
            <a:t>Region</a:t>
          </a:r>
          <a:endParaRPr lang="en-KE" sz="1100"/>
        </a:p>
      </xdr:txBody>
    </xdr:sp>
    <xdr:clientData/>
  </xdr:twoCellAnchor>
  <xdr:twoCellAnchor>
    <xdr:from>
      <xdr:col>0</xdr:col>
      <xdr:colOff>0</xdr:colOff>
      <xdr:row>0</xdr:row>
      <xdr:rowOff>21166</xdr:rowOff>
    </xdr:from>
    <xdr:to>
      <xdr:col>19</xdr:col>
      <xdr:colOff>520700</xdr:colOff>
      <xdr:row>43</xdr:row>
      <xdr:rowOff>33866</xdr:rowOff>
    </xdr:to>
    <xdr:sp macro="" textlink="">
      <xdr:nvSpPr>
        <xdr:cNvPr id="4" name="Rectangle 3">
          <a:extLst>
            <a:ext uri="{FF2B5EF4-FFF2-40B4-BE49-F238E27FC236}">
              <a16:creationId xmlns:a16="http://schemas.microsoft.com/office/drawing/2014/main" id="{00000000-0008-0000-1300-000004000000}"/>
            </a:ext>
          </a:extLst>
        </xdr:cNvPr>
        <xdr:cNvSpPr/>
      </xdr:nvSpPr>
      <xdr:spPr>
        <a:xfrm>
          <a:off x="0" y="21166"/>
          <a:ext cx="22332950" cy="774911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solidFill>
                <a:sysClr val="windowText" lastClr="000000"/>
              </a:solidFill>
            </a:rPr>
            <a:t>             </a:t>
          </a:r>
        </a:p>
      </xdr:txBody>
    </xdr:sp>
    <xdr:clientData/>
  </xdr:twoCellAnchor>
  <xdr:twoCellAnchor>
    <xdr:from>
      <xdr:col>2</xdr:col>
      <xdr:colOff>60960</xdr:colOff>
      <xdr:row>12</xdr:row>
      <xdr:rowOff>53340</xdr:rowOff>
    </xdr:from>
    <xdr:to>
      <xdr:col>2</xdr:col>
      <xdr:colOff>4503420</xdr:colOff>
      <xdr:row>26</xdr:row>
      <xdr:rowOff>15240</xdr:rowOff>
    </xdr:to>
    <xdr:graphicFrame macro="">
      <xdr:nvGraphicFramePr>
        <xdr:cNvPr id="24" name="Chart 23">
          <a:extLst>
            <a:ext uri="{FF2B5EF4-FFF2-40B4-BE49-F238E27FC236}">
              <a16:creationId xmlns:a16="http://schemas.microsoft.com/office/drawing/2014/main" id="{00000000-0008-0000-13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4678680</xdr:colOff>
      <xdr:row>12</xdr:row>
      <xdr:rowOff>76200</xdr:rowOff>
    </xdr:from>
    <xdr:to>
      <xdr:col>2</xdr:col>
      <xdr:colOff>9151620</xdr:colOff>
      <xdr:row>26</xdr:row>
      <xdr:rowOff>38100</xdr:rowOff>
    </xdr:to>
    <xdr:graphicFrame macro="">
      <xdr:nvGraphicFramePr>
        <xdr:cNvPr id="26" name="Chart 25">
          <a:extLst>
            <a:ext uri="{FF2B5EF4-FFF2-40B4-BE49-F238E27FC236}">
              <a16:creationId xmlns:a16="http://schemas.microsoft.com/office/drawing/2014/main" id="{00000000-0008-0000-1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788670</xdr:colOff>
      <xdr:row>6</xdr:row>
      <xdr:rowOff>104776</xdr:rowOff>
    </xdr:from>
    <xdr:to>
      <xdr:col>2</xdr:col>
      <xdr:colOff>2617470</xdr:colOff>
      <xdr:row>9</xdr:row>
      <xdr:rowOff>127636</xdr:rowOff>
    </xdr:to>
    <mc:AlternateContent xmlns:mc="http://schemas.openxmlformats.org/markup-compatibility/2006">
      <mc:Choice xmlns:a14="http://schemas.microsoft.com/office/drawing/2010/main" Requires="a14">
        <xdr:graphicFrame macro="">
          <xdr:nvGraphicFramePr>
            <xdr:cNvPr id="21" name="Region 2">
              <a:extLst>
                <a:ext uri="{FF2B5EF4-FFF2-40B4-BE49-F238E27FC236}">
                  <a16:creationId xmlns:a16="http://schemas.microsoft.com/office/drawing/2014/main" id="{00000000-0008-0000-1300-000015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09650" y="1202056"/>
              <a:ext cx="1828800" cy="571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3068955</xdr:colOff>
      <xdr:row>6</xdr:row>
      <xdr:rowOff>120016</xdr:rowOff>
    </xdr:from>
    <xdr:to>
      <xdr:col>2</xdr:col>
      <xdr:colOff>4897755</xdr:colOff>
      <xdr:row>9</xdr:row>
      <xdr:rowOff>127636</xdr:rowOff>
    </xdr:to>
    <mc:AlternateContent xmlns:mc="http://schemas.openxmlformats.org/markup-compatibility/2006">
      <mc:Choice xmlns:a14="http://schemas.microsoft.com/office/drawing/2010/main" Requires="a14">
        <xdr:graphicFrame macro="">
          <xdr:nvGraphicFramePr>
            <xdr:cNvPr id="23" name="Country 2">
              <a:extLst>
                <a:ext uri="{FF2B5EF4-FFF2-40B4-BE49-F238E27FC236}">
                  <a16:creationId xmlns:a16="http://schemas.microsoft.com/office/drawing/2014/main" id="{00000000-0008-0000-1300-00001700000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3289935" y="1217296"/>
              <a:ext cx="1828800" cy="556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5402580</xdr:colOff>
      <xdr:row>6</xdr:row>
      <xdr:rowOff>106681</xdr:rowOff>
    </xdr:from>
    <xdr:to>
      <xdr:col>2</xdr:col>
      <xdr:colOff>7231380</xdr:colOff>
      <xdr:row>9</xdr:row>
      <xdr:rowOff>121921</xdr:rowOff>
    </xdr:to>
    <mc:AlternateContent xmlns:mc="http://schemas.openxmlformats.org/markup-compatibility/2006">
      <mc:Choice xmlns:a14="http://schemas.microsoft.com/office/drawing/2010/main" Requires="a14">
        <xdr:graphicFrame macro="">
          <xdr:nvGraphicFramePr>
            <xdr:cNvPr id="25" name="Channel 2">
              <a:extLst>
                <a:ext uri="{FF2B5EF4-FFF2-40B4-BE49-F238E27FC236}">
                  <a16:creationId xmlns:a16="http://schemas.microsoft.com/office/drawing/2014/main" id="{00000000-0008-0000-1300-000019000000}"/>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5623560" y="1203961"/>
              <a:ext cx="1828800" cy="56388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7551420</xdr:colOff>
      <xdr:row>6</xdr:row>
      <xdr:rowOff>95251</xdr:rowOff>
    </xdr:from>
    <xdr:to>
      <xdr:col>2</xdr:col>
      <xdr:colOff>9380220</xdr:colOff>
      <xdr:row>9</xdr:row>
      <xdr:rowOff>95251</xdr:rowOff>
    </xdr:to>
    <mc:AlternateContent xmlns:mc="http://schemas.openxmlformats.org/markup-compatibility/2006">
      <mc:Choice xmlns:a14="http://schemas.microsoft.com/office/drawing/2010/main" Requires="a14">
        <xdr:graphicFrame macro="">
          <xdr:nvGraphicFramePr>
            <xdr:cNvPr id="27" name="ProductCategory 2">
              <a:extLst>
                <a:ext uri="{FF2B5EF4-FFF2-40B4-BE49-F238E27FC236}">
                  <a16:creationId xmlns:a16="http://schemas.microsoft.com/office/drawing/2014/main" id="{00000000-0008-0000-1300-00001B000000}"/>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7772400" y="1192531"/>
              <a:ext cx="1828800" cy="5486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9675495</xdr:colOff>
      <xdr:row>6</xdr:row>
      <xdr:rowOff>66676</xdr:rowOff>
    </xdr:from>
    <xdr:to>
      <xdr:col>3</xdr:col>
      <xdr:colOff>140970</xdr:colOff>
      <xdr:row>9</xdr:row>
      <xdr:rowOff>74296</xdr:rowOff>
    </xdr:to>
    <mc:AlternateContent xmlns:mc="http://schemas.openxmlformats.org/markup-compatibility/2006">
      <mc:Choice xmlns:a14="http://schemas.microsoft.com/office/drawing/2010/main" Requires="a14">
        <xdr:graphicFrame macro="">
          <xdr:nvGraphicFramePr>
            <xdr:cNvPr id="28" name="Month 2">
              <a:extLst>
                <a:ext uri="{FF2B5EF4-FFF2-40B4-BE49-F238E27FC236}">
                  <a16:creationId xmlns:a16="http://schemas.microsoft.com/office/drawing/2014/main" id="{00000000-0008-0000-1300-00001C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9896475" y="1163956"/>
              <a:ext cx="2002155" cy="556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325755</xdr:colOff>
      <xdr:row>6</xdr:row>
      <xdr:rowOff>57151</xdr:rowOff>
    </xdr:from>
    <xdr:to>
      <xdr:col>6</xdr:col>
      <xdr:colOff>325755</xdr:colOff>
      <xdr:row>9</xdr:row>
      <xdr:rowOff>64771</xdr:rowOff>
    </xdr:to>
    <mc:AlternateContent xmlns:mc="http://schemas.openxmlformats.org/markup-compatibility/2006">
      <mc:Choice xmlns:a14="http://schemas.microsoft.com/office/drawing/2010/main" Requires="a14">
        <xdr:graphicFrame macro="">
          <xdr:nvGraphicFramePr>
            <xdr:cNvPr id="29" name="Salesperson 2">
              <a:extLst>
                <a:ext uri="{FF2B5EF4-FFF2-40B4-BE49-F238E27FC236}">
                  <a16:creationId xmlns:a16="http://schemas.microsoft.com/office/drawing/2014/main" id="{00000000-0008-0000-1300-00001D000000}"/>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2083415" y="1154431"/>
              <a:ext cx="1828800" cy="5562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5250180</xdr:colOff>
      <xdr:row>0</xdr:row>
      <xdr:rowOff>91440</xdr:rowOff>
    </xdr:from>
    <xdr:to>
      <xdr:col>2</xdr:col>
      <xdr:colOff>10073640</xdr:colOff>
      <xdr:row>2</xdr:row>
      <xdr:rowOff>114300</xdr:rowOff>
    </xdr:to>
    <xdr:sp macro="" textlink="">
      <xdr:nvSpPr>
        <xdr:cNvPr id="7" name="Rectangle: Rounded Corners 6">
          <a:extLst>
            <a:ext uri="{FF2B5EF4-FFF2-40B4-BE49-F238E27FC236}">
              <a16:creationId xmlns:a16="http://schemas.microsoft.com/office/drawing/2014/main" id="{00000000-0008-0000-1300-000007000000}"/>
            </a:ext>
          </a:extLst>
        </xdr:cNvPr>
        <xdr:cNvSpPr/>
      </xdr:nvSpPr>
      <xdr:spPr>
        <a:xfrm>
          <a:off x="5469255" y="91440"/>
          <a:ext cx="4823460" cy="403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solidFill>
                <a:sysClr val="windowText" lastClr="000000"/>
              </a:solidFill>
            </a:rPr>
            <a:t>    </a:t>
          </a:r>
          <a:r>
            <a:rPr lang="en-GB" sz="1600" b="1">
              <a:solidFill>
                <a:sysClr val="windowText" lastClr="000000"/>
              </a:solidFill>
              <a:latin typeface="Book Antiqua" panose="02040602050305030304" pitchFamily="18" charset="0"/>
            </a:rPr>
            <a:t>SALES PERFORMANCE DASHBOARD</a:t>
          </a:r>
          <a:endParaRPr lang="en-KE" sz="1600" b="1">
            <a:solidFill>
              <a:sysClr val="windowText" lastClr="000000"/>
            </a:solidFill>
            <a:latin typeface="Book Antiqua" panose="02040602050305030304" pitchFamily="18" charset="0"/>
          </a:endParaRPr>
        </a:p>
      </xdr:txBody>
    </xdr:sp>
    <xdr:clientData/>
  </xdr:twoCellAnchor>
  <xdr:twoCellAnchor editAs="oneCell">
    <xdr:from>
      <xdr:col>2</xdr:col>
      <xdr:colOff>1362075</xdr:colOff>
      <xdr:row>3</xdr:row>
      <xdr:rowOff>9524</xdr:rowOff>
    </xdr:from>
    <xdr:to>
      <xdr:col>2</xdr:col>
      <xdr:colOff>3286125</xdr:colOff>
      <xdr:row>5</xdr:row>
      <xdr:rowOff>66675</xdr:rowOff>
    </xdr:to>
    <xdr:pic>
      <xdr:nvPicPr>
        <xdr:cNvPr id="33" name="Picture 32">
          <a:extLst>
            <a:ext uri="{FF2B5EF4-FFF2-40B4-BE49-F238E27FC236}">
              <a16:creationId xmlns:a16="http://schemas.microsoft.com/office/drawing/2014/main" id="{00000000-0008-0000-1300-00002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81150" y="581024"/>
          <a:ext cx="1924050" cy="438151"/>
        </a:xfrm>
        <a:prstGeom prst="rect">
          <a:avLst/>
        </a:prstGeom>
        <a:solidFill>
          <a:schemeClr val="accent1"/>
        </a:solidFill>
      </xdr:spPr>
    </xdr:pic>
    <xdr:clientData/>
  </xdr:twoCellAnchor>
  <xdr:twoCellAnchor editAs="oneCell">
    <xdr:from>
      <xdr:col>2</xdr:col>
      <xdr:colOff>3895724</xdr:colOff>
      <xdr:row>3</xdr:row>
      <xdr:rowOff>28575</xdr:rowOff>
    </xdr:from>
    <xdr:to>
      <xdr:col>2</xdr:col>
      <xdr:colOff>5943599</xdr:colOff>
      <xdr:row>5</xdr:row>
      <xdr:rowOff>114300</xdr:rowOff>
    </xdr:to>
    <xdr:pic>
      <xdr:nvPicPr>
        <xdr:cNvPr id="34" name="Picture 33">
          <a:extLst>
            <a:ext uri="{FF2B5EF4-FFF2-40B4-BE49-F238E27FC236}">
              <a16:creationId xmlns:a16="http://schemas.microsoft.com/office/drawing/2014/main" id="{00000000-0008-0000-1300-00002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14799" y="600075"/>
          <a:ext cx="2047875" cy="466725"/>
        </a:xfrm>
        <a:prstGeom prst="rect">
          <a:avLst/>
        </a:prstGeom>
        <a:solidFill>
          <a:schemeClr val="accent1"/>
        </a:solidFill>
      </xdr:spPr>
    </xdr:pic>
    <xdr:clientData/>
  </xdr:twoCellAnchor>
  <xdr:twoCellAnchor editAs="oneCell">
    <xdr:from>
      <xdr:col>2</xdr:col>
      <xdr:colOff>8804909</xdr:colOff>
      <xdr:row>2</xdr:row>
      <xdr:rowOff>186689</xdr:rowOff>
    </xdr:from>
    <xdr:to>
      <xdr:col>2</xdr:col>
      <xdr:colOff>10448924</xdr:colOff>
      <xdr:row>5</xdr:row>
      <xdr:rowOff>123824</xdr:rowOff>
    </xdr:to>
    <xdr:pic>
      <xdr:nvPicPr>
        <xdr:cNvPr id="18" name="Picture 17">
          <a:extLst>
            <a:ext uri="{FF2B5EF4-FFF2-40B4-BE49-F238E27FC236}">
              <a16:creationId xmlns:a16="http://schemas.microsoft.com/office/drawing/2014/main" id="{00000000-0008-0000-1300-00001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23984" y="567689"/>
          <a:ext cx="1644015" cy="508635"/>
        </a:xfrm>
        <a:prstGeom prst="rect">
          <a:avLst/>
        </a:prstGeom>
        <a:solidFill>
          <a:schemeClr val="accent1"/>
        </a:solidFill>
      </xdr:spPr>
    </xdr:pic>
    <xdr:clientData/>
  </xdr:twoCellAnchor>
  <xdr:twoCellAnchor editAs="oneCell">
    <xdr:from>
      <xdr:col>2</xdr:col>
      <xdr:colOff>6386829</xdr:colOff>
      <xdr:row>3</xdr:row>
      <xdr:rowOff>60325</xdr:rowOff>
    </xdr:from>
    <xdr:to>
      <xdr:col>2</xdr:col>
      <xdr:colOff>8213725</xdr:colOff>
      <xdr:row>5</xdr:row>
      <xdr:rowOff>155575</xdr:rowOff>
    </xdr:to>
    <xdr:pic>
      <xdr:nvPicPr>
        <xdr:cNvPr id="22" name="Picture 21">
          <a:extLst>
            <a:ext uri="{FF2B5EF4-FFF2-40B4-BE49-F238E27FC236}">
              <a16:creationId xmlns:a16="http://schemas.microsoft.com/office/drawing/2014/main" id="{00000000-0008-0000-1300-00001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15429" y="612775"/>
          <a:ext cx="1826896" cy="463550"/>
        </a:xfrm>
        <a:prstGeom prst="rect">
          <a:avLst/>
        </a:prstGeom>
        <a:solidFill>
          <a:schemeClr val="accent1"/>
        </a:solidFill>
      </xdr:spPr>
    </xdr:pic>
    <xdr:clientData/>
  </xdr:twoCellAnchor>
  <xdr:twoCellAnchor editAs="oneCell">
    <xdr:from>
      <xdr:col>2</xdr:col>
      <xdr:colOff>10915649</xdr:colOff>
      <xdr:row>3</xdr:row>
      <xdr:rowOff>0</xdr:rowOff>
    </xdr:from>
    <xdr:to>
      <xdr:col>4</xdr:col>
      <xdr:colOff>601980</xdr:colOff>
      <xdr:row>5</xdr:row>
      <xdr:rowOff>102870</xdr:rowOff>
    </xdr:to>
    <xdr:pic>
      <xdr:nvPicPr>
        <xdr:cNvPr id="30" name="Picture 29">
          <a:extLst>
            <a:ext uri="{FF2B5EF4-FFF2-40B4-BE49-F238E27FC236}">
              <a16:creationId xmlns:a16="http://schemas.microsoft.com/office/drawing/2014/main" id="{00000000-0008-0000-1300-00001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136629" y="548640"/>
          <a:ext cx="1832611" cy="468630"/>
        </a:xfrm>
        <a:prstGeom prst="rect">
          <a:avLst/>
        </a:prstGeom>
        <a:solidFill>
          <a:schemeClr val="accent1"/>
        </a:solidFill>
      </xdr:spPr>
    </xdr:pic>
    <xdr:clientData/>
  </xdr:twoCellAnchor>
  <xdr:twoCellAnchor>
    <xdr:from>
      <xdr:col>2</xdr:col>
      <xdr:colOff>9563101</xdr:colOff>
      <xdr:row>12</xdr:row>
      <xdr:rowOff>46143</xdr:rowOff>
    </xdr:from>
    <xdr:to>
      <xdr:col>6</xdr:col>
      <xdr:colOff>247650</xdr:colOff>
      <xdr:row>26</xdr:row>
      <xdr:rowOff>93769</xdr:rowOff>
    </xdr:to>
    <xdr:graphicFrame macro="">
      <xdr:nvGraphicFramePr>
        <xdr:cNvPr id="5" name="Chart 4">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10584</xdr:colOff>
      <xdr:row>10</xdr:row>
      <xdr:rowOff>10583</xdr:rowOff>
    </xdr:from>
    <xdr:to>
      <xdr:col>13</xdr:col>
      <xdr:colOff>444500</xdr:colOff>
      <xdr:row>25</xdr:row>
      <xdr:rowOff>52916</xdr:rowOff>
    </xdr:to>
    <xdr:graphicFrame macro="">
      <xdr:nvGraphicFramePr>
        <xdr:cNvPr id="8" name="Chart 7">
          <a:extLst>
            <a:ext uri="{FF2B5EF4-FFF2-40B4-BE49-F238E27FC236}">
              <a16:creationId xmlns:a16="http://schemas.microsoft.com/office/drawing/2014/main" id="{00000000-0008-0000-1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349250</xdr:colOff>
      <xdr:row>17</xdr:row>
      <xdr:rowOff>10584</xdr:rowOff>
    </xdr:from>
    <xdr:to>
      <xdr:col>13</xdr:col>
      <xdr:colOff>211667</xdr:colOff>
      <xdr:row>17</xdr:row>
      <xdr:rowOff>10584</xdr:rowOff>
    </xdr:to>
    <xdr:cxnSp macro="">
      <xdr:nvCxnSpPr>
        <xdr:cNvPr id="10" name="Straight Connector 9">
          <a:extLst>
            <a:ext uri="{FF2B5EF4-FFF2-40B4-BE49-F238E27FC236}">
              <a16:creationId xmlns:a16="http://schemas.microsoft.com/office/drawing/2014/main" id="{00000000-0008-0000-1300-00000A000000}"/>
            </a:ext>
          </a:extLst>
        </xdr:cNvPr>
        <xdr:cNvCxnSpPr/>
      </xdr:nvCxnSpPr>
      <xdr:spPr>
        <a:xfrm>
          <a:off x="14795500" y="3069167"/>
          <a:ext cx="3545417" cy="0"/>
        </a:xfrm>
        <a:prstGeom prst="line">
          <a:avLst/>
        </a:prstGeom>
        <a:ln>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esktop/LuxDev%20Analytics/Excel_Assignment%20and%20Brief%20(version%201)(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ohort Analysis"/>
      <sheetName val="Salesperson analysis"/>
      <sheetName val="Channel Mix &amp;Cannibalization"/>
      <sheetName val="Service Level Proxy"/>
      <sheetName val="Price Compliance"/>
      <sheetName val="ABC Analysis"/>
      <sheetName val="Revenue by Month"/>
      <sheetName val="Profit by Region and Channel "/>
      <sheetName val="Staging area"/>
      <sheetName val="Brief"/>
      <sheetName val="Dashboard"/>
      <sheetName val="Scenarios"/>
    </sheetNames>
    <sheetDataSet>
      <sheetData sheetId="0"/>
      <sheetData sheetId="1"/>
      <sheetData sheetId="2"/>
      <sheetData sheetId="3"/>
      <sheetData sheetId="4"/>
      <sheetData sheetId="5"/>
      <sheetData sheetId="6"/>
      <sheetData sheetId="7"/>
      <sheetData sheetId="8"/>
      <sheetData sheetId="9">
        <row r="1">
          <cell r="W1" t="str">
            <v>DiscountPct</v>
          </cell>
        </row>
        <row r="2">
          <cell r="W2">
            <v>0.112</v>
          </cell>
        </row>
        <row r="3">
          <cell r="W3">
            <v>0.23699999999999999</v>
          </cell>
        </row>
        <row r="4">
          <cell r="W4">
            <v>0.13100000000000001</v>
          </cell>
        </row>
        <row r="5">
          <cell r="W5">
            <v>7.1999999999999995E-2</v>
          </cell>
        </row>
        <row r="6">
          <cell r="W6">
            <v>0.10199999999999999</v>
          </cell>
        </row>
        <row r="7">
          <cell r="W7">
            <v>0</v>
          </cell>
        </row>
        <row r="8">
          <cell r="W8">
            <v>0.14699999999999999</v>
          </cell>
        </row>
        <row r="9">
          <cell r="W9">
            <v>0.19400000000000001</v>
          </cell>
        </row>
        <row r="10">
          <cell r="W10">
            <v>3.1E-2</v>
          </cell>
        </row>
        <row r="11">
          <cell r="W11">
            <v>0.14899999999999999</v>
          </cell>
        </row>
        <row r="12">
          <cell r="W12">
            <v>6.0000000000000001E-3</v>
          </cell>
        </row>
        <row r="13">
          <cell r="W13">
            <v>0.25</v>
          </cell>
        </row>
        <row r="14">
          <cell r="W14">
            <v>9.4E-2</v>
          </cell>
        </row>
        <row r="15">
          <cell r="W15">
            <v>0</v>
          </cell>
        </row>
        <row r="16">
          <cell r="W16">
            <v>0</v>
          </cell>
        </row>
        <row r="17">
          <cell r="W17">
            <v>7.3999999999999996E-2</v>
          </cell>
        </row>
        <row r="18">
          <cell r="W18">
            <v>0.109</v>
          </cell>
        </row>
        <row r="19">
          <cell r="W19">
            <v>0.183</v>
          </cell>
        </row>
        <row r="20">
          <cell r="W20">
            <v>0.109</v>
          </cell>
        </row>
        <row r="21">
          <cell r="W21">
            <v>3.7999999999999999E-2</v>
          </cell>
        </row>
        <row r="22">
          <cell r="W22">
            <v>7.1999999999999995E-2</v>
          </cell>
        </row>
        <row r="23">
          <cell r="W23">
            <v>0.14299999999999999</v>
          </cell>
        </row>
        <row r="24">
          <cell r="W24">
            <v>0.12</v>
          </cell>
        </row>
        <row r="25">
          <cell r="W25">
            <v>0.01</v>
          </cell>
        </row>
        <row r="26">
          <cell r="W26">
            <v>7.0000000000000001E-3</v>
          </cell>
        </row>
        <row r="27">
          <cell r="W27">
            <v>0.16800000000000001</v>
          </cell>
        </row>
        <row r="28">
          <cell r="W28">
            <v>0</v>
          </cell>
        </row>
        <row r="29">
          <cell r="W29">
            <v>0.125</v>
          </cell>
        </row>
        <row r="30">
          <cell r="W30">
            <v>0</v>
          </cell>
        </row>
        <row r="31">
          <cell r="W31">
            <v>0.13900000000000001</v>
          </cell>
        </row>
        <row r="32">
          <cell r="W32">
            <v>8.6999999999999994E-2</v>
          </cell>
        </row>
        <row r="33">
          <cell r="W33">
            <v>8.8999999999999996E-2</v>
          </cell>
        </row>
        <row r="34">
          <cell r="W34">
            <v>8.4000000000000005E-2</v>
          </cell>
        </row>
        <row r="35">
          <cell r="W35">
            <v>0</v>
          </cell>
        </row>
        <row r="36">
          <cell r="W36">
            <v>0</v>
          </cell>
        </row>
        <row r="37">
          <cell r="W37">
            <v>0.10100000000000001</v>
          </cell>
        </row>
        <row r="38">
          <cell r="W38">
            <v>0.24299999999999999</v>
          </cell>
        </row>
        <row r="39">
          <cell r="W39">
            <v>0.13600000000000001</v>
          </cell>
        </row>
        <row r="40">
          <cell r="W40">
            <v>0.17499999999999999</v>
          </cell>
        </row>
        <row r="41">
          <cell r="W41">
            <v>0.129</v>
          </cell>
        </row>
        <row r="42">
          <cell r="W42">
            <v>3.6999999999999998E-2</v>
          </cell>
        </row>
        <row r="43">
          <cell r="W43">
            <v>0</v>
          </cell>
        </row>
        <row r="44">
          <cell r="W44">
            <v>0.3</v>
          </cell>
        </row>
        <row r="45">
          <cell r="W45">
            <v>0.14599999999999999</v>
          </cell>
        </row>
        <row r="46">
          <cell r="W46">
            <v>0.182</v>
          </cell>
        </row>
        <row r="47">
          <cell r="W47">
            <v>0.16900000000000001</v>
          </cell>
        </row>
        <row r="48">
          <cell r="W48">
            <v>0</v>
          </cell>
        </row>
        <row r="49">
          <cell r="W49">
            <v>0</v>
          </cell>
        </row>
        <row r="50">
          <cell r="W50">
            <v>0.187</v>
          </cell>
        </row>
        <row r="51">
          <cell r="W51">
            <v>0.126</v>
          </cell>
        </row>
        <row r="52">
          <cell r="W52">
            <v>0.29199999999999998</v>
          </cell>
        </row>
        <row r="53">
          <cell r="W53">
            <v>0.29499999999999998</v>
          </cell>
        </row>
        <row r="54">
          <cell r="W54">
            <v>0</v>
          </cell>
        </row>
        <row r="55">
          <cell r="W55">
            <v>0.182</v>
          </cell>
        </row>
        <row r="56">
          <cell r="W56">
            <v>0.14399999999999999</v>
          </cell>
        </row>
        <row r="57">
          <cell r="W57">
            <v>0.14699999999999999</v>
          </cell>
        </row>
        <row r="58">
          <cell r="W58">
            <v>3.5000000000000003E-2</v>
          </cell>
        </row>
        <row r="59">
          <cell r="W59">
            <v>0.14699999999999999</v>
          </cell>
        </row>
        <row r="60">
          <cell r="W60">
            <v>7.4999999999999997E-2</v>
          </cell>
        </row>
        <row r="61">
          <cell r="W61">
            <v>0.20499999999999999</v>
          </cell>
        </row>
        <row r="62">
          <cell r="W62">
            <v>0.11899999999999999</v>
          </cell>
        </row>
        <row r="63">
          <cell r="W63">
            <v>0.11</v>
          </cell>
        </row>
        <row r="64">
          <cell r="W64">
            <v>0.2</v>
          </cell>
        </row>
        <row r="65">
          <cell r="W65">
            <v>0.255</v>
          </cell>
        </row>
        <row r="66">
          <cell r="W66">
            <v>0.13</v>
          </cell>
        </row>
        <row r="67">
          <cell r="W67">
            <v>0.184</v>
          </cell>
        </row>
        <row r="68">
          <cell r="W68">
            <v>0.189</v>
          </cell>
        </row>
        <row r="69">
          <cell r="W69">
            <v>0.105</v>
          </cell>
        </row>
        <row r="70">
          <cell r="W70">
            <v>0.20399999999999999</v>
          </cell>
        </row>
        <row r="71">
          <cell r="W71">
            <v>0.05</v>
          </cell>
        </row>
        <row r="72">
          <cell r="W72">
            <v>6.8000000000000005E-2</v>
          </cell>
        </row>
        <row r="73">
          <cell r="W73">
            <v>0.14199999999999999</v>
          </cell>
        </row>
        <row r="74">
          <cell r="W74">
            <v>0.185</v>
          </cell>
        </row>
        <row r="75">
          <cell r="W75">
            <v>4.7E-2</v>
          </cell>
        </row>
        <row r="76">
          <cell r="W76">
            <v>0.3</v>
          </cell>
        </row>
        <row r="77">
          <cell r="W77">
            <v>0.114</v>
          </cell>
        </row>
        <row r="78">
          <cell r="W78">
            <v>0.13400000000000001</v>
          </cell>
        </row>
        <row r="79">
          <cell r="W79">
            <v>7.1999999999999995E-2</v>
          </cell>
        </row>
        <row r="80">
          <cell r="W80">
            <v>0.25700000000000001</v>
          </cell>
        </row>
        <row r="81">
          <cell r="W81">
            <v>0.186</v>
          </cell>
        </row>
        <row r="82">
          <cell r="W82">
            <v>0.161</v>
          </cell>
        </row>
        <row r="83">
          <cell r="W83">
            <v>0.24099999999999999</v>
          </cell>
        </row>
        <row r="84">
          <cell r="W84">
            <v>8.4000000000000005E-2</v>
          </cell>
        </row>
        <row r="85">
          <cell r="W85">
            <v>0.215</v>
          </cell>
        </row>
        <row r="86">
          <cell r="W86">
            <v>0.104</v>
          </cell>
        </row>
        <row r="87">
          <cell r="W87">
            <v>7.0000000000000007E-2</v>
          </cell>
        </row>
        <row r="88">
          <cell r="W88">
            <v>0.154</v>
          </cell>
        </row>
        <row r="89">
          <cell r="W89">
            <v>0.188</v>
          </cell>
        </row>
        <row r="90">
          <cell r="W90">
            <v>0.03</v>
          </cell>
        </row>
        <row r="91">
          <cell r="W91">
            <v>6.6000000000000003E-2</v>
          </cell>
        </row>
        <row r="92">
          <cell r="W92">
            <v>7.3999999999999996E-2</v>
          </cell>
        </row>
        <row r="93">
          <cell r="W93">
            <v>0.14399999999999999</v>
          </cell>
        </row>
        <row r="94">
          <cell r="W94">
            <v>9.6000000000000002E-2</v>
          </cell>
        </row>
        <row r="95">
          <cell r="W95">
            <v>9.9000000000000005E-2</v>
          </cell>
        </row>
        <row r="96">
          <cell r="W96">
            <v>0.16</v>
          </cell>
        </row>
        <row r="97">
          <cell r="W97">
            <v>3.4000000000000002E-2</v>
          </cell>
        </row>
        <row r="98">
          <cell r="W98">
            <v>0.14599999999999999</v>
          </cell>
        </row>
        <row r="99">
          <cell r="W99">
            <v>0</v>
          </cell>
        </row>
        <row r="100">
          <cell r="W100">
            <v>9.1999999999999998E-2</v>
          </cell>
        </row>
        <row r="101">
          <cell r="W101">
            <v>0.29199999999999998</v>
          </cell>
        </row>
        <row r="102">
          <cell r="W102">
            <v>0</v>
          </cell>
        </row>
        <row r="103">
          <cell r="W103">
            <v>0.14000000000000001</v>
          </cell>
        </row>
        <row r="104">
          <cell r="W104">
            <v>0</v>
          </cell>
        </row>
        <row r="105">
          <cell r="W105">
            <v>0.18</v>
          </cell>
        </row>
        <row r="106">
          <cell r="W106">
            <v>0.16900000000000001</v>
          </cell>
        </row>
        <row r="107">
          <cell r="W107">
            <v>0.27800000000000002</v>
          </cell>
        </row>
        <row r="108">
          <cell r="W108">
            <v>0.13700000000000001</v>
          </cell>
        </row>
        <row r="109">
          <cell r="W109">
            <v>0.123</v>
          </cell>
        </row>
        <row r="110">
          <cell r="W110">
            <v>0</v>
          </cell>
        </row>
        <row r="111">
          <cell r="W111">
            <v>0.22900000000000001</v>
          </cell>
        </row>
        <row r="112">
          <cell r="W112">
            <v>0</v>
          </cell>
        </row>
        <row r="113">
          <cell r="W113">
            <v>1.2E-2</v>
          </cell>
        </row>
        <row r="114">
          <cell r="W114">
            <v>0.11799999999999999</v>
          </cell>
        </row>
        <row r="115">
          <cell r="W115">
            <v>0.11899999999999999</v>
          </cell>
        </row>
        <row r="116">
          <cell r="W116">
            <v>0</v>
          </cell>
        </row>
        <row r="117">
          <cell r="W117">
            <v>0.108</v>
          </cell>
        </row>
        <row r="118">
          <cell r="W118">
            <v>0.157</v>
          </cell>
        </row>
        <row r="119">
          <cell r="W119">
            <v>0.184</v>
          </cell>
        </row>
        <row r="120">
          <cell r="W120">
            <v>7.0999999999999994E-2</v>
          </cell>
        </row>
        <row r="121">
          <cell r="W121">
            <v>4.2999999999999997E-2</v>
          </cell>
        </row>
        <row r="122">
          <cell r="W122">
            <v>0.123</v>
          </cell>
        </row>
        <row r="123">
          <cell r="W123">
            <v>6.9000000000000006E-2</v>
          </cell>
        </row>
        <row r="124">
          <cell r="W124">
            <v>0.20300000000000001</v>
          </cell>
        </row>
        <row r="125">
          <cell r="W125">
            <v>5.7000000000000002E-2</v>
          </cell>
        </row>
        <row r="126">
          <cell r="W126">
            <v>8.8999999999999996E-2</v>
          </cell>
        </row>
        <row r="127">
          <cell r="W127">
            <v>8.4000000000000005E-2</v>
          </cell>
        </row>
        <row r="128">
          <cell r="W128">
            <v>7.2999999999999995E-2</v>
          </cell>
        </row>
        <row r="129">
          <cell r="W129">
            <v>0.17899999999999999</v>
          </cell>
        </row>
        <row r="130">
          <cell r="W130">
            <v>0.187</v>
          </cell>
        </row>
        <row r="131">
          <cell r="W131">
            <v>0.111</v>
          </cell>
        </row>
        <row r="132">
          <cell r="W132">
            <v>6.3E-2</v>
          </cell>
        </row>
        <row r="133">
          <cell r="W133">
            <v>0.14199999999999999</v>
          </cell>
        </row>
        <row r="134">
          <cell r="W134">
            <v>0.22</v>
          </cell>
        </row>
        <row r="135">
          <cell r="W135">
            <v>0.187</v>
          </cell>
        </row>
        <row r="136">
          <cell r="W136">
            <v>0.192</v>
          </cell>
        </row>
        <row r="137">
          <cell r="W137">
            <v>9.4E-2</v>
          </cell>
        </row>
        <row r="138">
          <cell r="W138">
            <v>8.9999999999999993E-3</v>
          </cell>
        </row>
        <row r="139">
          <cell r="W139">
            <v>0.26500000000000001</v>
          </cell>
        </row>
        <row r="140">
          <cell r="W140">
            <v>0.129</v>
          </cell>
        </row>
        <row r="141">
          <cell r="W141">
            <v>0.25900000000000001</v>
          </cell>
        </row>
        <row r="142">
          <cell r="W142">
            <v>0.11799999999999999</v>
          </cell>
        </row>
        <row r="143">
          <cell r="W143">
            <v>0.01</v>
          </cell>
        </row>
        <row r="144">
          <cell r="W144">
            <v>0.151</v>
          </cell>
        </row>
        <row r="145">
          <cell r="W145">
            <v>0.245</v>
          </cell>
        </row>
        <row r="146">
          <cell r="W146">
            <v>8.2000000000000003E-2</v>
          </cell>
        </row>
        <row r="147">
          <cell r="W147">
            <v>0.107</v>
          </cell>
        </row>
        <row r="148">
          <cell r="W148">
            <v>0.185</v>
          </cell>
        </row>
        <row r="149">
          <cell r="W149">
            <v>0</v>
          </cell>
        </row>
        <row r="150">
          <cell r="W150">
            <v>0.188</v>
          </cell>
        </row>
        <row r="151">
          <cell r="W151">
            <v>2.1000000000000001E-2</v>
          </cell>
        </row>
        <row r="152">
          <cell r="W152">
            <v>0.13100000000000001</v>
          </cell>
        </row>
        <row r="153">
          <cell r="W153">
            <v>4.4999999999999998E-2</v>
          </cell>
        </row>
        <row r="154">
          <cell r="W154">
            <v>0.184</v>
          </cell>
        </row>
        <row r="155">
          <cell r="W155">
            <v>0.13600000000000001</v>
          </cell>
        </row>
        <row r="156">
          <cell r="W156">
            <v>0.184</v>
          </cell>
        </row>
        <row r="157">
          <cell r="W157">
            <v>0.111</v>
          </cell>
        </row>
        <row r="158">
          <cell r="W158">
            <v>1.7999999999999999E-2</v>
          </cell>
        </row>
        <row r="159">
          <cell r="W159">
            <v>2.5000000000000001E-2</v>
          </cell>
        </row>
        <row r="160">
          <cell r="W160">
            <v>0.127</v>
          </cell>
        </row>
        <row r="161">
          <cell r="W161">
            <v>0.18099999999999999</v>
          </cell>
        </row>
        <row r="162">
          <cell r="W162">
            <v>0.157</v>
          </cell>
        </row>
        <row r="163">
          <cell r="W163">
            <v>7.1999999999999995E-2</v>
          </cell>
        </row>
        <row r="164">
          <cell r="W164">
            <v>0.13300000000000001</v>
          </cell>
        </row>
        <row r="165">
          <cell r="W165">
            <v>0.14000000000000001</v>
          </cell>
        </row>
        <row r="166">
          <cell r="W166">
            <v>0.02</v>
          </cell>
        </row>
        <row r="167">
          <cell r="W167">
            <v>5.2999999999999999E-2</v>
          </cell>
        </row>
        <row r="168">
          <cell r="W168">
            <v>0.19700000000000001</v>
          </cell>
        </row>
        <row r="169">
          <cell r="W169">
            <v>0.254</v>
          </cell>
        </row>
        <row r="170">
          <cell r="W170">
            <v>0.185</v>
          </cell>
        </row>
        <row r="171">
          <cell r="W171">
            <v>0.13900000000000001</v>
          </cell>
        </row>
        <row r="172">
          <cell r="W172">
            <v>0.254</v>
          </cell>
        </row>
        <row r="173">
          <cell r="W173">
            <v>0.13400000000000001</v>
          </cell>
        </row>
        <row r="174">
          <cell r="W174">
            <v>4.7E-2</v>
          </cell>
        </row>
        <row r="175">
          <cell r="W175">
            <v>7.8E-2</v>
          </cell>
        </row>
        <row r="176">
          <cell r="W176">
            <v>2.1999999999999999E-2</v>
          </cell>
        </row>
        <row r="177">
          <cell r="W177">
            <v>0.255</v>
          </cell>
        </row>
        <row r="178">
          <cell r="W178">
            <v>9.0999999999999998E-2</v>
          </cell>
        </row>
        <row r="179">
          <cell r="W179">
            <v>0.17699999999999999</v>
          </cell>
        </row>
        <row r="180">
          <cell r="W180">
            <v>5.6000000000000001E-2</v>
          </cell>
        </row>
        <row r="181">
          <cell r="W181">
            <v>0.17299999999999999</v>
          </cell>
        </row>
        <row r="182">
          <cell r="W182">
            <v>0.21199999999999999</v>
          </cell>
        </row>
        <row r="183">
          <cell r="W183">
            <v>6.3E-2</v>
          </cell>
        </row>
        <row r="184">
          <cell r="W184">
            <v>0.19600000000000001</v>
          </cell>
        </row>
        <row r="185">
          <cell r="W185">
            <v>0.10100000000000001</v>
          </cell>
        </row>
        <row r="186">
          <cell r="W186">
            <v>0.153</v>
          </cell>
        </row>
        <row r="187">
          <cell r="W187">
            <v>2.5000000000000001E-2</v>
          </cell>
        </row>
        <row r="188">
          <cell r="W188">
            <v>0.21099999999999999</v>
          </cell>
        </row>
        <row r="189">
          <cell r="W189">
            <v>0.23300000000000001</v>
          </cell>
        </row>
        <row r="190">
          <cell r="W190">
            <v>0.11799999999999999</v>
          </cell>
        </row>
        <row r="191">
          <cell r="W191">
            <v>1.2E-2</v>
          </cell>
        </row>
        <row r="192">
          <cell r="W192">
            <v>0.215</v>
          </cell>
        </row>
        <row r="193">
          <cell r="W193">
            <v>9.4E-2</v>
          </cell>
        </row>
        <row r="194">
          <cell r="W194">
            <v>0.23599999999999999</v>
          </cell>
        </row>
        <row r="195">
          <cell r="W195">
            <v>7.1999999999999995E-2</v>
          </cell>
        </row>
        <row r="196">
          <cell r="W196">
            <v>9.4E-2</v>
          </cell>
        </row>
        <row r="197">
          <cell r="W197">
            <v>0.159</v>
          </cell>
        </row>
        <row r="198">
          <cell r="W198">
            <v>0.185</v>
          </cell>
        </row>
        <row r="199">
          <cell r="W199">
            <v>5.0999999999999997E-2</v>
          </cell>
        </row>
        <row r="200">
          <cell r="W200">
            <v>0.186</v>
          </cell>
        </row>
        <row r="201">
          <cell r="W201">
            <v>0.155</v>
          </cell>
        </row>
        <row r="202">
          <cell r="W202">
            <v>5.7000000000000002E-2</v>
          </cell>
        </row>
        <row r="203">
          <cell r="W203">
            <v>0.25800000000000001</v>
          </cell>
        </row>
        <row r="204">
          <cell r="W204">
            <v>0</v>
          </cell>
        </row>
        <row r="205">
          <cell r="W205">
            <v>0.24299999999999999</v>
          </cell>
        </row>
        <row r="206">
          <cell r="W206">
            <v>5.5E-2</v>
          </cell>
        </row>
        <row r="207">
          <cell r="W207">
            <v>2.9000000000000001E-2</v>
          </cell>
        </row>
        <row r="208">
          <cell r="W208">
            <v>3.7999999999999999E-2</v>
          </cell>
        </row>
        <row r="209">
          <cell r="W209">
            <v>0.14799999999999999</v>
          </cell>
        </row>
        <row r="210">
          <cell r="W210">
            <v>0.20300000000000001</v>
          </cell>
        </row>
        <row r="211">
          <cell r="W211">
            <v>0.13600000000000001</v>
          </cell>
        </row>
        <row r="212">
          <cell r="W212">
            <v>0.152</v>
          </cell>
        </row>
        <row r="213">
          <cell r="W213">
            <v>0.10199999999999999</v>
          </cell>
        </row>
        <row r="214">
          <cell r="W214">
            <v>0.128</v>
          </cell>
        </row>
        <row r="215">
          <cell r="W215">
            <v>0</v>
          </cell>
        </row>
        <row r="216">
          <cell r="W216">
            <v>0.157</v>
          </cell>
        </row>
        <row r="217">
          <cell r="W217">
            <v>0.20100000000000001</v>
          </cell>
        </row>
        <row r="218">
          <cell r="W218">
            <v>0.113</v>
          </cell>
        </row>
        <row r="219">
          <cell r="W219">
            <v>0.19600000000000001</v>
          </cell>
        </row>
        <row r="220">
          <cell r="W220">
            <v>4.0000000000000001E-3</v>
          </cell>
        </row>
        <row r="221">
          <cell r="W221">
            <v>0.26600000000000001</v>
          </cell>
        </row>
        <row r="222">
          <cell r="W222">
            <v>5.5E-2</v>
          </cell>
        </row>
        <row r="223">
          <cell r="W223">
            <v>0.20399999999999999</v>
          </cell>
        </row>
        <row r="224">
          <cell r="W224">
            <v>9.2999999999999999E-2</v>
          </cell>
        </row>
        <row r="225">
          <cell r="W225">
            <v>5.0999999999999997E-2</v>
          </cell>
        </row>
        <row r="226">
          <cell r="W226">
            <v>5.0999999999999997E-2</v>
          </cell>
        </row>
        <row r="227">
          <cell r="W227">
            <v>0.14699999999999999</v>
          </cell>
        </row>
        <row r="228">
          <cell r="W228">
            <v>0.13100000000000001</v>
          </cell>
        </row>
        <row r="229">
          <cell r="W229">
            <v>6.7000000000000004E-2</v>
          </cell>
        </row>
        <row r="230">
          <cell r="W230">
            <v>0.123</v>
          </cell>
        </row>
        <row r="231">
          <cell r="W231">
            <v>0.189</v>
          </cell>
        </row>
        <row r="232">
          <cell r="W232">
            <v>0.14799999999999999</v>
          </cell>
        </row>
        <row r="233">
          <cell r="W233">
            <v>0.109</v>
          </cell>
        </row>
        <row r="234">
          <cell r="W234">
            <v>0.11600000000000001</v>
          </cell>
        </row>
        <row r="235">
          <cell r="W235">
            <v>0.187</v>
          </cell>
        </row>
        <row r="236">
          <cell r="W236">
            <v>0.10199999999999999</v>
          </cell>
        </row>
        <row r="237">
          <cell r="W237">
            <v>6.8000000000000005E-2</v>
          </cell>
        </row>
        <row r="238">
          <cell r="W238">
            <v>0.126</v>
          </cell>
        </row>
        <row r="239">
          <cell r="W239">
            <v>0.17199999999999999</v>
          </cell>
        </row>
        <row r="240">
          <cell r="W240">
            <v>0.23499999999999999</v>
          </cell>
        </row>
        <row r="241">
          <cell r="W241">
            <v>0.13</v>
          </cell>
        </row>
        <row r="242">
          <cell r="W242">
            <v>8.5999999999999993E-2</v>
          </cell>
        </row>
        <row r="243">
          <cell r="W243">
            <v>9.5000000000000001E-2</v>
          </cell>
        </row>
        <row r="244">
          <cell r="W244">
            <v>0.13600000000000001</v>
          </cell>
        </row>
        <row r="245">
          <cell r="W245">
            <v>0.23799999999999999</v>
          </cell>
        </row>
        <row r="246">
          <cell r="W246">
            <v>0.17499999999999999</v>
          </cell>
        </row>
        <row r="247">
          <cell r="W247">
            <v>0.16700000000000001</v>
          </cell>
        </row>
        <row r="248">
          <cell r="W248">
            <v>0.26300000000000001</v>
          </cell>
        </row>
        <row r="249">
          <cell r="W249">
            <v>0.151</v>
          </cell>
        </row>
        <row r="250">
          <cell r="W250">
            <v>0.11</v>
          </cell>
        </row>
        <row r="251">
          <cell r="W251">
            <v>0.107</v>
          </cell>
        </row>
        <row r="252">
          <cell r="W252">
            <v>0.14299999999999999</v>
          </cell>
        </row>
        <row r="253">
          <cell r="W253">
            <v>0.20300000000000001</v>
          </cell>
        </row>
        <row r="254">
          <cell r="W254">
            <v>0.22500000000000001</v>
          </cell>
        </row>
        <row r="255">
          <cell r="W255">
            <v>0.122</v>
          </cell>
        </row>
        <row r="256">
          <cell r="W256">
            <v>5.2999999999999999E-2</v>
          </cell>
        </row>
        <row r="257">
          <cell r="W257">
            <v>3.4000000000000002E-2</v>
          </cell>
        </row>
        <row r="258">
          <cell r="W258">
            <v>0.17299999999999999</v>
          </cell>
        </row>
        <row r="259">
          <cell r="W259">
            <v>0.19700000000000001</v>
          </cell>
        </row>
        <row r="260">
          <cell r="W260">
            <v>0.20499999999999999</v>
          </cell>
        </row>
        <row r="261">
          <cell r="W261">
            <v>0.14000000000000001</v>
          </cell>
        </row>
        <row r="262">
          <cell r="W262">
            <v>7.8E-2</v>
          </cell>
        </row>
        <row r="263">
          <cell r="W263">
            <v>4.0000000000000001E-3</v>
          </cell>
        </row>
        <row r="264">
          <cell r="W264">
            <v>0.216</v>
          </cell>
        </row>
        <row r="265">
          <cell r="W265">
            <v>5.7000000000000002E-2</v>
          </cell>
        </row>
        <row r="266">
          <cell r="W266">
            <v>0.126</v>
          </cell>
        </row>
        <row r="267">
          <cell r="W267">
            <v>0.19600000000000001</v>
          </cell>
        </row>
        <row r="268">
          <cell r="W268">
            <v>0.184</v>
          </cell>
        </row>
        <row r="269">
          <cell r="W269">
            <v>0.107</v>
          </cell>
        </row>
        <row r="270">
          <cell r="W270">
            <v>0</v>
          </cell>
        </row>
        <row r="271">
          <cell r="W271">
            <v>0.154</v>
          </cell>
        </row>
        <row r="272">
          <cell r="W272">
            <v>0.13400000000000001</v>
          </cell>
        </row>
        <row r="273">
          <cell r="W273">
            <v>0.17399999999999999</v>
          </cell>
        </row>
        <row r="274">
          <cell r="W274">
            <v>0.13900000000000001</v>
          </cell>
        </row>
        <row r="275">
          <cell r="W275">
            <v>0.16400000000000001</v>
          </cell>
        </row>
        <row r="276">
          <cell r="W276">
            <v>0.13500000000000001</v>
          </cell>
        </row>
        <row r="277">
          <cell r="W277">
            <v>0.13500000000000001</v>
          </cell>
        </row>
        <row r="278">
          <cell r="W278">
            <v>0.115</v>
          </cell>
        </row>
        <row r="279">
          <cell r="W279">
            <v>0.151</v>
          </cell>
        </row>
        <row r="280">
          <cell r="W280">
            <v>0.12</v>
          </cell>
        </row>
        <row r="281">
          <cell r="W281">
            <v>0.13800000000000001</v>
          </cell>
        </row>
        <row r="282">
          <cell r="W282">
            <v>0.112</v>
          </cell>
        </row>
        <row r="283">
          <cell r="W283">
            <v>0.3</v>
          </cell>
        </row>
        <row r="284">
          <cell r="W284">
            <v>0</v>
          </cell>
        </row>
        <row r="285">
          <cell r="W285">
            <v>0.114</v>
          </cell>
        </row>
        <row r="286">
          <cell r="W286">
            <v>0.155</v>
          </cell>
        </row>
        <row r="287">
          <cell r="W287">
            <v>0.22</v>
          </cell>
        </row>
        <row r="288">
          <cell r="W288">
            <v>0.13400000000000001</v>
          </cell>
        </row>
        <row r="289">
          <cell r="W289">
            <v>0.13400000000000001</v>
          </cell>
        </row>
        <row r="290">
          <cell r="W290">
            <v>6.6000000000000003E-2</v>
          </cell>
        </row>
        <row r="291">
          <cell r="W291">
            <v>0.192</v>
          </cell>
        </row>
        <row r="292">
          <cell r="W292">
            <v>0.14599999999999999</v>
          </cell>
        </row>
        <row r="293">
          <cell r="W293">
            <v>0.156</v>
          </cell>
        </row>
        <row r="294">
          <cell r="W294">
            <v>0.20699999999999999</v>
          </cell>
        </row>
        <row r="295">
          <cell r="W295">
            <v>5.8999999999999997E-2</v>
          </cell>
        </row>
        <row r="296">
          <cell r="W296">
            <v>0.08</v>
          </cell>
        </row>
        <row r="297">
          <cell r="W297">
            <v>0.113</v>
          </cell>
        </row>
        <row r="298">
          <cell r="W298">
            <v>0.16900000000000001</v>
          </cell>
        </row>
        <row r="299">
          <cell r="W299">
            <v>0.108</v>
          </cell>
        </row>
        <row r="300">
          <cell r="W300">
            <v>0.11899999999999999</v>
          </cell>
        </row>
        <row r="301">
          <cell r="W301">
            <v>0</v>
          </cell>
        </row>
        <row r="302">
          <cell r="W302">
            <v>5.6000000000000001E-2</v>
          </cell>
        </row>
        <row r="303">
          <cell r="W303">
            <v>0.19400000000000001</v>
          </cell>
        </row>
        <row r="304">
          <cell r="W304">
            <v>0.129</v>
          </cell>
        </row>
        <row r="305">
          <cell r="W305">
            <v>0.17399999999999999</v>
          </cell>
        </row>
        <row r="306">
          <cell r="W306">
            <v>0.08</v>
          </cell>
        </row>
        <row r="307">
          <cell r="W307">
            <v>3.7999999999999999E-2</v>
          </cell>
        </row>
        <row r="308">
          <cell r="W308">
            <v>0.1</v>
          </cell>
        </row>
        <row r="309">
          <cell r="W309">
            <v>0.17599999999999999</v>
          </cell>
        </row>
        <row r="310">
          <cell r="W310">
            <v>0.153</v>
          </cell>
        </row>
        <row r="311">
          <cell r="W311">
            <v>8.8999999999999996E-2</v>
          </cell>
        </row>
        <row r="312">
          <cell r="W312">
            <v>0.185</v>
          </cell>
        </row>
        <row r="313">
          <cell r="W313">
            <v>4.4999999999999998E-2</v>
          </cell>
        </row>
        <row r="314">
          <cell r="W314">
            <v>8.7999999999999995E-2</v>
          </cell>
        </row>
        <row r="315">
          <cell r="W315">
            <v>0</v>
          </cell>
        </row>
        <row r="316">
          <cell r="W316">
            <v>3.1E-2</v>
          </cell>
        </row>
        <row r="317">
          <cell r="W317">
            <v>0.09</v>
          </cell>
        </row>
        <row r="318">
          <cell r="W318">
            <v>0.14099999999999999</v>
          </cell>
        </row>
        <row r="319">
          <cell r="W319">
            <v>7.4999999999999997E-2</v>
          </cell>
        </row>
        <row r="320">
          <cell r="W320">
            <v>1.4E-2</v>
          </cell>
        </row>
        <row r="321">
          <cell r="W321">
            <v>0.151</v>
          </cell>
        </row>
        <row r="322">
          <cell r="W322">
            <v>7.5999999999999998E-2</v>
          </cell>
        </row>
        <row r="323">
          <cell r="W323">
            <v>0.215</v>
          </cell>
        </row>
        <row r="324">
          <cell r="W324">
            <v>0.10299999999999999</v>
          </cell>
        </row>
        <row r="325">
          <cell r="W325">
            <v>0.17599999999999999</v>
          </cell>
        </row>
        <row r="326">
          <cell r="W326">
            <v>5.0999999999999997E-2</v>
          </cell>
        </row>
        <row r="327">
          <cell r="W327">
            <v>0.121</v>
          </cell>
        </row>
        <row r="328">
          <cell r="W328">
            <v>4.2000000000000003E-2</v>
          </cell>
        </row>
        <row r="329">
          <cell r="W329">
            <v>0.109</v>
          </cell>
        </row>
        <row r="330">
          <cell r="W330">
            <v>0.3</v>
          </cell>
        </row>
        <row r="331">
          <cell r="W331">
            <v>0.2</v>
          </cell>
        </row>
        <row r="332">
          <cell r="W332">
            <v>6.5000000000000002E-2</v>
          </cell>
        </row>
        <row r="333">
          <cell r="W333">
            <v>0.23899999999999999</v>
          </cell>
        </row>
        <row r="334">
          <cell r="W334">
            <v>0.27</v>
          </cell>
        </row>
        <row r="335">
          <cell r="W335">
            <v>2.8000000000000001E-2</v>
          </cell>
        </row>
        <row r="336">
          <cell r="W336">
            <v>0.14499999999999999</v>
          </cell>
        </row>
        <row r="337">
          <cell r="W337">
            <v>0.158</v>
          </cell>
        </row>
        <row r="338">
          <cell r="W338">
            <v>6.6000000000000003E-2</v>
          </cell>
        </row>
        <row r="339">
          <cell r="W339">
            <v>0.21</v>
          </cell>
        </row>
        <row r="340">
          <cell r="W340">
            <v>0.24</v>
          </cell>
        </row>
        <row r="341">
          <cell r="W341">
            <v>0.29899999999999999</v>
          </cell>
        </row>
        <row r="342">
          <cell r="W342">
            <v>0.3</v>
          </cell>
        </row>
        <row r="343">
          <cell r="W343">
            <v>0.28199999999999997</v>
          </cell>
        </row>
        <row r="344">
          <cell r="W344">
            <v>0</v>
          </cell>
        </row>
        <row r="345">
          <cell r="W345">
            <v>0.26100000000000001</v>
          </cell>
        </row>
        <row r="346">
          <cell r="W346">
            <v>7.0999999999999994E-2</v>
          </cell>
        </row>
        <row r="347">
          <cell r="W347">
            <v>0.02</v>
          </cell>
        </row>
        <row r="348">
          <cell r="W348">
            <v>0.10299999999999999</v>
          </cell>
        </row>
        <row r="349">
          <cell r="W349">
            <v>0</v>
          </cell>
        </row>
        <row r="350">
          <cell r="W350">
            <v>0.14399999999999999</v>
          </cell>
        </row>
        <row r="351">
          <cell r="W351">
            <v>0.113</v>
          </cell>
        </row>
        <row r="352">
          <cell r="W352">
            <v>0.188</v>
          </cell>
        </row>
        <row r="353">
          <cell r="W353">
            <v>0.113</v>
          </cell>
        </row>
        <row r="354">
          <cell r="W354">
            <v>3.9E-2</v>
          </cell>
        </row>
        <row r="355">
          <cell r="W355">
            <v>0.17899999999999999</v>
          </cell>
        </row>
        <row r="356">
          <cell r="W356">
            <v>0.128</v>
          </cell>
        </row>
        <row r="357">
          <cell r="W357">
            <v>0.16700000000000001</v>
          </cell>
        </row>
        <row r="358">
          <cell r="W358">
            <v>0</v>
          </cell>
        </row>
        <row r="359">
          <cell r="W359">
            <v>0.17</v>
          </cell>
        </row>
        <row r="360">
          <cell r="W360">
            <v>0</v>
          </cell>
        </row>
        <row r="361">
          <cell r="W361">
            <v>0.17599999999999999</v>
          </cell>
        </row>
        <row r="362">
          <cell r="W362">
            <v>0.11</v>
          </cell>
        </row>
        <row r="363">
          <cell r="W363">
            <v>7.8E-2</v>
          </cell>
        </row>
        <row r="364">
          <cell r="W364">
            <v>1.4E-2</v>
          </cell>
        </row>
        <row r="365">
          <cell r="W365">
            <v>0.27200000000000002</v>
          </cell>
        </row>
        <row r="366">
          <cell r="W366">
            <v>0.13200000000000001</v>
          </cell>
        </row>
        <row r="367">
          <cell r="W367">
            <v>8.9999999999999993E-3</v>
          </cell>
        </row>
        <row r="368">
          <cell r="W368">
            <v>0.192</v>
          </cell>
        </row>
        <row r="369">
          <cell r="W369">
            <v>0.105</v>
          </cell>
        </row>
        <row r="370">
          <cell r="W370">
            <v>0.106</v>
          </cell>
        </row>
        <row r="371">
          <cell r="W371">
            <v>0.115</v>
          </cell>
        </row>
        <row r="372">
          <cell r="W372">
            <v>5.8000000000000003E-2</v>
          </cell>
        </row>
        <row r="373">
          <cell r="W373">
            <v>0</v>
          </cell>
        </row>
        <row r="374">
          <cell r="W374">
            <v>0.107</v>
          </cell>
        </row>
        <row r="375">
          <cell r="W375">
            <v>3.4000000000000002E-2</v>
          </cell>
        </row>
        <row r="376">
          <cell r="W376">
            <v>0.25600000000000001</v>
          </cell>
        </row>
        <row r="377">
          <cell r="W377">
            <v>6.3E-2</v>
          </cell>
        </row>
        <row r="378">
          <cell r="W378">
            <v>9.9000000000000005E-2</v>
          </cell>
        </row>
        <row r="379">
          <cell r="W379">
            <v>0.13900000000000001</v>
          </cell>
        </row>
        <row r="380">
          <cell r="W380">
            <v>9.1999999999999998E-2</v>
          </cell>
        </row>
        <row r="381">
          <cell r="W381">
            <v>3.2000000000000001E-2</v>
          </cell>
        </row>
        <row r="382">
          <cell r="W382">
            <v>0.16300000000000001</v>
          </cell>
        </row>
        <row r="383">
          <cell r="W383">
            <v>0.17599999999999999</v>
          </cell>
        </row>
        <row r="384">
          <cell r="W384">
            <v>7.8E-2</v>
          </cell>
        </row>
        <row r="385">
          <cell r="W385">
            <v>0.09</v>
          </cell>
        </row>
        <row r="386">
          <cell r="W386">
            <v>5.8000000000000003E-2</v>
          </cell>
        </row>
        <row r="387">
          <cell r="W387">
            <v>0.19</v>
          </cell>
        </row>
        <row r="388">
          <cell r="W388">
            <v>0.104</v>
          </cell>
        </row>
        <row r="389">
          <cell r="W389">
            <v>0.127</v>
          </cell>
        </row>
        <row r="390">
          <cell r="W390">
            <v>0.14699999999999999</v>
          </cell>
        </row>
        <row r="391">
          <cell r="W391">
            <v>7.1999999999999995E-2</v>
          </cell>
        </row>
        <row r="392">
          <cell r="W392">
            <v>8.9999999999999993E-3</v>
          </cell>
        </row>
        <row r="393">
          <cell r="W393">
            <v>0.105</v>
          </cell>
        </row>
        <row r="394">
          <cell r="W394">
            <v>0.3</v>
          </cell>
        </row>
        <row r="395">
          <cell r="W395">
            <v>0.254</v>
          </cell>
        </row>
        <row r="396">
          <cell r="W396">
            <v>0.14799999999999999</v>
          </cell>
        </row>
        <row r="397">
          <cell r="W397">
            <v>9.8000000000000004E-2</v>
          </cell>
        </row>
        <row r="398">
          <cell r="W398">
            <v>0.10299999999999999</v>
          </cell>
        </row>
        <row r="399">
          <cell r="W399">
            <v>0.24099999999999999</v>
          </cell>
        </row>
        <row r="400">
          <cell r="W400">
            <v>8.3000000000000004E-2</v>
          </cell>
        </row>
        <row r="401">
          <cell r="W401">
            <v>0.122</v>
          </cell>
        </row>
        <row r="402">
          <cell r="W402">
            <v>2.5000000000000001E-2</v>
          </cell>
        </row>
        <row r="403">
          <cell r="W403">
            <v>0.18</v>
          </cell>
        </row>
        <row r="404">
          <cell r="W404">
            <v>0.106</v>
          </cell>
        </row>
        <row r="405">
          <cell r="W405">
            <v>0.126</v>
          </cell>
        </row>
        <row r="406">
          <cell r="W406">
            <v>0.111</v>
          </cell>
        </row>
        <row r="407">
          <cell r="W407">
            <v>6.4000000000000001E-2</v>
          </cell>
        </row>
        <row r="408">
          <cell r="W408">
            <v>7.6999999999999999E-2</v>
          </cell>
        </row>
        <row r="409">
          <cell r="W409">
            <v>0.13800000000000001</v>
          </cell>
        </row>
        <row r="410">
          <cell r="W410">
            <v>0.19600000000000001</v>
          </cell>
        </row>
        <row r="411">
          <cell r="W411">
            <v>0</v>
          </cell>
        </row>
        <row r="412">
          <cell r="W412">
            <v>0.24099999999999999</v>
          </cell>
        </row>
        <row r="413">
          <cell r="W413">
            <v>0.23899999999999999</v>
          </cell>
        </row>
        <row r="414">
          <cell r="W414">
            <v>0.112</v>
          </cell>
        </row>
        <row r="415">
          <cell r="W415">
            <v>8.3000000000000004E-2</v>
          </cell>
        </row>
        <row r="416">
          <cell r="W416">
            <v>7.1999999999999995E-2</v>
          </cell>
        </row>
        <row r="417">
          <cell r="W417">
            <v>3.2000000000000001E-2</v>
          </cell>
        </row>
        <row r="418">
          <cell r="W418">
            <v>0.245</v>
          </cell>
        </row>
        <row r="419">
          <cell r="W419">
            <v>0.09</v>
          </cell>
        </row>
        <row r="420">
          <cell r="W420">
            <v>0.217</v>
          </cell>
        </row>
        <row r="421">
          <cell r="W421">
            <v>0.22600000000000001</v>
          </cell>
        </row>
        <row r="422">
          <cell r="W422">
            <v>0.151</v>
          </cell>
        </row>
        <row r="423">
          <cell r="W423">
            <v>1.9E-2</v>
          </cell>
        </row>
        <row r="424">
          <cell r="W424">
            <v>0.157</v>
          </cell>
        </row>
        <row r="425">
          <cell r="W425">
            <v>0.16800000000000001</v>
          </cell>
        </row>
        <row r="426">
          <cell r="W426">
            <v>0.24299999999999999</v>
          </cell>
        </row>
        <row r="427">
          <cell r="W427">
            <v>0.17299999999999999</v>
          </cell>
        </row>
        <row r="428">
          <cell r="W428">
            <v>0.25</v>
          </cell>
        </row>
        <row r="429">
          <cell r="W429">
            <v>0.3</v>
          </cell>
        </row>
        <row r="430">
          <cell r="W430">
            <v>0</v>
          </cell>
        </row>
        <row r="431">
          <cell r="W431">
            <v>0.17499999999999999</v>
          </cell>
        </row>
        <row r="432">
          <cell r="W432">
            <v>0.115</v>
          </cell>
        </row>
        <row r="433">
          <cell r="W433">
            <v>0</v>
          </cell>
        </row>
        <row r="434">
          <cell r="W434">
            <v>5.6000000000000001E-2</v>
          </cell>
        </row>
        <row r="435">
          <cell r="W435">
            <v>5.8999999999999997E-2</v>
          </cell>
        </row>
        <row r="436">
          <cell r="W436">
            <v>0.214</v>
          </cell>
        </row>
        <row r="437">
          <cell r="W437">
            <v>0</v>
          </cell>
        </row>
        <row r="438">
          <cell r="W438">
            <v>0.113</v>
          </cell>
        </row>
        <row r="439">
          <cell r="W439">
            <v>0.14699999999999999</v>
          </cell>
        </row>
        <row r="440">
          <cell r="W440">
            <v>0.17399999999999999</v>
          </cell>
        </row>
        <row r="441">
          <cell r="W441">
            <v>4.1000000000000002E-2</v>
          </cell>
        </row>
        <row r="442">
          <cell r="W442">
            <v>0.15</v>
          </cell>
        </row>
        <row r="443">
          <cell r="W443">
            <v>0.14799999999999999</v>
          </cell>
        </row>
        <row r="444">
          <cell r="W444">
            <v>0.157</v>
          </cell>
        </row>
        <row r="445">
          <cell r="W445">
            <v>4.2999999999999997E-2</v>
          </cell>
        </row>
        <row r="446">
          <cell r="W446">
            <v>0</v>
          </cell>
        </row>
        <row r="447">
          <cell r="W447">
            <v>2.8000000000000001E-2</v>
          </cell>
        </row>
        <row r="448">
          <cell r="W448">
            <v>7.3999999999999996E-2</v>
          </cell>
        </row>
        <row r="449">
          <cell r="W449">
            <v>0.29299999999999998</v>
          </cell>
        </row>
        <row r="450">
          <cell r="W450">
            <v>0.104</v>
          </cell>
        </row>
        <row r="451">
          <cell r="W451">
            <v>0.216</v>
          </cell>
        </row>
        <row r="452">
          <cell r="W452">
            <v>0.16500000000000001</v>
          </cell>
        </row>
        <row r="453">
          <cell r="W453">
            <v>6.6000000000000003E-2</v>
          </cell>
        </row>
        <row r="454">
          <cell r="W454">
            <v>7.0999999999999994E-2</v>
          </cell>
        </row>
        <row r="455">
          <cell r="W455">
            <v>0.115</v>
          </cell>
        </row>
        <row r="456">
          <cell r="W456">
            <v>1.7000000000000001E-2</v>
          </cell>
        </row>
        <row r="457">
          <cell r="W457">
            <v>0.111</v>
          </cell>
        </row>
        <row r="458">
          <cell r="W458">
            <v>0</v>
          </cell>
        </row>
        <row r="459">
          <cell r="W459">
            <v>0.13600000000000001</v>
          </cell>
        </row>
        <row r="460">
          <cell r="W460">
            <v>0.125</v>
          </cell>
        </row>
        <row r="461">
          <cell r="W461">
            <v>0</v>
          </cell>
        </row>
        <row r="462">
          <cell r="W462">
            <v>0.107</v>
          </cell>
        </row>
        <row r="463">
          <cell r="W463">
            <v>0.129</v>
          </cell>
        </row>
        <row r="464">
          <cell r="W464">
            <v>0.152</v>
          </cell>
        </row>
        <row r="465">
          <cell r="W465">
            <v>0.124</v>
          </cell>
        </row>
        <row r="466">
          <cell r="W466">
            <v>0.25700000000000001</v>
          </cell>
        </row>
        <row r="467">
          <cell r="W467">
            <v>0.21099999999999999</v>
          </cell>
        </row>
        <row r="468">
          <cell r="W468">
            <v>0.22900000000000001</v>
          </cell>
        </row>
        <row r="469">
          <cell r="W469">
            <v>7.0999999999999994E-2</v>
          </cell>
        </row>
        <row r="470">
          <cell r="W470">
            <v>0.23</v>
          </cell>
        </row>
        <row r="471">
          <cell r="W471">
            <v>4.5999999999999999E-2</v>
          </cell>
        </row>
        <row r="472">
          <cell r="W472">
            <v>4.9000000000000002E-2</v>
          </cell>
        </row>
        <row r="473">
          <cell r="W473">
            <v>0.13800000000000001</v>
          </cell>
        </row>
        <row r="474">
          <cell r="W474">
            <v>7.3999999999999996E-2</v>
          </cell>
        </row>
        <row r="475">
          <cell r="W475">
            <v>0.126</v>
          </cell>
        </row>
        <row r="476">
          <cell r="W476">
            <v>0.20499999999999999</v>
          </cell>
        </row>
        <row r="477">
          <cell r="W477">
            <v>4.2000000000000003E-2</v>
          </cell>
        </row>
        <row r="478">
          <cell r="W478">
            <v>8.8999999999999996E-2</v>
          </cell>
        </row>
        <row r="479">
          <cell r="W479">
            <v>0.16500000000000001</v>
          </cell>
        </row>
        <row r="480">
          <cell r="W480">
            <v>0.216</v>
          </cell>
        </row>
        <row r="481">
          <cell r="W481">
            <v>0.02</v>
          </cell>
        </row>
        <row r="482">
          <cell r="W482">
            <v>7.5999999999999998E-2</v>
          </cell>
        </row>
        <row r="483">
          <cell r="W483">
            <v>9.0999999999999998E-2</v>
          </cell>
        </row>
        <row r="484">
          <cell r="W484">
            <v>0.13200000000000001</v>
          </cell>
        </row>
        <row r="485">
          <cell r="W485">
            <v>5.2999999999999999E-2</v>
          </cell>
        </row>
        <row r="486">
          <cell r="W486">
            <v>0.123</v>
          </cell>
        </row>
        <row r="487">
          <cell r="W487">
            <v>9.1999999999999998E-2</v>
          </cell>
        </row>
        <row r="488">
          <cell r="W488">
            <v>0.222</v>
          </cell>
        </row>
        <row r="489">
          <cell r="W489">
            <v>7.3999999999999996E-2</v>
          </cell>
        </row>
        <row r="490">
          <cell r="W490">
            <v>0.19700000000000001</v>
          </cell>
        </row>
        <row r="491">
          <cell r="W491">
            <v>0.13500000000000001</v>
          </cell>
        </row>
        <row r="492">
          <cell r="W492">
            <v>0</v>
          </cell>
        </row>
        <row r="493">
          <cell r="W493">
            <v>0</v>
          </cell>
        </row>
        <row r="494">
          <cell r="W494">
            <v>8.3000000000000004E-2</v>
          </cell>
        </row>
        <row r="495">
          <cell r="W495">
            <v>0.13200000000000001</v>
          </cell>
        </row>
        <row r="496">
          <cell r="W496">
            <v>4.2000000000000003E-2</v>
          </cell>
        </row>
        <row r="497">
          <cell r="W497">
            <v>0.113</v>
          </cell>
        </row>
        <row r="498">
          <cell r="W498">
            <v>0.14199999999999999</v>
          </cell>
        </row>
        <row r="499">
          <cell r="W499">
            <v>4.2000000000000003E-2</v>
          </cell>
        </row>
        <row r="500">
          <cell r="W500">
            <v>5.7000000000000002E-2</v>
          </cell>
        </row>
        <row r="501">
          <cell r="W501">
            <v>0.218</v>
          </cell>
        </row>
        <row r="502">
          <cell r="W502">
            <v>4.1000000000000002E-2</v>
          </cell>
        </row>
        <row r="503">
          <cell r="W503">
            <v>0.16700000000000001</v>
          </cell>
        </row>
        <row r="504">
          <cell r="W504">
            <v>6.9000000000000006E-2</v>
          </cell>
        </row>
        <row r="505">
          <cell r="W505">
            <v>0.10100000000000001</v>
          </cell>
        </row>
        <row r="506">
          <cell r="W506">
            <v>7.0000000000000007E-2</v>
          </cell>
        </row>
        <row r="507">
          <cell r="W507">
            <v>0.123</v>
          </cell>
        </row>
        <row r="508">
          <cell r="W508">
            <v>0.23499999999999999</v>
          </cell>
        </row>
        <row r="509">
          <cell r="W509">
            <v>0.02</v>
          </cell>
        </row>
        <row r="510">
          <cell r="W510">
            <v>9.8000000000000004E-2</v>
          </cell>
        </row>
        <row r="511">
          <cell r="W511">
            <v>0.108</v>
          </cell>
        </row>
        <row r="512">
          <cell r="W512">
            <v>0.20899999999999999</v>
          </cell>
        </row>
        <row r="513">
          <cell r="W513">
            <v>0.11899999999999999</v>
          </cell>
        </row>
        <row r="514">
          <cell r="W514">
            <v>0.14599999999999999</v>
          </cell>
        </row>
        <row r="515">
          <cell r="W515">
            <v>3.2000000000000001E-2</v>
          </cell>
        </row>
        <row r="516">
          <cell r="W516">
            <v>0</v>
          </cell>
        </row>
        <row r="517">
          <cell r="W517">
            <v>0</v>
          </cell>
        </row>
        <row r="518">
          <cell r="W518">
            <v>0.157</v>
          </cell>
        </row>
        <row r="519">
          <cell r="W519">
            <v>0.107</v>
          </cell>
        </row>
        <row r="520">
          <cell r="W520">
            <v>0.13800000000000001</v>
          </cell>
        </row>
        <row r="521">
          <cell r="W521">
            <v>4.9000000000000002E-2</v>
          </cell>
        </row>
        <row r="522">
          <cell r="W522">
            <v>0.18</v>
          </cell>
        </row>
        <row r="523">
          <cell r="W523">
            <v>0.1</v>
          </cell>
        </row>
        <row r="524">
          <cell r="W524">
            <v>0</v>
          </cell>
        </row>
        <row r="525">
          <cell r="W525">
            <v>9.4E-2</v>
          </cell>
        </row>
        <row r="526">
          <cell r="W526">
            <v>0.17</v>
          </cell>
        </row>
        <row r="527">
          <cell r="W527">
            <v>0.22500000000000001</v>
          </cell>
        </row>
        <row r="528">
          <cell r="W528">
            <v>0.13500000000000001</v>
          </cell>
        </row>
        <row r="529">
          <cell r="W529">
            <v>0</v>
          </cell>
        </row>
        <row r="530">
          <cell r="W530">
            <v>5.8999999999999997E-2</v>
          </cell>
        </row>
        <row r="531">
          <cell r="W531">
            <v>0</v>
          </cell>
        </row>
        <row r="532">
          <cell r="W532">
            <v>3.7999999999999999E-2</v>
          </cell>
        </row>
        <row r="533">
          <cell r="W533">
            <v>0.122</v>
          </cell>
        </row>
        <row r="534">
          <cell r="W534">
            <v>0.114</v>
          </cell>
        </row>
        <row r="535">
          <cell r="W535">
            <v>6.6000000000000003E-2</v>
          </cell>
        </row>
        <row r="536">
          <cell r="W536">
            <v>0.248</v>
          </cell>
        </row>
        <row r="537">
          <cell r="W537">
            <v>0.19</v>
          </cell>
        </row>
        <row r="538">
          <cell r="W538">
            <v>0.14899999999999999</v>
          </cell>
        </row>
        <row r="539">
          <cell r="W539">
            <v>8.6999999999999994E-2</v>
          </cell>
        </row>
        <row r="540">
          <cell r="W540">
            <v>4.3999999999999997E-2</v>
          </cell>
        </row>
        <row r="541">
          <cell r="W541">
            <v>0.107</v>
          </cell>
        </row>
        <row r="542">
          <cell r="W542">
            <v>8.8999999999999996E-2</v>
          </cell>
        </row>
        <row r="543">
          <cell r="W543">
            <v>0</v>
          </cell>
        </row>
        <row r="544">
          <cell r="W544">
            <v>0.13300000000000001</v>
          </cell>
        </row>
        <row r="545">
          <cell r="W545">
            <v>5.8999999999999997E-2</v>
          </cell>
        </row>
        <row r="546">
          <cell r="W546">
            <v>0.115</v>
          </cell>
        </row>
        <row r="547">
          <cell r="W547">
            <v>0.21199999999999999</v>
          </cell>
        </row>
        <row r="548">
          <cell r="W548">
            <v>0.23699999999999999</v>
          </cell>
        </row>
        <row r="549">
          <cell r="W549">
            <v>0.20799999999999999</v>
          </cell>
        </row>
        <row r="550">
          <cell r="W550">
            <v>0.123</v>
          </cell>
        </row>
        <row r="551">
          <cell r="W551">
            <v>0.17499999999999999</v>
          </cell>
        </row>
        <row r="552">
          <cell r="W552">
            <v>0.17</v>
          </cell>
        </row>
        <row r="553">
          <cell r="W553">
            <v>0.21199999999999999</v>
          </cell>
        </row>
        <row r="554">
          <cell r="W554">
            <v>0.157</v>
          </cell>
        </row>
        <row r="555">
          <cell r="W555">
            <v>4.2000000000000003E-2</v>
          </cell>
        </row>
        <row r="556">
          <cell r="W556">
            <v>8.6999999999999994E-2</v>
          </cell>
        </row>
        <row r="557">
          <cell r="W557">
            <v>0.125</v>
          </cell>
        </row>
        <row r="558">
          <cell r="W558">
            <v>0</v>
          </cell>
        </row>
        <row r="559">
          <cell r="W559">
            <v>5.3999999999999999E-2</v>
          </cell>
        </row>
        <row r="560">
          <cell r="W560">
            <v>0.21099999999999999</v>
          </cell>
        </row>
        <row r="561">
          <cell r="W561">
            <v>0.122</v>
          </cell>
        </row>
        <row r="562">
          <cell r="W562">
            <v>0.12</v>
          </cell>
        </row>
        <row r="563">
          <cell r="W563">
            <v>0.14499999999999999</v>
          </cell>
        </row>
        <row r="564">
          <cell r="W564">
            <v>5.5E-2</v>
          </cell>
        </row>
        <row r="565">
          <cell r="W565">
            <v>0.13700000000000001</v>
          </cell>
        </row>
        <row r="566">
          <cell r="W566">
            <v>6.8000000000000005E-2</v>
          </cell>
        </row>
        <row r="567">
          <cell r="W567">
            <v>0.14299999999999999</v>
          </cell>
        </row>
        <row r="568">
          <cell r="W568">
            <v>0.126</v>
          </cell>
        </row>
        <row r="569">
          <cell r="W569">
            <v>9.1999999999999998E-2</v>
          </cell>
        </row>
        <row r="570">
          <cell r="W570">
            <v>0.19700000000000001</v>
          </cell>
        </row>
        <row r="571">
          <cell r="W571">
            <v>0</v>
          </cell>
        </row>
        <row r="572">
          <cell r="W572">
            <v>2.9000000000000001E-2</v>
          </cell>
        </row>
        <row r="573">
          <cell r="W573">
            <v>8.2000000000000003E-2</v>
          </cell>
        </row>
        <row r="574">
          <cell r="W574">
            <v>6.4000000000000001E-2</v>
          </cell>
        </row>
        <row r="575">
          <cell r="W575">
            <v>0.20699999999999999</v>
          </cell>
        </row>
        <row r="576">
          <cell r="W576">
            <v>5.6000000000000001E-2</v>
          </cell>
        </row>
        <row r="577">
          <cell r="W577">
            <v>0.121</v>
          </cell>
        </row>
        <row r="578">
          <cell r="W578">
            <v>7.1999999999999995E-2</v>
          </cell>
        </row>
        <row r="579">
          <cell r="W579">
            <v>7.1999999999999995E-2</v>
          </cell>
        </row>
        <row r="580">
          <cell r="W580">
            <v>0.13500000000000001</v>
          </cell>
        </row>
        <row r="581">
          <cell r="W581">
            <v>6.7000000000000004E-2</v>
          </cell>
        </row>
        <row r="582">
          <cell r="W582">
            <v>0.13200000000000001</v>
          </cell>
        </row>
        <row r="583">
          <cell r="W583">
            <v>0.01</v>
          </cell>
        </row>
        <row r="584">
          <cell r="W584">
            <v>0.22600000000000001</v>
          </cell>
        </row>
        <row r="585">
          <cell r="W585">
            <v>0.16300000000000001</v>
          </cell>
        </row>
        <row r="586">
          <cell r="W586">
            <v>0.14099999999999999</v>
          </cell>
        </row>
        <row r="587">
          <cell r="W587">
            <v>4.1000000000000002E-2</v>
          </cell>
        </row>
        <row r="588">
          <cell r="W588">
            <v>0</v>
          </cell>
        </row>
        <row r="589">
          <cell r="W589">
            <v>9.2999999999999999E-2</v>
          </cell>
        </row>
        <row r="590">
          <cell r="W590">
            <v>0.10299999999999999</v>
          </cell>
        </row>
        <row r="591">
          <cell r="W591">
            <v>8.7999999999999995E-2</v>
          </cell>
        </row>
        <row r="592">
          <cell r="W592">
            <v>0</v>
          </cell>
        </row>
        <row r="593">
          <cell r="W593">
            <v>0.17399999999999999</v>
          </cell>
        </row>
        <row r="594">
          <cell r="W594">
            <v>0.14599999999999999</v>
          </cell>
        </row>
        <row r="595">
          <cell r="W595">
            <v>0.192</v>
          </cell>
        </row>
        <row r="596">
          <cell r="W596">
            <v>0.08</v>
          </cell>
        </row>
        <row r="597">
          <cell r="W597">
            <v>7.2999999999999995E-2</v>
          </cell>
        </row>
        <row r="598">
          <cell r="W598">
            <v>4.2999999999999997E-2</v>
          </cell>
        </row>
        <row r="599">
          <cell r="W599">
            <v>0.14000000000000001</v>
          </cell>
        </row>
        <row r="600">
          <cell r="W600">
            <v>0.187</v>
          </cell>
        </row>
        <row r="601">
          <cell r="W601">
            <v>0.13300000000000001</v>
          </cell>
        </row>
        <row r="602">
          <cell r="W602">
            <v>8.9999999999999993E-3</v>
          </cell>
        </row>
        <row r="603">
          <cell r="W603">
            <v>0.16</v>
          </cell>
        </row>
        <row r="604">
          <cell r="W604">
            <v>7.0999999999999994E-2</v>
          </cell>
        </row>
        <row r="605">
          <cell r="W605">
            <v>0.15</v>
          </cell>
        </row>
        <row r="606">
          <cell r="W606">
            <v>0.19</v>
          </cell>
        </row>
        <row r="607">
          <cell r="W607">
            <v>0.186</v>
          </cell>
        </row>
        <row r="608">
          <cell r="W608">
            <v>0.10299999999999999</v>
          </cell>
        </row>
        <row r="609">
          <cell r="W609">
            <v>9.7000000000000003E-2</v>
          </cell>
        </row>
        <row r="610">
          <cell r="W610">
            <v>0.16300000000000001</v>
          </cell>
        </row>
        <row r="611">
          <cell r="W611">
            <v>0.12</v>
          </cell>
        </row>
        <row r="612">
          <cell r="W612">
            <v>0.104</v>
          </cell>
        </row>
        <row r="613">
          <cell r="W613">
            <v>0.19400000000000001</v>
          </cell>
        </row>
        <row r="614">
          <cell r="W614">
            <v>0</v>
          </cell>
        </row>
        <row r="615">
          <cell r="W615">
            <v>2.1999999999999999E-2</v>
          </cell>
        </row>
        <row r="616">
          <cell r="W616">
            <v>0.17100000000000001</v>
          </cell>
        </row>
        <row r="617">
          <cell r="W617">
            <v>8.1000000000000003E-2</v>
          </cell>
        </row>
        <row r="618">
          <cell r="W618">
            <v>4.0000000000000001E-3</v>
          </cell>
        </row>
        <row r="619">
          <cell r="W619">
            <v>0.10199999999999999</v>
          </cell>
        </row>
        <row r="620">
          <cell r="W620">
            <v>0.109</v>
          </cell>
        </row>
        <row r="621">
          <cell r="W621">
            <v>4.7E-2</v>
          </cell>
        </row>
        <row r="622">
          <cell r="W622">
            <v>0.16500000000000001</v>
          </cell>
        </row>
        <row r="623">
          <cell r="W623">
            <v>0.186</v>
          </cell>
        </row>
        <row r="624">
          <cell r="W624">
            <v>0.192</v>
          </cell>
        </row>
        <row r="625">
          <cell r="W625">
            <v>0.113</v>
          </cell>
        </row>
        <row r="626">
          <cell r="W626">
            <v>0.161</v>
          </cell>
        </row>
        <row r="627">
          <cell r="W627">
            <v>0.114</v>
          </cell>
        </row>
        <row r="628">
          <cell r="W628">
            <v>0.159</v>
          </cell>
        </row>
        <row r="629">
          <cell r="W629">
            <v>0.151</v>
          </cell>
        </row>
        <row r="630">
          <cell r="W630">
            <v>0</v>
          </cell>
        </row>
        <row r="631">
          <cell r="W631">
            <v>6.2E-2</v>
          </cell>
        </row>
        <row r="632">
          <cell r="W632">
            <v>0.13900000000000001</v>
          </cell>
        </row>
        <row r="633">
          <cell r="W633">
            <v>0.17299999999999999</v>
          </cell>
        </row>
      </sheetData>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283083449074" createdVersion="7" refreshedVersion="7" minRefreshableVersion="3" recordCount="632" xr:uid="{700C977E-6CEF-4975-89BC-94E722733D8E}">
  <cacheSource type="worksheet">
    <worksheetSource ref="A1:O633" sheet="Analysis"/>
  </cacheSource>
  <cacheFields count="15">
    <cacheField name="OrderDate" numFmtId="166">
      <sharedItems containsSemiMixedTypes="0" containsNonDate="0" containsDate="1" containsString="0" minDate="2024-03-11T00:00:00" maxDate="2025-12-03T00:00:00"/>
    </cacheField>
    <cacheField name="Order Month" numFmtId="2">
      <sharedItems count="33">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sharedItems>
    </cacheField>
    <cacheField name="Cohort Month" numFmtId="2">
      <sharedItems count="22">
        <s v="Mar-2024"/>
        <s v="Apr-2024"/>
        <s v="May-2024"/>
        <s v="Jun-2024"/>
        <s v="Jul-2024"/>
        <s v="Aug-2024"/>
        <s v="Sept-2024"/>
        <s v="Oct-2024"/>
        <s v="Nov-2024"/>
        <s v="Dec-2024"/>
        <s v="Jan-2025"/>
        <s v="Feb-2025"/>
        <s v="Mar-2025"/>
        <s v="Apr-2025"/>
        <s v="May-2025"/>
        <s v="Jun-2025"/>
        <s v="Jul-2025"/>
        <s v="Aug-2025"/>
        <s v="Sept-2025"/>
        <s v="Oct-2025"/>
        <s v="Nov-2025"/>
        <s v="Dec-2025"/>
      </sharedItems>
    </cacheField>
    <cacheField name="First Sale Date" numFmtId="15">
      <sharedItems containsSemiMixedTypes="0" containsNonDate="0" containsDate="1" containsString="0" minDate="2024-03-11T00:00:00" maxDate="2025-12-03T00:00:00"/>
    </cacheField>
    <cacheField name="Quarter" numFmtId="2">
      <sharedItems/>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ProductCategory" numFmtId="0">
      <sharedItems/>
    </cacheField>
    <cacheField name="Price Band" numFmtId="2">
      <sharedItems/>
    </cacheField>
    <cacheField name="UnitPrice" numFmtId="2">
      <sharedItems containsSemiMixedTypes="0" containsString="0" containsNumber="1" minValue="-33.659999999999997" maxValue="3661.07"/>
    </cacheField>
    <cacheField name="UnitPrice2" numFmtId="2">
      <sharedItems containsSemiMixedTypes="0" containsString="0" containsNumber="1" minValue="-33.659999999999997" maxValue="3661.07"/>
    </cacheField>
    <cacheField name="DiscountPct" numFmtId="2">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2">
      <sharedItems containsSemiMixedTypes="0" containsString="0" containsNumber="1" minValue="-417.04740000000004" maxValue="130292.46945000002"/>
    </cacheField>
  </cacheFields>
  <extLst>
    <ext xmlns:x14="http://schemas.microsoft.com/office/spreadsheetml/2009/9/main" uri="{725AE2AE-9491-48be-B2B4-4EB974FC3084}">
      <x14:pivotCacheDefinition pivotCacheId="1061225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29114976852" createdVersion="7" refreshedVersion="7" minRefreshableVersion="3" recordCount="633" xr:uid="{FFA908F9-D925-46E9-8E4E-DA49D1A8546C}">
  <cacheSource type="worksheet">
    <worksheetSource ref="A1:W1048576" sheet="ABC Data"/>
  </cacheSource>
  <cacheFields count="23">
    <cacheField name="OrderID" numFmtId="0">
      <sharedItems containsBlank="1"/>
    </cacheField>
    <cacheField name="OrderDate" numFmtId="0">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0">
      <sharedItems containsString="0" containsBlank="1" containsNumber="1" containsInteger="1" minValue="0" maxValue="30"/>
    </cacheField>
    <cacheField name="Month" numFmtId="0">
      <sharedItems containsBlank="1"/>
    </cacheField>
    <cacheField name="Quarter" numFmtId="0">
      <sharedItems containsBlank="1"/>
    </cacheField>
    <cacheField name="Region" numFmtId="0">
      <sharedItems containsBlank="1"/>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Components"/>
        <s v="Printers"/>
        <s v="Networking"/>
        <s v="Phones"/>
        <s v="Laptops"/>
        <s v="Monitors"/>
        <s v="Accessories"/>
        <m/>
      </sharedItems>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0">
      <sharedItems containsString="0" containsBlank="1" containsNumber="1" minValue="5.34" maxValue="1495.79"/>
    </cacheField>
    <cacheField name="Price Band" numFmtId="0">
      <sharedItems containsBlank="1"/>
    </cacheField>
    <cacheField name="UnitPrice" numFmtId="0">
      <sharedItems containsString="0" containsBlank="1" containsNumber="1" minValue="-33.659999999999997" maxValue="3661.07"/>
    </cacheField>
    <cacheField name="DiscountPct" numFmtId="0">
      <sharedItems containsString="0" containsBlank="1" containsNumber="1" minValue="0" maxValue="0.56499999999999995"/>
    </cacheField>
    <cacheField name="Quantity" numFmtId="0">
      <sharedItems containsString="0" containsBlank="1" containsNumber="1" containsInteger="1" minValue="2" maxValue="61"/>
    </cacheField>
    <cacheField name="Gross Revenue" numFmtId="0">
      <sharedItems containsString="0" containsBlank="1" containsNumber="1" minValue="-417.04740000000004" maxValue="130292.46945000002" count="608">
        <n v="1403.9546399999999"/>
        <n v="17934.41419"/>
        <n v="4534.0944"/>
        <n v="34016.730880000003"/>
        <n v="8510.0765999999985"/>
        <n v="12558.49"/>
        <n v="8983.864239999999"/>
        <n v="19177.399799999999"/>
        <n v="17656.36218"/>
        <n v="5259.5799699999998"/>
        <n v="21204.733619999999"/>
        <n v="26031.15"/>
        <n v="12644.498400000002"/>
        <n v="6816.3"/>
        <n v="18971.64"/>
        <n v="14666.089860000002"/>
        <n v="79945.865999999995"/>
        <n v="14842.34096"/>
        <n v="15979.62168"/>
        <n v="25535.279900000001"/>
        <n v="3565.5894400000002"/>
        <n v="24160.543999999998"/>
        <n v="16065.367999999999"/>
        <n v="14187.650399999999"/>
        <n v="31336.100999999999"/>
        <n v="353.76639999999998"/>
        <n v="3857.2000000000003"/>
        <n v="1243.5675000000001"/>
        <n v="377.09999999999997"/>
        <n v="11781.338519999999"/>
        <n v="43367.691729999999"/>
        <n v="10231.623200000002"/>
        <n v="-19.309279999999998"/>
        <n v="14370.599999999999"/>
        <n v="17207.010000000002"/>
        <n v="86276.904139999999"/>
        <n v="25427.751119999997"/>
        <n v="13219.269119999999"/>
        <n v="8106.7057499999992"/>
        <n v="8980.9071300000014"/>
        <n v="32087.834099999996"/>
        <n v="7368.0599999999995"/>
        <n v="5778.7360400000007"/>
        <n v="17662.129100000002"/>
        <n v="22844.122400000004"/>
        <n v="14447.799239999997"/>
        <n v="18926.830000000002"/>
        <n v="16939.329999999998"/>
        <n v="26300.615040000001"/>
        <n v="21312.892040000002"/>
        <n v="17808.182399999998"/>
        <n v="11819.917200000002"/>
        <n v="10554.3"/>
        <n v="21238.118460000002"/>
        <n v="14195.647199999998"/>
        <n v="48735.421419999999"/>
        <n v="4119.0446000000002"/>
        <n v="304.14567999999997"/>
        <n v="93667.868000000002"/>
        <n v="4086.5861999999997"/>
        <n v="29568.826800000003"/>
        <n v="7255.4580000000005"/>
        <n v="9767.2960000000003"/>
        <n v="3175.2421499999996"/>
        <n v="44693.64"/>
        <n v="9671.5257600000004"/>
        <n v="18232.188319999997"/>
        <n v="11273.616900000001"/>
        <n v="15600.46968"/>
        <n v="11803.702499999998"/>
        <n v="240.65172000000001"/>
        <n v="19527.59952"/>
        <n v="5807.6003499999997"/>
        <n v="34328.070179999995"/>
        <n v="10198.97235"/>
        <n v="2073.2045600000001"/>
        <n v="21984.960139999999"/>
        <n v="3822.3670400000005"/>
        <n v="44117.408199999998"/>
        <n v="3404.8806"/>
        <n v="336.15374000000003"/>
        <n v="27333.836640000001"/>
        <n v="2281.3896"/>
        <n v="4198.3762500000003"/>
        <n v="11939.7824"/>
        <n v="18364.589100000001"/>
        <n v="36.970199999999998"/>
        <n v="532.26600000000008"/>
        <n v="2666.1129000000001"/>
        <n v="25677.677439999999"/>
        <n v="346.46290000000005"/>
        <n v="74251.58"/>
        <n v="4491.2166399999996"/>
        <n v="1834.19273"/>
        <n v="9873.8135999999995"/>
        <n v="47694.762360000001"/>
        <n v="8605.3480799999998"/>
        <n v="25810.2"/>
        <n v="3615.67416"/>
        <n v="8854.276319999999"/>
        <n v="31422.63"/>
        <n v="854.99479999999994"/>
        <n v="2527.7000000000003"/>
        <n v="24706.764000000003"/>
        <n v="4270.2181499999997"/>
        <n v="4055.5317599999998"/>
        <n v="22483.549139999999"/>
        <n v="5654.22948"/>
        <n v="5727.1"/>
        <n v="3583.4075399999997"/>
        <n v="44038.080000000002"/>
        <n v="6606.0347600000005"/>
        <n v="14734.198080000002"/>
        <n v="822.7659000000001"/>
        <n v="13513.439999999999"/>
        <n v="6576.6803200000004"/>
        <n v="23548.41258"/>
        <n v="27535.846560000005"/>
        <n v="9278.4804000000004"/>
        <n v="4225.1932799999995"/>
        <n v="14696.792309999999"/>
        <n v="7972.7022900000002"/>
        <n v="7009.2643199999993"/>
        <n v="18192.506879999997"/>
        <n v="4141.6975199999997"/>
        <n v="16093.478800000001"/>
        <n v="29785.344300000001"/>
        <n v="40507.245110000003"/>
        <n v="9877.5109800000009"/>
        <n v="8440.7349599999998"/>
        <n v="10997.906320000002"/>
        <n v="15583.45932"/>
        <n v="24737.606400000001"/>
        <n v="16599.638879999999"/>
        <n v="10987.39408"/>
        <n v="14342.18838"/>
        <n v="7989.2834400000002"/>
        <n v="3326.2424999999998"/>
        <n v="28967.387020000002"/>
        <n v="35027.455319999994"/>
        <n v="15179.749199999998"/>
        <n v="16474.322700000001"/>
        <n v="27251.100119999996"/>
        <n v="3655.9817999999996"/>
        <n v="31331.119680000003"/>
        <n v="42353.882679999995"/>
        <n v="49.780199999999994"/>
        <n v="31944.079999999998"/>
        <n v="5066.2710000000006"/>
        <n v="57712.049999999996"/>
        <n v="26608.919040000001"/>
        <n v="517.24709999999993"/>
        <n v="2454.4137600000004"/>
        <n v="5684.1523200000001"/>
        <n v="48.307200000000009"/>
        <n v="37272.187330000001"/>
        <n v="9391.848"/>
        <n v="20216.283749999999"/>
        <n v="7100.6851799999995"/>
        <n v="10180.661399999999"/>
        <n v="43022.083500000001"/>
        <n v="6475.2592000000004"/>
        <n v="13797.385980000001"/>
        <n v="50207.703000000001"/>
        <n v="10272.6736"/>
        <n v="40303.373"/>
        <n v="32735.194359999998"/>
        <n v="5308.1555399999997"/>
        <n v="1766.9036999999998"/>
        <n v="8403.5321999999996"/>
        <n v="18676.97536"/>
        <n v="3691.4982"/>
        <n v="13964.213699999998"/>
        <n v="36583.530899999998"/>
        <n v="6897.4036800000003"/>
        <n v="17694.882399999999"/>
        <n v="7960.4402400000008"/>
        <n v="16533.592659999998"/>
        <n v="31908.427200000002"/>
        <n v="26302.966559999997"/>
        <n v="593.52160000000003"/>
        <n v="48027.621600000006"/>
        <n v="7256.5421999999999"/>
        <n v="12999.63889"/>
        <n v="46101.981310000003"/>
        <n v="1541.5919999999999"/>
        <n v="6319.9846800000005"/>
        <n v="51608.553749999999"/>
        <n v="9587.7280800000008"/>
        <n v="2200.4637200000002"/>
        <n v="18590.205150000002"/>
        <n v="3143.4576000000002"/>
        <n v="13882.919040000001"/>
        <n v="5219.7772800000002"/>
        <n v="14139.90576"/>
        <n v="3645.6088500000001"/>
        <n v="6879.2846"/>
        <n v="39076.783199999991"/>
        <n v="6200.5636000000013"/>
        <n v="53428.293749999997"/>
        <n v="45796.021740000004"/>
        <n v="11002.004999999999"/>
        <n v="37877.06"/>
        <n v="28497.86303"/>
        <n v="554.97959999999989"/>
        <n v="9957.7894899999992"/>
        <n v="11596.169260000001"/>
        <n v="4496.5237200000001"/>
        <n v="13931.376689999999"/>
        <n v="12379.392"/>
        <n v="13476.28032"/>
        <n v="37144.063799999996"/>
        <n v="4571.46"/>
        <n v="2326.6799999999998"/>
        <n v="6137.98416"/>
        <n v="64128.8586"/>
        <n v="11133.23372"/>
        <n v="789.46368000000007"/>
        <n v="12014.83764"/>
        <n v="4570.6767199999995"/>
        <n v="22977.108"/>
        <n v="158.16520000000003"/>
        <n v="9151.630000000001"/>
        <n v="37663.304640000002"/>
        <n v="14458.4895"/>
        <n v="7783.1984999999995"/>
        <n v="9209.201430000001"/>
        <n v="6770.0719200000003"/>
        <n v="8652.4469199999985"/>
        <n v="13522.938400000001"/>
        <n v="34932.681600000004"/>
        <n v="4648.9350599999998"/>
        <n v="6081.4780000000001"/>
        <n v="7155.3105599999999"/>
        <n v="18572.525799999999"/>
        <n v="31218.691400000003"/>
        <n v="21901.880639999999"/>
        <n v="5002.3123200000009"/>
        <n v="15275.5965"/>
        <n v="13631.647199999999"/>
        <n v="18307.712480000002"/>
        <n v="17830.4548"/>
        <n v="9431.7695999999996"/>
        <n v="5532.6686399999999"/>
        <n v="4411.308"/>
        <n v="10322.677609999999"/>
        <n v="6352.3798799999995"/>
        <n v="26996.417099999999"/>
        <n v="2237.6023999999998"/>
        <n v="11792.958000000001"/>
        <n v="26961.185719999998"/>
        <n v="17084.938320000001"/>
        <n v="50537.130000000005"/>
        <n v="29033.704000000002"/>
        <n v="18599.828130000002"/>
        <n v="39508.723799999992"/>
        <n v="828.33146999999997"/>
        <n v="3533.4890799999994"/>
        <n v="9725.3304000000007"/>
        <n v="10026.7744"/>
        <n v="69.481920000000002"/>
        <n v="17916.436439999998"/>
        <n v="12481.436800000001"/>
        <n v="5632.3692599999995"/>
        <n v="24932.711619999998"/>
        <n v="1617.8811600000001"/>
        <n v="32644.137120000007"/>
        <n v="3736.3119999999999"/>
        <n v="15054.199999999999"/>
        <n v="27872.062200000004"/>
        <n v="10046.682500000001"/>
        <n v="6753.7724800000005"/>
        <n v="101.73576"/>
        <n v="9651.4527999999991"/>
        <n v="25903.83495"/>
        <n v="7059.0227999999997"/>
        <n v="73316.94"/>
        <n v="6655.0732799999996"/>
        <n v="8039.3543999999993"/>
        <n v="919.40919999999994"/>
        <n v="15941.402639999998"/>
        <n v="2643.1280400000001"/>
        <n v="1349.6999999999998"/>
        <n v="8208.8608800000002"/>
        <n v="31932.989400000002"/>
        <n v="314.11380000000003"/>
        <n v="9999.9964400000008"/>
        <n v="11640.572819999999"/>
        <n v="12473.159039999999"/>
        <n v="7796.3839200000002"/>
        <n v="7371.4888800000008"/>
        <n v="10911.020999999999"/>
        <n v="2525.1498999999999"/>
        <n v="16636.221300000001"/>
        <n v="20054.987999999998"/>
        <n v="2693.96092"/>
        <n v="28786.197329999999"/>
        <n v="409.91860000000008"/>
        <n v="39520.356119999997"/>
        <n v="20500.48"/>
        <n v="11111.531359999999"/>
        <n v="10311.923699999999"/>
        <n v="18252.954719999998"/>
        <n v="26053.196400000001"/>
        <n v="2496.5855999999999"/>
        <n v="6818.0403199999992"/>
        <n v="52560.144000000008"/>
        <n v="7609.4092799999999"/>
        <n v="26941.13884"/>
        <n v="35096.967360000002"/>
        <n v="13444.761599999998"/>
        <n v="20144.693599999999"/>
        <n v="6043.0032000000001"/>
        <n v="35911.89"/>
        <n v="11089.255379999999"/>
        <n v="835.19799999999998"/>
        <n v="34451.80992"/>
        <n v="27971.861250000002"/>
        <n v="3129.2583399999999"/>
        <n v="125232.05063999999"/>
        <n v="18944.864399999999"/>
        <n v="2540.7624000000005"/>
        <n v="24902.262840000003"/>
        <n v="24630.101600000002"/>
        <n v="4829.1857899999995"/>
        <n v="11533.077720000001"/>
        <n v="5572.5710399999998"/>
        <n v="5667.829200000001"/>
        <n v="841.56720000000018"/>
        <n v="11668.448000000002"/>
        <n v="27369.282600000002"/>
        <n v="21779.835220000001"/>
        <n v="2377.9312"/>
        <n v="6720.9426000000003"/>
        <n v="7038.4882499999994"/>
        <n v="2362.5509599999996"/>
        <n v="36586.946879999996"/>
        <n v="32691.708900000005"/>
        <n v="5274.4607999999998"/>
        <n v="23750.665119999998"/>
        <n v="31570.873200000005"/>
        <n v="36385.454160000001"/>
        <n v="33921.800000000003"/>
        <n v="1430.8961399999998"/>
        <n v="9511.1577400000006"/>
        <n v="7516.3549999999996"/>
        <n v="60620.497860000003"/>
        <n v="3760.95"/>
        <n v="47563.605759999999"/>
        <n v="6418.5448799999995"/>
        <n v="19625.658360000001"/>
        <n v="24437.027399999999"/>
        <n v="18891.856940000001"/>
        <n v="31286.9964"/>
        <n v="4722.4031999999997"/>
        <n v="19532.683799999999"/>
        <n v="26190"/>
        <n v="28646.702999999998"/>
        <n v="4499.1500000000005"/>
        <n v="9412.9557600000007"/>
        <n v="12696.811199999998"/>
        <n v="19391.5501"/>
        <n v="45086.595219999996"/>
        <n v="278.85311999999999"/>
        <n v="24421.848359999996"/>
        <n v="10065.26988"/>
        <n v="13814.925440000001"/>
        <n v="13539.891150000001"/>
        <n v="12985.618199999999"/>
        <n v="11923.994400000001"/>
        <n v="17698.503240000002"/>
        <n v="15891.92"/>
        <n v="59066.056200000006"/>
        <n v="26958.519419999997"/>
        <n v="11597.65056"/>
        <n v="35635.084480000005"/>
        <n v="23483.321620000002"/>
        <n v="11379.122369999999"/>
        <n v="5599.5724400000008"/>
        <n v="35734.358879999992"/>
        <n v="36365.557499999995"/>
        <n v="16015.544160000001"/>
        <n v="13660.278240000001"/>
        <n v="73589.497799999997"/>
        <n v="14867.190359999997"/>
        <n v="20697.168600000001"/>
        <n v="18697.996800000001"/>
        <n v="30720.11922"/>
        <n v="44766.472129999995"/>
        <n v="27736.667200000004"/>
        <n v="9830.4127899999985"/>
        <n v="3562.7712500000002"/>
        <n v="3551.7390999999998"/>
        <n v="5499.1688399999994"/>
        <n v="11663.26656"/>
        <n v="29072.046299999998"/>
        <n v="51745.059600000001"/>
        <n v="19144.697220000002"/>
        <n v="14660.399949999999"/>
        <n v="18353.975399999999"/>
        <n v="26377.532999999999"/>
        <n v="24777.808799999999"/>
        <n v="5658.8054400000001"/>
        <n v="9079.5053000000007"/>
        <n v="11831.2565"/>
        <n v="18113.986799999999"/>
        <n v="3596.8387000000007"/>
        <n v="15273.329759999999"/>
        <n v="1687.7889600000003"/>
        <n v="10899.599999999999"/>
        <n v="1725.8445600000002"/>
        <n v="10290.80514"/>
        <n v="2175.1027199999999"/>
        <n v="3118.7353400000002"/>
        <n v="22569.275520000003"/>
        <n v="3875.12664"/>
        <n v="41052.309600000001"/>
        <n v="1948.1462000000001"/>
        <n v="4846.6447200000002"/>
        <n v="5749.1559000000007"/>
        <n v="11198.649599999999"/>
        <n v="1853.32482"/>
        <n v="78253.279020000002"/>
        <n v="20866.559999999998"/>
        <n v="38737.627919999999"/>
        <n v="13903.854800000001"/>
        <n v="33475.68"/>
        <n v="8801.0369999999984"/>
        <n v="53340.22"/>
        <n v="41071.932000000001"/>
        <n v="4820.6746499999999"/>
        <n v="15909.390000000001"/>
        <n v="3926.6623999999993"/>
        <n v="24647.104860000003"/>
        <n v="2113.89984"/>
        <n v="1884.6"/>
        <n v="18664.94586"/>
        <n v="989.39469999999983"/>
        <n v="12060.128640000001"/>
        <n v="15339.646139999999"/>
        <n v="5497.3325000000004"/>
        <n v="48582.215760000006"/>
        <n v="20287.469400000002"/>
        <n v="30688.61664"/>
        <n v="19189.38"/>
        <n v="7167.5668799999994"/>
        <n v="10249.7088"/>
        <n v="28077.267750000003"/>
        <n v="27698.182399999998"/>
        <n v="15173.8104"/>
        <n v="1295.1351000000002"/>
        <n v="3365.5755999999997"/>
        <n v="28380.689880000002"/>
        <n v="11761.58805"/>
        <n v="40381.984049999999"/>
        <n v="674.07536000000005"/>
        <n v="116648.7"/>
        <n v="5102.9222399999999"/>
        <n v="35310.318749999999"/>
        <n v="3774.29"/>
        <n v="4845.6680399999996"/>
        <n v="30761.5425"/>
        <n v="733.01119999999992"/>
        <n v="31644.291119999994"/>
        <n v="919.74484000000007"/>
        <n v="21031.899600000001"/>
        <n v="3442.9930199999999"/>
        <n v="82.523070000000004"/>
        <n v="7525.518"/>
        <n v="12231.93996"/>
        <n v="34019.286120000004"/>
        <n v="19353.546419999999"/>
        <n v="12733.240800000001"/>
        <n v="8549.7651600000008"/>
        <n v="13790.9763"/>
        <n v="18794.101480000001"/>
        <n v="7596.9201000000003"/>
        <n v="22462.4519"/>
        <n v="20043.767520000001"/>
        <n v="31378.531800000001"/>
        <n v="24019.121280000003"/>
        <n v="130292.46945000002"/>
        <n v="5660.0544"/>
        <n v="19379.89097"/>
        <n v="9504.8996900000002"/>
        <n v="6964.3963200000007"/>
        <n v="15273.462600000001"/>
        <n v="14894.108099999999"/>
        <n v="70514.200349999999"/>
        <n v="3415.8503999999998"/>
        <n v="4877.1499999999996"/>
        <n v="1414.3000000000002"/>
        <n v="16395.611540000002"/>
        <n v="2603.4792000000002"/>
        <n v="27375.07992"/>
        <n v="19254.791990000002"/>
        <n v="10084.108319999999"/>
        <n v="30683.801159999999"/>
        <n v="14622.761519999998"/>
        <n v="8401.8940200000015"/>
        <n v="2493.1506600000002"/>
        <n v="11877.497099999999"/>
        <n v="10393.181259999999"/>
        <n v="15022.784449999999"/>
        <n v="8953.9748999999993"/>
        <n v="4692.9673199999997"/>
        <n v="1435.9968000000001"/>
        <n v="7506.8196000000007"/>
        <n v="25448.667200000004"/>
        <n v="6953.9874000000009"/>
        <n v="7271.8528400000005"/>
        <n v="28098.68448"/>
        <n v="40152.022679999995"/>
        <n v="11222.701599999999"/>
        <n v="4033.7"/>
        <n v="30771.51"/>
        <n v="50294.07125999999"/>
        <n v="5994.1017599999996"/>
        <n v="6873.6311000000005"/>
        <n v="4884.4215899999999"/>
        <n v="5187.1068000000005"/>
        <n v="50740.254000000001"/>
        <n v="28777.83"/>
        <n v="15014.232"/>
        <n v="7912.9211999999989"/>
        <n v="2146.5795000000003"/>
        <n v="36886.575600000004"/>
        <n v="7653.6"/>
        <n v="53128.40832000001"/>
        <n v="29496.199999999997"/>
        <n v="22342.575059999999"/>
        <n v="8687.4149000000016"/>
        <n v="11813.082300000002"/>
        <n v="15494.3128"/>
        <n v="9059.1936000000005"/>
        <n v="5128.6608000000006"/>
        <n v="21944.3966"/>
        <n v="31548.788040000003"/>
        <n v="10428.334800000001"/>
        <n v="35256.783040000002"/>
        <n v="14063.653600000001"/>
        <n v="14806.33"/>
        <n v="25485.499680000001"/>
        <n v="16141.518779999999"/>
        <n v="3592.1088"/>
        <n v="6286.3488000000007"/>
        <n v="216.49362000000002"/>
        <n v="4778.8646400000007"/>
        <n v="22927.340840000001"/>
        <n v="1119.492"/>
        <n v="10814.319"/>
        <n v="3015.5971999999997"/>
        <n v="10310.463239999999"/>
        <n v="6907.0267199999998"/>
        <n v="5326.0402800000002"/>
        <n v="23507.575000000001"/>
        <n v="1551.6000000000001"/>
        <n v="58944.550499999998"/>
        <n v="7902.0638099999996"/>
        <n v="8897.572979999999"/>
        <n v="2719.64"/>
        <n v="22209.693749999999"/>
        <n v="54978.38955"/>
        <n v="11393.722979999999"/>
        <n v="8408.8302000000003"/>
        <n v="3248.9555599999999"/>
        <n v="26490.27576"/>
        <n v="29597.640160000003"/>
        <n v="9548.8744999999999"/>
        <n v="21446.400000000001"/>
        <n v="19793.834999999999"/>
        <n v="3326.373"/>
        <n v="24114.036959999998"/>
        <n v="6980.1763200000005"/>
        <n v="28925.557119999998"/>
        <n v="5580.6830999999993"/>
        <n v="7960.848"/>
        <n v="109937.11616000001"/>
        <n v="5827.9980499999992"/>
        <n v="8728.9427399999986"/>
        <n v="20722.29348"/>
        <n v="10661.9733"/>
        <n v="4879.8919799999994"/>
        <n v="2183.9422500000001"/>
        <n v="4918.1873199999991"/>
        <n v="32132.177279999996"/>
        <n v="3085.38"/>
        <n v="46878.839200000002"/>
        <n v="62557.004249999998"/>
        <n v="10384.433280000001"/>
        <n v="13537.050000000001"/>
        <n v="-417.04740000000004"/>
        <n v="24128.64272"/>
        <n v="4083.4300000000003"/>
        <n v="4921.3008"/>
        <n v="3448.4956200000001"/>
        <n v="7459.2886500000004"/>
        <n v="3702.9880000000003"/>
        <n v="7467.4049999999997"/>
        <n v="57148.305"/>
        <n v="18416.456609999997"/>
        <n v="3208.8335999999999"/>
        <n v="2667.2333200000003"/>
        <n v="34640.985000000001"/>
        <n v="10511.386199999999"/>
        <n v="486.56036000000006"/>
        <n v="0"/>
        <m/>
      </sharedItems>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7378008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308344791665" createdVersion="7" refreshedVersion="7" minRefreshableVersion="3" recordCount="632" xr:uid="{6814084E-2E13-4240-AC8F-52455897BE4F}">
  <cacheSource type="worksheet">
    <worksheetSource ref="A1:R633" sheet="Salesperson Productivity"/>
  </cacheSource>
  <cacheFields count="18">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65">
      <sharedItems containsSemiMixedTypes="0" containsNonDate="0" containsDate="1" containsString="0" minDate="2023-01-02T00:00:00" maxDate="2025-09-16T00:00:00"/>
    </cacheField>
    <cacheField name="RequiredDate" numFmtId="164">
      <sharedItems containsSemiMixedTypes="0" containsNonDate="0" containsDate="1" containsString="0" minDate="2023-01-05T00:00:00" maxDate="2025-10-06T00:00:00"/>
    </cacheField>
    <cacheField name="Leadtime days" numFmtId="2">
      <sharedItems containsSemiMixedTypes="0" containsString="0" containsNumber="1" containsInteger="1" minValue="0" maxValue="30"/>
    </cacheField>
    <cacheField name="Month" numFmtId="2">
      <sharedItems count="33">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sharedItems>
    </cacheField>
    <cacheField name="CustomerSegment" numFmtId="0">
      <sharedItems/>
    </cacheField>
    <cacheField name="Channel" numFmtId="0">
      <sharedItems/>
    </cacheField>
    <cacheField name="Salesperson" numFmtId="0">
      <sharedItems count="16">
        <s v="C. Otieno"/>
        <s v="J. Njeri"/>
        <s v="I. Johnson"/>
        <s v="G. Dubois"/>
        <s v="L. Okafor"/>
        <s v="B. Chen"/>
        <s v="E. Garcia"/>
        <s v="O. Wang"/>
        <s v="A. Patel"/>
        <s v="F. Müller"/>
        <s v="H. Kim"/>
        <s v="K. Singh"/>
        <s v="M. Rossi"/>
        <s v="N. Brown"/>
        <s v="D. Smith"/>
        <s v="Not Provided"/>
      </sharedItems>
    </cacheField>
    <cacheField name="ProductCategory" numFmtId="0">
      <sharedItems/>
    </cacheField>
    <cacheField name="UnitCost" numFmtId="2">
      <sharedItems containsSemiMixedTypes="0" containsString="0" containsNumber="1" minValue="5.34" maxValue="1495.79"/>
    </cacheField>
    <cacheField name="Price Band" numFmtId="2">
      <sharedItems/>
    </cacheField>
    <cacheField name="UnitPrice" numFmtId="2">
      <sharedItems containsSemiMixedTypes="0" containsString="0" containsNumber="1" minValue="-33.659999999999997" maxValue="3661.07"/>
    </cacheField>
    <cacheField name="DiscountPct" numFmtId="2">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2">
      <sharedItems containsSemiMixedTypes="0" containsString="0" containsNumber="1" minValue="-417.04740000000004" maxValue="130292.46945000002"/>
    </cacheField>
    <cacheField name="Cost of Goods" numFmtId="0">
      <sharedItems containsSemiMixedTypes="0" containsString="0" containsNumber="1" minValue="22" maxValue="83258.290000000008"/>
    </cacheField>
    <cacheField name="Gross Profit" numFmtId="2">
      <sharedItems containsSemiMixedTypes="0" containsString="0" containsNumber="1" minValue="-78255.977680000011" maxValue="127914.81945000002" count="632">
        <n v="-1109.2053599999999"/>
        <n v="-15681.675810000004"/>
        <n v="-12995.025599999999"/>
        <n v="28298.270880000004"/>
        <n v="-1435.3734000000004"/>
        <n v="10347.4"/>
        <n v="6639.5842399999983"/>
        <n v="18666.559799999999"/>
        <n v="9884.322180000001"/>
        <n v="-36013.200030000007"/>
        <n v="6388.8236199999992"/>
        <n v="7859.1500000000015"/>
        <n v="9328.7984000000033"/>
        <n v="-2836.6499999999987"/>
        <n v="9604.56"/>
        <n v="7857.4998600000017"/>
        <n v="54995.625999999989"/>
        <n v="-4766.7790399999994"/>
        <n v="-3247.4383200000011"/>
        <n v="6247.2399000000005"/>
        <n v="-6895.2105600000014"/>
        <n v="13511.023999999998"/>
        <n v="8755.4679999999989"/>
        <n v="3990.9303999999993"/>
        <n v="19953.501"/>
        <n v="-5613.6335999999992"/>
        <n v="2680.8"/>
        <n v="-3899.8725000000004"/>
        <n v="-1506.15"/>
        <n v="1214.5585200000005"/>
        <n v="34942.66173"/>
        <n v="-9650.9367999999995"/>
        <n v="-5874.9092800000008"/>
        <n v="7917.2999999999984"/>
        <n v="4314.3300000000017"/>
        <n v="79671.294139999998"/>
        <n v="6181.0711199999969"/>
        <n v="7161.7491199999986"/>
        <n v="-3142.5842500000017"/>
        <n v="6154.9971300000016"/>
        <n v="4439.564099999996"/>
        <n v="130.85999999999876"/>
        <n v="-13771.983960000001"/>
        <n v="12343.959100000002"/>
        <n v="7984.6624000000047"/>
        <n v="-8695.6007600000012"/>
        <n v="14536.080000000002"/>
        <n v="-27116.010000000006"/>
        <n v="5676.2150399999991"/>
        <n v="-7365.4279599999973"/>
        <n v="6175.3023999999987"/>
        <n v="11236.397200000001"/>
        <n v="2555.3999999999996"/>
        <n v="18584.688460000001"/>
        <n v="13929.127199999997"/>
        <n v="16215.781419999999"/>
        <n v="-8581.9953999999998"/>
        <n v="-2470.4143199999999"/>
        <n v="25039.868000000002"/>
        <n v="-143.8137999999999"/>
        <n v="6037.6268000000055"/>
        <n v="-10386.342000000002"/>
        <n v="3129.3459999999995"/>
        <n v="-59737.337849999996"/>
        <n v="24753.64"/>
        <n v="-7268.9042399999998"/>
        <n v="917.46831999999631"/>
        <n v="2513.1769000000004"/>
        <n v="6697.4896800000006"/>
        <n v="7392.0524999999971"/>
        <n v="-7955.0182800000002"/>
        <n v="16357.319520000001"/>
        <n v="-17593.069649999998"/>
        <n v="21412.170179999994"/>
        <n v="5609.5723500000004"/>
        <n v="-3706.2754399999994"/>
        <n v="3854.5101399999985"/>
        <n v="-15098.292959999999"/>
        <n v="36970.208199999994"/>
        <n v="36.840599999999995"/>
        <n v="-36325.146259999994"/>
        <n v="8390.6366400000006"/>
        <n v="-274.46039999999994"/>
        <n v="3849.7762500000003"/>
        <n v="-6535.6876000000011"/>
        <n v="5316.6090999999997"/>
        <n v="-13627.8298"/>
        <n v="-1272.2639999999999"/>
        <n v="-3094.5871000000006"/>
        <n v="25232.477439999999"/>
        <n v="-4491.8670999999995"/>
        <n v="61068.33"/>
        <n v="-1940.8633600000003"/>
        <n v="-7643.87727"/>
        <n v="3816.9335999999994"/>
        <n v="28168.542359999999"/>
        <n v="8458.7080800000003"/>
        <n v="3722.760000000002"/>
        <n v="-4046.8058400000004"/>
        <n v="-12759.763680000002"/>
        <n v="10117.89"/>
        <n v="-6044.2052000000003"/>
        <n v="-3506.86"/>
        <n v="21495.864000000001"/>
        <n v="-2757.5818499999996"/>
        <n v="-9834.5882399999991"/>
        <n v="21982.399139999998"/>
        <n v="-8011.3705199999986"/>
        <n v="4905.7000000000007"/>
        <n v="2997.5275399999996"/>
        <n v="29182.14"/>
        <n v="-13575.175240000002"/>
        <n v="14685.958080000002"/>
        <n v="-740.22409999999991"/>
        <n v="11387.999999999998"/>
        <n v="-5211.959679999999"/>
        <n v="22270.352579999999"/>
        <n v="-4479.923439999995"/>
        <n v="5882.3804"/>
        <n v="3819.4732799999992"/>
        <n v="-3731.7276900000015"/>
        <n v="-3704.0777100000005"/>
        <n v="-9736.6156800000026"/>
        <n v="7284.4268799999973"/>
        <n v="2716.1775199999997"/>
        <n v="2782.6988000000019"/>
        <n v="-10658.815699999996"/>
        <n v="39546.76511"/>
        <n v="8457.4909800000005"/>
        <n v="997.3749600000001"/>
        <n v="7678.3063200000015"/>
        <n v="9468.0093199999992"/>
        <n v="9678.4063999999998"/>
        <n v="14161.398879999999"/>
        <n v="-7201.4259199999997"/>
        <n v="200.65838000000076"/>
        <n v="-483.6165600000013"/>
        <n v="-1237.0575000000003"/>
        <n v="2488.6270200000035"/>
        <n v="33511.065319999994"/>
        <n v="-49232.730800000005"/>
        <n v="11958.0327"/>
        <n v="-1762.9398800000054"/>
        <n v="-3699.0882000000001"/>
        <n v="15123.319680000002"/>
        <n v="36016.002679999998"/>
        <n v="-5298.9798000000001"/>
        <n v="22376.199999999997"/>
        <n v="-4354.4789999999994"/>
        <n v="34366.049999999996"/>
        <n v="14395.79904"/>
        <n v="-17518.032899999998"/>
        <n v="-4131.1262399999987"/>
        <n v="-9174.72768"/>
        <n v="-8630.5928000000004"/>
        <n v="28977.16733"/>
        <n v="6110.848"/>
        <n v="6765.0337499999987"/>
        <n v="2205.705179999999"/>
        <n v="-6905.0786000000026"/>
        <n v="28034.583500000001"/>
        <n v="2420.0092000000004"/>
        <n v="6634.4959800000015"/>
        <n v="43857.063000000002"/>
        <n v="2925.3136000000004"/>
        <n v="-14028.267"/>
        <n v="17599.814359999997"/>
        <n v="-8027.5044600000001"/>
        <n v="-3673.9562999999998"/>
        <n v="6684.2821999999996"/>
        <n v="5848.6553600000007"/>
        <n v="-536.65179999999964"/>
        <n v="13895.713699999998"/>
        <n v="17625.930899999999"/>
        <n v="5450.2836800000005"/>
        <n v="-36032.177599999995"/>
        <n v="-533.66975999999977"/>
        <n v="16023.602659999999"/>
        <n v="28711.927200000002"/>
        <n v="21718.386559999999"/>
        <n v="571.52160000000003"/>
        <n v="25375.421600000009"/>
        <n v="3423.5921999999996"/>
        <n v="7465.2288900000003"/>
        <n v="22571.601310000005"/>
        <n v="-7270.4880000000003"/>
        <n v="2751.5446800000004"/>
        <n v="20056.053750000003"/>
        <n v="-9097.231920000002"/>
        <n v="-5330.8362800000014"/>
        <n v="-291.04484999999841"/>
        <n v="-1323.4423999999995"/>
        <n v="-14837.880959999999"/>
        <n v="-698.86272000000008"/>
        <n v="11143.385759999999"/>
        <n v="-22551.59115"/>
        <n v="-17029.515400000004"/>
        <n v="31840.74319999999"/>
        <n v="-1799.5963999999994"/>
        <n v="20420.043749999997"/>
        <n v="30791.761740000002"/>
        <n v="6064.4049999999988"/>
        <n v="22528.479999999996"/>
        <n v="-7760.8969700000016"/>
        <n v="-11640.8604"/>
        <n v="-3004.8305100000016"/>
        <n v="6510.1492600000001"/>
        <n v="-8899.1962800000001"/>
        <n v="199.08668999999827"/>
        <n v="329.89199999999983"/>
        <n v="3615.7903200000001"/>
        <n v="35789.563799999996"/>
        <n v="-2425.62"/>
        <n v="-10680.75"/>
        <n v="1475.8641600000001"/>
        <n v="50262.258600000001"/>
        <n v="3533.9637200000006"/>
        <n v="-417.41632000000004"/>
        <n v="6923.51764"/>
        <n v="-11294.683279999999"/>
        <n v="16496.567999999999"/>
        <n v="-569.73480000000006"/>
        <n v="6740.2300000000014"/>
        <n v="8889.7046399999999"/>
        <n v="-1878.7605000000021"/>
        <n v="-3021.1015000000016"/>
        <n v="-8372.5185700000002"/>
        <n v="1810.7119200000006"/>
        <n v="-3480.3230800000019"/>
        <n v="3281.9384000000009"/>
        <n v="34058.761600000005"/>
        <n v="1890.0250599999999"/>
        <n v="4105.1779999999999"/>
        <n v="4026.67056"/>
        <n v="5474.8257999999987"/>
        <n v="15128.851400000003"/>
        <n v="-10233.879360000003"/>
        <n v="-78255.977680000011"/>
        <n v="8282.2965000000004"/>
        <n v="10897.707199999999"/>
        <n v="15225.152480000002"/>
        <n v="10485.4948"/>
        <n v="-17538.910400000001"/>
        <n v="4956.1886400000003"/>
        <n v="-11805.331999999999"/>
        <n v="8812.9576099999995"/>
        <n v="-1753.5001200000006"/>
        <n v="26633.717099999998"/>
        <n v="-975.51760000000013"/>
        <n v="2089.0380000000005"/>
        <n v="20480.025719999998"/>
        <n v="5523.8983200000021"/>
        <n v="32375.210000000006"/>
        <n v="16250.184000000001"/>
        <n v="15744.578130000002"/>
        <n v="29474.17379999999"/>
        <n v="-12404.008530000001"/>
        <n v="1465.6490799999992"/>
        <n v="7205.8904000000002"/>
        <n v="-1428.2656000000006"/>
        <n v="-13371.238079999999"/>
        <n v="7615.3764399999982"/>
        <n v="6652.6368000000011"/>
        <n v="5068.9092599999994"/>
        <n v="-8588.4083800000044"/>
        <n v="-18911.828840000002"/>
        <n v="11590.04712000001"/>
        <n v="-6420.8880000000008"/>
        <n v="7683.3399999999983"/>
        <n v="20672.062200000004"/>
        <n v="4228.4325000000008"/>
        <n v="1539.8524800000005"/>
        <n v="-28612.544239999999"/>
        <n v="-11996.147200000003"/>
        <n v="19864.024949999999"/>
        <n v="-1406.7972"/>
        <n v="19782.940000000002"/>
        <n v="3574.4332799999997"/>
        <n v="-11915.7556"/>
        <n v="-3847.8908000000001"/>
        <n v="6067.5926399999989"/>
        <n v="-5105.5919599999997"/>
        <n v="798.59999999999991"/>
        <n v="728.06088000000091"/>
        <n v="19717.829400000002"/>
        <n v="-3569.2061999999996"/>
        <n v="9901.7164400000001"/>
        <n v="2040.722819999999"/>
        <n v="-1898.9409600000017"/>
        <n v="-8733.8960799999986"/>
        <n v="-2007.5911199999973"/>
        <n v="10123.200999999999"/>
        <n v="-13469.570100000001"/>
        <n v="13489.071300000001"/>
        <n v="12979.187999999998"/>
        <n v="-6842.2090800000005"/>
        <n v="26055.55733"/>
        <n v="-1949.0814"/>
        <n v="39418.476119999999"/>
        <n v="7482.6399999999994"/>
        <n v="-5283.3786400000008"/>
        <n v="4462.7336999999998"/>
        <n v="-9677.1452800000006"/>
        <n v="17125.896400000001"/>
        <n v="-282.97440000000006"/>
        <n v="6124.6003199999996"/>
        <n v="17749.824000000008"/>
        <n v="4545.7292799999996"/>
        <n v="23517.018840000001"/>
        <n v="29473.727360000001"/>
        <n v="-3351.8784000000014"/>
        <n v="19326.613599999997"/>
        <n v="-1028.2968000000001"/>
        <n v="13213.530000000002"/>
        <n v="6904.3053799999989"/>
        <n v="-4097.6519999999991"/>
        <n v="28045.849920000001"/>
        <n v="12703.061250000002"/>
        <n v="1094.1083399999998"/>
        <n v="78837.970639999985"/>
        <n v="9076.3643999999986"/>
        <n v="-6364.1775999999982"/>
        <n v="6704.9228400000029"/>
        <n v="23583.8616"/>
        <n v="-6284.4442100000015"/>
        <n v="3686.7577200000014"/>
        <n v="4332.4910399999999"/>
        <n v="2985.139200000001"/>
        <n v="-2996.1327999999994"/>
        <n v="-3437.9619999999977"/>
        <n v="26161.002600000003"/>
        <n v="16252.88522"/>
        <n v="-1951.0688"/>
        <n v="795.99260000000049"/>
        <n v="4631.88825"/>
        <n v="-6659.3990399999993"/>
        <n v="22347.226879999995"/>
        <n v="9595.1989000000031"/>
        <n v="712.99079999999958"/>
        <n v="6369.9451199999967"/>
        <n v="15696.073200000004"/>
        <n v="35679.254160000004"/>
        <n v="25057.890000000003"/>
        <n v="-5959.9038599999994"/>
        <n v="8039.3377400000008"/>
        <n v="37.404999999999745"/>
        <n v="18187.667860000009"/>
        <n v="2594.85"/>
        <n v="32641.845759999997"/>
        <n v="520.96487999999954"/>
        <n v="16244.588360000002"/>
        <n v="9492.6673999999985"/>
        <n v="720.63694000000032"/>
        <n v="6619.7964000000029"/>
        <n v="4168.9031999999997"/>
        <n v="5726.2337999999982"/>
        <n v="4535.6399999999994"/>
        <n v="-3123.9270000000033"/>
        <n v="649.65000000000055"/>
        <n v="751.96576000000096"/>
        <n v="-10137.748800000003"/>
        <n v="12282.7601"/>
        <n v="5876.3752199999944"/>
        <n v="-8988.1768800000009"/>
        <n v="12911.268359999995"/>
        <n v="-8932.8301200000024"/>
        <n v="3453.4854400000004"/>
        <n v="5117.4211500000001"/>
        <n v="6587.8181999999997"/>
        <n v="7837.5944000000018"/>
        <n v="14742.003240000002"/>
        <n v="2532.5300000000007"/>
        <n v="42498.006200000003"/>
        <n v="22026.139419999996"/>
        <n v="-6213.109440000002"/>
        <n v="2014.8644800000038"/>
        <n v="-3526.078379999999"/>
        <n v="-871.57763000000159"/>
        <n v="2574.662440000001"/>
        <n v="20661.338879999992"/>
        <n v="26909.057499999995"/>
        <n v="4343.3241600000001"/>
        <n v="-18317.401760000001"/>
        <n v="26622.767800000001"/>
        <n v="-2077.1096400000024"/>
        <n v="-15300.031400000003"/>
        <n v="12935.836800000001"/>
        <n v="14424.25922"/>
        <n v="27437.352129999996"/>
        <n v="27512.487200000003"/>
        <n v="-6533.0772100000013"/>
        <n v="2412.9712500000005"/>
        <n v="-36069.310899999997"/>
        <n v="-4737.5211600000011"/>
        <n v="1300.1465599999992"/>
        <n v="16653.6463"/>
        <n v="23791.659599999999"/>
        <n v="-1297.2927799999998"/>
        <n v="8108.8999499999991"/>
        <n v="7786.4453999999987"/>
        <n v="10710.973"/>
        <n v="8614.5087999999978"/>
        <n v="-10667.59456"/>
        <n v="6572.0053000000007"/>
        <n v="2090.1564999999991"/>
        <n v="10229.9568"/>
        <n v="-15461.921299999998"/>
        <n v="-10599.690240000002"/>
        <n v="-3544.4710399999999"/>
        <n v="-6081"/>
        <n v="-2003.43544"/>
        <n v="2990.5451400000011"/>
        <n v="790.74271999999996"/>
        <n v="-5259.0746599999993"/>
        <n v="8783.5255200000029"/>
        <n v="-5138.353360000001"/>
        <n v="27428.4696"/>
        <n v="-4857.4438"/>
        <n v="4363.1047200000003"/>
        <n v="-1824.7940999999992"/>
        <n v="176.74959999999737"/>
        <n v="-5378.2351799999997"/>
        <n v="23094.679020000003"/>
        <n v="-14867.280000000006"/>
        <n v="3269.4679200000028"/>
        <n v="5622.3348000000005"/>
        <n v="6782.5800000000017"/>
        <n v="-11971.503000000002"/>
        <n v="42377.26"/>
        <n v="18608.412"/>
        <n v="-1777.5653500000008"/>
        <n v="-9318.1199999999972"/>
        <n v="84.762399999999161"/>
        <n v="17805.584860000003"/>
        <n v="-248.72015999999985"/>
        <n v="-21339"/>
        <n v="15889.645860000001"/>
        <n v="-3259.8852999999999"/>
        <n v="-8606.2713600000006"/>
        <n v="13223.746139999999"/>
        <n v="-5278.1574999999993"/>
        <n v="38644.755760000007"/>
        <n v="5304.8094000000019"/>
        <n v="27807.336640000001"/>
        <n v="7467.3899999999994"/>
        <n v="6179.2868799999997"/>
        <n v="5246.7488000000003"/>
        <n v="23212.267750000003"/>
        <n v="-28.31760000000213"/>
        <n v="1740.7104000000018"/>
        <n v="-5333.7948999999999"/>
        <n v="-5365.0243999999984"/>
        <n v="17566.409879999999"/>
        <n v="4154.1780500000004"/>
        <n v="28172.434049999996"/>
        <n v="-8499.6846399999995"/>
        <n v="103736.64"/>
        <n v="-3468.4377600000007"/>
        <n v="31640.778749999998"/>
        <n v="-12658.23"/>
        <n v="3574.3280399999994"/>
        <n v="30066.412499999999"/>
        <n v="-2957.7887999999998"/>
        <n v="30165.671119999995"/>
        <n v="-181.97515999999996"/>
        <n v="-32398.500400000001"/>
        <n v="1989.1330199999998"/>
        <n v="-9775.5769300000011"/>
        <n v="-10045.782000000003"/>
        <n v="950.5699599999989"/>
        <n v="28835.166120000005"/>
        <n v="1310.966419999997"/>
        <n v="4964.9208000000017"/>
        <n v="3540.1851600000009"/>
        <n v="2928.5162999999993"/>
        <n v="3603.3214800000005"/>
        <n v="6543.1201000000001"/>
        <n v="15849.831900000001"/>
        <n v="-1775.8624799999998"/>
        <n v="13109.4018"/>
        <n v="4514.1612800000039"/>
        <n v="127914.81945000002"/>
        <n v="-13638.345599999997"/>
        <n v="15521.53097"/>
        <n v="-7492.8603099999982"/>
        <n v="1043.2763200000009"/>
        <n v="12107.1126"/>
        <n v="-228.29190000000017"/>
        <n v="67294.620349999997"/>
        <n v="-2450.1496000000002"/>
        <n v="3941.0499999999997"/>
        <n v="-1561.5999999999995"/>
        <n v="6538.6215400000019"/>
        <n v="2550.0792000000001"/>
        <n v="18539.699919999999"/>
        <n v="16785.261990000003"/>
        <n v="-5430.2116800000003"/>
        <n v="90.641160000002856"/>
        <n v="10548.281519999999"/>
        <n v="-188.24597999999787"/>
        <n v="-7964.9893399999992"/>
        <n v="-450.20290000000205"/>
        <n v="5002.4112599999989"/>
        <n v="9357.6344499999996"/>
        <n v="-16.595100000000457"/>
        <n v="-10319.69268"/>
        <n v="-24667.283199999998"/>
        <n v="-483.80039999999917"/>
        <n v="23178.467200000003"/>
        <n v="2436.9374000000007"/>
        <n v="-1444.5471599999992"/>
        <n v="25398.564480000001"/>
        <n v="-5700.1573200000057"/>
        <n v="7201.8515999999981"/>
        <n v="-11677.93"/>
        <n v="23747.57"/>
        <n v="32767.561259999991"/>
        <n v="5462.9017599999997"/>
        <n v="358.66110000000026"/>
        <n v="3900.5115900000001"/>
        <n v="-1187.1732000000002"/>
        <n v="21158.574000000001"/>
        <n v="11564.86"/>
        <n v="7314.5820000000003"/>
        <n v="3667.4411999999993"/>
        <n v="-3070.3205000000003"/>
        <n v="34982.295600000005"/>
        <n v="-1011.119999999999"/>
        <n v="5987.548320000009"/>
        <n v="15499.799999999996"/>
        <n v="13908.135059999999"/>
        <n v="8102.5649000000012"/>
        <n v="11277.492300000002"/>
        <n v="8730.612799999999"/>
        <n v="-13962.006399999997"/>
        <n v="-3578.7791999999999"/>
        <n v="15231.3966"/>
        <n v="4423.0880400000024"/>
        <n v="1239.4848000000002"/>
        <n v="-1280.8169599999965"/>
        <n v="9137.4536000000007"/>
        <n v="5995.2899999999991"/>
        <n v="3561.0196800000012"/>
        <n v="10473.858779999999"/>
        <n v="-2850.8311999999996"/>
        <n v="-4153.2511999999997"/>
        <n v="-2429.9863799999998"/>
        <n v="-5613.3753599999991"/>
        <n v="-2593.2391599999974"/>
        <n v="-7316.268"/>
        <n v="-4714.2810000000009"/>
        <n v="2062.5571999999997"/>
        <n v="-2572.4067600000017"/>
        <n v="-9162.2132799999999"/>
        <n v="-8628.2797199999986"/>
        <n v="8050.1850000000013"/>
        <n v="-24427.440000000002"/>
        <n v="35090.050499999998"/>
        <n v="1503.2438099999999"/>
        <n v="1180.7929799999993"/>
        <n v="-17338.36"/>
        <n v="15509.793749999997"/>
        <n v="32254.769550000001"/>
        <n v="7367.4229799999994"/>
        <n v="-384.31980000000112"/>
        <n v="1147.5955599999998"/>
        <n v="10454.51576"/>
        <n v="2684.1901600000019"/>
        <n v="-3042.6854999999996"/>
        <n v="4561.8000000000029"/>
        <n v="18127.035"/>
        <n v="-20.476999999999862"/>
        <n v="23661.266959999997"/>
        <n v="-7240.9436800000003"/>
        <n v="14371.857119999997"/>
        <n v="5173.2330999999995"/>
        <n v="-2519.0519999999997"/>
        <n v="102395.77616000001"/>
        <n v="569.0380499999992"/>
        <n v="6425.5227399999985"/>
        <n v="14093.483479999999"/>
        <n v="8080.7732999999998"/>
        <n v="3750.2119799999991"/>
        <n v="-26547.62775"/>
        <n v="2345.3473199999989"/>
        <n v="17024.567279999996"/>
        <n v="2891.88"/>
        <n v="27154.359200000003"/>
        <n v="28378.754249999998"/>
        <n v="4220.8732800000016"/>
        <n v="1678.9500000000025"/>
        <n v="-10375.547399999999"/>
        <n v="-2285.01728"/>
        <n v="-2179.17"/>
        <n v="776.51080000000002"/>
        <n v="-3332.3743799999997"/>
        <n v="1791.9386500000001"/>
        <n v="2207.8880000000004"/>
        <n v="4332.5249999999996"/>
        <n v="53015.805"/>
        <n v="-307.09339000000182"/>
        <n v="-6150.2363999999998"/>
        <n v="1834.9133200000001"/>
        <n v="15186.524999999998"/>
        <n v="7671.7661999999982"/>
        <n v="-8474.7296400000014"/>
        <n v="-13301.42"/>
        <n v="-13196.43"/>
        <n v="-2006.6200000000001"/>
        <n v="-2085.25"/>
        <n v="-8793.2000000000007"/>
        <n v="-10002.019999999999"/>
        <n v="-8478.18"/>
        <n v="-34412.299999999996"/>
        <n v="-11348.08"/>
        <n v="-7905.48"/>
        <n v="-4693.92"/>
        <n v="-20240.36"/>
        <n v="-24180.78"/>
        <n v="-35118.1"/>
        <n v="-753.09"/>
        <n v="-1180.76"/>
        <n v="-32141.760000000002"/>
        <n v="-8674.9599999999991"/>
        <n v="-26571.22"/>
        <n v="-18886.559999999998"/>
        <n v="-22895.77"/>
        <n v="-2486.44"/>
        <n v="-18561.46"/>
        <n v="-19295.82"/>
        <n v="-6456.88"/>
        <n v="-363.02"/>
      </sharedItems>
    </cacheField>
    <cacheField name="Revenue Per Order" numFmtId="0">
      <sharedItems containsNonDate="0" containsString="0" containsBlank="1" count="1">
        <m/>
      </sharedItems>
    </cacheField>
  </cacheFields>
  <extLst>
    <ext xmlns:x14="http://schemas.microsoft.com/office/spreadsheetml/2009/9/main" uri="{725AE2AE-9491-48be-B2B4-4EB974FC3084}">
      <x14:pivotCacheDefinition pivotCacheId="134510048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523065972222" createdVersion="7" refreshedVersion="7" minRefreshableVersion="3" recordCount="633" xr:uid="{4FA3ECB6-859D-4F38-A5EE-AD8F0FD59180}">
  <cacheSource type="worksheet">
    <worksheetSource ref="A1:W1048576" sheet="Service Level Data"/>
  </cacheSource>
  <cacheFields count="23">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65">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2">
      <sharedItems containsString="0" containsBlank="1" containsNumber="1" containsInteger="1" minValue="0" maxValue="30" count="32">
        <n v="26"/>
        <n v="1"/>
        <n v="25"/>
        <n v="4"/>
        <n v="3"/>
        <n v="18"/>
        <n v="2"/>
        <n v="19"/>
        <n v="12"/>
        <n v="20"/>
        <n v="24"/>
        <n v="29"/>
        <n v="8"/>
        <n v="16"/>
        <n v="17"/>
        <n v="15"/>
        <n v="5"/>
        <n v="14"/>
        <n v="0"/>
        <n v="13"/>
        <n v="7"/>
        <n v="23"/>
        <n v="22"/>
        <n v="11"/>
        <n v="10"/>
        <n v="9"/>
        <n v="30"/>
        <n v="28"/>
        <n v="21"/>
        <n v="27"/>
        <n v="6"/>
        <m/>
      </sharedItems>
    </cacheField>
    <cacheField name="Month" numFmtId="2">
      <sharedItems containsBlank="1"/>
    </cacheField>
    <cacheField name="Quarter" numFmtId="2">
      <sharedItems containsBlank="1"/>
    </cacheField>
    <cacheField name="Region" numFmtId="0">
      <sharedItems containsBlank="1"/>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Components"/>
        <s v="Printers"/>
        <s v="Networking"/>
        <s v="Phones"/>
        <s v="Laptops"/>
        <s v="Monitors"/>
        <s v="Accessories"/>
        <m/>
      </sharedItems>
    </cacheField>
    <cacheField name="SKU" numFmtId="0">
      <sharedItems containsBlank="1"/>
    </cacheField>
    <cacheField name="UnitCost" numFmtId="2">
      <sharedItems containsString="0" containsBlank="1" containsNumber="1" minValue="5.34" maxValue="1495.79"/>
    </cacheField>
    <cacheField name="Price Band" numFmtId="2">
      <sharedItems containsBlank="1"/>
    </cacheField>
    <cacheField name="UnitPrice" numFmtId="2">
      <sharedItems containsString="0" containsBlank="1" containsNumber="1" minValue="-33.659999999999997" maxValue="3661.07"/>
    </cacheField>
    <cacheField name="DiscountPct" numFmtId="2">
      <sharedItems containsString="0" containsBlank="1" containsNumber="1" minValue="0" maxValue="0.56499999999999995"/>
    </cacheField>
    <cacheField name="Quantity" numFmtId="2">
      <sharedItems containsString="0" containsBlank="1" containsNumber="1" containsInteger="1" minValue="2" maxValue="61"/>
    </cacheField>
    <cacheField name="Gross Revenue" numFmtId="0">
      <sharedItems containsString="0" containsBlank="1" containsNumber="1" minValue="-417.04740000000004" maxValue="130292.46945000002"/>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124802611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674309259259" createdVersion="7" refreshedVersion="7" minRefreshableVersion="3" recordCount="633" xr:uid="{E9C3BA29-CB8C-4004-9B9D-0008E177C3C8}">
  <cacheSource type="worksheet">
    <worksheetSource ref="A1:W1048576" sheet="Channel Mix Data"/>
  </cacheSource>
  <cacheFields count="23">
    <cacheField name="OrderID" numFmtId="0">
      <sharedItems containsBlank="1"/>
    </cacheField>
    <cacheField name="OrderDate" numFmtId="165">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2">
      <sharedItems containsString="0" containsBlank="1" containsNumber="1" containsInteger="1" minValue="0" maxValue="30"/>
    </cacheField>
    <cacheField name="Month" numFmtId="2">
      <sharedItems containsBlank="1" count="34">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m/>
      </sharedItems>
    </cacheField>
    <cacheField name="Quarter" numFmtId="2">
      <sharedItems containsBlank="1"/>
    </cacheField>
    <cacheField name="Region" numFmtId="0">
      <sharedItems containsBlank="1" count="5">
        <s v="Africa"/>
        <s v="Asia"/>
        <s v="Americas"/>
        <s v="Europe"/>
        <m/>
      </sharedItems>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ount="7">
        <s v="Retail"/>
        <s v="Online"/>
        <s v="Marketplace"/>
        <s v="Distributor"/>
        <s v="Direct"/>
        <s v="Not Provided"/>
        <m/>
      </sharedItems>
    </cacheField>
    <cacheField name="Salesperson" numFmtId="0">
      <sharedItems containsBlank="1"/>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Price Band" numFmtId="2">
      <sharedItems containsBlank="1"/>
    </cacheField>
    <cacheField name="UnitPrice" numFmtId="2">
      <sharedItems containsString="0" containsBlank="1" containsNumber="1" minValue="-33.659999999999997" maxValue="3661.07"/>
    </cacheField>
    <cacheField name="DiscountPct" numFmtId="2">
      <sharedItems containsString="0" containsBlank="1" containsNumber="1" minValue="0" maxValue="0.56499999999999995"/>
    </cacheField>
    <cacheField name="Quantity" numFmtId="2">
      <sharedItems containsString="0" containsBlank="1" containsNumber="1" containsInteger="1" minValue="2" maxValue="61"/>
    </cacheField>
    <cacheField name="Gross Revenue" numFmtId="0">
      <sharedItems containsString="0" containsBlank="1" containsNumber="1" minValue="-417.04740000000004" maxValue="130292.46945000002"/>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27848942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8.290224074073" createdVersion="7" refreshedVersion="7" minRefreshableVersion="3" recordCount="633" xr:uid="{3FE1F609-CC6C-4401-9612-BDD2FC996A75}">
  <cacheSource type="worksheet">
    <worksheetSource ref="A1:X1048576" sheet="Price Compliance Data"/>
  </cacheSource>
  <cacheFields count="23">
    <cacheField name="OrderID" numFmtId="0">
      <sharedItems containsBlank="1"/>
    </cacheField>
    <cacheField name="OrderDate" numFmtId="165">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time days" numFmtId="2">
      <sharedItems containsString="0" containsBlank="1" containsNumber="1" containsInteger="1" minValue="0" maxValue="30"/>
    </cacheField>
    <cacheField name="Month" numFmtId="2">
      <sharedItems containsBlank="1"/>
    </cacheField>
    <cacheField name="Quarter" numFmtId="2">
      <sharedItems containsBlank="1"/>
    </cacheField>
    <cacheField name="Region" numFmtId="0">
      <sharedItems containsBlank="1" count="5">
        <s v="Africa"/>
        <s v="Asia"/>
        <s v="Americas"/>
        <s v="Europe"/>
        <m/>
      </sharedItems>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ount="17">
        <s v="C. Otieno"/>
        <s v="J. Njeri"/>
        <s v="I. Johnson"/>
        <s v="G. Dubois"/>
        <s v="L. Okafor"/>
        <s v="B. Chen"/>
        <s v="E. Garcia"/>
        <s v="O. Wang"/>
        <s v="A. Patel"/>
        <s v="F. Müller"/>
        <s v="H. Kim"/>
        <s v="K. Singh"/>
        <s v="M. Rossi"/>
        <s v="N. Brown"/>
        <s v="D. Smith"/>
        <s v="Not Provided"/>
        <m/>
      </sharedItems>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Price Band" numFmtId="2">
      <sharedItems containsBlank="1"/>
    </cacheField>
    <cacheField name="UnitPrice" numFmtId="2">
      <sharedItems containsString="0" containsBlank="1" containsNumber="1" minValue="-33.659999999999997" maxValue="3661.07"/>
    </cacheField>
    <cacheField name="DiscountPct" numFmtId="2">
      <sharedItems containsString="0" containsBlank="1" containsNumber="1" minValue="0" maxValue="0.56499999999999995" count="229">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18"/>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34300000000000003"/>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317"/>
        <n v="0.156"/>
        <n v="0.20699999999999999"/>
        <n v="5.8999999999999997E-2"/>
        <n v="0.08"/>
        <n v="0.1"/>
        <n v="0.17599999999999999"/>
        <n v="8.7999999999999995E-2"/>
        <n v="0.09"/>
        <n v="0.14099999999999999"/>
        <n v="1.4E-2"/>
        <n v="7.5999999999999998E-2"/>
        <n v="0.10299999999999999"/>
        <n v="0.121"/>
        <n v="4.2000000000000003E-2"/>
        <n v="0.34599999999999997"/>
        <n v="6.5000000000000002E-2"/>
        <n v="0.23899999999999999"/>
        <n v="0.27"/>
        <n v="2.8000000000000001E-2"/>
        <n v="0.14499999999999999"/>
        <n v="0.158"/>
        <n v="0.21"/>
        <n v="0.24"/>
        <n v="0.29899999999999999"/>
        <n v="0.56499999999999995"/>
        <n v="0.28199999999999997"/>
        <n v="0.26100000000000001"/>
        <n v="3.9E-2"/>
        <n v="0.17"/>
        <n v="0.27200000000000002"/>
        <n v="0.13200000000000001"/>
        <n v="0.106"/>
        <n v="5.8000000000000003E-2"/>
        <n v="0.25600000000000001"/>
        <n v="3.2000000000000001E-2"/>
        <n v="0.16300000000000001"/>
        <n v="0.19"/>
        <n v="0.35699999999999998"/>
        <n v="9.8000000000000004E-2"/>
        <n v="8.3000000000000004E-2"/>
        <n v="6.4000000000000001E-2"/>
        <n v="7.6999999999999999E-2"/>
        <n v="0.217"/>
        <n v="0.22600000000000001"/>
        <n v="1.9E-2"/>
        <n v="0.314"/>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m/>
      </sharedItems>
    </cacheField>
    <cacheField name="Quantity" numFmtId="2">
      <sharedItems containsString="0" containsBlank="1" containsNumber="1" containsInteger="1" minValue="2" maxValue="61"/>
    </cacheField>
    <cacheField name="Gross Revenue" numFmtId="0">
      <sharedItems containsString="0" containsBlank="1" containsNumber="1" minValue="-417.04740000000004" maxValue="130292.46945000002"/>
    </cacheField>
    <cacheField name="Cost of Goods" numFmtId="0">
      <sharedItems containsString="0" containsBlank="1" containsNumber="1" minValue="22" maxValue="83258.290000000008"/>
    </cacheField>
    <cacheField name="Gross Profit" numFmtId="0">
      <sharedItems containsString="0" containsBlank="1" containsNumber="1" minValue="-78255.977680000011" maxValue="127914.81945000002"/>
    </cacheField>
    <cacheField name="Margin Percentage" numFmtId="0">
      <sharedItems containsString="0" containsBlank="1" containsNumber="1" minValue="-368.61661013464897" maxValue="304.25315081660227"/>
    </cacheField>
  </cacheFields>
  <extLst>
    <ext xmlns:x14="http://schemas.microsoft.com/office/spreadsheetml/2009/9/main" uri="{725AE2AE-9491-48be-B2B4-4EB974FC3084}">
      <x14:pivotCacheDefinition pivotCacheId="185831714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529763310187" createdVersion="7" refreshedVersion="7" minRefreshableVersion="3" recordCount="7" xr:uid="{32FA1E27-78D5-4893-B237-229D6B106D56}">
  <cacheSource type="worksheet">
    <worksheetSource ref="D3:I10" sheet="Pivot ABC Data"/>
  </cacheSource>
  <cacheFields count="6">
    <cacheField name="Product Category" numFmtId="0">
      <sharedItems count="7">
        <s v="Printers"/>
        <s v="Phones"/>
        <s v="Monitors"/>
        <s v="Networking"/>
        <s v="Laptops"/>
        <s v="Accessories"/>
        <s v="Components"/>
      </sharedItems>
    </cacheField>
    <cacheField name="Gross Revenue" numFmtId="0">
      <sharedItems containsSemiMixedTypes="0" containsString="0" containsNumber="1" minValue="1248766.6529700004" maxValue="1926575.4344300001"/>
    </cacheField>
    <cacheField name="Revenue Contribution %" numFmtId="10">
      <sharedItems containsSemiMixedTypes="0" containsString="0" containsNumber="1" minValue="0.11925400645604425" maxValue="0.18398300334905798"/>
    </cacheField>
    <cacheField name="Frequency" numFmtId="2">
      <sharedItems containsSemiMixedTypes="0" containsString="0" containsNumber="1" minValue="1926575.4344300001" maxValue="10471485.949030001"/>
    </cacheField>
    <cacheField name="Cummulative %" numFmtId="10">
      <sharedItems containsSemiMixedTypes="0" containsString="0" containsNumber="1" minValue="0.18398300334905798" maxValue="1"/>
    </cacheField>
    <cacheField name="Class" numFmtId="0">
      <sharedItems count="3">
        <s v="A"/>
        <s v="B"/>
        <s v="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d v="2024-03-11T00:00:00"/>
    <x v="0"/>
    <x v="0"/>
    <d v="2024-03-11T00:00:00"/>
    <s v="Q1-2024"/>
    <s v="Africa"/>
    <x v="0"/>
    <s v="Kisumu"/>
    <s v="Components"/>
    <s v="High"/>
    <n v="608.9"/>
    <n v="608.9"/>
    <n v="0.112"/>
    <n v="9"/>
    <n v="1403.9546399999999"/>
  </r>
  <r>
    <d v="2024-03-12T00:00:00"/>
    <x v="1"/>
    <x v="0"/>
    <d v="2024-03-12T00:00:00"/>
    <s v="Q1-2024"/>
    <s v="Africa"/>
    <x v="1"/>
    <s v="Port Harcourt"/>
    <s v="Printers"/>
    <s v="High"/>
    <n v="759.33"/>
    <n v="759.33"/>
    <n v="0.23699999999999999"/>
    <n v="31"/>
    <n v="17934.41419"/>
  </r>
  <r>
    <d v="2024-03-13T00:00:00"/>
    <x v="2"/>
    <x v="0"/>
    <d v="2024-03-13T00:00:00"/>
    <s v="Q1-2024"/>
    <s v="Africa"/>
    <x v="0"/>
    <s v="Nairobi"/>
    <s v="Networking"/>
    <s v="Low"/>
    <n v="-30.66"/>
    <n v="-30.66"/>
    <n v="0.13100000000000001"/>
    <n v="12"/>
    <n v="4534.0944"/>
  </r>
  <r>
    <d v="2024-03-14T00:00:00"/>
    <x v="3"/>
    <x v="0"/>
    <d v="2024-03-14T00:00:00"/>
    <s v="Q1-2024"/>
    <s v="Africa"/>
    <x v="1"/>
    <s v="Lagos"/>
    <s v="Phones"/>
    <s v="High"/>
    <n v="255.94"/>
    <n v="255.94"/>
    <n v="7.1999999999999995E-2"/>
    <n v="22"/>
    <n v="34016.730880000003"/>
  </r>
  <r>
    <d v="2024-03-15T00:00:00"/>
    <x v="4"/>
    <x v="0"/>
    <d v="2024-03-15T00:00:00"/>
    <s v="Q1-2024"/>
    <s v="Asia"/>
    <x v="2"/>
    <s v="Osaka"/>
    <s v="Printers"/>
    <s v="High"/>
    <n v="813.51"/>
    <n v="813.51"/>
    <n v="0.10199999999999999"/>
    <n v="15"/>
    <n v="8510.0765999999985"/>
  </r>
  <r>
    <d v="2024-03-16T00:00:00"/>
    <x v="5"/>
    <x v="0"/>
    <d v="2024-03-16T00:00:00"/>
    <s v="Q1-2024"/>
    <s v="Americas"/>
    <x v="3"/>
    <s v="Toronto"/>
    <s v="Laptops"/>
    <s v="High"/>
    <n v="591.67999999999995"/>
    <n v="591.67999999999995"/>
    <n v="0"/>
    <n v="7"/>
    <n v="12558.49"/>
  </r>
  <r>
    <d v="2024-03-17T00:00:00"/>
    <x v="6"/>
    <x v="0"/>
    <d v="2024-03-17T00:00:00"/>
    <s v="Q1-2024"/>
    <s v="Asia"/>
    <x v="4"/>
    <s v="Bengaluru"/>
    <s v="Monitors"/>
    <s v="High"/>
    <n v="845.97"/>
    <n v="845.97"/>
    <n v="0.14699999999999999"/>
    <n v="4"/>
    <n v="8983.864239999999"/>
  </r>
  <r>
    <d v="2024-03-18T00:00:00"/>
    <x v="5"/>
    <x v="0"/>
    <d v="2024-03-18T00:00:00"/>
    <s v="Q1-2024"/>
    <s v="Africa"/>
    <x v="1"/>
    <s v="Abuja"/>
    <s v="Printers"/>
    <s v="Low"/>
    <n v="47.22"/>
    <n v="47.22"/>
    <n v="0.19400000000000001"/>
    <n v="18"/>
    <n v="19177.399799999999"/>
  </r>
  <r>
    <d v="2024-03-19T00:00:00"/>
    <x v="7"/>
    <x v="0"/>
    <d v="2024-03-19T00:00:00"/>
    <s v="Q1-2024"/>
    <s v="Africa"/>
    <x v="1"/>
    <s v="Abuja"/>
    <s v="Monitors"/>
    <s v="High"/>
    <n v="2530.81"/>
    <n v="2530.81"/>
    <n v="3.1E-2"/>
    <n v="6"/>
    <n v="17656.36218"/>
  </r>
  <r>
    <d v="2024-03-20T00:00:00"/>
    <x v="8"/>
    <x v="0"/>
    <d v="2024-03-20T00:00:00"/>
    <s v="Q1-2024"/>
    <s v="Americas"/>
    <x v="5"/>
    <s v="São Paulo"/>
    <s v="Components"/>
    <s v="High"/>
    <n v="2309.56"/>
    <n v="2309.56"/>
    <n v="0.14899999999999999"/>
    <n v="31"/>
    <n v="5259.5799699999998"/>
  </r>
  <r>
    <d v="2024-03-21T00:00:00"/>
    <x v="9"/>
    <x v="0"/>
    <d v="2024-03-21T00:00:00"/>
    <s v="Q1-2024"/>
    <s v="Europe"/>
    <x v="6"/>
    <s v="Berlin"/>
    <s v="Accessories"/>
    <s v="High"/>
    <n v="700.12"/>
    <n v="700.12"/>
    <n v="6.0000000000000001E-3"/>
    <n v="23"/>
    <n v="21204.733619999999"/>
  </r>
  <r>
    <d v="2024-03-22T00:00:00"/>
    <x v="10"/>
    <x v="0"/>
    <d v="2024-03-22T00:00:00"/>
    <s v="Q1-2024"/>
    <s v="Asia"/>
    <x v="2"/>
    <s v="Osaka"/>
    <s v="Phones"/>
    <s v="High"/>
    <n v="691.37"/>
    <n v="691.37"/>
    <n v="0.25"/>
    <n v="20"/>
    <n v="26031.15"/>
  </r>
  <r>
    <d v="2024-03-23T00:00:00"/>
    <x v="3"/>
    <x v="0"/>
    <d v="2024-03-23T00:00:00"/>
    <s v="Q1-2024"/>
    <s v="Americas"/>
    <x v="5"/>
    <s v="Brasília"/>
    <s v="Components"/>
    <s v="High"/>
    <n v="548.4"/>
    <n v="548.4"/>
    <n v="9.4E-2"/>
    <n v="10"/>
    <n v="12644.498400000002"/>
  </r>
  <r>
    <d v="2024-03-24T00:00:00"/>
    <x v="9"/>
    <x v="0"/>
    <d v="2024-03-24T00:00:00"/>
    <s v="Q1-2024"/>
    <s v="Europe"/>
    <x v="7"/>
    <s v="Marseille"/>
    <s v="Printers"/>
    <s v="High"/>
    <n v="1439.01"/>
    <n v="1439.01"/>
    <n v="0"/>
    <n v="15"/>
    <n v="6816.3"/>
  </r>
  <r>
    <d v="2024-03-25T00:00:00"/>
    <x v="11"/>
    <x v="0"/>
    <d v="2024-03-25T00:00:00"/>
    <s v="Q1-2024"/>
    <s v="Americas"/>
    <x v="5"/>
    <s v="Brasília"/>
    <s v="Accessories"/>
    <s v="High"/>
    <n v="631.57000000000005"/>
    <n v="631.57000000000005"/>
    <n v="0"/>
    <n v="12"/>
    <n v="18971.64"/>
  </r>
  <r>
    <d v="2024-03-26T00:00:00"/>
    <x v="12"/>
    <x v="0"/>
    <d v="2024-03-26T00:00:00"/>
    <s v="Q1-2024"/>
    <s v="Africa"/>
    <x v="0"/>
    <s v="Nairobi"/>
    <s v="Laptops"/>
    <s v="High"/>
    <n v="850.8"/>
    <n v="850.8"/>
    <n v="7.3999999999999996E-2"/>
    <n v="9"/>
    <n v="14666.089860000002"/>
  </r>
  <r>
    <d v="2024-03-27T00:00:00"/>
    <x v="6"/>
    <x v="0"/>
    <d v="2024-03-27T00:00:00"/>
    <s v="Q1-2024"/>
    <s v="Europe"/>
    <x v="7"/>
    <s v="Marseille"/>
    <s v="Printers"/>
    <s v="High"/>
    <n v="1040.0999999999999"/>
    <n v="1040.0999999999999"/>
    <n v="0.109"/>
    <n v="28"/>
    <n v="79945.865999999995"/>
  </r>
  <r>
    <d v="2024-03-28T00:00:00"/>
    <x v="11"/>
    <x v="0"/>
    <d v="2024-03-28T00:00:00"/>
    <s v="Q1-2024"/>
    <s v="Asia"/>
    <x v="2"/>
    <s v="Osaka"/>
    <s v="Phones"/>
    <s v="High"/>
    <n v="2705.57"/>
    <n v="2705.57"/>
    <n v="0.183"/>
    <n v="16"/>
    <n v="14842.34096"/>
  </r>
  <r>
    <d v="2024-03-29T00:00:00"/>
    <x v="13"/>
    <x v="0"/>
    <d v="2024-03-29T00:00:00"/>
    <s v="Q1-2024"/>
    <s v="Americas"/>
    <x v="5"/>
    <s v="Brasília"/>
    <s v="Accessories"/>
    <s v="High"/>
    <n v="2375.37"/>
    <n v="2375.37"/>
    <n v="0.109"/>
    <n v="18"/>
    <n v="15979.62168"/>
  </r>
  <r>
    <d v="2024-03-30T00:00:00"/>
    <x v="8"/>
    <x v="0"/>
    <d v="2024-03-30T00:00:00"/>
    <s v="Q1-2024"/>
    <s v="Europe"/>
    <x v="8"/>
    <s v="Birmingham"/>
    <s v="Laptops"/>
    <s v="High"/>
    <n v="2148.14"/>
    <n v="2148.14"/>
    <n v="3.7999999999999999E-2"/>
    <n v="19"/>
    <n v="25535.279900000001"/>
  </r>
  <r>
    <d v="2024-03-31T00:00:00"/>
    <x v="14"/>
    <x v="0"/>
    <d v="2024-03-31T00:00:00"/>
    <s v="Q1-2024"/>
    <s v="Africa"/>
    <x v="0"/>
    <s v="Mombasa"/>
    <s v="Laptops"/>
    <s v="High"/>
    <n v="3661.07"/>
    <n v="3661.07"/>
    <n v="7.1999999999999995E-2"/>
    <n v="7"/>
    <n v="3565.5894400000002"/>
  </r>
  <r>
    <d v="2024-04-01T00:00:00"/>
    <x v="15"/>
    <x v="1"/>
    <d v="2024-04-01T00:00:00"/>
    <s v="Q2-2024"/>
    <s v="Asia"/>
    <x v="9"/>
    <s v="Shenzhen"/>
    <s v="Networking"/>
    <s v="High"/>
    <n v="2903.09"/>
    <n v="2903.09"/>
    <n v="0.14299999999999999"/>
    <n v="8"/>
    <n v="24160.543999999998"/>
  </r>
  <r>
    <d v="2024-04-02T00:00:00"/>
    <x v="16"/>
    <x v="1"/>
    <d v="2024-04-02T00:00:00"/>
    <s v="Q2-2024"/>
    <s v="Africa"/>
    <x v="1"/>
    <s v="Port Harcourt"/>
    <s v="Accessories"/>
    <s v="High"/>
    <n v="1242.8399999999999"/>
    <n v="1242.8399999999999"/>
    <n v="0.12"/>
    <n v="10"/>
    <n v="16065.367999999999"/>
  </r>
  <r>
    <d v="2024-04-03T00:00:00"/>
    <x v="7"/>
    <x v="1"/>
    <d v="2024-04-03T00:00:00"/>
    <s v="Q2-2024"/>
    <s v="Americas"/>
    <x v="10"/>
    <s v="Chicago"/>
    <s v="Laptops"/>
    <s v="High"/>
    <n v="2553.69"/>
    <n v="2553.69"/>
    <n v="0.01"/>
    <n v="8"/>
    <n v="14187.650399999999"/>
  </r>
  <r>
    <d v="2024-04-04T00:00:00"/>
    <x v="2"/>
    <x v="1"/>
    <d v="2024-04-04T00:00:00"/>
    <s v="Q2-2024"/>
    <s v="Americas"/>
    <x v="5"/>
    <s v="São Paulo"/>
    <s v="Components"/>
    <s v="High"/>
    <n v="2089.16"/>
    <n v="2089.16"/>
    <n v="7.0000000000000001E-3"/>
    <n v="12"/>
    <n v="31336.100999999999"/>
  </r>
  <r>
    <d v="2024-04-05T00:00:00"/>
    <x v="17"/>
    <x v="1"/>
    <d v="2024-04-05T00:00:00"/>
    <s v="Q2-2024"/>
    <s v="Americas"/>
    <x v="5"/>
    <s v="Brasília"/>
    <s v="Accessories"/>
    <s v="High"/>
    <n v="2583.02"/>
    <n v="2583.02"/>
    <n v="0.16800000000000001"/>
    <n v="4"/>
    <n v="353.76639999999998"/>
  </r>
  <r>
    <d v="2024-04-06T00:00:00"/>
    <x v="18"/>
    <x v="1"/>
    <d v="2024-04-06T00:00:00"/>
    <s v="Q2-2024"/>
    <s v="Europe"/>
    <x v="7"/>
    <s v="Marseille"/>
    <s v="Printers"/>
    <s v="Medium"/>
    <n v="175.67"/>
    <n v="175.67"/>
    <n v="0"/>
    <n v="10"/>
    <n v="3857.2000000000003"/>
  </r>
  <r>
    <d v="2024-04-07T00:00:00"/>
    <x v="14"/>
    <x v="1"/>
    <d v="2024-04-07T00:00:00"/>
    <s v="Q2-2024"/>
    <s v="Africa"/>
    <x v="0"/>
    <s v="Kisumu"/>
    <s v="Phones"/>
    <s v="High"/>
    <n v="758.23"/>
    <n v="758.23"/>
    <n v="0.125"/>
    <n v="6"/>
    <n v="1243.5675000000001"/>
  </r>
  <r>
    <d v="2024-04-08T00:00:00"/>
    <x v="12"/>
    <x v="1"/>
    <d v="2024-04-08T00:00:00"/>
    <s v="Q2-2024"/>
    <s v="Africa"/>
    <x v="0"/>
    <s v="Nakuru"/>
    <s v="Phones"/>
    <s v="High"/>
    <n v="434.8"/>
    <n v="434.8"/>
    <n v="0"/>
    <n v="9"/>
    <n v="377.09999999999997"/>
  </r>
  <r>
    <d v="2024-04-09T00:00:00"/>
    <x v="19"/>
    <x v="1"/>
    <d v="2024-04-09T00:00:00"/>
    <s v="Q2-2024"/>
    <s v="Europe"/>
    <x v="7"/>
    <s v="Lyon"/>
    <s v="Networking"/>
    <s v="High"/>
    <n v="1666.18"/>
    <n v="1666.18"/>
    <n v="0.13900000000000001"/>
    <n v="14"/>
    <n v="11781.338519999999"/>
  </r>
  <r>
    <d v="2024-04-10T00:00:00"/>
    <x v="6"/>
    <x v="1"/>
    <d v="2024-04-10T00:00:00"/>
    <s v="Q2-2024"/>
    <s v="Asia"/>
    <x v="4"/>
    <s v="Delhi"/>
    <s v="Components"/>
    <s v="High"/>
    <n v="631.78"/>
    <n v="631.78"/>
    <n v="8.6999999999999994E-2"/>
    <n v="17"/>
    <n v="43367.691729999999"/>
  </r>
  <r>
    <d v="2024-04-11T00:00:00"/>
    <x v="2"/>
    <x v="1"/>
    <d v="2024-04-11T00:00:00"/>
    <s v="Q2-2024"/>
    <s v="Americas"/>
    <x v="3"/>
    <s v="Montreal"/>
    <s v="Phones"/>
    <s v="High"/>
    <n v="1794.07"/>
    <n v="1794.07"/>
    <n v="8.8999999999999996E-2"/>
    <n v="16"/>
    <n v="10231.623200000002"/>
  </r>
  <r>
    <d v="2024-04-12T00:00:00"/>
    <x v="13"/>
    <x v="1"/>
    <d v="2024-04-12T00:00:00"/>
    <s v="Q2-2024"/>
    <s v="Africa"/>
    <x v="11"/>
    <s v="Johannesburg"/>
    <s v="Networking"/>
    <s v="High"/>
    <n v="2633.02"/>
    <n v="2633.02"/>
    <n v="8.4000000000000005E-2"/>
    <n v="4"/>
    <n v="-19.309279999999998"/>
  </r>
  <r>
    <d v="2024-04-13T00:00:00"/>
    <x v="20"/>
    <x v="1"/>
    <d v="2024-04-13T00:00:00"/>
    <s v="Q2-2024"/>
    <s v="Europe"/>
    <x v="8"/>
    <s v="London"/>
    <s v="Laptops"/>
    <s v="High"/>
    <n v="1321.85"/>
    <n v="1321.85"/>
    <n v="0"/>
    <n v="10"/>
    <n v="14370.599999999999"/>
  </r>
  <r>
    <d v="2024-04-14T00:00:00"/>
    <x v="21"/>
    <x v="1"/>
    <d v="2024-04-14T00:00:00"/>
    <s v="Q2-2024"/>
    <s v="Africa"/>
    <x v="11"/>
    <s v="Johannesburg"/>
    <s v="Components"/>
    <s v="High"/>
    <n v="3036.87"/>
    <n v="3036.87"/>
    <n v="0"/>
    <n v="9"/>
    <n v="17207.010000000002"/>
  </r>
  <r>
    <d v="2024-04-15T00:00:00"/>
    <x v="22"/>
    <x v="1"/>
    <d v="2024-04-15T00:00:00"/>
    <s v="Q2-2024"/>
    <s v="Asia"/>
    <x v="4"/>
    <s v="Delhi"/>
    <s v="Printers"/>
    <s v="Medium"/>
    <n v="199.37"/>
    <n v="199.37"/>
    <n v="0.10100000000000001"/>
    <n v="37"/>
    <n v="86276.904139999999"/>
  </r>
  <r>
    <d v="2024-04-16T00:00:00"/>
    <x v="0"/>
    <x v="1"/>
    <d v="2024-04-16T00:00:00"/>
    <s v="Q2-2024"/>
    <s v="Europe"/>
    <x v="6"/>
    <s v="Munich"/>
    <s v="Components"/>
    <s v="High"/>
    <n v="927.51"/>
    <n v="927.51"/>
    <n v="0.24299999999999999"/>
    <n v="27"/>
    <n v="25427.751119999997"/>
  </r>
  <r>
    <d v="2024-04-17T00:00:00"/>
    <x v="16"/>
    <x v="1"/>
    <d v="2024-04-17T00:00:00"/>
    <s v="Q2-2024"/>
    <s v="Asia"/>
    <x v="9"/>
    <s v="Shanghai"/>
    <s v="Components"/>
    <s v="High"/>
    <n v="1735.41"/>
    <n v="1735.41"/>
    <n v="0.13600000000000001"/>
    <n v="8"/>
    <n v="13219.269119999999"/>
  </r>
  <r>
    <d v="2024-04-18T00:00:00"/>
    <x v="20"/>
    <x v="1"/>
    <d v="2024-04-18T00:00:00"/>
    <s v="Q2-2024"/>
    <s v="Africa"/>
    <x v="1"/>
    <s v="Port Harcourt"/>
    <s v="Printers"/>
    <s v="High"/>
    <n v="1395.64"/>
    <n v="1395.64"/>
    <n v="0.17499999999999999"/>
    <n v="13"/>
    <n v="8106.7057499999992"/>
  </r>
  <r>
    <d v="2024-04-19T00:00:00"/>
    <x v="23"/>
    <x v="1"/>
    <d v="2024-04-19T00:00:00"/>
    <s v="Q2-2024"/>
    <s v="Americas"/>
    <x v="10"/>
    <s v="San Francisco"/>
    <s v="Printers"/>
    <s v="High"/>
    <n v="454.42"/>
    <n v="454.42"/>
    <n v="0.129"/>
    <n v="9"/>
    <n v="8980.9071300000014"/>
  </r>
  <r>
    <d v="2024-04-20T00:00:00"/>
    <x v="21"/>
    <x v="1"/>
    <d v="2024-04-20T00:00:00"/>
    <s v="Q2-2024"/>
    <s v="Europe"/>
    <x v="6"/>
    <s v="Berlin"/>
    <s v="Monitors"/>
    <s v="High"/>
    <n v="1580.97"/>
    <n v="1580.97"/>
    <n v="3.6999999999999998E-2"/>
    <n v="27"/>
    <n v="32087.834099999996"/>
  </r>
  <r>
    <d v="2024-04-21T00:00:00"/>
    <x v="9"/>
    <x v="1"/>
    <d v="2024-04-21T00:00:00"/>
    <s v="Q2-2024"/>
    <s v="Africa"/>
    <x v="11"/>
    <s v="Durban"/>
    <s v="Networking"/>
    <s v="High"/>
    <n v="1759.79"/>
    <n v="1759.79"/>
    <n v="0"/>
    <n v="6"/>
    <n v="7368.0599999999995"/>
  </r>
  <r>
    <d v="2024-04-22T00:00:00"/>
    <x v="1"/>
    <x v="1"/>
    <d v="2024-04-22T00:00:00"/>
    <s v="Q2-2024"/>
    <s v="Africa"/>
    <x v="0"/>
    <s v="Mombasa"/>
    <s v="Printers"/>
    <s v="High"/>
    <n v="3204.5"/>
    <n v="3204.5"/>
    <n v="0.318"/>
    <n v="14"/>
    <n v="5778.7360400000007"/>
  </r>
  <r>
    <d v="2024-04-23T00:00:00"/>
    <x v="8"/>
    <x v="1"/>
    <d v="2024-04-23T00:00:00"/>
    <s v="Q2-2024"/>
    <s v="Europe"/>
    <x v="6"/>
    <s v="Berlin"/>
    <s v="Printers"/>
    <s v="High"/>
    <n v="1135.43"/>
    <n v="1135.43"/>
    <n v="0.14599999999999999"/>
    <n v="11"/>
    <n v="17662.129100000002"/>
  </r>
  <r>
    <d v="2024-04-24T00:00:00"/>
    <x v="7"/>
    <x v="1"/>
    <d v="2024-04-24T00:00:00"/>
    <s v="Q2-2024"/>
    <s v="Americas"/>
    <x v="3"/>
    <s v="Vancouver"/>
    <s v="Components"/>
    <s v="High"/>
    <n v="996.36"/>
    <n v="996.36"/>
    <n v="0.182"/>
    <n v="22"/>
    <n v="22844.122400000004"/>
  </r>
  <r>
    <d v="2024-04-25T00:00:00"/>
    <x v="12"/>
    <x v="1"/>
    <d v="2024-04-25T00:00:00"/>
    <s v="Q2-2024"/>
    <s v="Asia"/>
    <x v="4"/>
    <s v="Delhi"/>
    <s v="Networking"/>
    <s v="High"/>
    <n v="1397.05"/>
    <n v="1397.05"/>
    <n v="0.16900000000000001"/>
    <n v="28"/>
    <n v="14447.799239999997"/>
  </r>
  <r>
    <d v="2024-04-26T00:00:00"/>
    <x v="23"/>
    <x v="1"/>
    <d v="2024-04-26T00:00:00"/>
    <s v="Q2-2024"/>
    <s v="Africa"/>
    <x v="1"/>
    <s v="Abuja"/>
    <s v="Printers"/>
    <s v="High"/>
    <n v="548.89"/>
    <n v="548.89"/>
    <n v="0"/>
    <n v="13"/>
    <n v="18926.830000000002"/>
  </r>
  <r>
    <d v="2024-04-27T00:00:00"/>
    <x v="7"/>
    <x v="1"/>
    <d v="2024-04-27T00:00:00"/>
    <s v="Q2-2024"/>
    <s v="Europe"/>
    <x v="8"/>
    <s v="Birmingham"/>
    <s v="Networking"/>
    <s v="High"/>
    <n v="3524"/>
    <n v="3524"/>
    <n v="0"/>
    <n v="31"/>
    <n v="16939.329999999998"/>
  </r>
  <r>
    <d v="2024-04-28T00:00:00"/>
    <x v="1"/>
    <x v="1"/>
    <d v="2024-04-28T00:00:00"/>
    <s v="Q2-2024"/>
    <s v="Africa"/>
    <x v="1"/>
    <s v="Lagos"/>
    <s v="Networking"/>
    <s v="High"/>
    <n v="1825.61"/>
    <n v="1825.61"/>
    <n v="0.187"/>
    <n v="24"/>
    <n v="26300.615040000001"/>
  </r>
  <r>
    <d v="2024-04-29T00:00:00"/>
    <x v="24"/>
    <x v="1"/>
    <d v="2024-04-29T00:00:00"/>
    <s v="Q2-2024"/>
    <s v="Europe"/>
    <x v="7"/>
    <s v="Marseille"/>
    <s v="Printers"/>
    <s v="High"/>
    <n v="1791.37"/>
    <n v="1791.37"/>
    <n v="0.126"/>
    <n v="22"/>
    <n v="21312.892040000002"/>
  </r>
  <r>
    <d v="2024-04-30T00:00:00"/>
    <x v="18"/>
    <x v="1"/>
    <d v="2024-04-30T00:00:00"/>
    <s v="Q2-2024"/>
    <s v="Americas"/>
    <x v="3"/>
    <s v="Toronto"/>
    <s v="Accessories"/>
    <s v="High"/>
    <n v="2629.75"/>
    <n v="2629.75"/>
    <n v="0.29199999999999998"/>
    <n v="8"/>
    <n v="17808.182399999998"/>
  </r>
  <r>
    <d v="2024-05-01T00:00:00"/>
    <x v="1"/>
    <x v="2"/>
    <d v="2024-05-01T00:00:00"/>
    <s v="Q2-2024"/>
    <s v="Asia"/>
    <x v="4"/>
    <s v="Bengaluru"/>
    <s v="Monitors"/>
    <s v="Medium"/>
    <n v="106.3"/>
    <n v="106.3"/>
    <n v="0.29499999999999998"/>
    <n v="8"/>
    <n v="11819.917200000002"/>
  </r>
  <r>
    <d v="2024-05-02T00:00:00"/>
    <x v="22"/>
    <x v="2"/>
    <d v="2024-05-02T00:00:00"/>
    <s v="Q2-2024"/>
    <s v="Africa"/>
    <x v="0"/>
    <s v="Nakuru"/>
    <s v="Laptops"/>
    <s v="High"/>
    <n v="385.72"/>
    <n v="385.72"/>
    <n v="0"/>
    <n v="15"/>
    <n v="10554.3"/>
  </r>
  <r>
    <d v="2024-05-03T00:00:00"/>
    <x v="10"/>
    <x v="2"/>
    <d v="2024-05-03T00:00:00"/>
    <s v="Q2-2024"/>
    <s v="Europe"/>
    <x v="7"/>
    <s v="Lyon"/>
    <s v="Laptops"/>
    <s v="High"/>
    <n v="236.87"/>
    <n v="236.87"/>
    <n v="0.182"/>
    <n v="13"/>
    <n v="21238.118460000002"/>
  </r>
  <r>
    <d v="2024-05-04T00:00:00"/>
    <x v="25"/>
    <x v="2"/>
    <d v="2024-05-04T00:00:00"/>
    <s v="Q2-2024"/>
    <s v="Europe"/>
    <x v="6"/>
    <s v="Munich"/>
    <s v="Networking"/>
    <s v="Low"/>
    <n v="41.9"/>
    <n v="41.9"/>
    <n v="0.14399999999999999"/>
    <n v="6"/>
    <n v="14195.647199999998"/>
  </r>
  <r>
    <d v="2024-05-05T00:00:00"/>
    <x v="19"/>
    <x v="2"/>
    <d v="2024-05-05T00:00:00"/>
    <s v="Q2-2024"/>
    <s v="Americas"/>
    <x v="5"/>
    <s v="Brasília"/>
    <s v="Monitors"/>
    <s v="High"/>
    <n v="977.38"/>
    <n v="977.38"/>
    <n v="0.14699999999999999"/>
    <n v="38"/>
    <n v="48735.421419999999"/>
  </r>
  <r>
    <d v="2024-05-06T00:00:00"/>
    <x v="26"/>
    <x v="2"/>
    <d v="2024-05-06T00:00:00"/>
    <s v="Q2-2024"/>
    <s v="Americas"/>
    <x v="5"/>
    <s v="São Paulo"/>
    <s v="Laptops"/>
    <s v="High"/>
    <n v="2794.13"/>
    <n v="2794.13"/>
    <n v="3.5000000000000003E-2"/>
    <n v="11"/>
    <n v="4119.0446000000002"/>
  </r>
  <r>
    <d v="2024-05-07T00:00:00"/>
    <x v="6"/>
    <x v="2"/>
    <d v="2024-05-07T00:00:00"/>
    <s v="Q2-2024"/>
    <s v="Europe"/>
    <x v="6"/>
    <s v="Munich"/>
    <s v="Accessories"/>
    <s v="High"/>
    <n v="701.95"/>
    <n v="701.95"/>
    <n v="0.14699999999999999"/>
    <n v="8"/>
    <n v="304.14567999999997"/>
  </r>
  <r>
    <d v="2024-05-08T00:00:00"/>
    <x v="16"/>
    <x v="2"/>
    <d v="2024-05-08T00:00:00"/>
    <s v="Q2-2024"/>
    <s v="Europe"/>
    <x v="7"/>
    <s v="Marseille"/>
    <s v="Accessories"/>
    <s v="Low"/>
    <n v="-5.27"/>
    <n v="-5.27"/>
    <n v="7.4999999999999997E-2"/>
    <n v="56"/>
    <n v="93667.868000000002"/>
  </r>
  <r>
    <d v="2024-05-09T00:00:00"/>
    <x v="8"/>
    <x v="2"/>
    <d v="2024-05-09T00:00:00"/>
    <s v="Q2-2024"/>
    <s v="Africa"/>
    <x v="0"/>
    <s v="Nakuru"/>
    <s v="Accessories"/>
    <s v="High"/>
    <n v="1437.06"/>
    <n v="1437.06"/>
    <n v="0.20499999999999999"/>
    <n v="4"/>
    <n v="4086.5861999999997"/>
  </r>
  <r>
    <d v="2024-05-10T00:00:00"/>
    <x v="0"/>
    <x v="2"/>
    <d v="2024-05-10T00:00:00"/>
    <s v="Q2-2024"/>
    <s v="Europe"/>
    <x v="7"/>
    <s v="Lyon"/>
    <s v="Components"/>
    <s v="High"/>
    <n v="1911.89"/>
    <n v="1911.89"/>
    <n v="0.11899999999999999"/>
    <n v="20"/>
    <n v="29568.826800000003"/>
  </r>
  <r>
    <d v="2024-05-11T00:00:00"/>
    <x v="11"/>
    <x v="2"/>
    <d v="2024-05-11T00:00:00"/>
    <s v="Q2-2024"/>
    <s v="Asia"/>
    <x v="2"/>
    <s v="Tokyo"/>
    <s v="Components"/>
    <s v="High"/>
    <n v="2593.7800000000002"/>
    <n v="2593.7800000000002"/>
    <n v="0.11"/>
    <n v="12"/>
    <n v="7255.4580000000005"/>
  </r>
  <r>
    <d v="2024-05-12T00:00:00"/>
    <x v="19"/>
    <x v="2"/>
    <d v="2024-05-12T00:00:00"/>
    <s v="Q2-2024"/>
    <s v="Europe"/>
    <x v="7"/>
    <s v="Paris"/>
    <s v="Phones"/>
    <s v="High"/>
    <n v="1244.08"/>
    <n v="1244.08"/>
    <n v="0.2"/>
    <n v="11"/>
    <n v="9767.2960000000003"/>
  </r>
  <r>
    <d v="2024-05-13T00:00:00"/>
    <x v="18"/>
    <x v="2"/>
    <d v="2024-05-13T00:00:00"/>
    <s v="Q2-2024"/>
    <s v="Asia"/>
    <x v="4"/>
    <s v="Mumbai"/>
    <s v="Monitors"/>
    <s v="High"/>
    <n v="1912.51"/>
    <n v="1912.51"/>
    <n v="0.255"/>
    <n v="51"/>
    <n v="3175.2421499999996"/>
  </r>
  <r>
    <d v="2024-05-14T00:00:00"/>
    <x v="2"/>
    <x v="2"/>
    <d v="2024-05-14T00:00:00"/>
    <s v="Q2-2024"/>
    <s v="Africa"/>
    <x v="11"/>
    <s v="Johannesburg"/>
    <s v="Laptops"/>
    <s v="High"/>
    <n v="755.87"/>
    <n v="755.87"/>
    <n v="0.13"/>
    <n v="40"/>
    <n v="44693.64"/>
  </r>
  <r>
    <d v="2024-05-15T00:00:00"/>
    <x v="4"/>
    <x v="2"/>
    <d v="2024-05-15T00:00:00"/>
    <s v="Q2-2024"/>
    <s v="Americas"/>
    <x v="5"/>
    <s v="Rio de Janeiro"/>
    <s v="Phones"/>
    <s v="High"/>
    <n v="1145.67"/>
    <n v="1145.67"/>
    <n v="0.184"/>
    <n v="13"/>
    <n v="9671.5257600000004"/>
  </r>
  <r>
    <d v="2024-05-16T00:00:00"/>
    <x v="22"/>
    <x v="2"/>
    <d v="2024-05-16T00:00:00"/>
    <s v="Q2-2024"/>
    <s v="Europe"/>
    <x v="8"/>
    <s v="Manchester"/>
    <s v="Accessories"/>
    <s v="High"/>
    <n v="1234.0999999999999"/>
    <n v="1234.0999999999999"/>
    <n v="0.189"/>
    <n v="16"/>
    <n v="18232.188319999997"/>
  </r>
  <r>
    <d v="2024-05-17T00:00:00"/>
    <x v="7"/>
    <x v="2"/>
    <d v="2024-05-17T00:00:00"/>
    <s v="Q2-2024"/>
    <s v="Asia"/>
    <x v="2"/>
    <s v="Nagoya"/>
    <s v="Monitors"/>
    <s v="High"/>
    <n v="1228.01"/>
    <n v="1228.01"/>
    <n v="0.105"/>
    <n v="13"/>
    <n v="11273.616900000001"/>
  </r>
  <r>
    <d v="2024-05-18T00:00:00"/>
    <x v="25"/>
    <x v="2"/>
    <d v="2024-05-18T00:00:00"/>
    <s v="Q2-2024"/>
    <s v="Africa"/>
    <x v="11"/>
    <s v="Johannesburg"/>
    <s v="Monitors"/>
    <s v="High"/>
    <n v="605.23"/>
    <n v="605.23"/>
    <n v="0.20399999999999999"/>
    <n v="18"/>
    <n v="15600.46968"/>
  </r>
  <r>
    <d v="2024-05-19T00:00:00"/>
    <x v="12"/>
    <x v="2"/>
    <d v="2024-05-19T00:00:00"/>
    <s v="Q2-2024"/>
    <s v="Asia"/>
    <x v="9"/>
    <s v="Shanghai"/>
    <s v="Components"/>
    <s v="High"/>
    <n v="1880.15"/>
    <n v="1880.15"/>
    <n v="0.05"/>
    <n v="5"/>
    <n v="11803.702499999998"/>
  </r>
  <r>
    <d v="2024-05-20T00:00:00"/>
    <x v="0"/>
    <x v="2"/>
    <d v="2024-05-20T00:00:00"/>
    <s v="Q2-2024"/>
    <s v="Europe"/>
    <x v="6"/>
    <s v="Munich"/>
    <s v="Accessories"/>
    <s v="High"/>
    <n v="1269.4000000000001"/>
    <n v="1269.4000000000001"/>
    <n v="6.8000000000000005E-2"/>
    <n v="9"/>
    <n v="240.65172000000001"/>
  </r>
  <r>
    <d v="2024-05-21T00:00:00"/>
    <x v="19"/>
    <x v="2"/>
    <d v="2024-05-21T00:00:00"/>
    <s v="Q2-2024"/>
    <s v="Americas"/>
    <x v="5"/>
    <s v="Brasília"/>
    <s v="Laptops"/>
    <s v="High"/>
    <n v="620.92999999999995"/>
    <n v="620.92999999999995"/>
    <n v="0.14199999999999999"/>
    <n v="12"/>
    <n v="19527.59952"/>
  </r>
  <r>
    <d v="2024-05-22T00:00:00"/>
    <x v="20"/>
    <x v="2"/>
    <d v="2024-05-22T00:00:00"/>
    <s v="Q2-2024"/>
    <s v="Africa"/>
    <x v="11"/>
    <s v="Johannesburg"/>
    <s v="Laptops"/>
    <s v="High"/>
    <n v="1455.91"/>
    <n v="1455.91"/>
    <n v="0.185"/>
    <n v="17"/>
    <n v="5807.6003499999997"/>
  </r>
  <r>
    <d v="2024-05-23T00:00:00"/>
    <x v="6"/>
    <x v="2"/>
    <d v="2024-05-23T00:00:00"/>
    <s v="Q2-2024"/>
    <s v="Asia"/>
    <x v="9"/>
    <s v="Shenzhen"/>
    <s v="Networking"/>
    <s v="High"/>
    <n v="546.42999999999995"/>
    <n v="546.42999999999995"/>
    <n v="4.7E-2"/>
    <n v="18"/>
    <n v="34328.070179999995"/>
  </r>
  <r>
    <d v="2024-05-24T00:00:00"/>
    <x v="15"/>
    <x v="2"/>
    <d v="2024-05-24T00:00:00"/>
    <s v="Q2-2024"/>
    <s v="Africa"/>
    <x v="11"/>
    <s v="Durban"/>
    <s v="Components"/>
    <s v="High"/>
    <n v="1347.92"/>
    <n v="1347.92"/>
    <n v="0.34300000000000003"/>
    <n v="5"/>
    <n v="10198.97235"/>
  </r>
  <r>
    <d v="2024-05-25T00:00:00"/>
    <x v="27"/>
    <x v="2"/>
    <d v="2024-05-25T00:00:00"/>
    <s v="Q2-2024"/>
    <s v="Asia"/>
    <x v="4"/>
    <s v="Delhi"/>
    <s v="Components"/>
    <s v="High"/>
    <n v="1108.43"/>
    <n v="1108.43"/>
    <n v="0.114"/>
    <n v="7"/>
    <n v="2073.2045600000001"/>
  </r>
  <r>
    <d v="2024-05-26T00:00:00"/>
    <x v="21"/>
    <x v="2"/>
    <d v="2024-05-26T00:00:00"/>
    <s v="Q2-2024"/>
    <s v="Americas"/>
    <x v="5"/>
    <s v="Rio de Janeiro"/>
    <s v="Accessories"/>
    <s v="High"/>
    <n v="3144.1"/>
    <n v="3144.1"/>
    <n v="0.13400000000000001"/>
    <n v="13"/>
    <n v="21984.960139999999"/>
  </r>
  <r>
    <d v="2024-05-27T00:00:00"/>
    <x v="17"/>
    <x v="2"/>
    <d v="2024-05-27T00:00:00"/>
    <s v="Q2-2024"/>
    <s v="Americas"/>
    <x v="5"/>
    <s v="Rio de Janeiro"/>
    <s v="Accessories"/>
    <s v="High"/>
    <n v="2095.73"/>
    <n v="2095.73"/>
    <n v="7.1999999999999995E-2"/>
    <n v="17"/>
    <n v="3822.3670400000005"/>
  </r>
  <r>
    <d v="2024-05-28T00:00:00"/>
    <x v="23"/>
    <x v="2"/>
    <d v="2024-05-28T00:00:00"/>
    <s v="Q2-2024"/>
    <s v="Europe"/>
    <x v="8"/>
    <s v="Manchester"/>
    <s v="Components"/>
    <s v="High"/>
    <n v="703.62"/>
    <n v="703.62"/>
    <n v="0.25700000000000001"/>
    <n v="20"/>
    <n v="44117.408199999998"/>
  </r>
  <r>
    <d v="2024-05-29T00:00:00"/>
    <x v="18"/>
    <x v="2"/>
    <d v="2024-05-29T00:00:00"/>
    <s v="Q2-2024"/>
    <s v="Europe"/>
    <x v="7"/>
    <s v="Marseille"/>
    <s v="Monitors"/>
    <s v="High"/>
    <n v="1997.19"/>
    <n v="1997.19"/>
    <n v="0.186"/>
    <n v="3"/>
    <n v="3404.8806"/>
  </r>
  <r>
    <d v="2024-05-30T00:00:00"/>
    <x v="2"/>
    <x v="2"/>
    <d v="2024-05-30T00:00:00"/>
    <s v="Q2-2024"/>
    <s v="Africa"/>
    <x v="11"/>
    <s v="Cape Town"/>
    <s v="Networking"/>
    <s v="High"/>
    <n v="2763.95"/>
    <n v="2763.95"/>
    <n v="0.161"/>
    <n v="26"/>
    <n v="336.15374000000003"/>
  </r>
  <r>
    <d v="2024-05-31T00:00:00"/>
    <x v="25"/>
    <x v="2"/>
    <d v="2024-05-31T00:00:00"/>
    <s v="Q2-2024"/>
    <s v="Americas"/>
    <x v="3"/>
    <s v="Vancouver"/>
    <s v="Printers"/>
    <s v="High"/>
    <n v="1503.53"/>
    <n v="1503.53"/>
    <n v="0.24099999999999999"/>
    <n v="16"/>
    <n v="27333.836640000001"/>
  </r>
  <r>
    <d v="2024-06-01T00:00:00"/>
    <x v="8"/>
    <x v="3"/>
    <d v="2024-06-01T00:00:00"/>
    <s v="Q2-2024"/>
    <s v="Europe"/>
    <x v="7"/>
    <s v="Paris"/>
    <s v="Components"/>
    <s v="High"/>
    <n v="388.04"/>
    <n v="388.04"/>
    <n v="8.4000000000000005E-2"/>
    <n v="15"/>
    <n v="2281.3896"/>
  </r>
  <r>
    <d v="2024-06-02T00:00:00"/>
    <x v="19"/>
    <x v="3"/>
    <d v="2024-06-02T00:00:00"/>
    <s v="Q2-2024"/>
    <s v="Americas"/>
    <x v="10"/>
    <s v="San Francisco"/>
    <s v="Monitors"/>
    <s v="Low"/>
    <n v="44.57"/>
    <n v="44.57"/>
    <n v="0.215"/>
    <n v="15"/>
    <n v="4198.3762500000003"/>
  </r>
  <r>
    <d v="2024-06-03T00:00:00"/>
    <x v="3"/>
    <x v="3"/>
    <d v="2024-06-03T00:00:00"/>
    <s v="Q2-2024"/>
    <s v="Europe"/>
    <x v="8"/>
    <s v="London"/>
    <s v="Networking"/>
    <s v="High"/>
    <n v="1808.26"/>
    <n v="1808.26"/>
    <n v="0.104"/>
    <n v="13"/>
    <n v="11939.7824"/>
  </r>
  <r>
    <d v="2024-06-04T00:00:00"/>
    <x v="4"/>
    <x v="3"/>
    <d v="2024-06-04T00:00:00"/>
    <s v="Q2-2024"/>
    <s v="Africa"/>
    <x v="11"/>
    <s v="Cape Town"/>
    <s v="Components"/>
    <s v="High"/>
    <n v="1285.0899999999999"/>
    <n v="1285.0899999999999"/>
    <n v="7.0000000000000007E-2"/>
    <n v="11"/>
    <n v="18364.589100000001"/>
  </r>
  <r>
    <d v="2024-06-05T00:00:00"/>
    <x v="20"/>
    <x v="3"/>
    <d v="2024-06-05T00:00:00"/>
    <s v="Q2-2024"/>
    <s v="Asia"/>
    <x v="9"/>
    <s v="Shanghai"/>
    <s v="Components"/>
    <s v="High"/>
    <n v="1678.14"/>
    <n v="1678.14"/>
    <n v="0.154"/>
    <n v="10"/>
    <n v="36.970199999999998"/>
  </r>
  <r>
    <d v="2024-06-06T00:00:00"/>
    <x v="28"/>
    <x v="3"/>
    <d v="2024-06-06T00:00:00"/>
    <s v="Q2-2024"/>
    <s v="Africa"/>
    <x v="0"/>
    <s v="Nakuru"/>
    <s v="Components"/>
    <s v="High"/>
    <n v="679.35"/>
    <n v="679.35"/>
    <n v="0.188"/>
    <n v="3"/>
    <n v="532.26600000000008"/>
  </r>
  <r>
    <d v="2024-06-07T00:00:00"/>
    <x v="9"/>
    <x v="3"/>
    <d v="2024-06-07T00:00:00"/>
    <s v="Q2-2024"/>
    <s v="Asia"/>
    <x v="4"/>
    <s v="Delhi"/>
    <s v="Monitors"/>
    <s v="High"/>
    <n v="1109.92"/>
    <n v="1109.92"/>
    <n v="0.03"/>
    <n v="11"/>
    <n v="2666.1129000000001"/>
  </r>
  <r>
    <d v="2024-06-08T00:00:00"/>
    <x v="23"/>
    <x v="3"/>
    <d v="2024-06-08T00:00:00"/>
    <s v="Q2-2024"/>
    <s v="Asia"/>
    <x v="2"/>
    <s v="Nagoya"/>
    <s v="Monitors"/>
    <s v="Medium"/>
    <n v="83.57"/>
    <n v="83.57"/>
    <n v="6.6000000000000003E-2"/>
    <n v="8"/>
    <n v="25677.677439999999"/>
  </r>
  <r>
    <d v="2024-06-09T00:00:00"/>
    <x v="19"/>
    <x v="3"/>
    <d v="2024-06-09T00:00:00"/>
    <s v="Q2-2024"/>
    <s v="Asia"/>
    <x v="2"/>
    <s v="Nagoya"/>
    <s v="Networking"/>
    <s v="High"/>
    <n v="1284.3"/>
    <n v="1284.3"/>
    <n v="7.3999999999999996E-2"/>
    <n v="7"/>
    <n v="346.46290000000005"/>
  </r>
  <r>
    <d v="2024-06-10T00:00:00"/>
    <x v="16"/>
    <x v="3"/>
    <d v="2024-06-10T00:00:00"/>
    <s v="Q2-2024"/>
    <s v="Asia"/>
    <x v="4"/>
    <s v="Hyderabad"/>
    <s v="Phones"/>
    <s v="High"/>
    <n v="911.72"/>
    <n v="911.72"/>
    <n v="0.14399999999999999"/>
    <n v="25"/>
    <n v="74251.58"/>
  </r>
  <r>
    <d v="2024-06-11T00:00:00"/>
    <x v="23"/>
    <x v="3"/>
    <d v="2024-06-11T00:00:00"/>
    <s v="Q2-2024"/>
    <s v="Americas"/>
    <x v="5"/>
    <s v="Rio de Janeiro"/>
    <s v="Printers"/>
    <s v="High"/>
    <n v="1405.07"/>
    <n v="1405.07"/>
    <n v="9.6000000000000002E-2"/>
    <n v="8"/>
    <n v="4491.2166399999996"/>
  </r>
  <r>
    <d v="2024-06-12T00:00:00"/>
    <x v="1"/>
    <x v="3"/>
    <d v="2024-06-12T00:00:00"/>
    <s v="Q2-2024"/>
    <s v="Africa"/>
    <x v="1"/>
    <s v="Abuja"/>
    <s v="Accessories"/>
    <s v="High"/>
    <n v="968.94"/>
    <n v="968.94"/>
    <n v="9.9000000000000005E-2"/>
    <n v="23"/>
    <n v="1834.19273"/>
  </r>
  <r>
    <d v="2024-06-13T00:00:00"/>
    <x v="11"/>
    <x v="3"/>
    <d v="2024-06-13T00:00:00"/>
    <s v="Q2-2024"/>
    <s v="Africa"/>
    <x v="0"/>
    <s v="Mombasa"/>
    <s v="Phones"/>
    <s v="High"/>
    <n v="1088.81"/>
    <n v="1088.81"/>
    <n v="0.16"/>
    <n v="6"/>
    <n v="9873.8135999999995"/>
  </r>
  <r>
    <d v="2024-06-14T00:00:00"/>
    <x v="12"/>
    <x v="3"/>
    <d v="2024-06-14T00:00:00"/>
    <s v="Q2-2024"/>
    <s v="Europe"/>
    <x v="8"/>
    <s v="Manchester"/>
    <s v="Printers"/>
    <s v="High"/>
    <n v="2484.9899999999998"/>
    <n v="2484.9899999999998"/>
    <n v="3.4000000000000002E-2"/>
    <n v="18"/>
    <n v="47694.762360000001"/>
  </r>
  <r>
    <d v="2024-06-15T00:00:00"/>
    <x v="28"/>
    <x v="3"/>
    <d v="2024-06-15T00:00:00"/>
    <s v="Q2-2024"/>
    <s v="Asia"/>
    <x v="4"/>
    <s v="Not Provided"/>
    <s v="Monitors"/>
    <s v="Low"/>
    <n v="28.69"/>
    <n v="28.69"/>
    <n v="0.14599999999999999"/>
    <n v="6"/>
    <n v="8605.3480799999998"/>
  </r>
  <r>
    <d v="2024-06-16T00:00:00"/>
    <x v="7"/>
    <x v="3"/>
    <d v="2024-06-16T00:00:00"/>
    <s v="Q2-2024"/>
    <s v="Africa"/>
    <x v="1"/>
    <s v="Abuja"/>
    <s v="Accessories"/>
    <s v="High"/>
    <n v="1896.62"/>
    <n v="1896.62"/>
    <n v="0"/>
    <n v="18"/>
    <n v="25810.2"/>
  </r>
  <r>
    <d v="2024-06-17T00:00:00"/>
    <x v="13"/>
    <x v="3"/>
    <d v="2024-06-17T00:00:00"/>
    <s v="Q2-2024"/>
    <s v="Asia"/>
    <x v="9"/>
    <s v="Shenzhen"/>
    <s v="Networking"/>
    <s v="High"/>
    <n v="419.17"/>
    <n v="419.17"/>
    <n v="9.1999999999999998E-2"/>
    <n v="14"/>
    <n v="3615.67416"/>
  </r>
  <r>
    <d v="2024-06-18T00:00:00"/>
    <x v="2"/>
    <x v="3"/>
    <d v="2024-06-18T00:00:00"/>
    <s v="Q2-2024"/>
    <s v="Europe"/>
    <x v="6"/>
    <s v="Berlin"/>
    <s v="Laptops"/>
    <s v="High"/>
    <n v="2001.17"/>
    <n v="2001.17"/>
    <n v="0.29199999999999998"/>
    <n v="18"/>
    <n v="8854.276319999999"/>
  </r>
  <r>
    <d v="2024-06-19T00:00:00"/>
    <x v="10"/>
    <x v="3"/>
    <d v="2024-06-19T00:00:00"/>
    <s v="Q2-2024"/>
    <s v="Asia"/>
    <x v="9"/>
    <s v="Shenzhen"/>
    <s v="Phones"/>
    <s v="High"/>
    <n v="3104.71"/>
    <n v="3104.71"/>
    <n v="0"/>
    <n v="17"/>
    <n v="31422.63"/>
  </r>
  <r>
    <d v="2024-06-20T00:00:00"/>
    <x v="9"/>
    <x v="3"/>
    <d v="2024-06-20T00:00:00"/>
    <s v="Q2-2024"/>
    <s v="Asia"/>
    <x v="4"/>
    <s v="Mumbai"/>
    <s v="Components"/>
    <s v="High"/>
    <n v="334.28"/>
    <n v="334.28"/>
    <n v="0.14000000000000001"/>
    <n v="22"/>
    <n v="854.99479999999994"/>
  </r>
  <r>
    <d v="2024-06-21T00:00:00"/>
    <x v="3"/>
    <x v="3"/>
    <d v="2024-06-21T00:00:00"/>
    <s v="Q2-2024"/>
    <s v="Africa"/>
    <x v="0"/>
    <s v="Nakuru"/>
    <s v="Laptops"/>
    <s v="High"/>
    <n v="1952.83"/>
    <n v="1952.83"/>
    <n v="0"/>
    <n v="7"/>
    <n v="2527.7000000000003"/>
  </r>
  <r>
    <d v="2024-06-22T00:00:00"/>
    <x v="6"/>
    <x v="3"/>
    <d v="2024-06-22T00:00:00"/>
    <s v="Q2-2024"/>
    <s v="Americas"/>
    <x v="3"/>
    <s v="Vancouver"/>
    <s v="Accessories"/>
    <s v="High"/>
    <n v="242.29"/>
    <n v="242.29"/>
    <n v="0.18"/>
    <n v="30"/>
    <n v="24706.764000000003"/>
  </r>
  <r>
    <d v="2024-06-23T00:00:00"/>
    <x v="29"/>
    <x v="3"/>
    <d v="2024-06-23T00:00:00"/>
    <s v="Q2-2024"/>
    <s v="Asia"/>
    <x v="9"/>
    <s v="Shanghai"/>
    <s v="Laptops"/>
    <s v="High"/>
    <n v="2968.87"/>
    <n v="2968.87"/>
    <n v="0.16900000000000001"/>
    <n v="5"/>
    <n v="4270.2181499999997"/>
  </r>
  <r>
    <d v="2024-06-24T00:00:00"/>
    <x v="7"/>
    <x v="3"/>
    <d v="2024-06-24T00:00:00"/>
    <s v="Q2-2024"/>
    <s v="Africa"/>
    <x v="11"/>
    <s v="Johannesburg"/>
    <s v="Components"/>
    <s v="High"/>
    <n v="1394.3"/>
    <n v="1394.3"/>
    <n v="0.27800000000000002"/>
    <n v="12"/>
    <n v="4055.5317599999998"/>
  </r>
  <r>
    <d v="2024-06-25T00:00:00"/>
    <x v="15"/>
    <x v="3"/>
    <d v="2024-06-25T00:00:00"/>
    <s v="Q2-2024"/>
    <s v="Africa"/>
    <x v="0"/>
    <s v="Mombasa"/>
    <s v="Phones"/>
    <s v="Low"/>
    <n v="15.41"/>
    <n v="15.41"/>
    <n v="0.13700000000000001"/>
    <n v="39"/>
    <n v="22483.549139999999"/>
  </r>
  <r>
    <d v="2024-06-26T00:00:00"/>
    <x v="21"/>
    <x v="3"/>
    <d v="2024-06-26T00:00:00"/>
    <s v="Q2-2024"/>
    <s v="Europe"/>
    <x v="8"/>
    <s v="Manchester"/>
    <s v="Phones"/>
    <s v="High"/>
    <n v="2250.81"/>
    <n v="2250.81"/>
    <n v="0.123"/>
    <n v="12"/>
    <n v="5654.22948"/>
  </r>
  <r>
    <d v="2024-06-27T00:00:00"/>
    <x v="1"/>
    <x v="3"/>
    <d v="2024-06-27T00:00:00"/>
    <s v="Q2-2024"/>
    <s v="Asia"/>
    <x v="2"/>
    <s v="Osaka"/>
    <s v="Networking"/>
    <s v="Medium"/>
    <n v="166.04"/>
    <n v="166.04"/>
    <n v="0"/>
    <n v="10"/>
    <n v="5727.1"/>
  </r>
  <r>
    <d v="2024-06-28T00:00:00"/>
    <x v="17"/>
    <x v="3"/>
    <d v="2024-06-28T00:00:00"/>
    <s v="Q2-2024"/>
    <s v="Africa"/>
    <x v="0"/>
    <s v="Kisumu"/>
    <s v="Accessories"/>
    <s v="High"/>
    <n v="356.55"/>
    <n v="356.55"/>
    <n v="0.22900000000000001"/>
    <n v="2"/>
    <n v="3583.4075399999997"/>
  </r>
  <r>
    <d v="2024-06-29T00:00:00"/>
    <x v="17"/>
    <x v="3"/>
    <d v="2024-06-29T00:00:00"/>
    <s v="Q2-2024"/>
    <s v="Asia"/>
    <x v="9"/>
    <s v="Shenzhen"/>
    <s v="Components"/>
    <s v="High"/>
    <n v="1025.05"/>
    <n v="1025.05"/>
    <n v="0"/>
    <n v="27"/>
    <n v="44038.080000000002"/>
  </r>
  <r>
    <d v="2024-06-30T00:00:00"/>
    <x v="17"/>
    <x v="3"/>
    <d v="2024-06-30T00:00:00"/>
    <s v="Q2-2024"/>
    <s v="Europe"/>
    <x v="8"/>
    <s v="Birmingham"/>
    <s v="Laptops"/>
    <s v="High"/>
    <n v="1795.17"/>
    <n v="1795.17"/>
    <n v="1.2E-2"/>
    <n v="17"/>
    <n v="6606.0347600000005"/>
  </r>
  <r>
    <d v="2024-07-01T00:00:00"/>
    <x v="17"/>
    <x v="4"/>
    <d v="2024-07-01T00:00:00"/>
    <s v="Q3-2024"/>
    <s v="Africa"/>
    <x v="11"/>
    <s v="Durban"/>
    <s v="Networking"/>
    <s v="Low"/>
    <n v="4.37"/>
    <n v="4.37"/>
    <n v="0.11799999999999999"/>
    <n v="9"/>
    <n v="14734.198080000002"/>
  </r>
  <r>
    <d v="2024-07-02T00:00:00"/>
    <x v="10"/>
    <x v="4"/>
    <d v="2024-07-02T00:00:00"/>
    <s v="Q3-2024"/>
    <s v="Americas"/>
    <x v="10"/>
    <s v="Austin"/>
    <s v="Accessories"/>
    <s v="High"/>
    <n v="218.5"/>
    <n v="218.5"/>
    <n v="0.11899999999999999"/>
    <n v="11"/>
    <n v="822.7659000000001"/>
  </r>
  <r>
    <d v="2024-07-03T00:00:00"/>
    <x v="30"/>
    <x v="4"/>
    <d v="2024-07-03T00:00:00"/>
    <s v="Q3-2024"/>
    <s v="Asia"/>
    <x v="2"/>
    <s v="Tokyo"/>
    <s v="Networking"/>
    <s v="High"/>
    <n v="249.87"/>
    <n v="249.87"/>
    <n v="0"/>
    <n v="6"/>
    <n v="13513.439999999999"/>
  </r>
  <r>
    <d v="2024-07-04T00:00:00"/>
    <x v="22"/>
    <x v="4"/>
    <d v="2024-07-04T00:00:00"/>
    <s v="Q3-2024"/>
    <s v="Americas"/>
    <x v="5"/>
    <s v="Brasília"/>
    <s v="Monitors"/>
    <s v="High"/>
    <n v="3436.52"/>
    <n v="3436.52"/>
    <n v="0.108"/>
    <n v="8"/>
    <n v="6576.6803200000004"/>
  </r>
  <r>
    <d v="2024-07-05T00:00:00"/>
    <x v="16"/>
    <x v="4"/>
    <d v="2024-07-05T00:00:00"/>
    <s v="Q3-2024"/>
    <s v="Americas"/>
    <x v="3"/>
    <s v="Toronto"/>
    <s v="Printers"/>
    <s v="Medium"/>
    <n v="53.45"/>
    <n v="53.45"/>
    <n v="0.157"/>
    <n v="17"/>
    <n v="23548.41258"/>
  </r>
  <r>
    <d v="2024-07-06T00:00:00"/>
    <x v="6"/>
    <x v="4"/>
    <d v="2024-07-06T00:00:00"/>
    <s v="Q3-2024"/>
    <s v="Europe"/>
    <x v="6"/>
    <s v="Frankfurt"/>
    <s v="Laptops"/>
    <s v="High"/>
    <n v="3469.7"/>
    <n v="3469.7"/>
    <n v="0.184"/>
    <n v="23"/>
    <n v="27535.846560000005"/>
  </r>
  <r>
    <d v="2024-07-07T00:00:00"/>
    <x v="23"/>
    <x v="4"/>
    <d v="2024-07-07T00:00:00"/>
    <s v="Q3-2024"/>
    <s v="Asia"/>
    <x v="9"/>
    <s v="Beijing"/>
    <s v="Monitors"/>
    <s v="High"/>
    <n v="621.02"/>
    <n v="621.02"/>
    <n v="7.0999999999999994E-2"/>
    <n v="10"/>
    <n v="9278.4804000000004"/>
  </r>
  <r>
    <d v="2024-07-08T00:00:00"/>
    <x v="13"/>
    <x v="4"/>
    <d v="2024-07-08T00:00:00"/>
    <s v="Q3-2024"/>
    <s v="Americas"/>
    <x v="3"/>
    <s v="Vancouver"/>
    <s v="Laptops"/>
    <s v="Medium"/>
    <n v="88.51"/>
    <n v="88.51"/>
    <n v="4.2999999999999997E-2"/>
    <n v="7"/>
    <n v="4225.1932799999995"/>
  </r>
  <r>
    <d v="2024-07-09T00:00:00"/>
    <x v="16"/>
    <x v="4"/>
    <d v="2024-07-09T00:00:00"/>
    <s v="Q3-2024"/>
    <s v="Europe"/>
    <x v="8"/>
    <s v="Not Provided"/>
    <s v="Networking"/>
    <s v="High"/>
    <n v="1959.09"/>
    <n v="1959.09"/>
    <n v="0.123"/>
    <n v="23"/>
    <n v="14696.792309999999"/>
  </r>
  <r>
    <d v="2024-07-10T00:00:00"/>
    <x v="30"/>
    <x v="4"/>
    <d v="2024-07-10T00:00:00"/>
    <s v="Q3-2024"/>
    <s v="Europe"/>
    <x v="7"/>
    <s v="Lyon"/>
    <s v="Monitors"/>
    <s v="High"/>
    <n v="2742.97"/>
    <n v="2742.97"/>
    <n v="6.9000000000000006E-2"/>
    <n v="9"/>
    <n v="7972.7022900000002"/>
  </r>
  <r>
    <d v="2024-07-11T00:00:00"/>
    <x v="4"/>
    <x v="4"/>
    <d v="2024-07-11T00:00:00"/>
    <s v="Q3-2024"/>
    <s v="Africa"/>
    <x v="0"/>
    <s v="Kisumu"/>
    <s v="Phones"/>
    <s v="High"/>
    <n v="1679.42"/>
    <n v="1679.42"/>
    <n v="0.20300000000000001"/>
    <n v="12"/>
    <n v="7009.2643199999993"/>
  </r>
  <r>
    <d v="2024-07-12T00:00:00"/>
    <x v="18"/>
    <x v="4"/>
    <d v="2024-07-12T00:00:00"/>
    <s v="Q3-2024"/>
    <s v="Americas"/>
    <x v="5"/>
    <s v="Brasília"/>
    <s v="Networking"/>
    <s v="High"/>
    <n v="1433.9"/>
    <n v="1433.9"/>
    <n v="5.7000000000000002E-2"/>
    <n v="8"/>
    <n v="18192.506879999997"/>
  </r>
  <r>
    <d v="2024-07-13T00:00:00"/>
    <x v="25"/>
    <x v="4"/>
    <d v="2024-07-13T00:00:00"/>
    <s v="Q3-2024"/>
    <s v="Americas"/>
    <x v="3"/>
    <s v="Montreal"/>
    <s v="Components"/>
    <s v="High"/>
    <n v="284.43"/>
    <n v="284.43"/>
    <n v="8.8999999999999996E-2"/>
    <n v="8"/>
    <n v="4141.6975199999997"/>
  </r>
  <r>
    <d v="2024-07-14T00:00:00"/>
    <x v="25"/>
    <x v="4"/>
    <d v="2024-07-14T00:00:00"/>
    <s v="Q3-2024"/>
    <s v="Asia"/>
    <x v="9"/>
    <s v="Shanghai"/>
    <s v="Components"/>
    <s v="High"/>
    <n v="694.78"/>
    <n v="694.78"/>
    <n v="8.4000000000000005E-2"/>
    <n v="14"/>
    <n v="16093.478800000001"/>
  </r>
  <r>
    <d v="2024-07-15T00:00:00"/>
    <x v="17"/>
    <x v="4"/>
    <d v="2024-07-15T00:00:00"/>
    <s v="Q3-2024"/>
    <s v="Europe"/>
    <x v="6"/>
    <s v="Berlin"/>
    <s v="Components"/>
    <s v="High"/>
    <n v="1848.39"/>
    <n v="1848.39"/>
    <n v="7.2999999999999995E-2"/>
    <n v="38"/>
    <n v="29785.344300000001"/>
  </r>
  <r>
    <d v="2024-07-16T00:00:00"/>
    <x v="28"/>
    <x v="4"/>
    <d v="2024-07-16T00:00:00"/>
    <s v="Q3-2024"/>
    <s v="Europe"/>
    <x v="8"/>
    <s v="London"/>
    <s v="Components"/>
    <s v="Low"/>
    <n v="45.19"/>
    <n v="45.19"/>
    <n v="0.17899999999999999"/>
    <n v="23"/>
    <n v="40507.245110000003"/>
  </r>
  <r>
    <d v="2024-07-17T00:00:00"/>
    <x v="7"/>
    <x v="4"/>
    <d v="2024-07-17T00:00:00"/>
    <s v="Q3-2024"/>
    <s v="Americas"/>
    <x v="10"/>
    <s v="San Francisco"/>
    <s v="Phones"/>
    <s v="High"/>
    <n v="361.1"/>
    <n v="361.1"/>
    <n v="0.187"/>
    <n v="9"/>
    <n v="9877.5109800000009"/>
  </r>
  <r>
    <d v="2024-07-18T00:00:00"/>
    <x v="5"/>
    <x v="4"/>
    <d v="2024-07-18T00:00:00"/>
    <s v="Q3-2024"/>
    <s v="Americas"/>
    <x v="10"/>
    <s v="San Francisco"/>
    <s v="Networking"/>
    <s v="High"/>
    <n v="1004.34"/>
    <n v="1004.34"/>
    <n v="0.111"/>
    <n v="18"/>
    <n v="8440.7349599999998"/>
  </r>
  <r>
    <d v="2024-07-19T00:00:00"/>
    <x v="26"/>
    <x v="4"/>
    <d v="2024-07-19T00:00:00"/>
    <s v="Q3-2024"/>
    <s v="Americas"/>
    <x v="5"/>
    <s v="São Paulo"/>
    <s v="Monitors"/>
    <s v="High"/>
    <n v="1027.73"/>
    <n v="1027.73"/>
    <n v="6.3E-2"/>
    <n v="8"/>
    <n v="10997.906320000002"/>
  </r>
  <r>
    <d v="2024-07-20T00:00:00"/>
    <x v="3"/>
    <x v="4"/>
    <d v="2024-07-20T00:00:00"/>
    <s v="Q3-2024"/>
    <s v="Africa"/>
    <x v="1"/>
    <s v="Abuja"/>
    <s v="Accessories"/>
    <s v="High"/>
    <n v="468.09"/>
    <n v="468.09"/>
    <n v="0.14199999999999999"/>
    <n v="11"/>
    <n v="15583.45932"/>
  </r>
  <r>
    <d v="2024-07-21T00:00:00"/>
    <x v="5"/>
    <x v="4"/>
    <d v="2024-07-21T00:00:00"/>
    <s v="Q3-2024"/>
    <s v="Europe"/>
    <x v="8"/>
    <s v="Manchester"/>
    <s v="Laptops"/>
    <s v="High"/>
    <n v="668.02"/>
    <n v="668.02"/>
    <n v="0.22"/>
    <n v="16"/>
    <n v="24737.606400000001"/>
  </r>
  <r>
    <d v="2024-07-22T00:00:00"/>
    <x v="10"/>
    <x v="4"/>
    <d v="2024-07-22T00:00:00"/>
    <s v="Q3-2024"/>
    <s v="Asia"/>
    <x v="9"/>
    <s v="Beijing"/>
    <s v="Phones"/>
    <s v="High"/>
    <n v="537.27"/>
    <n v="537.27"/>
    <n v="0.187"/>
    <n v="8"/>
    <n v="16599.638879999999"/>
  </r>
  <r>
    <d v="2024-07-23T00:00:00"/>
    <x v="6"/>
    <x v="4"/>
    <d v="2024-07-23T00:00:00"/>
    <s v="Q3-2024"/>
    <s v="Americas"/>
    <x v="10"/>
    <s v="San Francisco"/>
    <s v="Printers"/>
    <s v="High"/>
    <n v="572.71"/>
    <n v="572.71"/>
    <n v="0.192"/>
    <n v="26"/>
    <n v="10987.39408"/>
  </r>
  <r>
    <d v="2024-07-24T00:00:00"/>
    <x v="12"/>
    <x v="4"/>
    <d v="2024-07-24T00:00:00"/>
    <s v="Q3-2024"/>
    <s v="Europe"/>
    <x v="7"/>
    <s v="Lyon"/>
    <s v="Monitors"/>
    <s v="High"/>
    <n v="2323.87"/>
    <n v="2323.87"/>
    <n v="9.4E-2"/>
    <n v="13"/>
    <n v="14342.18838"/>
  </r>
  <r>
    <d v="2024-07-25T00:00:00"/>
    <x v="6"/>
    <x v="4"/>
    <d v="2024-07-25T00:00:00"/>
    <s v="Q3-2024"/>
    <s v="Asia"/>
    <x v="9"/>
    <s v="Shenzhen"/>
    <s v="Components"/>
    <s v="High"/>
    <n v="1631.04"/>
    <n v="1631.04"/>
    <n v="8.9999999999999993E-3"/>
    <n v="6"/>
    <n v="7989.2834400000002"/>
  </r>
  <r>
    <d v="2024-07-26T00:00:00"/>
    <x v="22"/>
    <x v="4"/>
    <d v="2024-07-26T00:00:00"/>
    <s v="Q3-2024"/>
    <s v="Africa"/>
    <x v="0"/>
    <s v="Mombasa"/>
    <s v="Phones"/>
    <s v="High"/>
    <n v="393.31"/>
    <n v="393.31"/>
    <n v="0.26500000000000001"/>
    <n v="15"/>
    <n v="3326.2424999999998"/>
  </r>
  <r>
    <d v="2024-07-27T00:00:00"/>
    <x v="18"/>
    <x v="4"/>
    <d v="2024-07-27T00:00:00"/>
    <s v="Q3-2024"/>
    <s v="Europe"/>
    <x v="7"/>
    <s v="Paris"/>
    <s v="Printers"/>
    <s v="High"/>
    <n v="1856.16"/>
    <n v="1856.16"/>
    <n v="0.129"/>
    <n v="22"/>
    <n v="28967.387020000002"/>
  </r>
  <r>
    <d v="2024-07-28T00:00:00"/>
    <x v="31"/>
    <x v="4"/>
    <d v="2024-07-28T00:00:00"/>
    <s v="Q3-2024"/>
    <s v="Asia"/>
    <x v="9"/>
    <s v="Beijing"/>
    <s v="Accessories"/>
    <s v="Medium"/>
    <n v="84.9"/>
    <n v="84.9"/>
    <n v="0.25900000000000001"/>
    <n v="23"/>
    <n v="35027.455319999994"/>
  </r>
  <r>
    <d v="2024-07-29T00:00:00"/>
    <x v="15"/>
    <x v="4"/>
    <d v="2024-07-29T00:00:00"/>
    <s v="Q3-2024"/>
    <s v="Asia"/>
    <x v="4"/>
    <s v="Delhi"/>
    <s v="Monitors"/>
    <s v="High"/>
    <n v="2252.2399999999998"/>
    <n v="2252.2399999999998"/>
    <n v="0.11799999999999999"/>
    <n v="44"/>
    <n v="15179.749199999998"/>
  </r>
  <r>
    <d v="2024-07-30T00:00:00"/>
    <x v="6"/>
    <x v="4"/>
    <d v="2024-07-30T00:00:00"/>
    <s v="Q3-2024"/>
    <s v="Europe"/>
    <x v="6"/>
    <s v="Berlin"/>
    <s v="Phones"/>
    <s v="High"/>
    <n v="921.62"/>
    <n v="921.62"/>
    <n v="0.01"/>
    <n v="9"/>
    <n v="16474.322700000001"/>
  </r>
  <r>
    <d v="2024-07-31T00:00:00"/>
    <x v="24"/>
    <x v="4"/>
    <d v="2024-07-31T00:00:00"/>
    <s v="Q3-2024"/>
    <s v="Americas"/>
    <x v="10"/>
    <s v="New York"/>
    <s v="Accessories"/>
    <s v="High"/>
    <n v="1643.18"/>
    <n v="1643.18"/>
    <n v="0.151"/>
    <n v="23"/>
    <n v="27251.100119999996"/>
  </r>
  <r>
    <d v="2024-08-01T00:00:00"/>
    <x v="17"/>
    <x v="5"/>
    <d v="2024-08-01T00:00:00"/>
    <s v="Q3-2024"/>
    <s v="Americas"/>
    <x v="3"/>
    <s v="Toronto"/>
    <s v="Printers"/>
    <s v="High"/>
    <n v="1467.17"/>
    <n v="1467.17"/>
    <n v="0.245"/>
    <n v="9"/>
    <n v="3655.9817999999996"/>
  </r>
  <r>
    <d v="2024-08-02T00:00:00"/>
    <x v="24"/>
    <x v="5"/>
    <d v="2024-08-02T00:00:00"/>
    <s v="Q3-2024"/>
    <s v="Americas"/>
    <x v="5"/>
    <s v="Brasília"/>
    <s v="Networking"/>
    <s v="High"/>
    <n v="998.76"/>
    <n v="998.76"/>
    <n v="8.2000000000000003E-2"/>
    <n v="28"/>
    <n v="31331.119680000003"/>
  </r>
  <r>
    <d v="2024-08-03T00:00:00"/>
    <x v="30"/>
    <x v="5"/>
    <d v="2024-08-03T00:00:00"/>
    <s v="Q3-2024"/>
    <s v="Africa"/>
    <x v="11"/>
    <s v="Durban"/>
    <s v="Laptops"/>
    <s v="High"/>
    <n v="630.72"/>
    <n v="630.72"/>
    <n v="0.107"/>
    <n v="23"/>
    <n v="42353.882679999995"/>
  </r>
  <r>
    <d v="2024-08-04T00:00:00"/>
    <x v="11"/>
    <x v="5"/>
    <d v="2024-08-04T00:00:00"/>
    <s v="Q3-2024"/>
    <s v="Africa"/>
    <x v="0"/>
    <s v="Nairobi"/>
    <s v="Laptops"/>
    <s v="High"/>
    <n v="728.61"/>
    <n v="728.61"/>
    <n v="0.185"/>
    <n v="6"/>
    <n v="49.780199999999994"/>
  </r>
  <r>
    <d v="2024-08-05T00:00:00"/>
    <x v="20"/>
    <x v="5"/>
    <d v="2024-08-05T00:00:00"/>
    <s v="Q3-2024"/>
    <s v="Europe"/>
    <x v="6"/>
    <s v="Frankfurt"/>
    <s v="Accessories"/>
    <s v="High"/>
    <n v="951.51"/>
    <n v="951.51"/>
    <n v="0"/>
    <n v="14"/>
    <n v="31944.079999999998"/>
  </r>
  <r>
    <d v="2024-08-06T00:00:00"/>
    <x v="27"/>
    <x v="5"/>
    <d v="2024-08-06T00:00:00"/>
    <s v="Q3-2024"/>
    <s v="Europe"/>
    <x v="7"/>
    <s v="Lyon"/>
    <s v="Printers"/>
    <s v="High"/>
    <n v="732.88"/>
    <n v="732.88"/>
    <n v="0.188"/>
    <n v="25"/>
    <n v="5066.2710000000006"/>
  </r>
  <r>
    <d v="2024-08-07T00:00:00"/>
    <x v="29"/>
    <x v="5"/>
    <d v="2024-08-07T00:00:00"/>
    <s v="Q3-2024"/>
    <s v="Americas"/>
    <x v="3"/>
    <s v="Vancouver"/>
    <s v="Phones"/>
    <s v="High"/>
    <n v="2411.52"/>
    <n v="2411.52"/>
    <n v="2.1000000000000001E-2"/>
    <n v="18"/>
    <n v="57712.049999999996"/>
  </r>
  <r>
    <d v="2024-08-08T00:00:00"/>
    <x v="19"/>
    <x v="5"/>
    <d v="2024-08-08T00:00:00"/>
    <s v="Q3-2024"/>
    <s v="Americas"/>
    <x v="3"/>
    <s v="Montreal"/>
    <s v="Printers"/>
    <s v="High"/>
    <n v="568.29"/>
    <n v="568.29"/>
    <n v="0.13100000000000001"/>
    <n v="16"/>
    <n v="26608.919040000001"/>
  </r>
  <r>
    <d v="2024-08-09T00:00:00"/>
    <x v="24"/>
    <x v="5"/>
    <d v="2024-08-09T00:00:00"/>
    <s v="Q3-2024"/>
    <s v="Africa"/>
    <x v="11"/>
    <s v="Johannesburg"/>
    <s v="Laptops"/>
    <s v="High"/>
    <n v="1254.95"/>
    <n v="1254.95"/>
    <n v="4.4999999999999998E-2"/>
    <n v="18"/>
    <n v="517.24709999999993"/>
  </r>
  <r>
    <d v="2024-08-10T00:00:00"/>
    <x v="4"/>
    <x v="5"/>
    <d v="2024-08-10T00:00:00"/>
    <s v="Q3-2024"/>
    <s v="Asia"/>
    <x v="2"/>
    <s v="Tokyo"/>
    <s v="Printers"/>
    <s v="High"/>
    <n v="845.55"/>
    <n v="845.55"/>
    <n v="0.184"/>
    <n v="6"/>
    <n v="2454.4137600000004"/>
  </r>
  <r>
    <d v="2024-08-11T00:00:00"/>
    <x v="31"/>
    <x v="5"/>
    <d v="2024-08-11T00:00:00"/>
    <s v="Q3-2024"/>
    <s v="Africa"/>
    <x v="0"/>
    <s v="Kisumu"/>
    <s v="Printers"/>
    <s v="High"/>
    <n v="2145.17"/>
    <n v="2145.17"/>
    <n v="0.13600000000000001"/>
    <n v="16"/>
    <n v="5684.1523200000001"/>
  </r>
  <r>
    <d v="2024-08-12T00:00:00"/>
    <x v="32"/>
    <x v="5"/>
    <d v="2024-08-12T00:00:00"/>
    <s v="Q3-2024"/>
    <s v="Africa"/>
    <x v="0"/>
    <s v="Kisumu"/>
    <s v="Accessories"/>
    <s v="High"/>
    <n v="1349.94"/>
    <n v="1349.94"/>
    <n v="0.184"/>
    <n v="10"/>
    <n v="48.307200000000009"/>
  </r>
  <r>
    <d v="2024-08-13T00:00:00"/>
    <x v="21"/>
    <x v="5"/>
    <d v="2024-08-13T00:00:00"/>
    <s v="Q3-2024"/>
    <s v="Asia"/>
    <x v="2"/>
    <s v="Osaka"/>
    <s v="Networking"/>
    <s v="High"/>
    <n v="527.48"/>
    <n v="527.48"/>
    <n v="0.111"/>
    <n v="19"/>
    <n v="37272.187330000001"/>
  </r>
  <r>
    <d v="2024-08-14T00:00:00"/>
    <x v="31"/>
    <x v="5"/>
    <d v="2024-08-14T00:00:00"/>
    <s v="Q3-2024"/>
    <s v="Europe"/>
    <x v="7"/>
    <s v="Paris"/>
    <s v="Networking"/>
    <s v="High"/>
    <n v="1467.17"/>
    <n v="1467.17"/>
    <n v="1.7999999999999999E-2"/>
    <n v="5"/>
    <n v="9391.848"/>
  </r>
  <r>
    <d v="2024-08-15T00:00:00"/>
    <x v="21"/>
    <x v="5"/>
    <d v="2024-08-15T00:00:00"/>
    <s v="Q3-2024"/>
    <s v="Asia"/>
    <x v="4"/>
    <s v="Delhi"/>
    <s v="Components"/>
    <s v="High"/>
    <n v="1651.14"/>
    <n v="1651.14"/>
    <n v="2.5000000000000001E-2"/>
    <n v="15"/>
    <n v="20216.283749999999"/>
  </r>
  <r>
    <d v="2024-08-16T00:00:00"/>
    <x v="26"/>
    <x v="5"/>
    <d v="2024-08-16T00:00:00"/>
    <s v="Q3-2024"/>
    <s v="Europe"/>
    <x v="6"/>
    <s v="Frankfurt"/>
    <s v="Accessories"/>
    <s v="High"/>
    <n v="1982.18"/>
    <n v="1982.18"/>
    <n v="0.127"/>
    <n v="6"/>
    <n v="7100.6851799999995"/>
  </r>
  <r>
    <d v="2024-08-17T00:00:00"/>
    <x v="28"/>
    <x v="5"/>
    <d v="2024-08-17T00:00:00"/>
    <s v="Q3-2024"/>
    <s v="Asia"/>
    <x v="9"/>
    <s v="Shanghai"/>
    <s v="Phones"/>
    <s v="High"/>
    <n v="2552.2199999999998"/>
    <n v="2552.2199999999998"/>
    <n v="0.18099999999999999"/>
    <n v="14"/>
    <n v="10180.661399999999"/>
  </r>
  <r>
    <d v="2024-08-18T00:00:00"/>
    <x v="2"/>
    <x v="5"/>
    <d v="2024-08-18T00:00:00"/>
    <s v="Q3-2024"/>
    <s v="Asia"/>
    <x v="4"/>
    <s v="Delhi"/>
    <s v="Monitors"/>
    <s v="High"/>
    <n v="523.01"/>
    <n v="523.01"/>
    <n v="0.157"/>
    <n v="50"/>
    <n v="43022.083500000001"/>
  </r>
  <r>
    <d v="2024-08-19T00:00:00"/>
    <x v="1"/>
    <x v="5"/>
    <d v="2024-08-19T00:00:00"/>
    <s v="Q3-2024"/>
    <s v="Asia"/>
    <x v="9"/>
    <s v="Shenzhen"/>
    <s v="Components"/>
    <s v="High"/>
    <n v="1217.71"/>
    <n v="1217.71"/>
    <n v="7.1999999999999995E-2"/>
    <n v="5"/>
    <n v="6475.2592000000004"/>
  </r>
  <r>
    <d v="2024-08-20T00:00:00"/>
    <x v="20"/>
    <x v="5"/>
    <d v="2024-08-20T00:00:00"/>
    <s v="Q3-2024"/>
    <s v="Americas"/>
    <x v="5"/>
    <s v="Brasília"/>
    <s v="Phones"/>
    <s v="High"/>
    <n v="1343.64"/>
    <n v="1343.64"/>
    <n v="0.13300000000000001"/>
    <n v="7"/>
    <n v="13797.385980000001"/>
  </r>
  <r>
    <d v="2024-08-21T00:00:00"/>
    <x v="22"/>
    <x v="5"/>
    <d v="2024-08-21T00:00:00"/>
    <s v="Q3-2024"/>
    <s v="Asia"/>
    <x v="2"/>
    <s v="Osaka"/>
    <s v="Monitors"/>
    <s v="High"/>
    <n v="301.7"/>
    <n v="301.7"/>
    <n v="0.14000000000000001"/>
    <n v="47"/>
    <n v="50207.703000000001"/>
  </r>
  <r>
    <d v="2024-08-22T00:00:00"/>
    <x v="17"/>
    <x v="5"/>
    <d v="2024-08-22T00:00:00"/>
    <s v="Q3-2024"/>
    <s v="Asia"/>
    <x v="9"/>
    <s v="Shanghai"/>
    <s v="Printers"/>
    <s v="High"/>
    <n v="1511.71"/>
    <n v="1511.71"/>
    <n v="0.02"/>
    <n v="8"/>
    <n v="10272.6736"/>
  </r>
  <r>
    <d v="2024-08-23T00:00:00"/>
    <x v="2"/>
    <x v="5"/>
    <d v="2024-08-23T00:00:00"/>
    <s v="Q3-2024"/>
    <s v="Europe"/>
    <x v="6"/>
    <s v="Berlin"/>
    <s v="Monitors"/>
    <s v="High"/>
    <n v="2055.2399999999998"/>
    <n v="2055.2399999999998"/>
    <n v="5.2999999999999999E-2"/>
    <n v="44"/>
    <n v="40303.373"/>
  </r>
  <r>
    <d v="2024-08-24T00:00:00"/>
    <x v="12"/>
    <x v="5"/>
    <d v="2024-08-24T00:00:00"/>
    <s v="Q3-2024"/>
    <s v="Asia"/>
    <x v="9"/>
    <s v="Shenzhen"/>
    <s v="Laptops"/>
    <s v="High"/>
    <n v="391.15"/>
    <n v="391.15"/>
    <n v="0.19700000000000001"/>
    <n v="46"/>
    <n v="32735.194359999998"/>
  </r>
  <r>
    <d v="2024-08-25T00:00:00"/>
    <x v="7"/>
    <x v="5"/>
    <d v="2024-08-25T00:00:00"/>
    <s v="Q3-2024"/>
    <s v="Europe"/>
    <x v="7"/>
    <s v="Marseille"/>
    <s v="Monitors"/>
    <s v="High"/>
    <n v="1848.97"/>
    <n v="1848.97"/>
    <n v="0.254"/>
    <n v="9"/>
    <n v="5308.1555399999997"/>
  </r>
  <r>
    <d v="2024-08-26T00:00:00"/>
    <x v="32"/>
    <x v="5"/>
    <d v="2024-08-26T00:00:00"/>
    <s v="Q3-2024"/>
    <s v="Asia"/>
    <x v="4"/>
    <s v="Hyderabad"/>
    <s v="Monitors"/>
    <s v="High"/>
    <n v="1395.56"/>
    <n v="1395.56"/>
    <n v="0.185"/>
    <n v="6"/>
    <n v="1766.9036999999998"/>
  </r>
  <r>
    <d v="2024-08-27T00:00:00"/>
    <x v="1"/>
    <x v="5"/>
    <d v="2024-08-27T00:00:00"/>
    <s v="Q3-2024"/>
    <s v="Europe"/>
    <x v="8"/>
    <s v="Manchester"/>
    <s v="Components"/>
    <s v="High"/>
    <n v="538.04"/>
    <n v="538.04"/>
    <n v="0.13900000000000001"/>
    <n v="5"/>
    <n v="8403.5321999999996"/>
  </r>
  <r>
    <d v="2024-08-28T00:00:00"/>
    <x v="14"/>
    <x v="5"/>
    <d v="2024-08-28T00:00:00"/>
    <s v="Q3-2024"/>
    <s v="Asia"/>
    <x v="2"/>
    <s v="Tokyo"/>
    <s v="Accessories"/>
    <s v="High"/>
    <n v="1218.92"/>
    <n v="1218.92"/>
    <n v="0.254"/>
    <n v="16"/>
    <n v="18676.97536"/>
  </r>
  <r>
    <d v="2024-08-29T00:00:00"/>
    <x v="27"/>
    <x v="5"/>
    <d v="2024-08-29T00:00:00"/>
    <s v="Q3-2024"/>
    <s v="Asia"/>
    <x v="2"/>
    <s v="Tokyo"/>
    <s v="Components"/>
    <s v="High"/>
    <n v="2062.12"/>
    <n v="2062.12"/>
    <n v="0.13400000000000001"/>
    <n v="5"/>
    <n v="3691.4982"/>
  </r>
  <r>
    <d v="2024-08-30T00:00:00"/>
    <x v="2"/>
    <x v="5"/>
    <d v="2024-08-30T00:00:00"/>
    <s v="Q3-2024"/>
    <s v="Americas"/>
    <x v="10"/>
    <s v="New York"/>
    <s v="Components"/>
    <s v="Low"/>
    <n v="10.18"/>
    <n v="10.18"/>
    <n v="4.7E-2"/>
    <n v="10"/>
    <n v="13964.213699999998"/>
  </r>
  <r>
    <d v="2024-08-31T00:00:00"/>
    <x v="8"/>
    <x v="5"/>
    <d v="2024-08-31T00:00:00"/>
    <s v="Q3-2024"/>
    <s v="Africa"/>
    <x v="11"/>
    <s v="Johannesburg"/>
    <s v="Laptops"/>
    <s v="High"/>
    <n v="2281.7199999999998"/>
    <n v="2281.7199999999998"/>
    <n v="7.8E-2"/>
    <n v="15"/>
    <n v="36583.530899999998"/>
  </r>
  <r>
    <d v="2024-09-01T00:00:00"/>
    <x v="7"/>
    <x v="6"/>
    <d v="2024-09-01T00:00:00"/>
    <s v="Q3-2024"/>
    <s v="Africa"/>
    <x v="11"/>
    <s v="Johannesburg"/>
    <s v="Printers"/>
    <s v="High"/>
    <n v="249.57"/>
    <n v="249.57"/>
    <n v="2.1999999999999999E-2"/>
    <n v="8"/>
    <n v="6897.4036800000003"/>
  </r>
  <r>
    <d v="2024-09-02T00:00:00"/>
    <x v="19"/>
    <x v="6"/>
    <d v="2024-09-02T00:00:00"/>
    <s v="Q3-2024"/>
    <s v="Europe"/>
    <x v="8"/>
    <s v="Birmingham"/>
    <s v="Monitors"/>
    <s v="High"/>
    <n v="3275"/>
    <n v="3275"/>
    <n v="0.255"/>
    <n v="38"/>
    <n v="17694.882399999999"/>
  </r>
  <r>
    <d v="2024-09-03T00:00:00"/>
    <x v="25"/>
    <x v="6"/>
    <d v="2024-09-03T00:00:00"/>
    <s v="Q3-2024"/>
    <s v="Europe"/>
    <x v="8"/>
    <s v="London"/>
    <s v="Printers"/>
    <s v="High"/>
    <n v="1913.76"/>
    <n v="1913.76"/>
    <n v="9.0999999999999998E-2"/>
    <n v="9"/>
    <n v="7960.4402400000008"/>
  </r>
  <r>
    <d v="2024-09-04T00:00:00"/>
    <x v="31"/>
    <x v="6"/>
    <d v="2024-09-04T00:00:00"/>
    <s v="Q3-2024"/>
    <s v="Europe"/>
    <x v="6"/>
    <s v="Frankfurt"/>
    <s v="Components"/>
    <s v="Low"/>
    <n v="30.09"/>
    <n v="30.09"/>
    <n v="0.17699999999999999"/>
    <n v="13"/>
    <n v="16533.592659999998"/>
  </r>
  <r>
    <d v="2024-09-05T00:00:00"/>
    <x v="12"/>
    <x v="6"/>
    <d v="2024-09-05T00:00:00"/>
    <s v="Q3-2024"/>
    <s v="Americas"/>
    <x v="3"/>
    <s v="Vancouver"/>
    <s v="Monitors"/>
    <s v="High"/>
    <n v="501.31"/>
    <n v="501.31"/>
    <n v="5.6000000000000001E-2"/>
    <n v="15"/>
    <n v="31908.427200000002"/>
  </r>
  <r>
    <d v="2024-09-06T00:00:00"/>
    <x v="28"/>
    <x v="6"/>
    <d v="2024-09-06T00:00:00"/>
    <s v="Q3-2024"/>
    <s v="Asia"/>
    <x v="9"/>
    <s v="Shenzhen"/>
    <s v="Printers"/>
    <s v="High"/>
    <n v="411.18"/>
    <n v="411.18"/>
    <n v="0.17299999999999999"/>
    <n v="13"/>
    <n v="26302.966559999997"/>
  </r>
  <r>
    <d v="2024-09-07T00:00:00"/>
    <x v="11"/>
    <x v="6"/>
    <d v="2024-09-07T00:00:00"/>
    <s v="Q3-2024"/>
    <s v="Americas"/>
    <x v="5"/>
    <s v="Rio de Janeiro"/>
    <s v="Accessories"/>
    <s v="Low"/>
    <n v="5.92"/>
    <n v="5.92"/>
    <n v="0.21199999999999999"/>
    <n v="4"/>
    <n v="593.52160000000003"/>
  </r>
  <r>
    <d v="2024-09-08T00:00:00"/>
    <x v="1"/>
    <x v="6"/>
    <d v="2024-09-08T00:00:00"/>
    <s v="Q3-2024"/>
    <s v="Asia"/>
    <x v="9"/>
    <s v="Beijing"/>
    <s v="Phones"/>
    <s v="High"/>
    <n v="2206.63"/>
    <n v="2206.63"/>
    <n v="6.3E-2"/>
    <n v="20"/>
    <n v="48027.621600000006"/>
  </r>
  <r>
    <d v="2024-09-09T00:00:00"/>
    <x v="26"/>
    <x v="6"/>
    <d v="2024-09-09T00:00:00"/>
    <s v="Q3-2024"/>
    <s v="Asia"/>
    <x v="2"/>
    <s v="Osaka"/>
    <s v="Accessories"/>
    <s v="High"/>
    <n v="1912.8"/>
    <n v="1912.8"/>
    <n v="0.19600000000000001"/>
    <n v="5"/>
    <n v="7256.5421999999999"/>
  </r>
  <r>
    <d v="2024-09-10T00:00:00"/>
    <x v="25"/>
    <x v="6"/>
    <d v="2024-09-10T00:00:00"/>
    <s v="Q3-2024"/>
    <s v="Africa"/>
    <x v="1"/>
    <s v="Abuja"/>
    <s v="Monitors"/>
    <s v="High"/>
    <n v="1382.31"/>
    <n v="1382.31"/>
    <n v="0.10100000000000001"/>
    <n v="7"/>
    <n v="12999.63889"/>
  </r>
  <r>
    <d v="2024-09-11T00:00:00"/>
    <x v="1"/>
    <x v="6"/>
    <d v="2024-09-11T00:00:00"/>
    <s v="Q3-2024"/>
    <s v="Africa"/>
    <x v="1"/>
    <s v="Port Harcourt"/>
    <s v="Monitors"/>
    <s v="High"/>
    <n v="1355.61"/>
    <n v="1355.61"/>
    <n v="0.153"/>
    <n v="23"/>
    <n v="46101.981310000003"/>
  </r>
  <r>
    <d v="2024-09-12T00:00:00"/>
    <x v="23"/>
    <x v="6"/>
    <d v="2024-09-12T00:00:00"/>
    <s v="Q3-2024"/>
    <s v="Europe"/>
    <x v="7"/>
    <s v="Lyon"/>
    <s v="Accessories"/>
    <s v="High"/>
    <n v="887.9"/>
    <n v="887.9"/>
    <n v="2.5000000000000001E-2"/>
    <n v="12"/>
    <n v="1541.5919999999999"/>
  </r>
  <r>
    <d v="2024-09-13T00:00:00"/>
    <x v="10"/>
    <x v="6"/>
    <d v="2024-09-13T00:00:00"/>
    <s v="Q3-2024"/>
    <s v="Europe"/>
    <x v="7"/>
    <s v="Paris"/>
    <s v="Monitors"/>
    <s v="High"/>
    <n v="1020.69"/>
    <n v="1020.69"/>
    <n v="0.21099999999999999"/>
    <n v="6"/>
    <n v="6319.9846800000005"/>
  </r>
  <r>
    <d v="2024-09-14T00:00:00"/>
    <x v="5"/>
    <x v="6"/>
    <d v="2024-09-14T00:00:00"/>
    <s v="Q3-2024"/>
    <s v="Asia"/>
    <x v="4"/>
    <s v="Bengaluru"/>
    <s v="Accessories"/>
    <s v="High"/>
    <n v="1395.53"/>
    <n v="1395.53"/>
    <n v="0.23300000000000001"/>
    <n v="25"/>
    <n v="51608.553749999999"/>
  </r>
  <r>
    <d v="2024-09-15T00:00:00"/>
    <x v="24"/>
    <x v="6"/>
    <d v="2024-09-15T00:00:00"/>
    <s v="Q3-2024"/>
    <s v="Americas"/>
    <x v="5"/>
    <s v="Rio de Janeiro"/>
    <s v="Monitors"/>
    <s v="High"/>
    <n v="2273.42"/>
    <n v="2273.42"/>
    <n v="0.11799999999999999"/>
    <n v="14"/>
    <n v="9587.7280800000008"/>
  </r>
  <r>
    <d v="2024-09-16T00:00:00"/>
    <x v="7"/>
    <x v="6"/>
    <d v="2024-09-16T00:00:00"/>
    <s v="Q3-2024"/>
    <s v="Americas"/>
    <x v="5"/>
    <s v="Brasília"/>
    <s v="Monitors"/>
    <s v="High"/>
    <n v="1242.1500000000001"/>
    <n v="1242.1500000000001"/>
    <n v="1.2E-2"/>
    <n v="7"/>
    <n v="2200.4637200000002"/>
  </r>
  <r>
    <d v="2024-09-17T00:00:00"/>
    <x v="31"/>
    <x v="6"/>
    <d v="2024-09-17T00:00:00"/>
    <s v="Q3-2024"/>
    <s v="Asia"/>
    <x v="9"/>
    <s v="Shenzhen"/>
    <s v="Laptops"/>
    <s v="High"/>
    <n v="1310.29"/>
    <n v="1310.29"/>
    <n v="0.215"/>
    <n v="19"/>
    <n v="18590.205150000002"/>
  </r>
  <r>
    <d v="2024-09-18T00:00:00"/>
    <x v="25"/>
    <x v="6"/>
    <d v="2024-09-18T00:00:00"/>
    <s v="Q3-2024"/>
    <s v="Europe"/>
    <x v="8"/>
    <s v="Birmingham"/>
    <s v="Monitors"/>
    <s v="High"/>
    <n v="967.25"/>
    <n v="967.25"/>
    <n v="9.4E-2"/>
    <n v="10"/>
    <n v="3143.4576000000002"/>
  </r>
  <r>
    <d v="2024-09-19T00:00:00"/>
    <x v="21"/>
    <x v="6"/>
    <d v="2024-09-19T00:00:00"/>
    <s v="Q3-2024"/>
    <s v="Americas"/>
    <x v="10"/>
    <s v="Austin"/>
    <s v="Laptops"/>
    <s v="High"/>
    <n v="886.22"/>
    <n v="886.22"/>
    <n v="0.23599999999999999"/>
    <n v="36"/>
    <n v="13882.919040000001"/>
  </r>
  <r>
    <d v="2024-09-20T00:00:00"/>
    <x v="32"/>
    <x v="6"/>
    <d v="2024-09-20T00:00:00"/>
    <s v="Q3-2024"/>
    <s v="Asia"/>
    <x v="9"/>
    <s v="Shenzhen"/>
    <s v="Printers"/>
    <s v="High"/>
    <n v="790.61"/>
    <n v="790.61"/>
    <n v="7.1999999999999995E-2"/>
    <n v="6"/>
    <n v="5219.7772800000002"/>
  </r>
  <r>
    <d v="2024-09-21T00:00:00"/>
    <x v="15"/>
    <x v="6"/>
    <d v="2024-09-21T00:00:00"/>
    <s v="Q3-2024"/>
    <s v="Americas"/>
    <x v="10"/>
    <s v="San Francisco"/>
    <s v="Networking"/>
    <s v="High"/>
    <n v="361.33"/>
    <n v="361.33"/>
    <n v="9.4E-2"/>
    <n v="12"/>
    <n v="14139.90576"/>
  </r>
  <r>
    <d v="2024-09-22T00:00:00"/>
    <x v="29"/>
    <x v="6"/>
    <d v="2024-09-22T00:00:00"/>
    <s v="Q3-2024"/>
    <s v="Americas"/>
    <x v="5"/>
    <s v="São Paulo"/>
    <s v="Monitors"/>
    <s v="High"/>
    <n v="1952.04"/>
    <n v="1952.04"/>
    <n v="0.159"/>
    <n v="19"/>
    <n v="3645.6088500000001"/>
  </r>
  <r>
    <d v="2024-09-23T00:00:00"/>
    <x v="1"/>
    <x v="6"/>
    <d v="2024-09-23T00:00:00"/>
    <s v="Q3-2024"/>
    <s v="Asia"/>
    <x v="2"/>
    <s v="Osaka"/>
    <s v="Phones"/>
    <s v="High"/>
    <n v="1564.76"/>
    <n v="1564.76"/>
    <n v="0.185"/>
    <n v="17"/>
    <n v="6879.2846"/>
  </r>
  <r>
    <d v="2024-09-24T00:00:00"/>
    <x v="31"/>
    <x v="6"/>
    <d v="2024-09-24T00:00:00"/>
    <s v="Q3-2024"/>
    <s v="Africa"/>
    <x v="0"/>
    <s v="Kisumu"/>
    <s v="Phones"/>
    <s v="High"/>
    <n v="852.54"/>
    <n v="852.54"/>
    <n v="5.0999999999999997E-2"/>
    <n v="14"/>
    <n v="39076.783199999991"/>
  </r>
  <r>
    <d v="2024-09-25T00:00:00"/>
    <x v="5"/>
    <x v="6"/>
    <d v="2024-09-25T00:00:00"/>
    <s v="Q3-2024"/>
    <s v="Europe"/>
    <x v="6"/>
    <s v="Munich"/>
    <s v="Networking"/>
    <s v="High"/>
    <n v="1465.29"/>
    <n v="1465.29"/>
    <n v="0.186"/>
    <n v="7"/>
    <n v="6200.5636000000013"/>
  </r>
  <r>
    <d v="2024-09-26T00:00:00"/>
    <x v="12"/>
    <x v="6"/>
    <d v="2024-09-26T00:00:00"/>
    <s v="Q3-2024"/>
    <s v="Europe"/>
    <x v="6"/>
    <s v="Frankfurt"/>
    <s v="Printers"/>
    <s v="High"/>
    <n v="2645.23"/>
    <n v="2645.23"/>
    <n v="0.155"/>
    <n v="25"/>
    <n v="53428.293749999997"/>
  </r>
  <r>
    <d v="2024-09-27T00:00:00"/>
    <x v="5"/>
    <x v="6"/>
    <d v="2024-09-27T00:00:00"/>
    <s v="Q3-2024"/>
    <s v="Americas"/>
    <x v="10"/>
    <s v="Chicago"/>
    <s v="Phones"/>
    <s v="High"/>
    <n v="881.57"/>
    <n v="881.57"/>
    <n v="5.7000000000000002E-2"/>
    <n v="18"/>
    <n v="45796.021740000004"/>
  </r>
  <r>
    <d v="2024-09-28T00:00:00"/>
    <x v="9"/>
    <x v="6"/>
    <d v="2024-09-28T00:00:00"/>
    <s v="Q3-2024"/>
    <s v="Americas"/>
    <x v="10"/>
    <s v="Chicago"/>
    <s v="Printers"/>
    <s v="High"/>
    <n v="625.04"/>
    <n v="625.04"/>
    <n v="0.25800000000000001"/>
    <n v="10"/>
    <n v="11002.004999999999"/>
  </r>
  <r>
    <d v="2024-09-29T00:00:00"/>
    <x v="25"/>
    <x v="6"/>
    <d v="2024-09-29T00:00:00"/>
    <s v="Q3-2024"/>
    <s v="Americas"/>
    <x v="10"/>
    <s v="New York"/>
    <s v="Phones"/>
    <s v="High"/>
    <n v="973.04"/>
    <n v="973.04"/>
    <n v="0"/>
    <n v="26"/>
    <n v="37877.06"/>
  </r>
  <r>
    <d v="2024-09-30T00:00:00"/>
    <x v="5"/>
    <x v="6"/>
    <d v="2024-09-30T00:00:00"/>
    <s v="Q3-2024"/>
    <s v="Africa"/>
    <x v="0"/>
    <s v="Kisumu"/>
    <s v="Networking"/>
    <s v="High"/>
    <n v="1545.34"/>
    <n v="1545.34"/>
    <n v="0.24299999999999999"/>
    <n v="41"/>
    <n v="28497.86303"/>
  </r>
  <r>
    <d v="2024-10-01T00:00:00"/>
    <x v="26"/>
    <x v="7"/>
    <d v="2024-10-01T00:00:00"/>
    <s v="Q4-2024"/>
    <s v="Europe"/>
    <x v="8"/>
    <s v="Birmingham"/>
    <s v="Monitors"/>
    <s v="High"/>
    <n v="2253.42"/>
    <n v="2253.42"/>
    <n v="5.5E-2"/>
    <n v="12"/>
    <n v="554.97959999999989"/>
  </r>
  <r>
    <d v="2024-10-02T00:00:00"/>
    <x v="12"/>
    <x v="7"/>
    <d v="2024-10-02T00:00:00"/>
    <s v="Q4-2024"/>
    <s v="Europe"/>
    <x v="6"/>
    <s v="Berlin"/>
    <s v="Monitors"/>
    <s v="High"/>
    <n v="2446.56"/>
    <n v="2446.56"/>
    <n v="2.9000000000000001E-2"/>
    <n v="11"/>
    <n v="9957.7894899999992"/>
  </r>
  <r>
    <d v="2024-10-03T00:00:00"/>
    <x v="24"/>
    <x v="7"/>
    <d v="2024-10-03T00:00:00"/>
    <s v="Q4-2024"/>
    <s v="Europe"/>
    <x v="8"/>
    <s v="Birmingham"/>
    <s v="Components"/>
    <s v="Medium"/>
    <n v="188.3"/>
    <n v="188.3"/>
    <n v="3.7999999999999999E-2"/>
    <n v="37"/>
    <n v="11596.169260000001"/>
  </r>
  <r>
    <d v="2024-10-04T00:00:00"/>
    <x v="10"/>
    <x v="7"/>
    <d v="2024-10-04T00:00:00"/>
    <s v="Q4-2024"/>
    <s v="Africa"/>
    <x v="0"/>
    <s v="Nairobi"/>
    <s v="Accessories"/>
    <s v="High"/>
    <n v="2562.84"/>
    <n v="2562.84"/>
    <n v="0.14799999999999999"/>
    <n v="13"/>
    <n v="4496.5237200000001"/>
  </r>
  <r>
    <d v="2024-10-05T00:00:00"/>
    <x v="29"/>
    <x v="7"/>
    <d v="2024-10-05T00:00:00"/>
    <s v="Q4-2024"/>
    <s v="Africa"/>
    <x v="0"/>
    <s v="Kisumu"/>
    <s v="Printers"/>
    <s v="High"/>
    <n v="1805.11"/>
    <n v="1805.11"/>
    <n v="0.20300000000000001"/>
    <n v="11"/>
    <n v="13931.376689999999"/>
  </r>
  <r>
    <d v="2024-10-06T00:00:00"/>
    <x v="13"/>
    <x v="7"/>
    <d v="2024-10-06T00:00:00"/>
    <s v="Q4-2024"/>
    <s v="Africa"/>
    <x v="1"/>
    <s v="Lagos"/>
    <s v="Accessories"/>
    <s v="High"/>
    <n v="2065.73"/>
    <n v="2065.73"/>
    <n v="0.13600000000000001"/>
    <n v="10"/>
    <n v="12379.392"/>
  </r>
  <r>
    <d v="2024-10-07T00:00:00"/>
    <x v="1"/>
    <x v="7"/>
    <d v="2024-10-07T00:00:00"/>
    <s v="Q4-2024"/>
    <s v="Africa"/>
    <x v="11"/>
    <s v="Durban"/>
    <s v="Components"/>
    <s v="High"/>
    <n v="2366.5100000000002"/>
    <n v="2366.5100000000002"/>
    <n v="0.152"/>
    <n v="9"/>
    <n v="13476.28032"/>
  </r>
  <r>
    <d v="2024-10-08T00:00:00"/>
    <x v="13"/>
    <x v="7"/>
    <d v="2024-10-08T00:00:00"/>
    <s v="Q4-2024"/>
    <s v="Americas"/>
    <x v="3"/>
    <s v="Montreal"/>
    <s v="Monitors"/>
    <s v="Medium"/>
    <n v="131.76"/>
    <n v="131.76"/>
    <n v="0.10199999999999999"/>
    <n v="15"/>
    <n v="37144.063799999996"/>
  </r>
  <r>
    <d v="2024-10-09T00:00:00"/>
    <x v="29"/>
    <x v="7"/>
    <d v="2024-10-09T00:00:00"/>
    <s v="Q4-2024"/>
    <s v="Asia"/>
    <x v="9"/>
    <s v="Shenzhen"/>
    <s v="Printers"/>
    <s v="High"/>
    <n v="1335.02"/>
    <n v="1335.02"/>
    <n v="0.128"/>
    <n v="6"/>
    <n v="4571.46"/>
  </r>
  <r>
    <d v="2024-10-10T00:00:00"/>
    <x v="10"/>
    <x v="7"/>
    <d v="2024-10-10T00:00:00"/>
    <s v="Q4-2024"/>
    <s v="Africa"/>
    <x v="0"/>
    <s v="Kisumu"/>
    <s v="Phones"/>
    <s v="High"/>
    <n v="2691.45"/>
    <n v="2691.45"/>
    <n v="0"/>
    <n v="9"/>
    <n v="2326.6799999999998"/>
  </r>
  <r>
    <d v="2024-10-11T00:00:00"/>
    <x v="30"/>
    <x v="7"/>
    <d v="2024-10-11T00:00:00"/>
    <s v="Q4-2024"/>
    <s v="Americas"/>
    <x v="5"/>
    <s v="Brasília"/>
    <s v="Accessories"/>
    <s v="High"/>
    <n v="776.46"/>
    <n v="776.46"/>
    <n v="0.157"/>
    <n v="12"/>
    <n v="6137.98416"/>
  </r>
  <r>
    <d v="2024-10-12T00:00:00"/>
    <x v="31"/>
    <x v="7"/>
    <d v="2024-10-12T00:00:00"/>
    <s v="Q4-2024"/>
    <s v="Asia"/>
    <x v="2"/>
    <s v="Nagoya"/>
    <s v="Networking"/>
    <s v="High"/>
    <n v="318.17"/>
    <n v="318.17"/>
    <n v="0.20100000000000001"/>
    <n v="60"/>
    <n v="64128.8586"/>
  </r>
  <r>
    <d v="2024-10-13T00:00:00"/>
    <x v="4"/>
    <x v="7"/>
    <d v="2024-10-13T00:00:00"/>
    <s v="Q4-2024"/>
    <s v="Asia"/>
    <x v="4"/>
    <s v="Mumbai"/>
    <s v="Monitors"/>
    <s v="High"/>
    <n v="1246.4100000000001"/>
    <n v="1246.4100000000001"/>
    <n v="0.113"/>
    <n v="7"/>
    <n v="11133.23372"/>
  </r>
  <r>
    <d v="2024-10-14T00:00:00"/>
    <x v="5"/>
    <x v="7"/>
    <d v="2024-10-14T00:00:00"/>
    <s v="Q4-2024"/>
    <s v="Europe"/>
    <x v="6"/>
    <s v="Munich"/>
    <s v="Monitors"/>
    <s v="High"/>
    <n v="346.96"/>
    <n v="346.96"/>
    <n v="0.19600000000000001"/>
    <n v="8"/>
    <n v="789.46368000000007"/>
  </r>
  <r>
    <d v="2024-10-15T00:00:00"/>
    <x v="1"/>
    <x v="7"/>
    <d v="2024-10-15T00:00:00"/>
    <s v="Q4-2024"/>
    <s v="Asia"/>
    <x v="9"/>
    <s v="Shanghai"/>
    <s v="Printers"/>
    <s v="High"/>
    <n v="504.76"/>
    <n v="504.76"/>
    <n v="4.0000000000000001E-3"/>
    <n v="13"/>
    <n v="12014.83764"/>
  </r>
  <r>
    <d v="2024-10-16T00:00:00"/>
    <x v="29"/>
    <x v="7"/>
    <d v="2024-10-16T00:00:00"/>
    <s v="Q4-2024"/>
    <s v="Americas"/>
    <x v="5"/>
    <s v="Rio de Janeiro"/>
    <s v="Printers"/>
    <s v="High"/>
    <n v="937.46"/>
    <n v="937.46"/>
    <n v="0.26600000000000001"/>
    <n v="41"/>
    <n v="4570.6767199999995"/>
  </r>
  <r>
    <d v="2024-10-17T00:00:00"/>
    <x v="28"/>
    <x v="7"/>
    <d v="2024-10-17T00:00:00"/>
    <s v="Q4-2024"/>
    <s v="Africa"/>
    <x v="0"/>
    <s v="Nairobi"/>
    <s v="Components"/>
    <s v="High"/>
    <n v="1300.58"/>
    <n v="1300.58"/>
    <n v="5.5E-2"/>
    <n v="11"/>
    <n v="22977.108"/>
  </r>
  <r>
    <d v="2024-10-18T00:00:00"/>
    <x v="27"/>
    <x v="7"/>
    <d v="2024-10-18T00:00:00"/>
    <s v="Q4-2024"/>
    <s v="Americas"/>
    <x v="10"/>
    <s v="New York"/>
    <s v="Accessories"/>
    <s v="High"/>
    <n v="228.15"/>
    <n v="228.15"/>
    <n v="0.20399999999999999"/>
    <n v="5"/>
    <n v="158.16520000000003"/>
  </r>
  <r>
    <d v="2024-10-19T00:00:00"/>
    <x v="25"/>
    <x v="7"/>
    <d v="2024-10-19T00:00:00"/>
    <s v="Q4-2024"/>
    <s v="Africa"/>
    <x v="11"/>
    <s v="Cape Town"/>
    <s v="Components"/>
    <s v="High"/>
    <n v="496.52"/>
    <n v="496.52"/>
    <n v="9.2999999999999999E-2"/>
    <n v="10"/>
    <n v="9151.630000000001"/>
  </r>
  <r>
    <d v="2024-10-20T00:00:00"/>
    <x v="13"/>
    <x v="7"/>
    <d v="2024-10-20T00:00:00"/>
    <s v="Q4-2024"/>
    <s v="Africa"/>
    <x v="11"/>
    <s v="Durban"/>
    <s v="Networking"/>
    <s v="High"/>
    <n v="2941.2"/>
    <n v="2941.2"/>
    <n v="5.0999999999999997E-2"/>
    <n v="24"/>
    <n v="37663.304640000002"/>
  </r>
  <r>
    <d v="2024-10-21T00:00:00"/>
    <x v="12"/>
    <x v="7"/>
    <d v="2024-10-21T00:00:00"/>
    <s v="Q4-2024"/>
    <s v="Europe"/>
    <x v="8"/>
    <s v="Birmingham"/>
    <s v="Laptops"/>
    <s v="High"/>
    <n v="1088.2"/>
    <n v="1088.2"/>
    <n v="5.0999999999999997E-2"/>
    <n v="15"/>
    <n v="14458.4895"/>
  </r>
  <r>
    <d v="2024-10-22T00:00:00"/>
    <x v="4"/>
    <x v="7"/>
    <d v="2024-10-22T00:00:00"/>
    <s v="Q4-2024"/>
    <s v="Americas"/>
    <x v="5"/>
    <s v="Rio de Janeiro"/>
    <s v="Phones"/>
    <s v="High"/>
    <n v="2529.15"/>
    <n v="2529.15"/>
    <n v="0.14699999999999999"/>
    <n v="10"/>
    <n v="7783.1984999999995"/>
  </r>
  <r>
    <d v="2024-10-23T00:00:00"/>
    <x v="24"/>
    <x v="7"/>
    <d v="2024-10-23T00:00:00"/>
    <s v="Q4-2024"/>
    <s v="Asia"/>
    <x v="2"/>
    <s v="Nagoya"/>
    <s v="Networking"/>
    <s v="High"/>
    <n v="2698.01"/>
    <n v="2698.01"/>
    <n v="0.13100000000000001"/>
    <n v="13"/>
    <n v="9209.201430000001"/>
  </r>
  <r>
    <d v="2024-10-24T00:00:00"/>
    <x v="32"/>
    <x v="7"/>
    <d v="2024-10-24T00:00:00"/>
    <s v="Q4-2024"/>
    <s v="Americas"/>
    <x v="10"/>
    <s v="San Francisco"/>
    <s v="Accessories"/>
    <s v="High"/>
    <n v="1482.75"/>
    <n v="1482.75"/>
    <n v="6.7000000000000004E-2"/>
    <n v="4"/>
    <n v="6770.0719200000003"/>
  </r>
  <r>
    <d v="2024-10-25T00:00:00"/>
    <x v="28"/>
    <x v="7"/>
    <d v="2024-10-25T00:00:00"/>
    <s v="Q4-2024"/>
    <s v="Americas"/>
    <x v="10"/>
    <s v="San Francisco"/>
    <s v="Printers"/>
    <s v="High"/>
    <n v="1456.81"/>
    <n v="1456.81"/>
    <n v="0.123"/>
    <n v="13"/>
    <n v="8652.4469199999985"/>
  </r>
  <r>
    <d v="2024-10-26T00:00:00"/>
    <x v="22"/>
    <x v="7"/>
    <d v="2024-10-26T00:00:00"/>
    <s v="Q4-2024"/>
    <s v="Africa"/>
    <x v="0"/>
    <s v="Nairobi"/>
    <s v="Printers"/>
    <s v="High"/>
    <n v="918.19"/>
    <n v="918.19"/>
    <n v="0.189"/>
    <n v="10"/>
    <n v="13522.938400000001"/>
  </r>
  <r>
    <d v="2024-10-27T00:00:00"/>
    <x v="15"/>
    <x v="7"/>
    <d v="2024-10-27T00:00:00"/>
    <s v="Q4-2024"/>
    <s v="Asia"/>
    <x v="9"/>
    <s v="Shanghai"/>
    <s v="Components"/>
    <s v="Low"/>
    <n v="48.94"/>
    <n v="48.94"/>
    <n v="0.14799999999999999"/>
    <n v="16"/>
    <n v="34932.681600000004"/>
  </r>
  <r>
    <d v="2024-10-28T00:00:00"/>
    <x v="19"/>
    <x v="7"/>
    <d v="2024-10-28T00:00:00"/>
    <s v="Q4-2024"/>
    <s v="Americas"/>
    <x v="5"/>
    <s v="Brasília"/>
    <s v="Phones"/>
    <s v="High"/>
    <n v="932.29"/>
    <n v="932.29"/>
    <n v="0.109"/>
    <n v="7"/>
    <n v="4648.9350599999998"/>
  </r>
  <r>
    <d v="2024-10-29T00:00:00"/>
    <x v="29"/>
    <x v="7"/>
    <d v="2024-10-29T00:00:00"/>
    <s v="Q4-2024"/>
    <s v="Africa"/>
    <x v="1"/>
    <s v="Lagos"/>
    <s v="Printers"/>
    <s v="High"/>
    <n v="325.79000000000002"/>
    <n v="325.79000000000002"/>
    <n v="0.11600000000000001"/>
    <n v="10"/>
    <n v="6081.4780000000001"/>
  </r>
  <r>
    <d v="2024-10-30T00:00:00"/>
    <x v="29"/>
    <x v="7"/>
    <d v="2024-10-30T00:00:00"/>
    <s v="Q4-2024"/>
    <s v="Asia"/>
    <x v="2"/>
    <s v="Osaka"/>
    <s v="Monitors"/>
    <s v="High"/>
    <n v="405.97"/>
    <n v="405.97"/>
    <n v="0.187"/>
    <n v="16"/>
    <n v="7155.3105599999999"/>
  </r>
  <r>
    <d v="2024-10-31T00:00:00"/>
    <x v="22"/>
    <x v="7"/>
    <d v="2024-10-31T00:00:00"/>
    <s v="Q4-2024"/>
    <s v="Africa"/>
    <x v="11"/>
    <s v="Cape Town"/>
    <s v="Components"/>
    <s v="High"/>
    <n v="1589.07"/>
    <n v="1589.07"/>
    <n v="0.10199999999999999"/>
    <n v="10"/>
    <n v="18572.525799999999"/>
  </r>
  <r>
    <d v="2024-11-01T00:00:00"/>
    <x v="9"/>
    <x v="8"/>
    <d v="2024-11-01T00:00:00"/>
    <s v="Q4-2024"/>
    <s v="Asia"/>
    <x v="2"/>
    <s v="Nagoya"/>
    <s v="Printers"/>
    <s v="High"/>
    <n v="1432.8"/>
    <n v="1432.8"/>
    <n v="6.8000000000000005E-2"/>
    <n v="13"/>
    <n v="31218.691400000003"/>
  </r>
  <r>
    <d v="2024-11-02T00:00:00"/>
    <x v="29"/>
    <x v="8"/>
    <d v="2024-11-02T00:00:00"/>
    <s v="Q4-2024"/>
    <s v="Africa"/>
    <x v="0"/>
    <s v="Mombasa"/>
    <s v="Phones"/>
    <s v="High"/>
    <n v="1765.76"/>
    <n v="1765.76"/>
    <n v="0.126"/>
    <n v="24"/>
    <n v="21901.880639999999"/>
  </r>
  <r>
    <d v="2024-11-03T00:00:00"/>
    <x v="13"/>
    <x v="8"/>
    <d v="2024-11-03T00:00:00"/>
    <s v="Q4-2024"/>
    <s v="Americas"/>
    <x v="3"/>
    <s v="Vancouver"/>
    <s v="Components"/>
    <s v="High"/>
    <n v="2757.54"/>
    <n v="2757.54"/>
    <n v="0.17199999999999999"/>
    <n v="61"/>
    <n v="5002.3123200000009"/>
  </r>
  <r>
    <d v="2024-11-04T00:00:00"/>
    <x v="30"/>
    <x v="8"/>
    <d v="2024-11-04T00:00:00"/>
    <s v="Q4-2024"/>
    <s v="Asia"/>
    <x v="4"/>
    <s v="Delhi"/>
    <s v="Phones"/>
    <s v="High"/>
    <n v="873.75"/>
    <n v="873.75"/>
    <n v="0.23499999999999999"/>
    <n v="10"/>
    <n v="15275.5965"/>
  </r>
  <r>
    <d v="2024-11-05T00:00:00"/>
    <x v="0"/>
    <x v="8"/>
    <d v="2024-11-05T00:00:00"/>
    <s v="Q4-2024"/>
    <s v="Americas"/>
    <x v="10"/>
    <s v="Austin"/>
    <s v="Laptops"/>
    <s v="High"/>
    <n v="258.52"/>
    <n v="258.52"/>
    <n v="0.13"/>
    <n v="17"/>
    <n v="13631.647199999999"/>
  </r>
  <r>
    <d v="2024-11-06T00:00:00"/>
    <x v="27"/>
    <x v="8"/>
    <d v="2024-11-06T00:00:00"/>
    <s v="Q4-2024"/>
    <s v="Asia"/>
    <x v="4"/>
    <s v="Bengaluru"/>
    <s v="Printers"/>
    <s v="High"/>
    <n v="606.76"/>
    <n v="606.76"/>
    <n v="8.5999999999999993E-2"/>
    <n v="8"/>
    <n v="18307.712480000002"/>
  </r>
  <r>
    <d v="2024-11-07T00:00:00"/>
    <x v="8"/>
    <x v="8"/>
    <d v="2024-11-07T00:00:00"/>
    <s v="Q4-2024"/>
    <s v="Asia"/>
    <x v="9"/>
    <s v="Beijing"/>
    <s v="Phones"/>
    <s v="High"/>
    <n v="1337.69"/>
    <n v="1337.69"/>
    <n v="9.5000000000000001E-2"/>
    <n v="8"/>
    <n v="17830.4548"/>
  </r>
  <r>
    <d v="2024-11-08T00:00:00"/>
    <x v="28"/>
    <x v="8"/>
    <d v="2024-11-08T00:00:00"/>
    <s v="Q4-2024"/>
    <s v="Asia"/>
    <x v="2"/>
    <s v="Osaka"/>
    <s v="Laptops"/>
    <s v="High"/>
    <n v="1793.08"/>
    <n v="1793.08"/>
    <n v="0.13600000000000001"/>
    <n v="22"/>
    <n v="9431.7695999999996"/>
  </r>
  <r>
    <d v="2024-11-09T00:00:00"/>
    <x v="6"/>
    <x v="8"/>
    <d v="2024-11-09T00:00:00"/>
    <s v="Q4-2024"/>
    <s v="Europe"/>
    <x v="6"/>
    <s v="Frankfurt"/>
    <s v="Printers"/>
    <s v="Medium"/>
    <n v="122.74"/>
    <n v="122.74"/>
    <n v="0.23799999999999999"/>
    <n v="8"/>
    <n v="5532.6686399999999"/>
  </r>
  <r>
    <d v="2024-11-10T00:00:00"/>
    <x v="12"/>
    <x v="8"/>
    <d v="2024-11-10T00:00:00"/>
    <s v="Q4-2024"/>
    <s v="Americas"/>
    <x v="5"/>
    <s v="Rio de Janeiro"/>
    <s v="Phones"/>
    <s v="High"/>
    <n v="927.93"/>
    <n v="927.93"/>
    <n v="0.17499999999999999"/>
    <n v="16"/>
    <n v="4411.308"/>
  </r>
  <r>
    <d v="2024-11-11T00:00:00"/>
    <x v="0"/>
    <x v="8"/>
    <d v="2024-11-11T00:00:00"/>
    <s v="Q4-2024"/>
    <s v="Africa"/>
    <x v="1"/>
    <s v="Port Harcourt"/>
    <s v="Phones"/>
    <s v="Medium"/>
    <n v="151.88"/>
    <n v="151.88"/>
    <n v="0.16700000000000001"/>
    <n v="23"/>
    <n v="10322.677609999999"/>
  </r>
  <r>
    <d v="2024-11-12T00:00:00"/>
    <x v="31"/>
    <x v="8"/>
    <d v="2024-11-12T00:00:00"/>
    <s v="Q4-2024"/>
    <s v="Americas"/>
    <x v="3"/>
    <s v="Montreal"/>
    <s v="Laptops"/>
    <s v="High"/>
    <n v="2210.4"/>
    <n v="2210.4"/>
    <n v="0.26300000000000001"/>
    <n v="6"/>
    <n v="6352.3798799999995"/>
  </r>
  <r>
    <d v="2024-11-13T00:00:00"/>
    <x v="19"/>
    <x v="8"/>
    <d v="2024-11-13T00:00:00"/>
    <s v="Q4-2024"/>
    <s v="Europe"/>
    <x v="6"/>
    <s v="Berlin"/>
    <s v="Monitors"/>
    <s v="Low"/>
    <n v="39.74"/>
    <n v="39.74"/>
    <n v="0.151"/>
    <n v="18"/>
    <n v="26996.417099999999"/>
  </r>
  <r>
    <d v="2024-11-14T00:00:00"/>
    <x v="18"/>
    <x v="8"/>
    <d v="2024-11-14T00:00:00"/>
    <s v="Q4-2024"/>
    <s v="Africa"/>
    <x v="0"/>
    <s v="Nakuru"/>
    <s v="Networking"/>
    <s v="High"/>
    <n v="1009"/>
    <n v="1009"/>
    <n v="0.11"/>
    <n v="4"/>
    <n v="2237.6023999999998"/>
  </r>
  <r>
    <d v="2024-11-15T00:00:00"/>
    <x v="11"/>
    <x v="8"/>
    <d v="2024-11-15T00:00:00"/>
    <s v="Q4-2024"/>
    <s v="Asia"/>
    <x v="2"/>
    <s v="Nagoya"/>
    <s v="Monitors"/>
    <s v="High"/>
    <n v="1653.64"/>
    <n v="1653.64"/>
    <n v="0.107"/>
    <n v="8"/>
    <n v="11792.958000000001"/>
  </r>
  <r>
    <d v="2024-11-16T00:00:00"/>
    <x v="29"/>
    <x v="8"/>
    <d v="2024-11-16T00:00:00"/>
    <s v="Q4-2024"/>
    <s v="Americas"/>
    <x v="10"/>
    <s v="Austin"/>
    <s v="Components"/>
    <s v="High"/>
    <n v="1015.7"/>
    <n v="1015.7"/>
    <n v="0.14299999999999999"/>
    <n v="14"/>
    <n v="26961.185719999998"/>
  </r>
  <r>
    <d v="2024-11-17T00:00:00"/>
    <x v="22"/>
    <x v="8"/>
    <d v="2024-11-17T00:00:00"/>
    <s v="Q4-2024"/>
    <s v="Americas"/>
    <x v="3"/>
    <s v="Montreal"/>
    <s v="Laptops"/>
    <s v="High"/>
    <n v="912.45"/>
    <n v="912.45"/>
    <n v="0.20300000000000001"/>
    <n v="24"/>
    <n v="17084.938320000001"/>
  </r>
  <r>
    <d v="2024-11-18T00:00:00"/>
    <x v="0"/>
    <x v="8"/>
    <d v="2024-11-18T00:00:00"/>
    <s v="Q4-2024"/>
    <s v="Americas"/>
    <x v="3"/>
    <s v="Vancouver"/>
    <s v="Monitors"/>
    <s v="High"/>
    <n v="815.19"/>
    <n v="815.19"/>
    <n v="0.22500000000000001"/>
    <n v="28"/>
    <n v="50537.130000000005"/>
  </r>
  <r>
    <d v="2024-11-19T00:00:00"/>
    <x v="14"/>
    <x v="8"/>
    <d v="2024-11-19T00:00:00"/>
    <s v="Q4-2024"/>
    <s v="Americas"/>
    <x v="10"/>
    <s v="New York"/>
    <s v="Printers"/>
    <s v="High"/>
    <n v="1814.06"/>
    <n v="1814.06"/>
    <n v="0.122"/>
    <n v="16"/>
    <n v="29033.704000000002"/>
  </r>
  <r>
    <d v="2024-11-20T00:00:00"/>
    <x v="1"/>
    <x v="8"/>
    <d v="2024-11-20T00:00:00"/>
    <s v="Q4-2024"/>
    <s v="Asia"/>
    <x v="2"/>
    <s v="Nagoya"/>
    <s v="Monitors"/>
    <s v="High"/>
    <n v="758.92"/>
    <n v="758.92"/>
    <n v="5.2999999999999999E-2"/>
    <n v="9"/>
    <n v="18599.828130000002"/>
  </r>
  <r>
    <d v="2024-11-21T00:00:00"/>
    <x v="20"/>
    <x v="8"/>
    <d v="2024-11-21T00:00:00"/>
    <s v="Q4-2024"/>
    <s v="Europe"/>
    <x v="6"/>
    <s v="Frankfurt"/>
    <s v="Laptops"/>
    <s v="High"/>
    <n v="1667.44"/>
    <n v="1667.44"/>
    <n v="3.4000000000000002E-2"/>
    <n v="15"/>
    <n v="39508.723799999992"/>
  </r>
  <r>
    <d v="2024-11-22T00:00:00"/>
    <x v="32"/>
    <x v="8"/>
    <d v="2024-11-22T00:00:00"/>
    <s v="Q4-2024"/>
    <s v="Asia"/>
    <x v="4"/>
    <s v="Bengaluru"/>
    <s v="Components"/>
    <s v="High"/>
    <n v="2562.5500000000002"/>
    <n v="2562.5500000000002"/>
    <n v="0.17299999999999999"/>
    <n v="9"/>
    <n v="828.33146999999997"/>
  </r>
  <r>
    <d v="2024-11-23T00:00:00"/>
    <x v="12"/>
    <x v="8"/>
    <d v="2024-11-23T00:00:00"/>
    <s v="Q4-2024"/>
    <s v="Europe"/>
    <x v="8"/>
    <s v="London"/>
    <s v="Networking"/>
    <s v="High"/>
    <n v="745.38"/>
    <n v="745.38"/>
    <n v="0.19700000000000001"/>
    <n v="4"/>
    <n v="3533.4890799999994"/>
  </r>
  <r>
    <d v="2024-11-24T00:00:00"/>
    <x v="16"/>
    <x v="8"/>
    <d v="2024-11-24T00:00:00"/>
    <s v="Q4-2024"/>
    <s v="Europe"/>
    <x v="6"/>
    <s v="Munich"/>
    <s v="Monitors"/>
    <s v="High"/>
    <n v="687.95"/>
    <n v="687.95"/>
    <n v="0.20499999999999999"/>
    <n v="8"/>
    <n v="9725.3304000000007"/>
  </r>
  <r>
    <d v="2024-11-25T00:00:00"/>
    <x v="32"/>
    <x v="8"/>
    <d v="2024-11-25T00:00:00"/>
    <s v="Q4-2024"/>
    <s v="Americas"/>
    <x v="5"/>
    <s v="Brasília"/>
    <s v="Accessories"/>
    <s v="High"/>
    <n v="550.07000000000005"/>
    <n v="550.07000000000005"/>
    <n v="0.14000000000000001"/>
    <n v="16"/>
    <n v="10026.7744"/>
  </r>
  <r>
    <d v="2024-11-26T00:00:00"/>
    <x v="15"/>
    <x v="8"/>
    <d v="2024-11-26T00:00:00"/>
    <s v="Q4-2024"/>
    <s v="Africa"/>
    <x v="1"/>
    <s v="Port Harcourt"/>
    <s v="Components"/>
    <s v="High"/>
    <n v="2068.21"/>
    <n v="2068.21"/>
    <n v="7.8E-2"/>
    <n v="12"/>
    <n v="69.481920000000002"/>
  </r>
  <r>
    <d v="2024-11-27T00:00:00"/>
    <x v="15"/>
    <x v="8"/>
    <d v="2024-11-27T00:00:00"/>
    <s v="Q4-2024"/>
    <s v="Europe"/>
    <x v="6"/>
    <s v="Berlin"/>
    <s v="Accessories"/>
    <s v="High"/>
    <n v="2576.65"/>
    <n v="2576.65"/>
    <n v="4.0000000000000001E-3"/>
    <n v="7"/>
    <n v="17916.436439999998"/>
  </r>
  <r>
    <d v="2024-11-28T00:00:00"/>
    <x v="25"/>
    <x v="8"/>
    <d v="2024-11-28T00:00:00"/>
    <s v="Q4-2024"/>
    <s v="Americas"/>
    <x v="5"/>
    <s v="Brasília"/>
    <s v="Networking"/>
    <s v="High"/>
    <n v="1044.1400000000001"/>
    <n v="1044.1400000000001"/>
    <n v="0.216"/>
    <n v="10"/>
    <n v="12481.436800000001"/>
  </r>
  <r>
    <d v="2024-11-29T00:00:00"/>
    <x v="16"/>
    <x v="8"/>
    <d v="2024-11-29T00:00:00"/>
    <s v="Q4-2024"/>
    <s v="Africa"/>
    <x v="11"/>
    <s v="Durban"/>
    <s v="Phones"/>
    <s v="Medium"/>
    <n v="99.04"/>
    <n v="99.04"/>
    <n v="5.7000000000000002E-2"/>
    <n v="6"/>
    <n v="5632.3692599999995"/>
  </r>
  <r>
    <d v="2024-11-30T00:00:00"/>
    <x v="19"/>
    <x v="8"/>
    <d v="2024-11-30T00:00:00"/>
    <s v="Q4-2024"/>
    <s v="Africa"/>
    <x v="1"/>
    <s v="Port Harcourt"/>
    <s v="Laptops"/>
    <s v="High"/>
    <n v="1996.81"/>
    <n v="1996.81"/>
    <n v="0.126"/>
    <n v="23"/>
    <n v="24932.711619999998"/>
  </r>
  <r>
    <d v="2024-12-01T00:00:00"/>
    <x v="11"/>
    <x v="9"/>
    <d v="2024-12-01T00:00:00"/>
    <s v="Q4-2024"/>
    <s v="Americas"/>
    <x v="3"/>
    <s v="Toronto"/>
    <s v="Printers"/>
    <s v="High"/>
    <n v="921.68"/>
    <n v="921.68"/>
    <n v="0.19600000000000001"/>
    <n v="17"/>
    <n v="1617.8811600000001"/>
  </r>
  <r>
    <d v="2024-12-02T00:00:00"/>
    <x v="1"/>
    <x v="9"/>
    <d v="2024-12-02T00:00:00"/>
    <s v="Q4-2024"/>
    <s v="Europe"/>
    <x v="8"/>
    <s v="London"/>
    <s v="Monitors"/>
    <s v="High"/>
    <n v="2503.79"/>
    <n v="2503.79"/>
    <n v="0.184"/>
    <n v="19"/>
    <n v="32644.137120000007"/>
  </r>
  <r>
    <d v="2024-12-03T00:00:00"/>
    <x v="15"/>
    <x v="9"/>
    <d v="2024-12-03T00:00:00"/>
    <s v="Q4-2024"/>
    <s v="Africa"/>
    <x v="1"/>
    <s v="Port Harcourt"/>
    <s v="Components"/>
    <s v="High"/>
    <n v="2462.77"/>
    <n v="2462.77"/>
    <n v="0.107"/>
    <n v="8"/>
    <n v="3736.3119999999999"/>
  </r>
  <r>
    <d v="2024-12-04T00:00:00"/>
    <x v="4"/>
    <x v="9"/>
    <d v="2024-12-04T00:00:00"/>
    <s v="Q4-2024"/>
    <s v="Americas"/>
    <x v="5"/>
    <s v="São Paulo"/>
    <s v="Phones"/>
    <s v="High"/>
    <n v="496.2"/>
    <n v="496.2"/>
    <n v="0"/>
    <n v="14"/>
    <n v="15054.199999999999"/>
  </r>
  <r>
    <d v="2024-12-05T00:00:00"/>
    <x v="9"/>
    <x v="9"/>
    <d v="2024-12-05T00:00:00"/>
    <s v="Q4-2024"/>
    <s v="Europe"/>
    <x v="7"/>
    <s v="Marseille"/>
    <s v="Printers"/>
    <s v="High"/>
    <n v="907.59"/>
    <n v="907.59"/>
    <n v="0.154"/>
    <n v="10"/>
    <n v="27872.062200000004"/>
  </r>
  <r>
    <d v="2024-12-06T00:00:00"/>
    <x v="25"/>
    <x v="9"/>
    <d v="2024-12-06T00:00:00"/>
    <s v="Q4-2024"/>
    <s v="Americas"/>
    <x v="5"/>
    <s v="Brasília"/>
    <s v="Accessories"/>
    <s v="High"/>
    <n v="334.19"/>
    <n v="334.19"/>
    <n v="0.13400000000000001"/>
    <n v="25"/>
    <n v="10046.682500000001"/>
  </r>
  <r>
    <d v="2024-12-07T00:00:00"/>
    <x v="26"/>
    <x v="9"/>
    <d v="2024-12-07T00:00:00"/>
    <s v="Q4-2024"/>
    <s v="Asia"/>
    <x v="4"/>
    <s v="Delhi"/>
    <s v="Monitors"/>
    <s v="High"/>
    <n v="538.79"/>
    <n v="538.79"/>
    <n v="0.17399999999999999"/>
    <n v="16"/>
    <n v="6753.7724800000005"/>
  </r>
  <r>
    <d v="2024-12-08T00:00:00"/>
    <x v="0"/>
    <x v="9"/>
    <d v="2024-12-08T00:00:00"/>
    <s v="Q4-2024"/>
    <s v="Europe"/>
    <x v="6"/>
    <s v="Frankfurt"/>
    <s v="Monitors"/>
    <s v="High"/>
    <n v="1436.54"/>
    <n v="1436.54"/>
    <n v="0.13900000000000001"/>
    <n v="28"/>
    <n v="101.73576"/>
  </r>
  <r>
    <d v="2024-12-09T00:00:00"/>
    <x v="24"/>
    <x v="9"/>
    <d v="2024-12-09T00:00:00"/>
    <s v="Q4-2024"/>
    <s v="Americas"/>
    <x v="3"/>
    <s v="Montreal"/>
    <s v="Monitors"/>
    <s v="High"/>
    <n v="1766.55"/>
    <n v="1766.55"/>
    <n v="0.16400000000000001"/>
    <n v="20"/>
    <n v="9651.4527999999991"/>
  </r>
  <r>
    <d v="2024-12-10T00:00:00"/>
    <x v="0"/>
    <x v="9"/>
    <d v="2024-12-10T00:00:00"/>
    <s v="Q4-2024"/>
    <s v="Europe"/>
    <x v="7"/>
    <s v="Paris"/>
    <s v="Printers"/>
    <s v="High"/>
    <n v="628.54"/>
    <n v="628.54"/>
    <n v="0.13500000000000001"/>
    <n v="21"/>
    <n v="25903.83495"/>
  </r>
  <r>
    <d v="2024-12-11T00:00:00"/>
    <x v="9"/>
    <x v="9"/>
    <d v="2024-12-11T00:00:00"/>
    <s v="Q4-2024"/>
    <s v="Americas"/>
    <x v="5"/>
    <s v="São Paulo"/>
    <s v="Laptops"/>
    <s v="High"/>
    <n v="1650.75"/>
    <n v="1650.75"/>
    <n v="0.13500000000000001"/>
    <n v="6"/>
    <n v="7059.0227999999997"/>
  </r>
  <r>
    <d v="2024-12-12T00:00:00"/>
    <x v="0"/>
    <x v="9"/>
    <d v="2024-12-12T00:00:00"/>
    <s v="Q4-2024"/>
    <s v="Americas"/>
    <x v="10"/>
    <s v="San Francisco"/>
    <s v="Networking"/>
    <s v="High"/>
    <n v="2247.14"/>
    <n v="2247.14"/>
    <n v="0.115"/>
    <n v="40"/>
    <n v="73316.94"/>
  </r>
  <r>
    <d v="2024-12-13T00:00:00"/>
    <x v="16"/>
    <x v="9"/>
    <d v="2024-12-13T00:00:00"/>
    <s v="Q4-2024"/>
    <s v="Europe"/>
    <x v="6"/>
    <s v="Berlin"/>
    <s v="Accessories"/>
    <s v="High"/>
    <n v="893.19"/>
    <n v="893.19"/>
    <n v="0.151"/>
    <n v="8"/>
    <n v="6655.0732799999996"/>
  </r>
  <r>
    <d v="2024-12-14T00:00:00"/>
    <x v="17"/>
    <x v="9"/>
    <d v="2024-12-14T00:00:00"/>
    <s v="Q4-2024"/>
    <s v="Africa"/>
    <x v="11"/>
    <s v="Johannesburg"/>
    <s v="Phones"/>
    <s v="High"/>
    <n v="2328.9"/>
    <n v="2328.9"/>
    <n v="0.12"/>
    <n v="17"/>
    <n v="8039.3543999999993"/>
  </r>
  <r>
    <d v="2024-12-15T00:00:00"/>
    <x v="32"/>
    <x v="9"/>
    <d v="2024-12-15T00:00:00"/>
    <s v="Q4-2024"/>
    <s v="Asia"/>
    <x v="4"/>
    <s v="Bengaluru"/>
    <s v="Laptops"/>
    <s v="High"/>
    <n v="2066.75"/>
    <n v="2066.75"/>
    <n v="0.13800000000000001"/>
    <n v="5"/>
    <n v="919.40919999999994"/>
  </r>
  <r>
    <d v="2024-12-16T00:00:00"/>
    <x v="23"/>
    <x v="9"/>
    <d v="2024-12-16T00:00:00"/>
    <s v="Q4-2024"/>
    <s v="Americas"/>
    <x v="10"/>
    <s v="San Francisco"/>
    <s v="Monitors"/>
    <s v="High"/>
    <n v="2182.31"/>
    <n v="2182.31"/>
    <n v="0.112"/>
    <n v="9"/>
    <n v="15941.402639999998"/>
  </r>
  <r>
    <d v="2024-12-17T00:00:00"/>
    <x v="3"/>
    <x v="9"/>
    <d v="2024-12-17T00:00:00"/>
    <s v="Q4-2024"/>
    <s v="Asia"/>
    <x v="2"/>
    <s v="Tokyo"/>
    <s v="Networking"/>
    <s v="High"/>
    <n v="2726.62"/>
    <n v="2726.62"/>
    <n v="0.317"/>
    <n v="7"/>
    <n v="2643.1280400000001"/>
  </r>
  <r>
    <d v="2024-12-18T00:00:00"/>
    <x v="25"/>
    <x v="9"/>
    <d v="2024-12-18T00:00:00"/>
    <s v="Q4-2024"/>
    <s v="Africa"/>
    <x v="0"/>
    <s v="Nairobi"/>
    <s v="Phones"/>
    <s v="Medium"/>
    <n v="111.29"/>
    <n v="111.29"/>
    <n v="0"/>
    <n v="6"/>
    <n v="1349.6999999999998"/>
  </r>
  <r>
    <d v="2024-12-19T00:00:00"/>
    <x v="8"/>
    <x v="9"/>
    <d v="2024-12-19T00:00:00"/>
    <s v="Q4-2024"/>
    <s v="Asia"/>
    <x v="4"/>
    <s v="Bengaluru"/>
    <s v="Laptops"/>
    <s v="High"/>
    <n v="1100.0899999999999"/>
    <n v="1100.0899999999999"/>
    <n v="0.114"/>
    <n v="12"/>
    <n v="8208.8608800000002"/>
  </r>
  <r>
    <d v="2024-12-20T00:00:00"/>
    <x v="9"/>
    <x v="9"/>
    <d v="2024-12-20T00:00:00"/>
    <s v="Q4-2024"/>
    <s v="Europe"/>
    <x v="6"/>
    <s v="Frankfurt"/>
    <s v="Laptops"/>
    <s v="High"/>
    <n v="1529.14"/>
    <n v="1529.14"/>
    <n v="0.155"/>
    <n v="12"/>
    <n v="31932.989400000002"/>
  </r>
  <r>
    <d v="2024-12-21T00:00:00"/>
    <x v="23"/>
    <x v="9"/>
    <d v="2024-12-21T00:00:00"/>
    <s v="Q4-2024"/>
    <s v="Asia"/>
    <x v="2"/>
    <s v="Nagoya"/>
    <s v="Phones"/>
    <s v="High"/>
    <n v="728.69"/>
    <n v="728.69"/>
    <n v="0.22"/>
    <n v="7"/>
    <n v="314.11380000000003"/>
  </r>
  <r>
    <d v="2024-12-22T00:00:00"/>
    <x v="19"/>
    <x v="9"/>
    <d v="2024-12-22T00:00:00"/>
    <s v="Q4-2024"/>
    <s v="Europe"/>
    <x v="6"/>
    <s v="Munich"/>
    <s v="Phones"/>
    <s v="Low"/>
    <n v="6.28"/>
    <n v="6.28"/>
    <n v="0.13400000000000001"/>
    <n v="14"/>
    <n v="9999.9964400000008"/>
  </r>
  <r>
    <d v="2024-12-23T00:00:00"/>
    <x v="29"/>
    <x v="9"/>
    <d v="2024-12-23T00:00:00"/>
    <s v="Q4-2024"/>
    <s v="Asia"/>
    <x v="4"/>
    <s v="Mumbai"/>
    <s v="Networking"/>
    <s v="High"/>
    <n v="2569.77"/>
    <n v="2569.77"/>
    <n v="0.13400000000000001"/>
    <n v="9"/>
    <n v="11640.572819999999"/>
  </r>
  <r>
    <d v="2024-12-24T00:00:00"/>
    <x v="9"/>
    <x v="9"/>
    <d v="2024-12-24T00:00:00"/>
    <s v="Q4-2024"/>
    <s v="Africa"/>
    <x v="11"/>
    <s v="Cape Town"/>
    <s v="Accessories"/>
    <s v="High"/>
    <n v="1592.02"/>
    <n v="1592.02"/>
    <n v="6.6000000000000003E-2"/>
    <n v="18"/>
    <n v="12473.159039999999"/>
  </r>
  <r>
    <d v="2024-12-25T00:00:00"/>
    <x v="24"/>
    <x v="9"/>
    <d v="2024-12-25T00:00:00"/>
    <s v="Q4-2024"/>
    <s v="Africa"/>
    <x v="11"/>
    <s v="Johannesburg"/>
    <s v="Components"/>
    <s v="High"/>
    <n v="995.47"/>
    <n v="995.47"/>
    <n v="0.192"/>
    <n v="13"/>
    <n v="7796.3839200000002"/>
  </r>
  <r>
    <d v="2024-12-26T00:00:00"/>
    <x v="28"/>
    <x v="9"/>
    <d v="2024-12-26T00:00:00"/>
    <s v="Q4-2024"/>
    <s v="Africa"/>
    <x v="1"/>
    <s v="Port Harcourt"/>
    <s v="Accessories"/>
    <s v="High"/>
    <n v="1240.31"/>
    <n v="1240.31"/>
    <n v="0.14599999999999999"/>
    <n v="18"/>
    <n v="7371.4888800000008"/>
  </r>
  <r>
    <d v="2024-12-27T00:00:00"/>
    <x v="3"/>
    <x v="9"/>
    <d v="2024-12-27T00:00:00"/>
    <s v="Q4-2024"/>
    <s v="Americas"/>
    <x v="5"/>
    <s v="São Paulo"/>
    <s v="Printers"/>
    <s v="Medium"/>
    <n v="118.37"/>
    <n v="118.37"/>
    <n v="0.156"/>
    <n v="11"/>
    <n v="10911.020999999999"/>
  </r>
  <r>
    <d v="2024-12-28T00:00:00"/>
    <x v="32"/>
    <x v="9"/>
    <d v="2024-12-28T00:00:00"/>
    <s v="Q4-2024"/>
    <s v="Europe"/>
    <x v="8"/>
    <s v="London"/>
    <s v="Accessories"/>
    <s v="High"/>
    <n v="2105.5300000000002"/>
    <n v="2105.5300000000002"/>
    <n v="0.20699999999999999"/>
    <n v="14"/>
    <n v="2525.1498999999999"/>
  </r>
  <r>
    <d v="2024-12-29T00:00:00"/>
    <x v="25"/>
    <x v="9"/>
    <d v="2024-12-29T00:00:00"/>
    <s v="Q4-2024"/>
    <s v="Europe"/>
    <x v="8"/>
    <s v="London"/>
    <s v="Accessories"/>
    <s v="High"/>
    <n v="523"/>
    <n v="523"/>
    <n v="5.8999999999999997E-2"/>
    <n v="15"/>
    <n v="16636.221300000001"/>
  </r>
  <r>
    <d v="2024-12-30T00:00:00"/>
    <x v="19"/>
    <x v="9"/>
    <d v="2024-12-30T00:00:00"/>
    <s v="Q4-2024"/>
    <s v="Asia"/>
    <x v="2"/>
    <s v="Osaka"/>
    <s v="Components"/>
    <s v="High"/>
    <n v="1075.3"/>
    <n v="1075.3"/>
    <n v="0.08"/>
    <n v="9"/>
    <n v="20054.987999999998"/>
  </r>
  <r>
    <d v="2024-12-31T00:00:00"/>
    <x v="16"/>
    <x v="9"/>
    <d v="2024-12-31T00:00:00"/>
    <s v="Q4-2024"/>
    <s v="Europe"/>
    <x v="6"/>
    <s v="Munich"/>
    <s v="Laptops"/>
    <s v="High"/>
    <n v="3294.57"/>
    <n v="3294.57"/>
    <n v="0.113"/>
    <n v="7"/>
    <n v="2693.96092"/>
  </r>
  <r>
    <d v="2025-01-01T00:00:00"/>
    <x v="0"/>
    <x v="10"/>
    <d v="2025-01-01T00:00:00"/>
    <s v="Q1-2025"/>
    <s v="Americas"/>
    <x v="3"/>
    <s v="Vancouver"/>
    <s v="Printers"/>
    <s v="High"/>
    <n v="464.05"/>
    <n v="464.05"/>
    <n v="0.16900000000000001"/>
    <n v="11"/>
    <n v="28786.197329999999"/>
  </r>
  <r>
    <d v="2025-01-02T00:00:00"/>
    <x v="23"/>
    <x v="10"/>
    <d v="2025-01-02T00:00:00"/>
    <s v="Q1-2025"/>
    <s v="Americas"/>
    <x v="10"/>
    <s v="Austin"/>
    <s v="Monitors"/>
    <s v="High"/>
    <n v="511.03"/>
    <n v="511.03"/>
    <n v="0.108"/>
    <n v="7"/>
    <n v="409.91860000000008"/>
  </r>
  <r>
    <d v="2025-01-03T00:00:00"/>
    <x v="0"/>
    <x v="10"/>
    <d v="2025-01-03T00:00:00"/>
    <s v="Q1-2025"/>
    <s v="Americas"/>
    <x v="10"/>
    <s v="Austin"/>
    <s v="Monitors"/>
    <s v="Low"/>
    <n v="4.22"/>
    <n v="4.22"/>
    <n v="0.11899999999999999"/>
    <n v="18"/>
    <n v="39520.356119999997"/>
  </r>
  <r>
    <d v="2025-01-04T00:00:00"/>
    <x v="10"/>
    <x v="10"/>
    <d v="2025-01-04T00:00:00"/>
    <s v="Q1-2025"/>
    <s v="Europe"/>
    <x v="7"/>
    <s v="Lyon"/>
    <s v="Accessories"/>
    <s v="High"/>
    <n v="577.24"/>
    <n v="577.24"/>
    <n v="0"/>
    <n v="22"/>
    <n v="20500.48"/>
  </r>
  <r>
    <d v="2025-01-05T00:00:00"/>
    <x v="8"/>
    <x v="10"/>
    <d v="2025-01-05T00:00:00"/>
    <s v="Q1-2025"/>
    <s v="Americas"/>
    <x v="3"/>
    <s v="Vancouver"/>
    <s v="Components"/>
    <s v="High"/>
    <n v="1426.03"/>
    <n v="1426.03"/>
    <n v="5.6000000000000001E-2"/>
    <n v="19"/>
    <n v="11111.531359999999"/>
  </r>
  <r>
    <d v="2025-01-06T00:00:00"/>
    <x v="32"/>
    <x v="10"/>
    <d v="2025-01-06T00:00:00"/>
    <s v="Q1-2025"/>
    <s v="Asia"/>
    <x v="9"/>
    <s v="Shanghai"/>
    <s v="Printers"/>
    <s v="High"/>
    <n v="1360.12"/>
    <n v="1360.12"/>
    <n v="0.19400000000000001"/>
    <n v="9"/>
    <n v="10311.923699999999"/>
  </r>
  <r>
    <d v="2025-01-07T00:00:00"/>
    <x v="24"/>
    <x v="10"/>
    <d v="2025-01-07T00:00:00"/>
    <s v="Q1-2025"/>
    <s v="Americas"/>
    <x v="5"/>
    <s v="São Paulo"/>
    <s v="Networking"/>
    <s v="High"/>
    <n v="2071.1"/>
    <n v="2071.1"/>
    <n v="0.129"/>
    <n v="22"/>
    <n v="18252.954719999998"/>
  </r>
  <r>
    <d v="2025-01-08T00:00:00"/>
    <x v="16"/>
    <x v="10"/>
    <d v="2025-01-08T00:00:00"/>
    <s v="Q1-2025"/>
    <s v="Europe"/>
    <x v="8"/>
    <s v="London"/>
    <s v="Phones"/>
    <s v="High"/>
    <n v="979.84"/>
    <n v="979.84"/>
    <n v="0.17399999999999999"/>
    <n v="10"/>
    <n v="26053.196400000001"/>
  </r>
  <r>
    <d v="2025-01-09T00:00:00"/>
    <x v="17"/>
    <x v="10"/>
    <d v="2025-01-09T00:00:00"/>
    <s v="Q1-2025"/>
    <s v="Africa"/>
    <x v="0"/>
    <s v="Kisumu"/>
    <s v="Laptops"/>
    <s v="High"/>
    <n v="537.39"/>
    <n v="537.39"/>
    <n v="0.08"/>
    <n v="12"/>
    <n v="2496.5855999999999"/>
  </r>
  <r>
    <d v="2025-01-10T00:00:00"/>
    <x v="19"/>
    <x v="10"/>
    <d v="2025-01-10T00:00:00"/>
    <s v="Q1-2025"/>
    <s v="Europe"/>
    <x v="7"/>
    <s v="Lyon"/>
    <s v="Monitors"/>
    <s v="High"/>
    <n v="213.32"/>
    <n v="213.32"/>
    <n v="3.7999999999999999E-2"/>
    <n v="8"/>
    <n v="6818.0403199999992"/>
  </r>
  <r>
    <d v="2025-01-11T00:00:00"/>
    <x v="3"/>
    <x v="10"/>
    <d v="2025-01-11T00:00:00"/>
    <s v="Q1-2025"/>
    <s v="Africa"/>
    <x v="1"/>
    <s v="Lagos"/>
    <s v="Accessories"/>
    <s v="High"/>
    <n v="1994.67"/>
    <n v="1994.67"/>
    <n v="0.1"/>
    <n v="24"/>
    <n v="52560.144000000008"/>
  </r>
  <r>
    <d v="2025-01-12T00:00:00"/>
    <x v="8"/>
    <x v="10"/>
    <d v="2025-01-12T00:00:00"/>
    <s v="Q1-2025"/>
    <s v="Americas"/>
    <x v="10"/>
    <s v="New York"/>
    <s v="Networking"/>
    <s v="High"/>
    <n v="552.84"/>
    <n v="552.84"/>
    <n v="0.17599999999999999"/>
    <n v="8"/>
    <n v="7609.4092799999999"/>
  </r>
  <r>
    <d v="2025-01-13T00:00:00"/>
    <x v="10"/>
    <x v="10"/>
    <d v="2025-01-13T00:00:00"/>
    <s v="Q1-2025"/>
    <s v="Asia"/>
    <x v="2"/>
    <s v="Tokyo"/>
    <s v="Printers"/>
    <s v="High"/>
    <n v="224.95"/>
    <n v="224.95"/>
    <n v="0.153"/>
    <n v="28"/>
    <n v="26941.13884"/>
  </r>
  <r>
    <d v="2025-01-14T00:00:00"/>
    <x v="5"/>
    <x v="10"/>
    <d v="2025-01-14T00:00:00"/>
    <s v="Q1-2025"/>
    <s v="Europe"/>
    <x v="7"/>
    <s v="Lyon"/>
    <s v="Laptops"/>
    <s v="High"/>
    <n v="772.09"/>
    <n v="772.09"/>
    <n v="8.8999999999999996E-2"/>
    <n v="14"/>
    <n v="35096.967360000002"/>
  </r>
  <r>
    <d v="2025-01-15T00:00:00"/>
    <x v="6"/>
    <x v="10"/>
    <d v="2025-01-15T00:00:00"/>
    <s v="Q1-2025"/>
    <s v="Europe"/>
    <x v="8"/>
    <s v="Manchester"/>
    <s v="Monitors"/>
    <s v="High"/>
    <n v="3149.21"/>
    <n v="3149.21"/>
    <n v="0.185"/>
    <n v="12"/>
    <n v="13444.761599999998"/>
  </r>
  <r>
    <d v="2025-01-16T00:00:00"/>
    <x v="7"/>
    <x v="10"/>
    <d v="2025-01-16T00:00:00"/>
    <s v="Q1-2025"/>
    <s v="Americas"/>
    <x v="5"/>
    <s v="Rio de Janeiro"/>
    <s v="Networking"/>
    <s v="Medium"/>
    <n v="57.53"/>
    <n v="57.53"/>
    <n v="4.4999999999999998E-2"/>
    <n v="16"/>
    <n v="20144.693599999999"/>
  </r>
  <r>
    <d v="2025-01-17T00:00:00"/>
    <x v="23"/>
    <x v="10"/>
    <d v="2025-01-17T00:00:00"/>
    <s v="Q1-2025"/>
    <s v="Americas"/>
    <x v="3"/>
    <s v="Toronto"/>
    <s v="Accessories"/>
    <s v="High"/>
    <n v="824.81"/>
    <n v="824.81"/>
    <n v="8.7999999999999995E-2"/>
    <n v="15"/>
    <n v="6043.0032000000001"/>
  </r>
  <r>
    <d v="2025-01-18T00:00:00"/>
    <x v="18"/>
    <x v="10"/>
    <d v="2025-01-18T00:00:00"/>
    <s v="Q1-2025"/>
    <s v="Europe"/>
    <x v="8"/>
    <s v="London"/>
    <s v="Printers"/>
    <s v="High"/>
    <n v="1493.53"/>
    <n v="1493.53"/>
    <n v="0"/>
    <n v="27"/>
    <n v="35911.89"/>
  </r>
  <r>
    <d v="2025-01-19T00:00:00"/>
    <x v="17"/>
    <x v="10"/>
    <d v="2025-01-19T00:00:00"/>
    <s v="Q1-2025"/>
    <s v="Africa"/>
    <x v="11"/>
    <s v="Durban"/>
    <s v="Monitors"/>
    <s v="High"/>
    <n v="741.92"/>
    <n v="741.92"/>
    <n v="3.1E-2"/>
    <n v="7"/>
    <n v="11089.255379999999"/>
  </r>
  <r>
    <d v="2025-01-20T00:00:00"/>
    <x v="16"/>
    <x v="10"/>
    <d v="2025-01-20T00:00:00"/>
    <s v="Q1-2025"/>
    <s v="Europe"/>
    <x v="7"/>
    <s v="Paris"/>
    <s v="Components"/>
    <s v="High"/>
    <n v="742.23"/>
    <n v="742.23"/>
    <n v="0.09"/>
    <n v="13"/>
    <n v="835.19799999999998"/>
  </r>
  <r>
    <d v="2025-01-21T00:00:00"/>
    <x v="15"/>
    <x v="10"/>
    <d v="2025-01-21T00:00:00"/>
    <s v="Q1-2025"/>
    <s v="Asia"/>
    <x v="2"/>
    <s v="Osaka"/>
    <s v="Phones"/>
    <s v="High"/>
    <n v="479.54"/>
    <n v="479.54"/>
    <n v="0.14099999999999999"/>
    <n v="22"/>
    <n v="34451.80992"/>
  </r>
  <r>
    <d v="2025-01-22T00:00:00"/>
    <x v="30"/>
    <x v="10"/>
    <d v="2025-01-22T00:00:00"/>
    <s v="Q1-2025"/>
    <s v="Americas"/>
    <x v="5"/>
    <s v="São Paulo"/>
    <s v="Networking"/>
    <s v="High"/>
    <n v="1175.25"/>
    <n v="1175.25"/>
    <n v="7.4999999999999997E-2"/>
    <n v="15"/>
    <n v="27971.861250000002"/>
  </r>
  <r>
    <d v="2025-01-23T00:00:00"/>
    <x v="19"/>
    <x v="10"/>
    <d v="2025-01-23T00:00:00"/>
    <s v="Q1-2025"/>
    <s v="Americas"/>
    <x v="10"/>
    <s v="San Francisco"/>
    <s v="Monitors"/>
    <s v="High"/>
    <n v="227.45"/>
    <n v="227.45"/>
    <n v="1.4E-2"/>
    <n v="13"/>
    <n v="3129.2583399999999"/>
  </r>
  <r>
    <d v="2025-01-24T00:00:00"/>
    <x v="22"/>
    <x v="10"/>
    <d v="2025-01-24T00:00:00"/>
    <s v="Q1-2025"/>
    <s v="Africa"/>
    <x v="0"/>
    <s v="Mombasa"/>
    <s v="Accessories"/>
    <s v="High"/>
    <n v="1178.6199999999999"/>
    <n v="1178.6199999999999"/>
    <n v="0.151"/>
    <n v="53"/>
    <n v="125232.05063999999"/>
  </r>
  <r>
    <d v="2025-01-25T00:00:00"/>
    <x v="7"/>
    <x v="10"/>
    <d v="2025-01-25T00:00:00"/>
    <s v="Q1-2025"/>
    <s v="Europe"/>
    <x v="6"/>
    <s v="Frankfurt"/>
    <s v="Phones"/>
    <s v="High"/>
    <n v="2422.1"/>
    <n v="2422.1"/>
    <n v="7.5999999999999998E-2"/>
    <n v="10"/>
    <n v="18944.864399999999"/>
  </r>
  <r>
    <d v="2025-01-26T00:00:00"/>
    <x v="9"/>
    <x v="10"/>
    <d v="2025-01-26T00:00:00"/>
    <s v="Q1-2025"/>
    <s v="Americas"/>
    <x v="10"/>
    <s v="Chicago"/>
    <s v="Networking"/>
    <s v="High"/>
    <n v="433.88"/>
    <n v="433.88"/>
    <n v="0.215"/>
    <n v="22"/>
    <n v="2540.7624000000005"/>
  </r>
  <r>
    <d v="2025-01-27T00:00:00"/>
    <x v="2"/>
    <x v="10"/>
    <d v="2025-01-27T00:00:00"/>
    <s v="Q1-2025"/>
    <s v="Europe"/>
    <x v="7"/>
    <s v="Marseille"/>
    <s v="Networking"/>
    <s v="High"/>
    <n v="3149.13"/>
    <n v="3149.13"/>
    <n v="0.10299999999999999"/>
    <n v="14"/>
    <n v="24902.262840000003"/>
  </r>
  <r>
    <d v="2025-01-28T00:00:00"/>
    <x v="31"/>
    <x v="10"/>
    <d v="2025-01-28T00:00:00"/>
    <s v="Q1-2025"/>
    <s v="Americas"/>
    <x v="5"/>
    <s v="São Paulo"/>
    <s v="Components"/>
    <s v="Medium"/>
    <n v="65.650000000000006"/>
    <n v="65.650000000000006"/>
    <n v="0.17599999999999999"/>
    <n v="13"/>
    <n v="24630.101600000002"/>
  </r>
  <r>
    <d v="2025-01-29T00:00:00"/>
    <x v="29"/>
    <x v="10"/>
    <d v="2025-01-29T00:00:00"/>
    <s v="Q1-2025"/>
    <s v="Americas"/>
    <x v="5"/>
    <s v="São Paulo"/>
    <s v="Components"/>
    <s v="High"/>
    <n v="2492.14"/>
    <n v="2492.14"/>
    <n v="5.0999999999999997E-2"/>
    <n v="11"/>
    <n v="4829.1857899999995"/>
  </r>
  <r>
    <d v="2025-01-30T00:00:00"/>
    <x v="15"/>
    <x v="10"/>
    <d v="2025-01-30T00:00:00"/>
    <s v="Q1-2025"/>
    <s v="Africa"/>
    <x v="11"/>
    <s v="Durban"/>
    <s v="Accessories"/>
    <s v="High"/>
    <n v="931.84"/>
    <n v="931.84"/>
    <n v="0.121"/>
    <n v="12"/>
    <n v="11533.077720000001"/>
  </r>
  <r>
    <d v="2025-01-31T00:00:00"/>
    <x v="9"/>
    <x v="10"/>
    <d v="2025-01-31T00:00:00"/>
    <s v="Q1-2025"/>
    <s v="Asia"/>
    <x v="4"/>
    <s v="Hyderabad"/>
    <s v="Components"/>
    <s v="High"/>
    <n v="619.51"/>
    <n v="619.51"/>
    <n v="4.2000000000000003E-2"/>
    <n v="4"/>
    <n v="5572.5710399999998"/>
  </r>
  <r>
    <d v="2025-02-01T00:00:00"/>
    <x v="23"/>
    <x v="11"/>
    <d v="2025-02-01T00:00:00"/>
    <s v="Q1-2025"/>
    <s v="Africa"/>
    <x v="0"/>
    <s v="Nakuru"/>
    <s v="Phones"/>
    <s v="High"/>
    <n v="1421.55"/>
    <n v="1421.55"/>
    <n v="0.109"/>
    <n v="3"/>
    <n v="5667.829200000001"/>
  </r>
  <r>
    <d v="2025-02-02T00:00:00"/>
    <x v="8"/>
    <x v="11"/>
    <d v="2025-02-02T00:00:00"/>
    <s v="Q1-2025"/>
    <s v="Americas"/>
    <x v="5"/>
    <s v="São Paulo"/>
    <s v="Monitors"/>
    <s v="High"/>
    <n v="952.56"/>
    <n v="952.56"/>
    <n v="0.34599999999999997"/>
    <n v="10"/>
    <n v="841.56720000000018"/>
  </r>
  <r>
    <d v="2025-02-03T00:00:00"/>
    <x v="32"/>
    <x v="11"/>
    <d v="2025-02-03T00:00:00"/>
    <s v="Q1-2025"/>
    <s v="Americas"/>
    <x v="3"/>
    <s v="Toronto"/>
    <s v="Laptops"/>
    <s v="High"/>
    <n v="3154.14"/>
    <n v="3154.14"/>
    <n v="0.2"/>
    <n v="11"/>
    <n v="11668.448000000002"/>
  </r>
  <r>
    <d v="2025-02-04T00:00:00"/>
    <x v="10"/>
    <x v="11"/>
    <d v="2025-02-04T00:00:00"/>
    <s v="Q1-2025"/>
    <s v="Americas"/>
    <x v="10"/>
    <s v="Austin"/>
    <s v="Phones"/>
    <s v="High"/>
    <n v="226.14"/>
    <n v="226.14"/>
    <n v="6.5000000000000002E-2"/>
    <n v="12"/>
    <n v="27369.282600000002"/>
  </r>
  <r>
    <d v="2025-02-05T00:00:00"/>
    <x v="11"/>
    <x v="11"/>
    <d v="2025-02-05T00:00:00"/>
    <s v="Q1-2025"/>
    <s v="Europe"/>
    <x v="8"/>
    <s v="London"/>
    <s v="Networking"/>
    <s v="High"/>
    <n v="885.92"/>
    <n v="885.92"/>
    <n v="0.23899999999999999"/>
    <n v="13"/>
    <n v="21779.835220000001"/>
  </r>
  <r>
    <d v="2025-02-06T00:00:00"/>
    <x v="25"/>
    <x v="11"/>
    <d v="2025-02-06T00:00:00"/>
    <s v="Q1-2025"/>
    <s v="Asia"/>
    <x v="4"/>
    <s v="Delhi"/>
    <s v="Accessories"/>
    <s v="High"/>
    <n v="2433.34"/>
    <n v="2433.34"/>
    <n v="0.27"/>
    <n v="4"/>
    <n v="2377.9312"/>
  </r>
  <r>
    <d v="2025-02-07T00:00:00"/>
    <x v="30"/>
    <x v="11"/>
    <d v="2025-02-07T00:00:00"/>
    <s v="Q1-2025"/>
    <s v="Europe"/>
    <x v="8"/>
    <s v="Manchester"/>
    <s v="Accessories"/>
    <s v="High"/>
    <n v="1154.3399999999999"/>
    <n v="1154.3399999999999"/>
    <n v="2.8000000000000001E-2"/>
    <n v="5"/>
    <n v="6720.9426000000003"/>
  </r>
  <r>
    <d v="2025-02-08T00:00:00"/>
    <x v="19"/>
    <x v="11"/>
    <d v="2025-02-08T00:00:00"/>
    <s v="Q1-2025"/>
    <s v="Asia"/>
    <x v="4"/>
    <s v="Not Provided"/>
    <s v="Phones"/>
    <s v="High"/>
    <n v="1135.99"/>
    <n v="1135.99"/>
    <n v="0.14499999999999999"/>
    <n v="5"/>
    <n v="7038.4882499999994"/>
  </r>
  <r>
    <d v="2025-02-09T00:00:00"/>
    <x v="20"/>
    <x v="11"/>
    <d v="2025-02-09T00:00:00"/>
    <s v="Q1-2025"/>
    <s v="Europe"/>
    <x v="7"/>
    <s v="Lyon"/>
    <s v="Printers"/>
    <s v="High"/>
    <n v="2751.84"/>
    <n v="2751.84"/>
    <n v="0.158"/>
    <n v="7"/>
    <n v="2362.5509599999996"/>
  </r>
  <r>
    <d v="2025-02-10T00:00:00"/>
    <x v="14"/>
    <x v="11"/>
    <d v="2025-02-10T00:00:00"/>
    <s v="Q1-2025"/>
    <s v="Asia"/>
    <x v="9"/>
    <s v="Shenzhen"/>
    <s v="Phones"/>
    <s v="High"/>
    <n v="1374.72"/>
    <n v="1374.72"/>
    <n v="6.6000000000000003E-2"/>
    <n v="22"/>
    <n v="36586.946879999996"/>
  </r>
  <r>
    <d v="2025-02-11T00:00:00"/>
    <x v="31"/>
    <x v="11"/>
    <d v="2025-02-11T00:00:00"/>
    <s v="Q1-2025"/>
    <s v="Americas"/>
    <x v="5"/>
    <s v="Not Provided"/>
    <s v="Printers"/>
    <s v="High"/>
    <n v="1318.37"/>
    <n v="1318.37"/>
    <n v="0.21"/>
    <n v="37"/>
    <n v="32691.708900000005"/>
  </r>
  <r>
    <d v="2025-02-12T00:00:00"/>
    <x v="24"/>
    <x v="11"/>
    <d v="2025-02-12T00:00:00"/>
    <s v="Q1-2025"/>
    <s v="Africa"/>
    <x v="1"/>
    <s v="Port Harcourt"/>
    <s v="Accessories"/>
    <s v="High"/>
    <n v="441.74"/>
    <n v="441.74"/>
    <n v="0.24"/>
    <n v="9"/>
    <n v="5274.4607999999998"/>
  </r>
  <r>
    <d v="2025-02-13T00:00:00"/>
    <x v="24"/>
    <x v="11"/>
    <d v="2025-02-13T00:00:00"/>
    <s v="Q1-2025"/>
    <s v="Africa"/>
    <x v="11"/>
    <s v="Durban"/>
    <s v="Monitors"/>
    <s v="High"/>
    <n v="1330.07"/>
    <n v="1330.07"/>
    <n v="0.29899999999999999"/>
    <n v="28"/>
    <n v="23750.665119999998"/>
  </r>
  <r>
    <d v="2025-02-14T00:00:00"/>
    <x v="24"/>
    <x v="11"/>
    <d v="2025-02-14T00:00:00"/>
    <s v="Q1-2025"/>
    <s v="Africa"/>
    <x v="0"/>
    <s v="Nairobi"/>
    <s v="Accessories"/>
    <s v="High"/>
    <n v="1634.86"/>
    <n v="1634.86"/>
    <n v="0.56499999999999995"/>
    <n v="24"/>
    <n v="31570.873200000005"/>
  </r>
  <r>
    <d v="2025-02-15T00:00:00"/>
    <x v="12"/>
    <x v="11"/>
    <d v="2025-02-15T00:00:00"/>
    <s v="Q1-2025"/>
    <s v="Americas"/>
    <x v="10"/>
    <s v="San Francisco"/>
    <s v="Networking"/>
    <s v="Medium"/>
    <n v="70.599999999999994"/>
    <n v="70.599999999999994"/>
    <n v="0.28199999999999997"/>
    <n v="22"/>
    <n v="36385.454160000001"/>
  </r>
  <r>
    <d v="2025-02-16T00:00:00"/>
    <x v="1"/>
    <x v="11"/>
    <d v="2025-02-16T00:00:00"/>
    <s v="Q1-2025"/>
    <s v="Africa"/>
    <x v="0"/>
    <s v="Nairobi"/>
    <s v="Printers"/>
    <s v="High"/>
    <n v="1823.04"/>
    <n v="1823.04"/>
    <n v="0"/>
    <n v="11"/>
    <n v="33921.800000000003"/>
  </r>
  <r>
    <d v="2025-02-17T00:00:00"/>
    <x v="31"/>
    <x v="11"/>
    <d v="2025-02-17T00:00:00"/>
    <s v="Q1-2025"/>
    <s v="Asia"/>
    <x v="4"/>
    <s v="Delhi"/>
    <s v="Phones"/>
    <s v="High"/>
    <n v="2015.99"/>
    <n v="2015.99"/>
    <n v="0.26100000000000001"/>
    <n v="6"/>
    <n v="1430.8961399999998"/>
  </r>
  <r>
    <d v="2025-02-18T00:00:00"/>
    <x v="14"/>
    <x v="11"/>
    <d v="2025-02-18T00:00:00"/>
    <s v="Q1-2025"/>
    <s v="Asia"/>
    <x v="2"/>
    <s v="Nagoya"/>
    <s v="Networking"/>
    <s v="High"/>
    <n v="244.13"/>
    <n v="244.13"/>
    <n v="7.0999999999999994E-2"/>
    <n v="14"/>
    <n v="9511.1577400000006"/>
  </r>
  <r>
    <d v="2025-02-19T00:00:00"/>
    <x v="4"/>
    <x v="11"/>
    <d v="2025-02-19T00:00:00"/>
    <s v="Q1-2025"/>
    <s v="Asia"/>
    <x v="2"/>
    <s v="Nagoya"/>
    <s v="Laptops"/>
    <s v="High"/>
    <n v="2783.12"/>
    <n v="2783.12"/>
    <n v="0.02"/>
    <n v="5"/>
    <n v="7516.3549999999996"/>
  </r>
  <r>
    <d v="2025-02-20T00:00:00"/>
    <x v="14"/>
    <x v="11"/>
    <d v="2025-02-20T00:00:00"/>
    <s v="Q1-2025"/>
    <s v="Americas"/>
    <x v="3"/>
    <s v="Montreal"/>
    <s v="Accessories"/>
    <s v="High"/>
    <n v="2050.31"/>
    <n v="2050.31"/>
    <n v="0.10299999999999999"/>
    <n v="43"/>
    <n v="60620.497860000003"/>
  </r>
  <r>
    <d v="2025-02-21T00:00:00"/>
    <x v="15"/>
    <x v="11"/>
    <d v="2025-02-21T00:00:00"/>
    <s v="Q1-2025"/>
    <s v="Africa"/>
    <x v="1"/>
    <s v="Abuja"/>
    <s v="Phones"/>
    <s v="Medium"/>
    <n v="147.12"/>
    <n v="147.12"/>
    <n v="0"/>
    <n v="15"/>
    <n v="3760.95"/>
  </r>
  <r>
    <d v="2025-02-22T00:00:00"/>
    <x v="4"/>
    <x v="11"/>
    <d v="2025-02-22T00:00:00"/>
    <s v="Q1-2025"/>
    <s v="Africa"/>
    <x v="1"/>
    <s v="Not Provided"/>
    <s v="Components"/>
    <s v="High"/>
    <n v="1982.98"/>
    <n v="1982.98"/>
    <n v="0.14399999999999999"/>
    <n v="16"/>
    <n v="47563.605759999999"/>
  </r>
  <r>
    <d v="2025-02-23T00:00:00"/>
    <x v="16"/>
    <x v="11"/>
    <d v="2025-02-23T00:00:00"/>
    <s v="Q1-2025"/>
    <s v="Asia"/>
    <x v="4"/>
    <s v="Delhi"/>
    <s v="Laptops"/>
    <s v="High"/>
    <n v="2299.3000000000002"/>
    <n v="2299.3000000000002"/>
    <n v="0.113"/>
    <n v="6"/>
    <n v="6418.5448799999995"/>
  </r>
  <r>
    <d v="2025-02-24T00:00:00"/>
    <x v="2"/>
    <x v="11"/>
    <d v="2025-02-24T00:00:00"/>
    <s v="Q1-2025"/>
    <s v="Europe"/>
    <x v="8"/>
    <s v="Manchester"/>
    <s v="Printers"/>
    <s v="High"/>
    <n v="462.61"/>
    <n v="462.61"/>
    <n v="0.188"/>
    <n v="11"/>
    <n v="19625.658360000001"/>
  </r>
  <r>
    <d v="2025-02-25T00:00:00"/>
    <x v="4"/>
    <x v="11"/>
    <d v="2025-02-25T00:00:00"/>
    <s v="Q1-2025"/>
    <s v="Europe"/>
    <x v="6"/>
    <s v="Frankfurt"/>
    <s v="Monitors"/>
    <s v="High"/>
    <n v="1093.3900000000001"/>
    <n v="1093.3900000000001"/>
    <n v="0.113"/>
    <n v="17"/>
    <n v="24437.027399999999"/>
  </r>
  <r>
    <d v="2025-02-26T00:00:00"/>
    <x v="24"/>
    <x v="11"/>
    <d v="2025-02-26T00:00:00"/>
    <s v="Q1-2025"/>
    <s v="Africa"/>
    <x v="1"/>
    <s v="Lagos"/>
    <s v="Accessories"/>
    <s v="High"/>
    <n v="1454.22"/>
    <n v="1454.22"/>
    <n v="3.9E-2"/>
    <n v="19"/>
    <n v="18891.856940000001"/>
  </r>
  <r>
    <d v="2025-02-27T00:00:00"/>
    <x v="21"/>
    <x v="11"/>
    <d v="2025-02-27T00:00:00"/>
    <s v="Q1-2025"/>
    <s v="Asia"/>
    <x v="2"/>
    <s v="Osaka"/>
    <s v="Networking"/>
    <s v="High"/>
    <n v="2120.4"/>
    <n v="2120.4"/>
    <n v="0.17899999999999999"/>
    <n v="20"/>
    <n v="31286.9964"/>
  </r>
  <r>
    <d v="2025-02-28T00:00:00"/>
    <x v="18"/>
    <x v="11"/>
    <d v="2025-02-28T00:00:00"/>
    <s v="Q1-2025"/>
    <s v="Americas"/>
    <x v="5"/>
    <s v="Rio de Janeiro"/>
    <s v="Printers"/>
    <s v="Medium"/>
    <n v="128.68"/>
    <n v="128.68"/>
    <n v="0.128"/>
    <n v="10"/>
    <n v="4722.4031999999997"/>
  </r>
  <r>
    <d v="2025-03-01T00:00:00"/>
    <x v="9"/>
    <x v="12"/>
    <d v="2025-03-01T00:00:00"/>
    <s v="Q1-2025"/>
    <s v="Europe"/>
    <x v="8"/>
    <s v="Manchester"/>
    <s v="Accessories"/>
    <s v="High"/>
    <n v="1325.96"/>
    <n v="1325.96"/>
    <n v="0.16700000000000001"/>
    <n v="21"/>
    <n v="19532.683799999999"/>
  </r>
  <r>
    <d v="2025-03-02T00:00:00"/>
    <x v="28"/>
    <x v="12"/>
    <d v="2025-03-02T00:00:00"/>
    <s v="Q1-2025"/>
    <s v="Americas"/>
    <x v="5"/>
    <s v="São Paulo"/>
    <s v="Printers"/>
    <s v="High"/>
    <n v="2439.33"/>
    <n v="2439.33"/>
    <n v="0"/>
    <n v="18"/>
    <n v="26190"/>
  </r>
  <r>
    <d v="2025-03-03T00:00:00"/>
    <x v="20"/>
    <x v="12"/>
    <d v="2025-03-03T00:00:00"/>
    <s v="Q1-2025"/>
    <s v="Americas"/>
    <x v="5"/>
    <s v="Brasília"/>
    <s v="Networking"/>
    <s v="High"/>
    <n v="2201.54"/>
    <n v="2201.54"/>
    <n v="0.17"/>
    <n v="27"/>
    <n v="28646.702999999998"/>
  </r>
  <r>
    <d v="2025-03-04T00:00:00"/>
    <x v="18"/>
    <x v="12"/>
    <d v="2025-03-04T00:00:00"/>
    <s v="Q1-2025"/>
    <s v="Asia"/>
    <x v="9"/>
    <s v="Shanghai"/>
    <s v="Accessories"/>
    <s v="High"/>
    <n v="814.36"/>
    <n v="814.36"/>
    <n v="0"/>
    <n v="5"/>
    <n v="4499.1500000000005"/>
  </r>
  <r>
    <d v="2025-03-05T00:00:00"/>
    <x v="9"/>
    <x v="12"/>
    <d v="2025-03-05T00:00:00"/>
    <s v="Q1-2025"/>
    <s v="Africa"/>
    <x v="11"/>
    <s v="Cape Town"/>
    <s v="Printers"/>
    <s v="High"/>
    <n v="1382.91"/>
    <n v="1382.91"/>
    <n v="0.17599999999999999"/>
    <n v="13"/>
    <n v="9412.9557600000007"/>
  </r>
  <r>
    <d v="2025-03-06T00:00:00"/>
    <x v="17"/>
    <x v="12"/>
    <d v="2025-03-06T00:00:00"/>
    <s v="Q1-2025"/>
    <s v="Europe"/>
    <x v="8"/>
    <s v="Birmingham"/>
    <s v="Accessories"/>
    <s v="High"/>
    <n v="1646.43"/>
    <n v="1646.43"/>
    <n v="0.11"/>
    <n v="24"/>
    <n v="12696.811199999998"/>
  </r>
  <r>
    <d v="2025-03-07T00:00:00"/>
    <x v="16"/>
    <x v="12"/>
    <d v="2025-03-07T00:00:00"/>
    <s v="Q1-2025"/>
    <s v="Europe"/>
    <x v="8"/>
    <s v="Birmingham"/>
    <s v="Phones"/>
    <s v="High"/>
    <n v="400.84"/>
    <n v="400.84"/>
    <n v="7.8E-2"/>
    <n v="13"/>
    <n v="19391.5501"/>
  </r>
  <r>
    <d v="2025-03-08T00:00:00"/>
    <x v="24"/>
    <x v="12"/>
    <d v="2025-03-08T00:00:00"/>
    <s v="Q1-2025"/>
    <s v="Africa"/>
    <x v="1"/>
    <s v="Port Harcourt"/>
    <s v="Laptops"/>
    <s v="High"/>
    <n v="1780.56"/>
    <n v="1780.56"/>
    <n v="1.4E-2"/>
    <n v="47"/>
    <n v="45086.595219999996"/>
  </r>
  <r>
    <d v="2025-03-09T00:00:00"/>
    <x v="0"/>
    <x v="12"/>
    <d v="2025-03-09T00:00:00"/>
    <s v="Q1-2025"/>
    <s v="Asia"/>
    <x v="9"/>
    <s v="Shenzhen"/>
    <s v="Monitors"/>
    <s v="High"/>
    <n v="1118.43"/>
    <n v="1118.43"/>
    <n v="0.27200000000000002"/>
    <n v="9"/>
    <n v="278.85311999999999"/>
  </r>
  <r>
    <d v="2025-03-10T00:00:00"/>
    <x v="23"/>
    <x v="12"/>
    <d v="2025-03-10T00:00:00"/>
    <s v="Q1-2025"/>
    <s v="Europe"/>
    <x v="8"/>
    <s v="Birmingham"/>
    <s v="Printers"/>
    <s v="High"/>
    <n v="771.12"/>
    <n v="771.12"/>
    <n v="0.13200000000000001"/>
    <n v="19"/>
    <n v="24421.848359999996"/>
  </r>
  <r>
    <d v="2025-03-11T00:00:00"/>
    <x v="3"/>
    <x v="12"/>
    <d v="2025-03-11T00:00:00"/>
    <s v="Q1-2025"/>
    <s v="Asia"/>
    <x v="2"/>
    <s v="Tokyo"/>
    <s v="Components"/>
    <s v="High"/>
    <n v="1210.04"/>
    <n v="1210.04"/>
    <n v="8.9999999999999993E-3"/>
    <n v="18"/>
    <n v="10065.26988"/>
  </r>
  <r>
    <d v="2025-03-12T00:00:00"/>
    <x v="17"/>
    <x v="12"/>
    <d v="2025-03-12T00:00:00"/>
    <s v="Q1-2025"/>
    <s v="Africa"/>
    <x v="0"/>
    <s v="Mombasa"/>
    <s v="Phones"/>
    <s v="High"/>
    <n v="3024.03"/>
    <n v="3024.03"/>
    <n v="0.192"/>
    <n v="8"/>
    <n v="13814.925440000001"/>
  </r>
  <r>
    <d v="2025-03-13T00:00:00"/>
    <x v="3"/>
    <x v="12"/>
    <d v="2025-03-13T00:00:00"/>
    <s v="Q1-2025"/>
    <s v="Asia"/>
    <x v="4"/>
    <s v="Mumbai"/>
    <s v="Components"/>
    <s v="High"/>
    <n v="2303.46"/>
    <n v="2303.46"/>
    <n v="0.105"/>
    <n v="9"/>
    <n v="13539.891150000001"/>
  </r>
  <r>
    <d v="2025-03-14T00:00:00"/>
    <x v="27"/>
    <x v="12"/>
    <d v="2025-03-14T00:00:00"/>
    <s v="Q1-2025"/>
    <s v="Americas"/>
    <x v="10"/>
    <s v="New York"/>
    <s v="Laptops"/>
    <s v="High"/>
    <n v="3083.8"/>
    <n v="3083.8"/>
    <n v="0.106"/>
    <n v="5"/>
    <n v="12985.618199999999"/>
  </r>
  <r>
    <d v="2025-03-15T00:00:00"/>
    <x v="16"/>
    <x v="12"/>
    <d v="2025-03-15T00:00:00"/>
    <s v="Q1-2025"/>
    <s v="Americas"/>
    <x v="3"/>
    <s v="Vancouver"/>
    <s v="Printers"/>
    <s v="High"/>
    <n v="322.70999999999998"/>
    <n v="322.70999999999998"/>
    <n v="0.115"/>
    <n v="16"/>
    <n v="11923.994400000001"/>
  </r>
  <r>
    <d v="2025-03-16T00:00:00"/>
    <x v="4"/>
    <x v="12"/>
    <d v="2025-03-16T00:00:00"/>
    <s v="Q1-2025"/>
    <s v="Europe"/>
    <x v="7"/>
    <s v="Lyon"/>
    <s v="Laptops"/>
    <s v="High"/>
    <n v="731.29"/>
    <n v="731.29"/>
    <n v="5.8000000000000003E-2"/>
    <n v="6"/>
    <n v="17698.503240000002"/>
  </r>
  <r>
    <d v="2025-03-17T00:00:00"/>
    <x v="2"/>
    <x v="12"/>
    <d v="2025-03-17T00:00:00"/>
    <s v="Q1-2025"/>
    <s v="Americas"/>
    <x v="10"/>
    <s v="Austin"/>
    <s v="Phones"/>
    <s v="High"/>
    <n v="1533.95"/>
    <n v="1533.95"/>
    <n v="0"/>
    <n v="11"/>
    <n v="15891.92"/>
  </r>
  <r>
    <d v="2025-03-18T00:00:00"/>
    <x v="12"/>
    <x v="12"/>
    <d v="2025-03-18T00:00:00"/>
    <s v="Q1-2025"/>
    <s v="Africa"/>
    <x v="1"/>
    <s v="Abuja"/>
    <s v="Monitors"/>
    <s v="High"/>
    <n v="1571.66"/>
    <n v="1571.66"/>
    <n v="0.107"/>
    <n v="23"/>
    <n v="59066.056200000006"/>
  </r>
  <r>
    <d v="2025-03-19T00:00:00"/>
    <x v="19"/>
    <x v="12"/>
    <d v="2025-03-19T00:00:00"/>
    <s v="Q1-2025"/>
    <s v="Europe"/>
    <x v="8"/>
    <s v="Birmingham"/>
    <s v="Printers"/>
    <s v="High"/>
    <n v="250.73"/>
    <n v="250.73"/>
    <n v="3.4000000000000002E-2"/>
    <n v="17"/>
    <n v="26958.519419999997"/>
  </r>
  <r>
    <d v="2025-03-20T00:00:00"/>
    <x v="7"/>
    <x v="12"/>
    <d v="2025-03-20T00:00:00"/>
    <s v="Q1-2025"/>
    <s v="Americas"/>
    <x v="10"/>
    <s v="Austin"/>
    <s v="Phones"/>
    <s v="High"/>
    <n v="3472.81"/>
    <n v="3472.81"/>
    <n v="0.25600000000000001"/>
    <n v="12"/>
    <n v="11597.65056"/>
  </r>
  <r>
    <d v="2025-03-21T00:00:00"/>
    <x v="0"/>
    <x v="12"/>
    <d v="2025-03-21T00:00:00"/>
    <s v="Q1-2025"/>
    <s v="Asia"/>
    <x v="9"/>
    <s v="Beijing"/>
    <s v="Phones"/>
    <s v="High"/>
    <n v="1206.04"/>
    <n v="1206.04"/>
    <n v="6.3E-2"/>
    <n v="34"/>
    <n v="35635.084480000005"/>
  </r>
  <r>
    <d v="2025-03-22T00:00:00"/>
    <x v="16"/>
    <x v="12"/>
    <d v="2025-03-22T00:00:00"/>
    <s v="Q1-2025"/>
    <s v="Asia"/>
    <x v="9"/>
    <s v="Shanghai"/>
    <s v="Networking"/>
    <s v="High"/>
    <n v="2197.23"/>
    <n v="2197.23"/>
    <n v="9.9000000000000005E-2"/>
    <n v="22"/>
    <n v="23483.321620000002"/>
  </r>
  <r>
    <d v="2025-03-23T00:00:00"/>
    <x v="22"/>
    <x v="12"/>
    <d v="2025-03-23T00:00:00"/>
    <s v="Q1-2025"/>
    <s v="Africa"/>
    <x v="11"/>
    <s v="Durban"/>
    <s v="Components"/>
    <s v="High"/>
    <n v="1620.6"/>
    <n v="1620.6"/>
    <n v="0.13900000000000001"/>
    <n v="11"/>
    <n v="11379.122369999999"/>
  </r>
  <r>
    <d v="2025-03-24T00:00:00"/>
    <x v="10"/>
    <x v="12"/>
    <d v="2025-03-24T00:00:00"/>
    <s v="Q1-2025"/>
    <s v="Africa"/>
    <x v="11"/>
    <s v="Cape Town"/>
    <s v="Networking"/>
    <s v="High"/>
    <n v="1034.6600000000001"/>
    <n v="1034.6600000000001"/>
    <n v="9.1999999999999998E-2"/>
    <n v="7"/>
    <n v="5599.5724400000008"/>
  </r>
  <r>
    <d v="2025-03-25T00:00:00"/>
    <x v="26"/>
    <x v="12"/>
    <d v="2025-03-25T00:00:00"/>
    <s v="Q1-2025"/>
    <s v="Americas"/>
    <x v="5"/>
    <s v="São Paulo"/>
    <s v="Networking"/>
    <s v="High"/>
    <n v="1905.42"/>
    <n v="1905.42"/>
    <n v="3.2000000000000001E-2"/>
    <n v="18"/>
    <n v="35734.358879999992"/>
  </r>
  <r>
    <d v="2025-03-26T00:00:00"/>
    <x v="10"/>
    <x v="12"/>
    <d v="2025-03-26T00:00:00"/>
    <s v="Q1-2025"/>
    <s v="Europe"/>
    <x v="8"/>
    <s v="London"/>
    <s v="Components"/>
    <s v="High"/>
    <n v="541.55999999999995"/>
    <n v="541.55999999999995"/>
    <n v="0.16300000000000001"/>
    <n v="25"/>
    <n v="36365.557499999995"/>
  </r>
  <r>
    <d v="2025-03-27T00:00:00"/>
    <x v="28"/>
    <x v="12"/>
    <d v="2025-03-27T00:00:00"/>
    <s v="Q1-2025"/>
    <s v="Americas"/>
    <x v="3"/>
    <s v="Montreal"/>
    <s v="Networking"/>
    <s v="High"/>
    <n v="1116.5999999999999"/>
    <n v="1116.5999999999999"/>
    <n v="0.17599999999999999"/>
    <n v="14"/>
    <n v="16015.544160000001"/>
  </r>
  <r>
    <d v="2025-03-28T00:00:00"/>
    <x v="13"/>
    <x v="12"/>
    <d v="2025-03-28T00:00:00"/>
    <s v="Q1-2025"/>
    <s v="Europe"/>
    <x v="8"/>
    <s v="Birmingham"/>
    <s v="Printers"/>
    <s v="High"/>
    <n v="1455"/>
    <n v="1455"/>
    <n v="7.8E-2"/>
    <n v="28"/>
    <n v="13660.278240000001"/>
  </r>
  <r>
    <d v="2025-03-29T00:00:00"/>
    <x v="23"/>
    <x v="12"/>
    <d v="2025-03-29T00:00:00"/>
    <s v="Q1-2025"/>
    <s v="Americas"/>
    <x v="10"/>
    <s v="New York"/>
    <s v="Networking"/>
    <s v="High"/>
    <n v="1278.3"/>
    <n v="1278.3"/>
    <n v="0.09"/>
    <n v="41"/>
    <n v="73589.497799999997"/>
  </r>
  <r>
    <d v="2025-03-30T00:00:00"/>
    <x v="14"/>
    <x v="12"/>
    <d v="2025-03-30T00:00:00"/>
    <s v="Q1-2025"/>
    <s v="Europe"/>
    <x v="7"/>
    <s v="Marseille"/>
    <s v="Monitors"/>
    <s v="High"/>
    <n v="899.83"/>
    <n v="899.83"/>
    <n v="5.8000000000000003E-2"/>
    <n v="18"/>
    <n v="14867.190359999997"/>
  </r>
  <r>
    <d v="2025-03-31T00:00:00"/>
    <x v="15"/>
    <x v="12"/>
    <d v="2025-03-31T00:00:00"/>
    <s v="Q1-2025"/>
    <s v="Asia"/>
    <x v="4"/>
    <s v="Delhi"/>
    <s v="Laptops"/>
    <s v="High"/>
    <n v="878.73"/>
    <n v="878.73"/>
    <n v="0.19"/>
    <n v="31"/>
    <n v="20697.168600000001"/>
  </r>
  <r>
    <d v="2025-04-01T00:00:00"/>
    <x v="8"/>
    <x v="13"/>
    <d v="2025-04-01T00:00:00"/>
    <s v="Q2-2025"/>
    <s v="Asia"/>
    <x v="4"/>
    <s v="Hyderabad"/>
    <s v="Printers"/>
    <s v="High"/>
    <n v="594.41999999999996"/>
    <n v="594.41999999999996"/>
    <n v="0.104"/>
    <n v="18"/>
    <n v="18697.996800000001"/>
  </r>
  <r>
    <d v="2025-04-02T00:00:00"/>
    <x v="7"/>
    <x v="13"/>
    <d v="2025-04-02T00:00:00"/>
    <s v="Q2-2025"/>
    <s v="Africa"/>
    <x v="1"/>
    <s v="Abuja"/>
    <s v="Laptops"/>
    <s v="High"/>
    <n v="1617.85"/>
    <n v="1617.85"/>
    <n v="0.127"/>
    <n v="14"/>
    <n v="30720.11922"/>
  </r>
  <r>
    <d v="2025-04-03T00:00:00"/>
    <x v="27"/>
    <x v="13"/>
    <d v="2025-04-03T00:00:00"/>
    <s v="Q2-2025"/>
    <s v="Asia"/>
    <x v="9"/>
    <s v="Beijing"/>
    <s v="Laptops"/>
    <s v="High"/>
    <n v="972.91"/>
    <n v="972.91"/>
    <n v="0.14699999999999999"/>
    <n v="17"/>
    <n v="44766.472129999995"/>
  </r>
  <r>
    <d v="2025-04-04T00:00:00"/>
    <x v="32"/>
    <x v="13"/>
    <d v="2025-04-04T00:00:00"/>
    <s v="Q2-2025"/>
    <s v="Africa"/>
    <x v="11"/>
    <s v="Cape Town"/>
    <s v="Laptops"/>
    <s v="Low"/>
    <n v="42.56"/>
    <n v="42.56"/>
    <n v="7.1999999999999995E-2"/>
    <n v="11"/>
    <n v="27736.667200000004"/>
  </r>
  <r>
    <d v="2025-04-05T00:00:00"/>
    <x v="16"/>
    <x v="13"/>
    <d v="2025-04-05T00:00:00"/>
    <s v="Q2-2025"/>
    <s v="Africa"/>
    <x v="11"/>
    <s v="Johannesburg"/>
    <s v="Monitors"/>
    <s v="High"/>
    <n v="1480.83"/>
    <n v="1480.83"/>
    <n v="8.9999999999999993E-3"/>
    <n v="11"/>
    <n v="9830.4127899999985"/>
  </r>
  <r>
    <d v="2025-04-06T00:00:00"/>
    <x v="21"/>
    <x v="13"/>
    <d v="2025-04-06T00:00:00"/>
    <s v="Q2-2025"/>
    <s v="Europe"/>
    <x v="7"/>
    <s v="Marseille"/>
    <s v="Printers"/>
    <s v="High"/>
    <n v="564.26"/>
    <n v="564.26"/>
    <n v="0.105"/>
    <n v="5"/>
    <n v="3562.7712500000002"/>
  </r>
  <r>
    <d v="2025-04-07T00:00:00"/>
    <x v="32"/>
    <x v="13"/>
    <d v="2025-04-07T00:00:00"/>
    <s v="Q2-2025"/>
    <s v="Asia"/>
    <x v="9"/>
    <s v="Shanghai"/>
    <s v="Components"/>
    <s v="High"/>
    <n v="2137.21"/>
    <n v="2137.21"/>
    <n v="0.35699999999999998"/>
    <n v="35"/>
    <n v="3551.7390999999998"/>
  </r>
  <r>
    <d v="2025-04-08T00:00:00"/>
    <x v="0"/>
    <x v="13"/>
    <d v="2025-04-08T00:00:00"/>
    <s v="Q2-2025"/>
    <s v="Americas"/>
    <x v="10"/>
    <s v="San Francisco"/>
    <s v="Phones"/>
    <s v="High"/>
    <n v="1680.93"/>
    <n v="1680.93"/>
    <n v="0.254"/>
    <n v="9"/>
    <n v="5499.1688399999994"/>
  </r>
  <r>
    <d v="2025-04-09T00:00:00"/>
    <x v="15"/>
    <x v="13"/>
    <d v="2025-04-09T00:00:00"/>
    <s v="Q2-2025"/>
    <s v="Europe"/>
    <x v="8"/>
    <s v="London"/>
    <s v="Components"/>
    <s v="High"/>
    <n v="2905.06"/>
    <n v="2905.06"/>
    <n v="0.14799999999999999"/>
    <n v="8"/>
    <n v="11663.26656"/>
  </r>
  <r>
    <d v="2025-04-10T00:00:00"/>
    <x v="8"/>
    <x v="13"/>
    <d v="2025-04-10T00:00:00"/>
    <s v="Q2-2025"/>
    <s v="Asia"/>
    <x v="2"/>
    <s v="Osaka"/>
    <s v="Accessories"/>
    <s v="High"/>
    <n v="842.09"/>
    <n v="842.09"/>
    <n v="9.8000000000000004E-2"/>
    <n v="19"/>
    <n v="29072.046299999998"/>
  </r>
  <r>
    <d v="2025-04-11T00:00:00"/>
    <x v="28"/>
    <x v="13"/>
    <d v="2025-04-11T00:00:00"/>
    <s v="Q2-2025"/>
    <s v="Europe"/>
    <x v="6"/>
    <s v="Berlin"/>
    <s v="Monitors"/>
    <s v="High"/>
    <n v="3131.37"/>
    <n v="3131.37"/>
    <n v="0.10299999999999999"/>
    <n v="20"/>
    <n v="51745.059600000001"/>
  </r>
  <r>
    <d v="2025-04-12T00:00:00"/>
    <x v="6"/>
    <x v="13"/>
    <d v="2025-04-12T00:00:00"/>
    <s v="Q2-2025"/>
    <s v="Asia"/>
    <x v="2"/>
    <s v="Tokyo"/>
    <s v="Laptops"/>
    <s v="High"/>
    <n v="1444.72"/>
    <n v="1444.72"/>
    <n v="0.24099999999999999"/>
    <n v="17"/>
    <n v="19144.697220000002"/>
  </r>
  <r>
    <d v="2025-04-13T00:00:00"/>
    <x v="11"/>
    <x v="13"/>
    <d v="2025-04-13T00:00:00"/>
    <s v="Q2-2025"/>
    <s v="Africa"/>
    <x v="11"/>
    <s v="Durban"/>
    <s v="Components"/>
    <s v="High"/>
    <n v="2875.8"/>
    <n v="2875.8"/>
    <n v="8.3000000000000004E-2"/>
    <n v="5"/>
    <n v="14660.399949999999"/>
  </r>
  <r>
    <d v="2025-04-14T00:00:00"/>
    <x v="29"/>
    <x v="13"/>
    <d v="2025-04-14T00:00:00"/>
    <s v="Q2-2025"/>
    <s v="Africa"/>
    <x v="11"/>
    <s v="Cape Town"/>
    <s v="Monitors"/>
    <s v="High"/>
    <n v="1641.61"/>
    <n v="1641.61"/>
    <n v="0.122"/>
    <n v="9"/>
    <n v="18353.975399999999"/>
  </r>
  <r>
    <d v="2025-04-15T00:00:00"/>
    <x v="19"/>
    <x v="13"/>
    <d v="2025-04-15T00:00:00"/>
    <s v="Q2-2025"/>
    <s v="Africa"/>
    <x v="0"/>
    <s v="Kisumu"/>
    <s v="Networking"/>
    <s v="High"/>
    <n v="1299.02"/>
    <n v="1299.02"/>
    <n v="2.5000000000000001E-2"/>
    <n v="14"/>
    <n v="26377.532999999999"/>
  </r>
  <r>
    <d v="2025-04-16T00:00:00"/>
    <x v="21"/>
    <x v="13"/>
    <d v="2025-04-16T00:00:00"/>
    <s v="Q2-2025"/>
    <s v="Americas"/>
    <x v="10"/>
    <s v="Chicago"/>
    <s v="Printers"/>
    <s v="High"/>
    <n v="1118.56"/>
    <n v="1118.56"/>
    <n v="0.18"/>
    <n v="19"/>
    <n v="24777.808799999999"/>
  </r>
  <r>
    <d v="2025-04-17T00:00:00"/>
    <x v="18"/>
    <x v="13"/>
    <d v="2025-04-17T00:00:00"/>
    <s v="Q2-2025"/>
    <s v="Americas"/>
    <x v="3"/>
    <s v="Toronto"/>
    <s v="Components"/>
    <s v="High"/>
    <n v="1184.71"/>
    <n v="1184.71"/>
    <n v="0.106"/>
    <n v="16"/>
    <n v="5658.8054400000001"/>
  </r>
  <r>
    <d v="2025-04-18T00:00:00"/>
    <x v="14"/>
    <x v="13"/>
    <d v="2025-04-18T00:00:00"/>
    <s v="Q2-2025"/>
    <s v="Europe"/>
    <x v="7"/>
    <s v="Marseille"/>
    <s v="Laptops"/>
    <s v="High"/>
    <n v="1201.47"/>
    <n v="1201.47"/>
    <n v="0.126"/>
    <n v="5"/>
    <n v="9079.5053000000007"/>
  </r>
  <r>
    <d v="2025-04-19T00:00:00"/>
    <x v="10"/>
    <x v="13"/>
    <d v="2025-04-19T00:00:00"/>
    <s v="Q2-2025"/>
    <s v="Americas"/>
    <x v="5"/>
    <s v="Brasília"/>
    <s v="Components"/>
    <s v="High"/>
    <n v="880.99"/>
    <n v="880.99"/>
    <n v="0.111"/>
    <n v="10"/>
    <n v="11831.2565"/>
  </r>
  <r>
    <d v="2025-04-20T00:00:00"/>
    <x v="22"/>
    <x v="13"/>
    <d v="2025-04-20T00:00:00"/>
    <s v="Q2-2025"/>
    <s v="Asia"/>
    <x v="9"/>
    <s v="Beijing"/>
    <s v="Monitors"/>
    <s v="High"/>
    <n v="2050.87"/>
    <n v="2050.87"/>
    <n v="6.4000000000000001E-2"/>
    <n v="7"/>
    <n v="18113.986799999999"/>
  </r>
  <r>
    <d v="2025-04-21T00:00:00"/>
    <x v="6"/>
    <x v="13"/>
    <d v="2025-04-21T00:00:00"/>
    <s v="Q2-2025"/>
    <s v="Asia"/>
    <x v="4"/>
    <s v="Delhi"/>
    <s v="Printers"/>
    <s v="High"/>
    <n v="1737.9"/>
    <n v="1737.9"/>
    <n v="7.6999999999999999E-2"/>
    <n v="14"/>
    <n v="3596.8387000000007"/>
  </r>
  <r>
    <d v="2025-04-22T00:00:00"/>
    <x v="26"/>
    <x v="13"/>
    <d v="2025-04-22T00:00:00"/>
    <s v="Q2-2025"/>
    <s v="Africa"/>
    <x v="1"/>
    <s v="Abuja"/>
    <s v="Phones"/>
    <s v="High"/>
    <n v="1388.31"/>
    <n v="1388.31"/>
    <n v="0.13800000000000001"/>
    <n v="18"/>
    <n v="15273.329759999999"/>
  </r>
  <r>
    <d v="2025-04-23T00:00:00"/>
    <x v="3"/>
    <x v="13"/>
    <d v="2025-04-23T00:00:00"/>
    <s v="Q2-2025"/>
    <s v="Asia"/>
    <x v="4"/>
    <s v="Bengaluru"/>
    <s v="Laptops"/>
    <s v="High"/>
    <n v="529.14"/>
    <n v="529.14"/>
    <n v="0.19600000000000001"/>
    <n v="11"/>
    <n v="1687.7889600000003"/>
  </r>
  <r>
    <d v="2025-04-24T00:00:00"/>
    <x v="4"/>
    <x v="13"/>
    <d v="2025-04-24T00:00:00"/>
    <s v="Q2-2025"/>
    <s v="Asia"/>
    <x v="9"/>
    <s v="Beijing"/>
    <s v="Accessories"/>
    <s v="High"/>
    <n v="1972.38"/>
    <n v="1972.38"/>
    <n v="0"/>
    <n v="12"/>
    <n v="10899.599999999999"/>
  </r>
  <r>
    <d v="2025-04-25T00:00:00"/>
    <x v="21"/>
    <x v="13"/>
    <d v="2025-04-25T00:00:00"/>
    <s v="Q2-2025"/>
    <s v="Asia"/>
    <x v="2"/>
    <s v="Nagoya"/>
    <s v="Laptops"/>
    <s v="High"/>
    <n v="876.81"/>
    <n v="876.81"/>
    <n v="0.24099999999999999"/>
    <n v="8"/>
    <n v="1725.8445600000002"/>
  </r>
  <r>
    <d v="2025-04-26T00:00:00"/>
    <x v="7"/>
    <x v="13"/>
    <d v="2025-04-26T00:00:00"/>
    <s v="Q2-2025"/>
    <s v="Europe"/>
    <x v="7"/>
    <s v="Marseille"/>
    <s v="Printers"/>
    <s v="High"/>
    <n v="824.26"/>
    <n v="824.26"/>
    <n v="0.23899999999999999"/>
    <n v="11"/>
    <n v="10290.80514"/>
  </r>
  <r>
    <d v="2025-04-27T00:00:00"/>
    <x v="22"/>
    <x v="13"/>
    <d v="2025-04-27T00:00:00"/>
    <s v="Q2-2025"/>
    <s v="Europe"/>
    <x v="6"/>
    <s v="Munich"/>
    <s v="Phones"/>
    <s v="High"/>
    <n v="1159.3499999999999"/>
    <n v="1159.3499999999999"/>
    <n v="0.112"/>
    <n v="2"/>
    <n v="2175.1027199999999"/>
  </r>
  <r>
    <d v="2025-04-28T00:00:00"/>
    <x v="25"/>
    <x v="13"/>
    <d v="2025-04-28T00:00:00"/>
    <s v="Q2-2025"/>
    <s v="Africa"/>
    <x v="1"/>
    <s v="Abuja"/>
    <s v="Phones"/>
    <s v="High"/>
    <n v="2513.5100000000002"/>
    <n v="2513.5100000000002"/>
    <n v="8.3000000000000004E-2"/>
    <n v="7"/>
    <n v="3118.7353400000002"/>
  </r>
  <r>
    <d v="2025-04-29T00:00:00"/>
    <x v="17"/>
    <x v="13"/>
    <d v="2025-04-29T00:00:00"/>
    <s v="Q2-2025"/>
    <s v="Asia"/>
    <x v="4"/>
    <s v="Bengaluru"/>
    <s v="Networking"/>
    <s v="High"/>
    <n v="3087.13"/>
    <n v="3087.13"/>
    <n v="7.1999999999999995E-2"/>
    <n v="11"/>
    <n v="22569.275520000003"/>
  </r>
  <r>
    <d v="2025-04-30T00:00:00"/>
    <x v="25"/>
    <x v="13"/>
    <d v="2025-04-30T00:00:00"/>
    <s v="Q2-2025"/>
    <s v="Americas"/>
    <x v="3"/>
    <s v="Vancouver"/>
    <s v="Printers"/>
    <s v="High"/>
    <n v="2717.15"/>
    <n v="2717.15"/>
    <n v="3.2000000000000001E-2"/>
    <n v="7"/>
    <n v="3875.12664"/>
  </r>
  <r>
    <d v="2025-05-01T00:00:00"/>
    <x v="18"/>
    <x v="14"/>
    <d v="2025-05-01T00:00:00"/>
    <s v="Q2-2025"/>
    <s v="Asia"/>
    <x v="4"/>
    <s v="Hyderabad"/>
    <s v="Accessories"/>
    <s v="High"/>
    <n v="901.79"/>
    <n v="901.79"/>
    <n v="0.245"/>
    <n v="16"/>
    <n v="41052.309600000001"/>
  </r>
  <r>
    <d v="2025-05-02T00:00:00"/>
    <x v="16"/>
    <x v="14"/>
    <d v="2025-05-02T00:00:00"/>
    <s v="Q2-2025"/>
    <s v="Asia"/>
    <x v="4"/>
    <s v="Delhi"/>
    <s v="Accessories"/>
    <s v="High"/>
    <n v="796.15"/>
    <n v="796.15"/>
    <n v="0.09"/>
    <n v="11"/>
    <n v="1948.1462000000001"/>
  </r>
  <r>
    <d v="2025-05-03T00:00:00"/>
    <x v="3"/>
    <x v="14"/>
    <d v="2025-05-03T00:00:00"/>
    <s v="Q2-2025"/>
    <s v="Asia"/>
    <x v="9"/>
    <s v="Not Provided"/>
    <s v="Printers"/>
    <s v="Medium"/>
    <n v="157.82"/>
    <n v="157.82"/>
    <n v="0.217"/>
    <n v="6"/>
    <n v="4846.6447200000002"/>
  </r>
  <r>
    <d v="2025-05-04T00:00:00"/>
    <x v="9"/>
    <x v="14"/>
    <d v="2025-05-04T00:00:00"/>
    <s v="Q2-2025"/>
    <s v="Europe"/>
    <x v="6"/>
    <s v="Frankfurt"/>
    <s v="Monitors"/>
    <s v="High"/>
    <n v="819.06"/>
    <n v="819.06"/>
    <n v="0.22600000000000001"/>
    <n v="15"/>
    <n v="5749.1559000000007"/>
  </r>
  <r>
    <d v="2025-05-05T00:00:00"/>
    <x v="32"/>
    <x v="14"/>
    <d v="2025-05-05T00:00:00"/>
    <s v="Q2-2025"/>
    <s v="Asia"/>
    <x v="2"/>
    <s v="Nagoya"/>
    <s v="Phones"/>
    <s v="High"/>
    <n v="1711.16"/>
    <n v="1711.16"/>
    <n v="0.151"/>
    <n v="10"/>
    <n v="11198.649599999999"/>
  </r>
  <r>
    <d v="2025-05-06T00:00:00"/>
    <x v="26"/>
    <x v="14"/>
    <d v="2025-05-06T00:00:00"/>
    <s v="Q2-2025"/>
    <s v="Americas"/>
    <x v="10"/>
    <s v="San Francisco"/>
    <s v="Phones"/>
    <s v="High"/>
    <n v="1696.35"/>
    <n v="1696.35"/>
    <n v="1.9E-2"/>
    <n v="6"/>
    <n v="1853.32482"/>
  </r>
  <r>
    <d v="2025-05-07T00:00:00"/>
    <x v="13"/>
    <x v="14"/>
    <d v="2025-05-07T00:00:00"/>
    <s v="Q2-2025"/>
    <s v="Africa"/>
    <x v="1"/>
    <s v="Lagos"/>
    <s v="Laptops"/>
    <s v="High"/>
    <n v="2884.34"/>
    <n v="2884.34"/>
    <n v="0.157"/>
    <n v="42"/>
    <n v="78253.279020000002"/>
  </r>
  <r>
    <d v="2025-05-08T00:00:00"/>
    <x v="11"/>
    <x v="14"/>
    <d v="2025-05-08T00:00:00"/>
    <s v="Q2-2025"/>
    <s v="Asia"/>
    <x v="4"/>
    <s v="Delhi"/>
    <s v="Phones"/>
    <s v="High"/>
    <n v="1483.74"/>
    <n v="1483.74"/>
    <n v="0.16800000000000001"/>
    <n v="24"/>
    <n v="20866.559999999998"/>
  </r>
  <r>
    <d v="2025-05-09T00:00:00"/>
    <x v="31"/>
    <x v="14"/>
    <d v="2025-05-09T00:00:00"/>
    <s v="Q2-2025"/>
    <s v="Asia"/>
    <x v="9"/>
    <s v="Beijing"/>
    <s v="Printers"/>
    <s v="High"/>
    <n v="3197.47"/>
    <n v="3197.47"/>
    <n v="0.24299999999999999"/>
    <n v="24"/>
    <n v="38737.627919999999"/>
  </r>
  <r>
    <d v="2025-05-10T00:00:00"/>
    <x v="31"/>
    <x v="14"/>
    <d v="2025-05-10T00:00:00"/>
    <s v="Q2-2025"/>
    <s v="Asia"/>
    <x v="4"/>
    <s v="Mumbai"/>
    <s v="Laptops"/>
    <s v="High"/>
    <n v="2322.6999999999998"/>
    <n v="2322.6999999999998"/>
    <n v="0.17299999999999999"/>
    <n v="8"/>
    <n v="13903.854800000001"/>
  </r>
  <r>
    <d v="2025-05-11T00:00:00"/>
    <x v="28"/>
    <x v="14"/>
    <d v="2025-05-11T00:00:00"/>
    <s v="Q2-2025"/>
    <s v="Africa"/>
    <x v="1"/>
    <s v="Port Harcourt"/>
    <s v="Laptops"/>
    <s v="High"/>
    <n v="1932.42"/>
    <n v="1932.42"/>
    <n v="0.25"/>
    <n v="21"/>
    <n v="33475.68"/>
  </r>
  <r>
    <d v="2025-05-12T00:00:00"/>
    <x v="21"/>
    <x v="14"/>
    <d v="2025-05-12T00:00:00"/>
    <s v="Q2-2025"/>
    <s v="Asia"/>
    <x v="4"/>
    <s v="Mumbai"/>
    <s v="Phones"/>
    <s v="High"/>
    <n v="1590.36"/>
    <n v="1590.36"/>
    <n v="0.314"/>
    <n v="18"/>
    <n v="8801.0369999999984"/>
  </r>
  <r>
    <d v="2025-05-13T00:00:00"/>
    <x v="31"/>
    <x v="14"/>
    <d v="2025-05-13T00:00:00"/>
    <s v="Q2-2025"/>
    <s v="Europe"/>
    <x v="7"/>
    <s v="Marseille"/>
    <s v="Monitors"/>
    <s v="High"/>
    <n v="395.61"/>
    <n v="395.61"/>
    <n v="0"/>
    <n v="34"/>
    <n v="53340.22"/>
  </r>
  <r>
    <d v="2025-05-14T00:00:00"/>
    <x v="8"/>
    <x v="14"/>
    <d v="2025-05-14T00:00:00"/>
    <s v="Q2-2025"/>
    <s v="Asia"/>
    <x v="4"/>
    <s v="Bengaluru"/>
    <s v="Phones"/>
    <s v="High"/>
    <n v="2077.69"/>
    <n v="2077.69"/>
    <n v="0.17499999999999999"/>
    <n v="24"/>
    <n v="41071.932000000001"/>
  </r>
  <r>
    <d v="2025-05-15T00:00:00"/>
    <x v="18"/>
    <x v="14"/>
    <d v="2025-05-15T00:00:00"/>
    <s v="Q2-2025"/>
    <s v="Europe"/>
    <x v="6"/>
    <s v="Frankfurt"/>
    <s v="Printers"/>
    <s v="High"/>
    <n v="1330.85"/>
    <n v="1330.85"/>
    <n v="0.115"/>
    <n v="11"/>
    <n v="4820.6746499999999"/>
  </r>
  <r>
    <d v="2025-05-16T00:00:00"/>
    <x v="6"/>
    <x v="14"/>
    <d v="2025-05-16T00:00:00"/>
    <s v="Q2-2025"/>
    <s v="Asia"/>
    <x v="9"/>
    <s v="Shenzhen"/>
    <s v="Laptops"/>
    <s v="High"/>
    <n v="2764.65"/>
    <n v="2764.65"/>
    <n v="0"/>
    <n v="21"/>
    <n v="15909.390000000001"/>
  </r>
  <r>
    <d v="2025-05-17T00:00:00"/>
    <x v="32"/>
    <x v="14"/>
    <d v="2025-05-17T00:00:00"/>
    <s v="Q2-2025"/>
    <s v="Europe"/>
    <x v="8"/>
    <s v="Manchester"/>
    <s v="Monitors"/>
    <s v="High"/>
    <n v="278.35000000000002"/>
    <n v="278.35000000000002"/>
    <n v="5.6000000000000001E-2"/>
    <n v="10"/>
    <n v="3926.6623999999993"/>
  </r>
  <r>
    <d v="2025-05-18T00:00:00"/>
    <x v="6"/>
    <x v="14"/>
    <d v="2025-05-18T00:00:00"/>
    <s v="Q2-2025"/>
    <s v="Africa"/>
    <x v="1"/>
    <s v="Lagos"/>
    <s v="Monitors"/>
    <s v="High"/>
    <n v="984.36"/>
    <n v="984.36"/>
    <n v="5.8999999999999997E-2"/>
    <n v="14"/>
    <n v="24647.104860000003"/>
  </r>
  <r>
    <d v="2025-05-19T00:00:00"/>
    <x v="29"/>
    <x v="14"/>
    <d v="2025-05-19T00:00:00"/>
    <s v="Q2-2025"/>
    <s v="Asia"/>
    <x v="9"/>
    <s v="Beijing"/>
    <s v="Networking"/>
    <s v="Medium"/>
    <n v="190.84"/>
    <n v="190.84"/>
    <n v="0.214"/>
    <n v="13"/>
    <n v="2113.89984"/>
  </r>
  <r>
    <d v="2025-05-20T00:00:00"/>
    <x v="32"/>
    <x v="14"/>
    <d v="2025-05-20T00:00:00"/>
    <s v="Q2-2025"/>
    <s v="Africa"/>
    <x v="0"/>
    <s v="Kisumu"/>
    <s v="Phones"/>
    <s v="High"/>
    <n v="908.3"/>
    <n v="908.3"/>
    <n v="0"/>
    <n v="30"/>
    <n v="1884.6"/>
  </r>
  <r>
    <d v="2025-05-21T00:00:00"/>
    <x v="6"/>
    <x v="14"/>
    <d v="2025-05-21T00:00:00"/>
    <s v="Q2-2025"/>
    <s v="Asia"/>
    <x v="4"/>
    <s v="Bengaluru"/>
    <s v="Networking"/>
    <s v="High"/>
    <n v="284.23"/>
    <n v="284.23"/>
    <n v="0.113"/>
    <n v="22"/>
    <n v="18664.94586"/>
  </r>
  <r>
    <d v="2025-05-22T00:00:00"/>
    <x v="12"/>
    <x v="14"/>
    <d v="2025-05-22T00:00:00"/>
    <s v="Q2-2025"/>
    <s v="Asia"/>
    <x v="2"/>
    <s v="Nagoya"/>
    <s v="Components"/>
    <s v="High"/>
    <n v="1229.3399999999999"/>
    <n v="1229.3399999999999"/>
    <n v="0.14699999999999999"/>
    <n v="7"/>
    <n v="989.39469999999983"/>
  </r>
  <r>
    <d v="2025-05-23T00:00:00"/>
    <x v="4"/>
    <x v="14"/>
    <d v="2025-05-23T00:00:00"/>
    <s v="Q2-2025"/>
    <s v="Europe"/>
    <x v="7"/>
    <s v="Marseille"/>
    <s v="Accessories"/>
    <s v="High"/>
    <n v="1224.72"/>
    <n v="1224.72"/>
    <n v="0.17399999999999999"/>
    <n v="24"/>
    <n v="12060.128640000001"/>
  </r>
  <r>
    <d v="2025-05-24T00:00:00"/>
    <x v="2"/>
    <x v="14"/>
    <d v="2025-05-24T00:00:00"/>
    <s v="Q2-2025"/>
    <s v="Africa"/>
    <x v="0"/>
    <s v="Nakuru"/>
    <s v="Networking"/>
    <s v="High"/>
    <n v="485.86"/>
    <n v="485.86"/>
    <n v="4.1000000000000002E-2"/>
    <n v="6"/>
    <n v="15339.646139999999"/>
  </r>
  <r>
    <d v="2025-05-25T00:00:00"/>
    <x v="15"/>
    <x v="14"/>
    <d v="2025-05-25T00:00:00"/>
    <s v="Q2-2025"/>
    <s v="Asia"/>
    <x v="9"/>
    <s v="Beijing"/>
    <s v="Printers"/>
    <s v="High"/>
    <n v="2210.94"/>
    <n v="2210.94"/>
    <n v="0.15"/>
    <n v="11"/>
    <n v="5497.3325000000004"/>
  </r>
  <r>
    <d v="2025-05-26T00:00:00"/>
    <x v="0"/>
    <x v="14"/>
    <d v="2025-05-26T00:00:00"/>
    <s v="Q2-2025"/>
    <s v="Asia"/>
    <x v="4"/>
    <s v="Bengaluru"/>
    <s v="Phones"/>
    <s v="High"/>
    <n v="571.89"/>
    <n v="571.89"/>
    <n v="0.14799999999999999"/>
    <n v="26"/>
    <n v="48582.215760000006"/>
  </r>
  <r>
    <d v="2025-05-27T00:00:00"/>
    <x v="27"/>
    <x v="14"/>
    <d v="2025-05-27T00:00:00"/>
    <s v="Q2-2025"/>
    <s v="Asia"/>
    <x v="4"/>
    <s v="Not Provided"/>
    <s v="Accessories"/>
    <s v="High"/>
    <n v="3398.37"/>
    <n v="3398.37"/>
    <n v="0.157"/>
    <n v="11"/>
    <n v="20287.469400000002"/>
  </r>
  <r>
    <d v="2025-05-28T00:00:00"/>
    <x v="21"/>
    <x v="14"/>
    <d v="2025-05-28T00:00:00"/>
    <s v="Q2-2025"/>
    <s v="Europe"/>
    <x v="6"/>
    <s v="Frankfurt"/>
    <s v="Printers"/>
    <s v="Medium"/>
    <n v="194.62"/>
    <n v="194.62"/>
    <n v="4.2999999999999997E-2"/>
    <n v="32"/>
    <n v="30688.61664"/>
  </r>
  <r>
    <d v="2025-05-29T00:00:00"/>
    <x v="29"/>
    <x v="14"/>
    <d v="2025-05-29T00:00:00"/>
    <s v="Q2-2025"/>
    <s v="Americas"/>
    <x v="3"/>
    <s v="Toronto"/>
    <s v="Printers"/>
    <s v="High"/>
    <n v="1031.6400000000001"/>
    <n v="1031.6400000000001"/>
    <n v="0"/>
    <n v="21"/>
    <n v="19189.38"/>
  </r>
  <r>
    <d v="2025-05-30T00:00:00"/>
    <x v="23"/>
    <x v="14"/>
    <d v="2025-05-30T00:00:00"/>
    <s v="Q2-2025"/>
    <s v="Americas"/>
    <x v="3"/>
    <s v="Toronto"/>
    <s v="Printers"/>
    <s v="High"/>
    <n v="495.19"/>
    <n v="495.19"/>
    <n v="2.8000000000000001E-2"/>
    <n v="4"/>
    <n v="7167.5668799999994"/>
  </r>
  <r>
    <d v="2025-05-31T00:00:00"/>
    <x v="4"/>
    <x v="14"/>
    <d v="2025-05-31T00:00:00"/>
    <s v="Q2-2025"/>
    <s v="Asia"/>
    <x v="2"/>
    <s v="Nagoya"/>
    <s v="Laptops"/>
    <s v="High"/>
    <n v="1319.04"/>
    <n v="1319.04"/>
    <n v="7.3999999999999996E-2"/>
    <n v="8"/>
    <n v="10249.7088"/>
  </r>
  <r>
    <d v="2025-06-01T00:00:00"/>
    <x v="3"/>
    <x v="15"/>
    <d v="2025-06-01T00:00:00"/>
    <s v="Q2-2025"/>
    <s v="Africa"/>
    <x v="11"/>
    <s v="Durban"/>
    <s v="Monitors"/>
    <s v="High"/>
    <n v="314.87"/>
    <n v="314.87"/>
    <n v="0.29299999999999998"/>
    <n v="25"/>
    <n v="28077.267750000003"/>
  </r>
  <r>
    <d v="2025-06-02T00:00:00"/>
    <x v="17"/>
    <x v="15"/>
    <d v="2025-06-02T00:00:00"/>
    <s v="Q2-2025"/>
    <s v="Americas"/>
    <x v="3"/>
    <s v="Toronto"/>
    <s v="Monitors"/>
    <s v="High"/>
    <n v="2210.17"/>
    <n v="2210.17"/>
    <n v="0.104"/>
    <n v="23"/>
    <n v="27698.182399999998"/>
  </r>
  <r>
    <d v="2025-06-03T00:00:00"/>
    <x v="17"/>
    <x v="15"/>
    <d v="2025-06-03T00:00:00"/>
    <s v="Q2-2025"/>
    <s v="Africa"/>
    <x v="1"/>
    <s v="Port Harcourt"/>
    <s v="Phones"/>
    <s v="High"/>
    <n v="1045"/>
    <n v="1045"/>
    <n v="0.216"/>
    <n v="15"/>
    <n v="15173.8104"/>
  </r>
  <r>
    <d v="2025-06-04T00:00:00"/>
    <x v="24"/>
    <x v="15"/>
    <d v="2025-06-04T00:00:00"/>
    <s v="Q2-2025"/>
    <s v="Asia"/>
    <x v="4"/>
    <s v="Delhi"/>
    <s v="Printers"/>
    <s v="High"/>
    <n v="2132.19"/>
    <n v="2132.19"/>
    <n v="0.16500000000000001"/>
    <n v="7"/>
    <n v="1295.1351000000002"/>
  </r>
  <r>
    <d v="2025-06-05T00:00:00"/>
    <x v="5"/>
    <x v="15"/>
    <d v="2025-06-05T00:00:00"/>
    <s v="Q2-2025"/>
    <s v="Europe"/>
    <x v="8"/>
    <s v="London"/>
    <s v="Accessories"/>
    <s v="High"/>
    <n v="2101.5500000000002"/>
    <n v="2101.5500000000002"/>
    <n v="6.6000000000000003E-2"/>
    <n v="10"/>
    <n v="3365.5755999999997"/>
  </r>
  <r>
    <d v="2025-06-06T00:00:00"/>
    <x v="7"/>
    <x v="15"/>
    <d v="2025-06-06T00:00:00"/>
    <s v="Q2-2025"/>
    <s v="Asia"/>
    <x v="4"/>
    <s v="Bengaluru"/>
    <s v="Components"/>
    <s v="High"/>
    <n v="2125.44"/>
    <n v="2125.44"/>
    <n v="7.0999999999999994E-2"/>
    <n v="12"/>
    <n v="28380.689880000002"/>
  </r>
  <r>
    <d v="2025-06-07T00:00:00"/>
    <x v="16"/>
    <x v="15"/>
    <d v="2025-06-07T00:00:00"/>
    <s v="Q2-2025"/>
    <s v="Asia"/>
    <x v="2"/>
    <s v="Nagoya"/>
    <s v="Phones"/>
    <s v="High"/>
    <n v="712.75"/>
    <n v="712.75"/>
    <n v="0.115"/>
    <n v="19"/>
    <n v="11761.58805"/>
  </r>
  <r>
    <d v="2025-06-08T00:00:00"/>
    <x v="15"/>
    <x v="15"/>
    <d v="2025-06-08T00:00:00"/>
    <s v="Q2-2025"/>
    <s v="Americas"/>
    <x v="10"/>
    <s v="Austin"/>
    <s v="Monitors"/>
    <s v="High"/>
    <n v="1568.83"/>
    <n v="1568.83"/>
    <n v="1.7000000000000001E-2"/>
    <n v="15"/>
    <n v="40381.984049999999"/>
  </r>
  <r>
    <d v="2025-06-09T00:00:00"/>
    <x v="6"/>
    <x v="15"/>
    <d v="2025-06-09T00:00:00"/>
    <s v="Q2-2025"/>
    <s v="Americas"/>
    <x v="3"/>
    <s v="Vancouver"/>
    <s v="Accessories"/>
    <s v="High"/>
    <n v="2074.34"/>
    <n v="2074.34"/>
    <n v="0.111"/>
    <n v="8"/>
    <n v="674.07536000000005"/>
  </r>
  <r>
    <d v="2025-06-10T00:00:00"/>
    <x v="4"/>
    <x v="15"/>
    <d v="2025-06-10T00:00:00"/>
    <s v="Q2-2025"/>
    <s v="Americas"/>
    <x v="5"/>
    <s v="Brasília"/>
    <s v="Phones"/>
    <s v="High"/>
    <n v="495.19"/>
    <n v="495.19"/>
    <n v="0"/>
    <n v="42"/>
    <n v="116648.7"/>
  </r>
  <r>
    <d v="2025-06-11T00:00:00"/>
    <x v="15"/>
    <x v="15"/>
    <d v="2025-06-11T00:00:00"/>
    <s v="Q2-2025"/>
    <s v="Asia"/>
    <x v="9"/>
    <s v="Shanghai"/>
    <s v="Monitors"/>
    <s v="High"/>
    <n v="757.59"/>
    <n v="757.59"/>
    <n v="0.13600000000000001"/>
    <n v="12"/>
    <n v="5102.9222399999999"/>
  </r>
  <r>
    <d v="2025-06-12T00:00:00"/>
    <x v="30"/>
    <x v="15"/>
    <d v="2025-06-12T00:00:00"/>
    <s v="Q2-2025"/>
    <s v="Europe"/>
    <x v="6"/>
    <s v="Munich"/>
    <s v="Laptops"/>
    <s v="High"/>
    <n v="415.96"/>
    <n v="415.96"/>
    <n v="0.125"/>
    <n v="21"/>
    <n v="35310.318749999999"/>
  </r>
  <r>
    <d v="2025-06-13T00:00:00"/>
    <x v="7"/>
    <x v="15"/>
    <d v="2025-06-13T00:00:00"/>
    <s v="Q2-2025"/>
    <s v="Europe"/>
    <x v="7"/>
    <s v="Marseille"/>
    <s v="Components"/>
    <s v="High"/>
    <n v="1870.89"/>
    <n v="1870.89"/>
    <n v="0"/>
    <n v="13"/>
    <n v="3774.29"/>
  </r>
  <r>
    <d v="2025-06-14T00:00:00"/>
    <x v="24"/>
    <x v="15"/>
    <d v="2025-06-14T00:00:00"/>
    <s v="Q2-2025"/>
    <s v="Asia"/>
    <x v="2"/>
    <s v="Tokyo"/>
    <s v="Components"/>
    <s v="High"/>
    <n v="206.88"/>
    <n v="206.88"/>
    <n v="0.107"/>
    <n v="9"/>
    <n v="4845.6680399999996"/>
  </r>
  <r>
    <d v="2025-06-15T00:00:00"/>
    <x v="15"/>
    <x v="15"/>
    <d v="2025-06-15T00:00:00"/>
    <s v="Q2-2025"/>
    <s v="Africa"/>
    <x v="11"/>
    <s v="Durban"/>
    <s v="Accessories"/>
    <s v="Medium"/>
    <n v="62.82"/>
    <n v="62.82"/>
    <n v="0.129"/>
    <n v="17"/>
    <n v="30761.5425"/>
  </r>
  <r>
    <d v="2025-06-16T00:00:00"/>
    <x v="0"/>
    <x v="15"/>
    <d v="2025-06-16T00:00:00"/>
    <s v="Q2-2025"/>
    <s v="Europe"/>
    <x v="6"/>
    <s v="Frankfurt"/>
    <s v="Printers"/>
    <s v="High"/>
    <n v="956.49"/>
    <n v="956.49"/>
    <n v="0.152"/>
    <n v="5"/>
    <n v="733.01119999999992"/>
  </r>
  <r>
    <d v="2025-06-17T00:00:00"/>
    <x v="19"/>
    <x v="15"/>
    <d v="2025-06-17T00:00:00"/>
    <s v="Q2-2025"/>
    <s v="Africa"/>
    <x v="11"/>
    <s v="Durban"/>
    <s v="Networking"/>
    <s v="Medium"/>
    <n v="165.7"/>
    <n v="165.7"/>
    <n v="0.124"/>
    <n v="13"/>
    <n v="31644.291119999994"/>
  </r>
  <r>
    <d v="2025-06-18T00:00:00"/>
    <x v="13"/>
    <x v="15"/>
    <d v="2025-06-18T00:00:00"/>
    <s v="Q2-2025"/>
    <s v="Asia"/>
    <x v="2"/>
    <s v="Tokyo"/>
    <s v="Components"/>
    <s v="High"/>
    <n v="608.36"/>
    <n v="608.36"/>
    <n v="0.25700000000000001"/>
    <n v="4"/>
    <n v="919.74484000000007"/>
  </r>
  <r>
    <d v="2025-06-19T00:00:00"/>
    <x v="18"/>
    <x v="15"/>
    <d v="2025-06-19T00:00:00"/>
    <s v="Q2-2025"/>
    <s v="Africa"/>
    <x v="0"/>
    <s v="Mombasa"/>
    <s v="Components"/>
    <s v="High"/>
    <n v="2665.91"/>
    <n v="2665.91"/>
    <n v="0.21099999999999999"/>
    <n v="40"/>
    <n v="21031.899600000001"/>
  </r>
  <r>
    <d v="2025-06-20T00:00:00"/>
    <x v="17"/>
    <x v="15"/>
    <d v="2025-06-20T00:00:00"/>
    <s v="Q2-2025"/>
    <s v="Africa"/>
    <x v="1"/>
    <s v="Port Harcourt"/>
    <s v="Accessories"/>
    <s v="High"/>
    <n v="587.95000000000005"/>
    <n v="587.95000000000005"/>
    <n v="0.22900000000000001"/>
    <n v="6"/>
    <n v="3442.9930199999999"/>
  </r>
  <r>
    <d v="2025-06-21T00:00:00"/>
    <x v="4"/>
    <x v="15"/>
    <d v="2025-06-21T00:00:00"/>
    <s v="Q2-2025"/>
    <s v="Asia"/>
    <x v="4"/>
    <s v="Mumbai"/>
    <s v="Networking"/>
    <s v="High"/>
    <n v="2193.13"/>
    <n v="2193.13"/>
    <n v="7.0999999999999994E-2"/>
    <n v="7"/>
    <n v="82.523070000000004"/>
  </r>
  <r>
    <d v="2025-06-22T00:00:00"/>
    <x v="16"/>
    <x v="15"/>
    <d v="2025-06-22T00:00:00"/>
    <s v="Q2-2025"/>
    <s v="Europe"/>
    <x v="6"/>
    <s v="Munich"/>
    <s v="Components"/>
    <s v="High"/>
    <n v="2187.8000000000002"/>
    <n v="2187.8000000000002"/>
    <n v="0.23"/>
    <n v="15"/>
    <n v="7525.518"/>
  </r>
  <r>
    <d v="2025-06-23T00:00:00"/>
    <x v="3"/>
    <x v="15"/>
    <d v="2025-06-23T00:00:00"/>
    <s v="Q2-2025"/>
    <s v="Europe"/>
    <x v="6"/>
    <s v="Berlin"/>
    <s v="Printers"/>
    <s v="High"/>
    <n v="1002.11"/>
    <n v="1002.11"/>
    <n v="4.5999999999999999E-2"/>
    <n v="17"/>
    <n v="12231.93996"/>
  </r>
  <r>
    <d v="2025-06-24T00:00:00"/>
    <x v="15"/>
    <x v="15"/>
    <d v="2025-06-24T00:00:00"/>
    <s v="Q2-2025"/>
    <s v="Africa"/>
    <x v="0"/>
    <s v="Mombasa"/>
    <s v="Printers"/>
    <s v="High"/>
    <n v="913.78"/>
    <n v="913.78"/>
    <n v="4.9000000000000002E-2"/>
    <n v="12"/>
    <n v="34019.286120000004"/>
  </r>
  <r>
    <d v="2025-06-25T00:00:00"/>
    <x v="25"/>
    <x v="15"/>
    <d v="2025-06-25T00:00:00"/>
    <s v="Q2-2025"/>
    <s v="Europe"/>
    <x v="7"/>
    <s v="Lyon"/>
    <s v="Printers"/>
    <s v="High"/>
    <n v="1843.51"/>
    <n v="1843.51"/>
    <n v="0.13800000000000001"/>
    <n v="23"/>
    <n v="19353.546419999999"/>
  </r>
  <r>
    <d v="2025-06-26T00:00:00"/>
    <x v="13"/>
    <x v="15"/>
    <d v="2025-06-26T00:00:00"/>
    <s v="Q2-2025"/>
    <s v="Asia"/>
    <x v="9"/>
    <s v="Beijing"/>
    <s v="Components"/>
    <s v="High"/>
    <n v="1383.6"/>
    <n v="1383.6"/>
    <n v="7.3999999999999996E-2"/>
    <n v="12"/>
    <n v="12733.240800000001"/>
  </r>
  <r>
    <d v="2025-06-27T00:00:00"/>
    <x v="31"/>
    <x v="15"/>
    <d v="2025-06-27T00:00:00"/>
    <s v="Q2-2025"/>
    <s v="Africa"/>
    <x v="0"/>
    <s v="Kisumu"/>
    <s v="Monitors"/>
    <s v="High"/>
    <n v="1588.53"/>
    <n v="1588.53"/>
    <n v="0.126"/>
    <n v="6"/>
    <n v="8549.7651600000008"/>
  </r>
  <r>
    <d v="2025-06-28T00:00:00"/>
    <x v="28"/>
    <x v="15"/>
    <d v="2025-06-28T00:00:00"/>
    <s v="Q2-2025"/>
    <s v="Europe"/>
    <x v="7"/>
    <s v="Paris"/>
    <s v="Phones"/>
    <s v="High"/>
    <n v="1344.05"/>
    <n v="1344.05"/>
    <n v="0.20499999999999999"/>
    <n v="18"/>
    <n v="13790.9763"/>
  </r>
  <r>
    <d v="2025-06-29T00:00:00"/>
    <x v="15"/>
    <x v="15"/>
    <d v="2025-06-29T00:00:00"/>
    <s v="Q2-2025"/>
    <s v="Americas"/>
    <x v="5"/>
    <s v="Rio de Janeiro"/>
    <s v="Printers"/>
    <s v="High"/>
    <n v="1290.29"/>
    <n v="1290.29"/>
    <n v="4.2000000000000003E-2"/>
    <n v="22"/>
    <n v="18794.101480000001"/>
  </r>
  <r>
    <d v="2025-06-30T00:00:00"/>
    <x v="7"/>
    <x v="15"/>
    <d v="2025-06-30T00:00:00"/>
    <s v="Q2-2025"/>
    <s v="Europe"/>
    <x v="8"/>
    <s v="Birmingham"/>
    <s v="Laptops"/>
    <s v="High"/>
    <n v="221.58"/>
    <n v="221.58"/>
    <n v="8.8999999999999996E-2"/>
    <n v="5"/>
    <n v="7596.9201000000003"/>
  </r>
  <r>
    <d v="2025-07-01T00:00:00"/>
    <x v="22"/>
    <x v="16"/>
    <d v="2025-07-01T00:00:00"/>
    <s v="Q3-2025"/>
    <s v="Europe"/>
    <x v="6"/>
    <s v="Frankfurt"/>
    <s v="Components"/>
    <s v="High"/>
    <n v="360.34"/>
    <n v="360.34"/>
    <n v="0.16500000000000001"/>
    <n v="14"/>
    <n v="22462.4519"/>
  </r>
  <r>
    <d v="2025-07-02T00:00:00"/>
    <x v="24"/>
    <x v="16"/>
    <d v="2025-07-02T00:00:00"/>
    <s v="Q3-2025"/>
    <s v="Europe"/>
    <x v="8"/>
    <s v="Manchester"/>
    <s v="Laptops"/>
    <s v="High"/>
    <n v="2545.81"/>
    <n v="2545.81"/>
    <n v="0.216"/>
    <n v="21"/>
    <n v="20043.767520000001"/>
  </r>
  <r>
    <d v="2025-07-03T00:00:00"/>
    <x v="12"/>
    <x v="16"/>
    <d v="2025-07-03T00:00:00"/>
    <s v="Q3-2025"/>
    <s v="Europe"/>
    <x v="6"/>
    <s v="Munich"/>
    <s v="Accessories"/>
    <s v="High"/>
    <n v="699.47"/>
    <n v="699.47"/>
    <n v="0.02"/>
    <n v="33"/>
    <n v="31378.531800000001"/>
  </r>
  <r>
    <d v="2025-07-04T00:00:00"/>
    <x v="9"/>
    <x v="16"/>
    <d v="2025-07-04T00:00:00"/>
    <s v="Q3-2025"/>
    <s v="Asia"/>
    <x v="2"/>
    <s v="Nagoya"/>
    <s v="Networking"/>
    <s v="High"/>
    <n v="2738.69"/>
    <n v="2738.69"/>
    <n v="7.5999999999999998E-2"/>
    <n v="16"/>
    <n v="24019.121280000003"/>
  </r>
  <r>
    <d v="2025-07-05T00:00:00"/>
    <x v="29"/>
    <x v="16"/>
    <d v="2025-07-05T00:00:00"/>
    <s v="Q3-2025"/>
    <s v="Asia"/>
    <x v="2"/>
    <s v="Tokyo"/>
    <s v="Printers"/>
    <s v="Medium"/>
    <n v="94.78"/>
    <n v="94.78"/>
    <n v="9.0999999999999998E-2"/>
    <n v="55"/>
    <n v="130292.46945000002"/>
  </r>
  <r>
    <d v="2025-07-06T00:00:00"/>
    <x v="28"/>
    <x v="16"/>
    <d v="2025-07-06T00:00:00"/>
    <s v="Q3-2025"/>
    <s v="Europe"/>
    <x v="7"/>
    <s v="Marseille"/>
    <s v="Laptops"/>
    <s v="High"/>
    <n v="2777.35"/>
    <n v="2777.35"/>
    <n v="0.13200000000000001"/>
    <n v="15"/>
    <n v="5660.0544"/>
  </r>
  <r>
    <d v="2025-07-07T00:00:00"/>
    <x v="19"/>
    <x v="16"/>
    <d v="2025-07-07T00:00:00"/>
    <s v="Q3-2025"/>
    <s v="Europe"/>
    <x v="6"/>
    <s v="Berlin"/>
    <s v="Phones"/>
    <s v="High"/>
    <n v="492.18"/>
    <n v="492.18"/>
    <n v="5.2999999999999999E-2"/>
    <n v="11"/>
    <n v="19379.89097"/>
  </r>
  <r>
    <d v="2025-07-08T00:00:00"/>
    <x v="25"/>
    <x v="16"/>
    <d v="2025-07-08T00:00:00"/>
    <s v="Q3-2025"/>
    <s v="Americas"/>
    <x v="5"/>
    <s v="São Paulo"/>
    <s v="Networking"/>
    <s v="High"/>
    <n v="1921.65"/>
    <n v="1921.65"/>
    <n v="0.123"/>
    <n v="13"/>
    <n v="9504.8996900000002"/>
  </r>
  <r>
    <d v="2025-07-09T00:00:00"/>
    <x v="6"/>
    <x v="16"/>
    <d v="2025-07-09T00:00:00"/>
    <s v="Q3-2025"/>
    <s v="Europe"/>
    <x v="7"/>
    <s v="Lyon"/>
    <s v="Components"/>
    <s v="High"/>
    <n v="290.33"/>
    <n v="290.33"/>
    <n v="9.1999999999999998E-2"/>
    <n v="23"/>
    <n v="6964.3963200000007"/>
  </r>
  <r>
    <d v="2025-07-10T00:00:00"/>
    <x v="32"/>
    <x v="16"/>
    <d v="2025-07-10T00:00:00"/>
    <s v="Q3-2025"/>
    <s v="Europe"/>
    <x v="7"/>
    <s v="Paris"/>
    <s v="Phones"/>
    <s v="High"/>
    <n v="602.91999999999996"/>
    <n v="602.91999999999996"/>
    <n v="0.222"/>
    <n v="11"/>
    <n v="15273.462600000001"/>
  </r>
  <r>
    <d v="2025-07-11T00:00:00"/>
    <x v="18"/>
    <x v="16"/>
    <d v="2025-07-11T00:00:00"/>
    <s v="Q3-2025"/>
    <s v="Americas"/>
    <x v="3"/>
    <s v="Not Provided"/>
    <s v="Printers"/>
    <s v="High"/>
    <n v="2077.5"/>
    <n v="2077.5"/>
    <n v="7.3999999999999996E-2"/>
    <n v="15"/>
    <n v="14894.108099999999"/>
  </r>
  <r>
    <d v="2025-07-12T00:00:00"/>
    <x v="7"/>
    <x v="16"/>
    <d v="2025-07-12T00:00:00"/>
    <s v="Q3-2025"/>
    <s v="Europe"/>
    <x v="8"/>
    <s v="Manchester"/>
    <s v="Printers"/>
    <s v="Medium"/>
    <n v="172.88"/>
    <n v="172.88"/>
    <n v="0.19700000000000001"/>
    <n v="29"/>
    <n v="70514.200349999999"/>
  </r>
  <r>
    <d v="2025-07-13T00:00:00"/>
    <x v="8"/>
    <x v="16"/>
    <d v="2025-07-13T00:00:00"/>
    <s v="Q3-2025"/>
    <s v="Asia"/>
    <x v="2"/>
    <s v="Osaka"/>
    <s v="Phones"/>
    <s v="High"/>
    <n v="2778.74"/>
    <n v="2778.74"/>
    <n v="0.13500000000000001"/>
    <n v="4"/>
    <n v="3415.8503999999998"/>
  </r>
  <r>
    <d v="2025-07-14T00:00:00"/>
    <x v="20"/>
    <x v="16"/>
    <d v="2025-07-14T00:00:00"/>
    <s v="Q3-2025"/>
    <s v="Africa"/>
    <x v="1"/>
    <s v="Lagos"/>
    <s v="Accessories"/>
    <s v="High"/>
    <n v="309.47000000000003"/>
    <n v="309.47000000000003"/>
    <n v="0"/>
    <n v="5"/>
    <n v="4877.1499999999996"/>
  </r>
  <r>
    <d v="2025-07-15T00:00:00"/>
    <x v="21"/>
    <x v="16"/>
    <d v="2025-07-15T00:00:00"/>
    <s v="Q3-2025"/>
    <s v="Europe"/>
    <x v="7"/>
    <s v="Lyon"/>
    <s v="Components"/>
    <s v="High"/>
    <n v="666.41"/>
    <n v="666.41"/>
    <n v="0"/>
    <n v="10"/>
    <n v="1414.3000000000002"/>
  </r>
  <r>
    <d v="2025-07-16T00:00:00"/>
    <x v="13"/>
    <x v="16"/>
    <d v="2025-07-16T00:00:00"/>
    <s v="Q3-2025"/>
    <s v="Asia"/>
    <x v="2"/>
    <s v="Nagoya"/>
    <s v="Accessories"/>
    <s v="High"/>
    <n v="744.27"/>
    <n v="744.27"/>
    <n v="8.3000000000000004E-2"/>
    <n v="11"/>
    <n v="16395.611540000002"/>
  </r>
  <r>
    <d v="2025-07-17T00:00:00"/>
    <x v="0"/>
    <x v="16"/>
    <d v="2025-07-17T00:00:00"/>
    <s v="Q3-2025"/>
    <s v="Americas"/>
    <x v="5"/>
    <s v="São Paulo"/>
    <s v="Phones"/>
    <s v="Low"/>
    <n v="12.69"/>
    <n v="12.69"/>
    <n v="0.13200000000000001"/>
    <n v="10"/>
    <n v="2603.4792000000002"/>
  </r>
  <r>
    <d v="2025-07-18T00:00:00"/>
    <x v="7"/>
    <x v="16"/>
    <d v="2025-07-18T00:00:00"/>
    <s v="Q3-2025"/>
    <s v="Asia"/>
    <x v="4"/>
    <s v="Delhi"/>
    <s v="Accessories"/>
    <s v="High"/>
    <n v="651.55999999999995"/>
    <n v="651.55999999999995"/>
    <n v="4.2000000000000003E-2"/>
    <n v="19"/>
    <n v="27375.07992"/>
  </r>
  <r>
    <d v="2025-07-19T00:00:00"/>
    <x v="21"/>
    <x v="16"/>
    <d v="2025-07-19T00:00:00"/>
    <s v="Q3-2025"/>
    <s v="Americas"/>
    <x v="10"/>
    <s v="Austin"/>
    <s v="Monitors"/>
    <s v="High"/>
    <n v="754.22"/>
    <n v="754.22"/>
    <n v="0.113"/>
    <n v="7"/>
    <n v="19254.791990000002"/>
  </r>
  <r>
    <d v="2025-07-20T00:00:00"/>
    <x v="23"/>
    <x v="16"/>
    <d v="2025-07-20T00:00:00"/>
    <s v="Q3-2025"/>
    <s v="Americas"/>
    <x v="5"/>
    <s v="Brasília"/>
    <s v="Networking"/>
    <s v="High"/>
    <n v="2981.01"/>
    <n v="2981.01"/>
    <n v="0.14199999999999999"/>
    <n v="12"/>
    <n v="10084.108319999999"/>
  </r>
  <r>
    <d v="2025-07-21T00:00:00"/>
    <x v="29"/>
    <x v="16"/>
    <d v="2025-07-21T00:00:00"/>
    <s v="Q3-2025"/>
    <s v="Europe"/>
    <x v="8"/>
    <s v="London"/>
    <s v="Networking"/>
    <s v="High"/>
    <n v="976.17"/>
    <n v="976.17"/>
    <n v="4.2000000000000003E-2"/>
    <n v="27"/>
    <n v="30683.801159999999"/>
  </r>
  <r>
    <d v="2025-07-22T00:00:00"/>
    <x v="32"/>
    <x v="16"/>
    <d v="2025-07-22T00:00:00"/>
    <s v="Q3-2025"/>
    <s v="Americas"/>
    <x v="5"/>
    <s v="Brasília"/>
    <s v="Accessories"/>
    <s v="High"/>
    <n v="1145.9000000000001"/>
    <n v="1145.9000000000001"/>
    <n v="5.7000000000000002E-2"/>
    <n v="8"/>
    <n v="14622.761519999998"/>
  </r>
  <r>
    <d v="2025-07-23T00:00:00"/>
    <x v="11"/>
    <x v="16"/>
    <d v="2025-07-23T00:00:00"/>
    <s v="Q3-2025"/>
    <s v="Americas"/>
    <x v="5"/>
    <s v="Rio de Janeiro"/>
    <s v="Monitors"/>
    <s v="High"/>
    <n v="1630.39"/>
    <n v="1630.39"/>
    <n v="0.218"/>
    <n v="13"/>
    <n v="8401.8940200000015"/>
  </r>
  <r>
    <d v="2025-07-24T00:00:00"/>
    <x v="15"/>
    <x v="16"/>
    <d v="2025-07-24T00:00:00"/>
    <s v="Q3-2025"/>
    <s v="Asia"/>
    <x v="4"/>
    <s v="Bengaluru"/>
    <s v="Monitors"/>
    <s v="High"/>
    <n v="963.73"/>
    <n v="963.73"/>
    <n v="4.1000000000000002E-2"/>
    <n v="22"/>
    <n v="2493.1506600000002"/>
  </r>
  <r>
    <d v="2025-07-25T00:00:00"/>
    <x v="20"/>
    <x v="16"/>
    <d v="2025-07-25T00:00:00"/>
    <s v="Q3-2025"/>
    <s v="Europe"/>
    <x v="8"/>
    <s v="London"/>
    <s v="Phones"/>
    <s v="High"/>
    <n v="891.73"/>
    <n v="891.73"/>
    <n v="0.16700000000000001"/>
    <n v="10"/>
    <n v="11877.497099999999"/>
  </r>
  <r>
    <d v="2025-07-26T00:00:00"/>
    <x v="2"/>
    <x v="16"/>
    <d v="2025-07-26T00:00:00"/>
    <s v="Q3-2025"/>
    <s v="Asia"/>
    <x v="9"/>
    <s v="Beijing"/>
    <s v="Printers"/>
    <s v="High"/>
    <n v="1667.82"/>
    <n v="1667.82"/>
    <n v="6.9000000000000006E-2"/>
    <n v="7"/>
    <n v="10393.181259999999"/>
  </r>
  <r>
    <d v="2025-07-27T00:00:00"/>
    <x v="3"/>
    <x v="16"/>
    <d v="2025-07-27T00:00:00"/>
    <s v="Q3-2025"/>
    <s v="Asia"/>
    <x v="9"/>
    <s v="Beijing"/>
    <s v="Networking"/>
    <s v="High"/>
    <n v="1921.51"/>
    <n v="1921.51"/>
    <n v="0.10100000000000001"/>
    <n v="5"/>
    <n v="15022.784449999999"/>
  </r>
  <r>
    <d v="2025-07-28T00:00:00"/>
    <x v="3"/>
    <x v="16"/>
    <d v="2025-07-28T00:00:00"/>
    <s v="Q3-2025"/>
    <s v="Americas"/>
    <x v="5"/>
    <s v="Rio de Janeiro"/>
    <s v="Networking"/>
    <s v="High"/>
    <n v="1217.43"/>
    <n v="1217.43"/>
    <n v="7.0000000000000007E-2"/>
    <n v="9"/>
    <n v="8953.9748999999993"/>
  </r>
  <r>
    <d v="2025-07-29T00:00:00"/>
    <x v="20"/>
    <x v="16"/>
    <d v="2025-07-29T00:00:00"/>
    <s v="Q3-2025"/>
    <s v="Africa"/>
    <x v="1"/>
    <s v="Lagos"/>
    <s v="Components"/>
    <s v="High"/>
    <n v="970.27"/>
    <n v="970.27"/>
    <n v="0.123"/>
    <n v="38"/>
    <n v="4692.9673199999997"/>
  </r>
  <r>
    <d v="2025-07-30T00:00:00"/>
    <x v="19"/>
    <x v="16"/>
    <d v="2025-07-30T00:00:00"/>
    <s v="Q3-2025"/>
    <s v="Americas"/>
    <x v="10"/>
    <s v="Austin"/>
    <s v="Phones"/>
    <s v="High"/>
    <n v="1624.67"/>
    <n v="1624.67"/>
    <n v="0.23499999999999999"/>
    <n v="28"/>
    <n v="1435.9968000000001"/>
  </r>
  <r>
    <d v="2025-07-31T00:00:00"/>
    <x v="1"/>
    <x v="16"/>
    <d v="2025-07-31T00:00:00"/>
    <s v="Q3-2025"/>
    <s v="Asia"/>
    <x v="9"/>
    <s v="Shanghai"/>
    <s v="Networking"/>
    <s v="High"/>
    <n v="2606.11"/>
    <n v="2606.11"/>
    <n v="0.02"/>
    <n v="6"/>
    <n v="7506.8196000000007"/>
  </r>
  <r>
    <d v="2025-08-01T00:00:00"/>
    <x v="12"/>
    <x v="17"/>
    <d v="2025-08-01T00:00:00"/>
    <s v="Q3-2025"/>
    <s v="Europe"/>
    <x v="7"/>
    <s v="Lyon"/>
    <s v="Laptops"/>
    <s v="High"/>
    <n v="434.72"/>
    <n v="434.72"/>
    <n v="9.8000000000000004E-2"/>
    <n v="10"/>
    <n v="25448.667200000004"/>
  </r>
  <r>
    <d v="2025-08-02T00:00:00"/>
    <x v="18"/>
    <x v="17"/>
    <d v="2025-08-02T00:00:00"/>
    <s v="Q3-2025"/>
    <s v="Asia"/>
    <x v="4"/>
    <s v="Mumbai"/>
    <s v="Laptops"/>
    <s v="High"/>
    <n v="1860.41"/>
    <n v="1860.41"/>
    <n v="0.108"/>
    <n v="5"/>
    <n v="6953.9874000000009"/>
  </r>
  <r>
    <d v="2025-08-03T00:00:00"/>
    <x v="15"/>
    <x v="17"/>
    <d v="2025-08-03T00:00:00"/>
    <s v="Q3-2025"/>
    <s v="Asia"/>
    <x v="4"/>
    <s v="Delhi"/>
    <s v="Monitors"/>
    <s v="High"/>
    <n v="833.69"/>
    <n v="833.69"/>
    <n v="0.20899999999999999"/>
    <n v="14"/>
    <n v="7271.8528400000005"/>
  </r>
  <r>
    <d v="2025-08-04T00:00:00"/>
    <x v="0"/>
    <x v="17"/>
    <d v="2025-08-04T00:00:00"/>
    <s v="Q3-2025"/>
    <s v="Americas"/>
    <x v="10"/>
    <s v="Chicago"/>
    <s v="Components"/>
    <s v="High"/>
    <n v="333.48"/>
    <n v="333.48"/>
    <n v="0.11899999999999999"/>
    <n v="12"/>
    <n v="28098.68448"/>
  </r>
  <r>
    <d v="2025-08-05T00:00:00"/>
    <x v="1"/>
    <x v="17"/>
    <d v="2025-08-05T00:00:00"/>
    <s v="Q3-2025"/>
    <s v="Europe"/>
    <x v="8"/>
    <s v="Manchester"/>
    <s v="Components"/>
    <s v="High"/>
    <n v="1784.7"/>
    <n v="1784.7"/>
    <n v="0.14599999999999999"/>
    <n v="33"/>
    <n v="40152.022679999995"/>
  </r>
  <r>
    <d v="2025-08-06T00:00:00"/>
    <x v="23"/>
    <x v="17"/>
    <d v="2025-08-06T00:00:00"/>
    <s v="Q3-2025"/>
    <s v="Europe"/>
    <x v="6"/>
    <s v="Frankfurt"/>
    <s v="Phones"/>
    <s v="High"/>
    <n v="1072.29"/>
    <n v="1072.29"/>
    <n v="3.2000000000000001E-2"/>
    <n v="5"/>
    <n v="11222.701599999999"/>
  </r>
  <r>
    <d v="2025-08-07T00:00:00"/>
    <x v="10"/>
    <x v="17"/>
    <d v="2025-08-07T00:00:00"/>
    <s v="Q3-2025"/>
    <s v="Asia"/>
    <x v="4"/>
    <s v="Delhi"/>
    <s v="Components"/>
    <s v="High"/>
    <n v="3028.05"/>
    <n v="3028.05"/>
    <n v="0"/>
    <n v="11"/>
    <n v="4033.7"/>
  </r>
  <r>
    <d v="2025-08-08T00:00:00"/>
    <x v="28"/>
    <x v="17"/>
    <d v="2025-08-08T00:00:00"/>
    <s v="Q3-2025"/>
    <s v="Asia"/>
    <x v="4"/>
    <s v="Mumbai"/>
    <s v="Laptops"/>
    <s v="High"/>
    <n v="987.24"/>
    <n v="987.24"/>
    <n v="0"/>
    <n v="11"/>
    <n v="30771.51"/>
  </r>
  <r>
    <d v="2025-08-09T00:00:00"/>
    <x v="27"/>
    <x v="17"/>
    <d v="2025-08-09T00:00:00"/>
    <s v="Q3-2025"/>
    <s v="Asia"/>
    <x v="2"/>
    <s v="Tokyo"/>
    <s v="Printers"/>
    <s v="High"/>
    <n v="975.43"/>
    <n v="975.43"/>
    <n v="0.157"/>
    <n v="27"/>
    <n v="50294.07125999999"/>
  </r>
  <r>
    <d v="2025-08-10T00:00:00"/>
    <x v="8"/>
    <x v="17"/>
    <d v="2025-08-10T00:00:00"/>
    <s v="Q3-2025"/>
    <s v="Africa"/>
    <x v="1"/>
    <s v="Lagos"/>
    <s v="Accessories"/>
    <s v="Medium"/>
    <n v="141.43"/>
    <n v="141.43"/>
    <n v="0.107"/>
    <n v="8"/>
    <n v="5994.1017599999996"/>
  </r>
  <r>
    <d v="2025-08-11T00:00:00"/>
    <x v="7"/>
    <x v="17"/>
    <d v="2025-08-11T00:00:00"/>
    <s v="Q3-2025"/>
    <s v="Europe"/>
    <x v="6"/>
    <s v="Berlin"/>
    <s v="Networking"/>
    <s v="High"/>
    <n v="1625.42"/>
    <n v="1625.42"/>
    <n v="0.13800000000000001"/>
    <n v="7"/>
    <n v="6873.6311000000005"/>
  </r>
  <r>
    <d v="2025-08-12T00:00:00"/>
    <x v="15"/>
    <x v="17"/>
    <d v="2025-08-12T00:00:00"/>
    <s v="Q3-2025"/>
    <s v="Africa"/>
    <x v="1"/>
    <s v="Port Harcourt"/>
    <s v="Components"/>
    <s v="High"/>
    <n v="299.94"/>
    <n v="299.94"/>
    <n v="4.9000000000000002E-2"/>
    <n v="3"/>
    <n v="4884.4215899999999"/>
  </r>
  <r>
    <d v="2025-08-13T00:00:00"/>
    <x v="14"/>
    <x v="17"/>
    <d v="2025-08-13T00:00:00"/>
    <s v="Q3-2025"/>
    <s v="Europe"/>
    <x v="7"/>
    <s v="Marseille"/>
    <s v="Components"/>
    <s v="High"/>
    <n v="1503.96"/>
    <n v="1503.96"/>
    <n v="0.18"/>
    <n v="6"/>
    <n v="5187.1068000000005"/>
  </r>
  <r>
    <d v="2025-08-14T00:00:00"/>
    <x v="15"/>
    <x v="17"/>
    <d v="2025-08-14T00:00:00"/>
    <s v="Q3-2025"/>
    <s v="Asia"/>
    <x v="4"/>
    <s v="Mumbai"/>
    <s v="Laptops"/>
    <s v="High"/>
    <n v="3101.11"/>
    <n v="3101.11"/>
    <n v="0.1"/>
    <n v="23"/>
    <n v="50740.254000000001"/>
  </r>
  <r>
    <d v="2025-08-15T00:00:00"/>
    <x v="14"/>
    <x v="17"/>
    <d v="2025-08-15T00:00:00"/>
    <s v="Q3-2025"/>
    <s v="Asia"/>
    <x v="9"/>
    <s v="Shanghai"/>
    <s v="Accessories"/>
    <s v="High"/>
    <n v="979.42"/>
    <n v="979.42"/>
    <n v="0"/>
    <n v="23"/>
    <n v="28777.83"/>
  </r>
  <r>
    <d v="2025-08-16T00:00:00"/>
    <x v="20"/>
    <x v="17"/>
    <d v="2025-08-16T00:00:00"/>
    <s v="Q3-2025"/>
    <s v="Africa"/>
    <x v="0"/>
    <s v="Kisumu"/>
    <s v="Monitors"/>
    <s v="High"/>
    <n v="1186.26"/>
    <n v="1186.26"/>
    <n v="9.4E-2"/>
    <n v="15"/>
    <n v="15014.232"/>
  </r>
  <r>
    <d v="2025-08-17T00:00:00"/>
    <x v="9"/>
    <x v="17"/>
    <d v="2025-08-17T00:00:00"/>
    <s v="Q3-2025"/>
    <s v="Americas"/>
    <x v="10"/>
    <s v="San Francisco"/>
    <s v="Components"/>
    <s v="High"/>
    <n v="1938.33"/>
    <n v="1938.33"/>
    <n v="0.17"/>
    <n v="4"/>
    <n v="7912.9211999999989"/>
  </r>
  <r>
    <d v="2025-08-18T00:00:00"/>
    <x v="20"/>
    <x v="17"/>
    <d v="2025-08-18T00:00:00"/>
    <s v="Q3-2025"/>
    <s v="Africa"/>
    <x v="0"/>
    <s v="Nakuru"/>
    <s v="Printers"/>
    <s v="High"/>
    <n v="826.47"/>
    <n v="826.47"/>
    <n v="0.22500000000000001"/>
    <n v="13"/>
    <n v="2146.5795000000003"/>
  </r>
  <r>
    <d v="2025-08-19T00:00:00"/>
    <x v="26"/>
    <x v="17"/>
    <d v="2025-08-19T00:00:00"/>
    <s v="Q3-2025"/>
    <s v="Africa"/>
    <x v="1"/>
    <s v="Lagos"/>
    <s v="Printers"/>
    <s v="Medium"/>
    <n v="118.17"/>
    <n v="118.17"/>
    <n v="0.13500000000000001"/>
    <n v="21"/>
    <n v="36886.575600000004"/>
  </r>
  <r>
    <d v="2025-08-20T00:00:00"/>
    <x v="5"/>
    <x v="17"/>
    <d v="2025-08-20T00:00:00"/>
    <s v="Q3-2025"/>
    <s v="Asia"/>
    <x v="9"/>
    <s v="Shenzhen"/>
    <s v="Printers"/>
    <s v="High"/>
    <n v="1425.87"/>
    <n v="1425.87"/>
    <n v="0"/>
    <n v="8"/>
    <n v="7653.6"/>
  </r>
  <r>
    <d v="2025-08-21T00:00:00"/>
    <x v="17"/>
    <x v="17"/>
    <d v="2025-08-21T00:00:00"/>
    <s v="Q3-2025"/>
    <s v="Africa"/>
    <x v="0"/>
    <s v="Nairobi"/>
    <s v="Laptops"/>
    <s v="High"/>
    <n v="1594.78"/>
    <n v="1594.78"/>
    <n v="5.8999999999999997E-2"/>
    <n v="39"/>
    <n v="53128.40832000001"/>
  </r>
  <r>
    <d v="2025-08-22T00:00:00"/>
    <x v="25"/>
    <x v="17"/>
    <d v="2025-08-22T00:00:00"/>
    <s v="Q3-2025"/>
    <s v="Africa"/>
    <x v="11"/>
    <s v="Durban"/>
    <s v="Printers"/>
    <s v="High"/>
    <n v="3342.11"/>
    <n v="3342.11"/>
    <n v="0"/>
    <n v="10"/>
    <n v="29496.199999999997"/>
  </r>
  <r>
    <d v="2025-08-23T00:00:00"/>
    <x v="9"/>
    <x v="17"/>
    <d v="2025-08-23T00:00:00"/>
    <s v="Q3-2025"/>
    <s v="Asia"/>
    <x v="2"/>
    <s v="Osaka"/>
    <s v="Networking"/>
    <s v="High"/>
    <n v="1069.77"/>
    <n v="1069.77"/>
    <n v="3.7999999999999999E-2"/>
    <n v="9"/>
    <n v="22342.575059999999"/>
  </r>
  <r>
    <d v="2025-08-24T00:00:00"/>
    <x v="3"/>
    <x v="17"/>
    <d v="2025-08-24T00:00:00"/>
    <s v="Q3-2025"/>
    <s v="Europe"/>
    <x v="6"/>
    <s v="Berlin"/>
    <s v="Phones"/>
    <s v="Medium"/>
    <n v="140.82"/>
    <n v="140.82"/>
    <n v="0.122"/>
    <n v="5"/>
    <n v="8687.4149000000016"/>
  </r>
  <r>
    <d v="2025-08-25T00:00:00"/>
    <x v="19"/>
    <x v="17"/>
    <d v="2025-08-25T00:00:00"/>
    <s v="Q3-2025"/>
    <s v="Europe"/>
    <x v="7"/>
    <s v="Lyon"/>
    <s v="Monitors"/>
    <s v="Medium"/>
    <n v="67.040000000000006"/>
    <n v="67.040000000000006"/>
    <n v="0.114"/>
    <n v="9"/>
    <n v="11813.082300000002"/>
  </r>
  <r>
    <d v="2025-08-26T00:00:00"/>
    <x v="25"/>
    <x v="17"/>
    <d v="2025-08-26T00:00:00"/>
    <s v="Q3-2025"/>
    <s v="Africa"/>
    <x v="11"/>
    <s v="Durban"/>
    <s v="Phones"/>
    <s v="High"/>
    <n v="1276.67"/>
    <n v="1276.67"/>
    <n v="6.6000000000000003E-2"/>
    <n v="10"/>
    <n v="15494.3128"/>
  </r>
  <r>
    <d v="2025-08-27T00:00:00"/>
    <x v="16"/>
    <x v="17"/>
    <d v="2025-08-27T00:00:00"/>
    <s v="Q3-2025"/>
    <s v="Africa"/>
    <x v="11"/>
    <s v="Johannesburg"/>
    <s v="Laptops"/>
    <s v="High"/>
    <n v="2821.36"/>
    <n v="2821.36"/>
    <n v="0.248"/>
    <n v="20"/>
    <n v="9059.1936000000005"/>
  </r>
  <r>
    <d v="2025-08-28T00:00:00"/>
    <x v="10"/>
    <x v="17"/>
    <d v="2025-08-28T00:00:00"/>
    <s v="Q3-2025"/>
    <s v="Americas"/>
    <x v="5"/>
    <s v="Brasília"/>
    <s v="Laptops"/>
    <s v="High"/>
    <n v="1559.19"/>
    <n v="1559.19"/>
    <n v="0.19"/>
    <n v="12"/>
    <n v="5128.6608000000006"/>
  </r>
  <r>
    <d v="2025-08-29T00:00:00"/>
    <x v="24"/>
    <x v="17"/>
    <d v="2025-08-29T00:00:00"/>
    <s v="Q3-2025"/>
    <s v="Europe"/>
    <x v="7"/>
    <s v="Paris"/>
    <s v="Networking"/>
    <s v="High"/>
    <n v="656.66"/>
    <n v="656.66"/>
    <n v="0.14899999999999999"/>
    <n v="14"/>
    <n v="21944.3966"/>
  </r>
  <r>
    <d v="2025-08-30T00:00:00"/>
    <x v="21"/>
    <x v="17"/>
    <d v="2025-08-30T00:00:00"/>
    <s v="Q3-2025"/>
    <s v="Americas"/>
    <x v="10"/>
    <s v="Chicago"/>
    <s v="Laptops"/>
    <s v="High"/>
    <n v="2657.84"/>
    <n v="2657.84"/>
    <n v="8.6999999999999994E-2"/>
    <n v="21"/>
    <n v="31548.788040000003"/>
  </r>
  <r>
    <d v="2025-08-31T00:00:00"/>
    <x v="24"/>
    <x v="17"/>
    <d v="2025-08-31T00:00:00"/>
    <s v="Q3-2025"/>
    <s v="Africa"/>
    <x v="11"/>
    <s v="Cape Town"/>
    <s v="Accessories"/>
    <s v="High"/>
    <n v="1424.74"/>
    <n v="1424.74"/>
    <n v="4.3999999999999997E-2"/>
    <n v="15"/>
    <n v="10428.334800000001"/>
  </r>
  <r>
    <d v="2025-09-01T00:00:00"/>
    <x v="4"/>
    <x v="18"/>
    <d v="2025-09-01T00:00:00"/>
    <s v="Q3-2025"/>
    <s v="Africa"/>
    <x v="11"/>
    <s v="Cape Town"/>
    <s v="Printers"/>
    <s v="High"/>
    <n v="2318.7399999999998"/>
    <n v="2318.7399999999998"/>
    <n v="0.107"/>
    <n v="32"/>
    <n v="35256.783040000002"/>
  </r>
  <r>
    <d v="2025-09-02T00:00:00"/>
    <x v="5"/>
    <x v="18"/>
    <d v="2025-09-02T00:00:00"/>
    <s v="Q3-2025"/>
    <s v="Europe"/>
    <x v="6"/>
    <s v="Berlin"/>
    <s v="Networking"/>
    <s v="High"/>
    <n v="366.7"/>
    <n v="366.7"/>
    <n v="8.8999999999999996E-2"/>
    <n v="10"/>
    <n v="14063.653600000001"/>
  </r>
  <r>
    <d v="2025-09-03T00:00:00"/>
    <x v="24"/>
    <x v="18"/>
    <d v="2025-09-03T00:00:00"/>
    <s v="Q3-2025"/>
    <s v="Africa"/>
    <x v="0"/>
    <s v="Nairobi"/>
    <s v="Laptops"/>
    <s v="High"/>
    <n v="2797.41"/>
    <n v="2797.41"/>
    <n v="0"/>
    <n v="7"/>
    <n v="14806.33"/>
  </r>
  <r>
    <d v="2025-09-04T00:00:00"/>
    <x v="17"/>
    <x v="18"/>
    <d v="2025-09-04T00:00:00"/>
    <s v="Q3-2025"/>
    <s v="Asia"/>
    <x v="9"/>
    <s v="Shanghai"/>
    <s v="Monitors"/>
    <s v="High"/>
    <n v="2209.66"/>
    <n v="2209.66"/>
    <n v="0.13300000000000001"/>
    <n v="16"/>
    <n v="25485.499680000001"/>
  </r>
  <r>
    <d v="2025-09-05T00:00:00"/>
    <x v="2"/>
    <x v="18"/>
    <d v="2025-09-05T00:00:00"/>
    <s v="Q3-2025"/>
    <s v="Africa"/>
    <x v="1"/>
    <s v="Port Harcourt"/>
    <s v="Accessories"/>
    <s v="High"/>
    <n v="839.04"/>
    <n v="839.04"/>
    <n v="5.8999999999999997E-2"/>
    <n v="6"/>
    <n v="16141.518779999999"/>
  </r>
  <r>
    <d v="2025-09-06T00:00:00"/>
    <x v="24"/>
    <x v="18"/>
    <d v="2025-09-06T00:00:00"/>
    <s v="Q3-2025"/>
    <s v="Europe"/>
    <x v="6"/>
    <s v="Frankfurt"/>
    <s v="Laptops"/>
    <s v="High"/>
    <n v="1139.1500000000001"/>
    <n v="1139.1500000000001"/>
    <n v="0.115"/>
    <n v="14"/>
    <n v="3592.1088"/>
  </r>
  <r>
    <d v="2025-09-07T00:00:00"/>
    <x v="28"/>
    <x v="18"/>
    <d v="2025-09-07T00:00:00"/>
    <s v="Q3-2025"/>
    <s v="Americas"/>
    <x v="10"/>
    <s v="New York"/>
    <s v="Networking"/>
    <s v="High"/>
    <n v="1712.03"/>
    <n v="1712.03"/>
    <n v="0.21199999999999999"/>
    <n v="8"/>
    <n v="6286.3488000000007"/>
  </r>
  <r>
    <d v="2025-09-08T00:00:00"/>
    <x v="0"/>
    <x v="18"/>
    <d v="2025-09-08T00:00:00"/>
    <s v="Q3-2025"/>
    <s v="Africa"/>
    <x v="11"/>
    <s v="Johannesburg"/>
    <s v="Monitors"/>
    <s v="High"/>
    <n v="1054.29"/>
    <n v="1054.29"/>
    <n v="0.23699999999999999"/>
    <n v="6"/>
    <n v="216.49362000000002"/>
  </r>
  <r>
    <d v="2025-09-09T00:00:00"/>
    <x v="27"/>
    <x v="18"/>
    <d v="2025-09-09T00:00:00"/>
    <s v="Q3-2025"/>
    <s v="Americas"/>
    <x v="3"/>
    <s v="Toronto"/>
    <s v="Accessories"/>
    <s v="High"/>
    <n v="2451.2199999999998"/>
    <n v="2451.2199999999998"/>
    <n v="0.20799999999999999"/>
    <n v="8"/>
    <n v="4778.8646400000007"/>
  </r>
  <r>
    <d v="2025-09-10T00:00:00"/>
    <x v="2"/>
    <x v="18"/>
    <d v="2025-09-10T00:00:00"/>
    <s v="Q3-2025"/>
    <s v="Europe"/>
    <x v="6"/>
    <s v="Frankfurt"/>
    <s v="Printers"/>
    <s v="High"/>
    <n v="1251.21"/>
    <n v="1251.21"/>
    <n v="0.123"/>
    <n v="29"/>
    <n v="22927.340840000001"/>
  </r>
  <r>
    <d v="2025-09-11T00:00:00"/>
    <x v="14"/>
    <x v="18"/>
    <d v="2025-09-11T00:00:00"/>
    <s v="Q3-2025"/>
    <s v="Americas"/>
    <x v="5"/>
    <s v="Rio de Janeiro"/>
    <s v="Monitors"/>
    <s v="High"/>
    <n v="1104.8"/>
    <n v="1104.8"/>
    <n v="0.17499999999999999"/>
    <n v="12"/>
    <n v="1119.492"/>
  </r>
  <r>
    <d v="2025-09-12T00:00:00"/>
    <x v="6"/>
    <x v="18"/>
    <d v="2025-09-12T00:00:00"/>
    <s v="Q3-2025"/>
    <s v="Europe"/>
    <x v="8"/>
    <s v="London"/>
    <s v="Networking"/>
    <s v="High"/>
    <n v="2383.41"/>
    <n v="2383.41"/>
    <n v="0.17"/>
    <n v="15"/>
    <n v="10814.319"/>
  </r>
  <r>
    <d v="2025-09-13T00:00:00"/>
    <x v="28"/>
    <x v="18"/>
    <d v="2025-09-13T00:00:00"/>
    <s v="Q3-2025"/>
    <s v="Americas"/>
    <x v="5"/>
    <s v="Brasília"/>
    <s v="Monitors"/>
    <s v="High"/>
    <n v="213.06"/>
    <n v="213.06"/>
    <n v="0.21199999999999999"/>
    <n v="11"/>
    <n v="3015.5971999999997"/>
  </r>
  <r>
    <d v="2025-09-14T00:00:00"/>
    <x v="22"/>
    <x v="18"/>
    <d v="2025-09-14T00:00:00"/>
    <s v="Q3-2025"/>
    <s v="Asia"/>
    <x v="2"/>
    <s v="Nagoya"/>
    <s v="Networking"/>
    <s v="High"/>
    <n v="2030.64"/>
    <n v="2030.64"/>
    <n v="0.157"/>
    <n v="11"/>
    <n v="10310.463239999999"/>
  </r>
  <r>
    <d v="2025-09-15T00:00:00"/>
    <x v="26"/>
    <x v="18"/>
    <d v="2025-09-15T00:00:00"/>
    <s v="Q3-2025"/>
    <s v="Europe"/>
    <x v="6"/>
    <s v="Munich"/>
    <s v="Accessories"/>
    <s v="High"/>
    <n v="956.7"/>
    <n v="956.7"/>
    <n v="4.2000000000000003E-2"/>
    <n v="22"/>
    <n v="6907.0267199999998"/>
  </r>
  <r>
    <d v="2025-09-16T00:00:00"/>
    <x v="26"/>
    <x v="18"/>
    <d v="2025-09-16T00:00:00"/>
    <s v="Q3-2025"/>
    <s v="Africa"/>
    <x v="0"/>
    <s v="Mombasa"/>
    <s v="Accessories"/>
    <s v="High"/>
    <n v="1447.68"/>
    <n v="1447.68"/>
    <n v="8.6999999999999994E-2"/>
    <n v="12"/>
    <n v="5326.0402800000002"/>
  </r>
  <r>
    <d v="2025-09-17T00:00:00"/>
    <x v="21"/>
    <x v="18"/>
    <d v="2025-09-17T00:00:00"/>
    <s v="Q3-2025"/>
    <s v="Asia"/>
    <x v="2"/>
    <s v="Tokyo"/>
    <s v="Phones"/>
    <s v="High"/>
    <n v="2949.62"/>
    <n v="2949.62"/>
    <n v="0.125"/>
    <n v="13"/>
    <n v="23507.575000000001"/>
  </r>
  <r>
    <d v="2025-09-18T00:00:00"/>
    <x v="15"/>
    <x v="18"/>
    <d v="2025-09-18T00:00:00"/>
    <s v="Q3-2025"/>
    <s v="Asia"/>
    <x v="4"/>
    <s v="Mumbai"/>
    <s v="Accessories"/>
    <s v="High"/>
    <n v="2580.5700000000002"/>
    <n v="2580.5700000000002"/>
    <n v="0"/>
    <n v="18"/>
    <n v="1551.6000000000001"/>
  </r>
  <r>
    <d v="2025-09-19T00:00:00"/>
    <x v="8"/>
    <x v="18"/>
    <d v="2025-09-19T00:00:00"/>
    <s v="Q3-2025"/>
    <s v="Americas"/>
    <x v="3"/>
    <s v="Vancouver"/>
    <s v="Printers"/>
    <s v="High"/>
    <n v="1978.91"/>
    <n v="1978.91"/>
    <n v="5.3999999999999999E-2"/>
    <n v="27"/>
    <n v="58944.550499999998"/>
  </r>
  <r>
    <d v="2025-09-20T00:00:00"/>
    <x v="0"/>
    <x v="18"/>
    <d v="2025-09-20T00:00:00"/>
    <s v="Q3-2025"/>
    <s v="Americas"/>
    <x v="10"/>
    <s v="New York"/>
    <s v="Monitors"/>
    <s v="High"/>
    <n v="1481.45"/>
    <n v="1481.45"/>
    <n v="0.21099999999999999"/>
    <n v="9"/>
    <n v="7902.0638099999996"/>
  </r>
  <r>
    <d v="2025-09-21T00:00:00"/>
    <x v="7"/>
    <x v="18"/>
    <d v="2025-09-21T00:00:00"/>
    <s v="Q3-2025"/>
    <s v="Africa"/>
    <x v="0"/>
    <s v="Nairobi"/>
    <s v="Accessories"/>
    <s v="High"/>
    <n v="1658.92"/>
    <n v="1658.92"/>
    <n v="0.122"/>
    <n v="9"/>
    <n v="8897.572979999999"/>
  </r>
  <r>
    <d v="2025-09-22T00:00:00"/>
    <x v="9"/>
    <x v="18"/>
    <d v="2025-09-22T00:00:00"/>
    <s v="Q3-2025"/>
    <s v="Asia"/>
    <x v="4"/>
    <s v="Bengaluru"/>
    <s v="Printers"/>
    <s v="High"/>
    <n v="602.34"/>
    <n v="602.34"/>
    <n v="0.12"/>
    <n v="25"/>
    <n v="2719.64"/>
  </r>
  <r>
    <d v="2025-09-23T00:00:00"/>
    <x v="1"/>
    <x v="18"/>
    <d v="2025-09-23T00:00:00"/>
    <s v="Q3-2025"/>
    <s v="Americas"/>
    <x v="10"/>
    <s v="New York"/>
    <s v="Components"/>
    <s v="High"/>
    <n v="527.64"/>
    <n v="527.64"/>
    <n v="0.14499999999999999"/>
    <n v="15"/>
    <n v="22209.693749999999"/>
  </r>
  <r>
    <d v="2025-09-24T00:00:00"/>
    <x v="18"/>
    <x v="18"/>
    <d v="2025-09-24T00:00:00"/>
    <s v="Q3-2025"/>
    <s v="Africa"/>
    <x v="0"/>
    <s v="Kisumu"/>
    <s v="Phones"/>
    <s v="High"/>
    <n v="1841.9"/>
    <n v="1841.9"/>
    <n v="5.5E-2"/>
    <n v="19"/>
    <n v="54978.38955"/>
  </r>
  <r>
    <d v="2025-09-25T00:00:00"/>
    <x v="12"/>
    <x v="18"/>
    <d v="2025-09-25T00:00:00"/>
    <s v="Q3-2025"/>
    <s v="Americas"/>
    <x v="3"/>
    <s v="Montreal"/>
    <s v="Monitors"/>
    <s v="High"/>
    <n v="1645.48"/>
    <n v="1645.48"/>
    <n v="0.13700000000000001"/>
    <n v="6"/>
    <n v="11393.722979999999"/>
  </r>
  <r>
    <d v="2025-09-26T00:00:00"/>
    <x v="26"/>
    <x v="18"/>
    <d v="2025-09-26T00:00:00"/>
    <s v="Q3-2025"/>
    <s v="Europe"/>
    <x v="8"/>
    <s v="Manchester"/>
    <s v="Networking"/>
    <s v="High"/>
    <n v="727.22"/>
    <n v="727.22"/>
    <n v="6.8000000000000005E-2"/>
    <n v="15"/>
    <n v="8408.8302000000003"/>
  </r>
  <r>
    <d v="2025-09-27T00:00:00"/>
    <x v="9"/>
    <x v="18"/>
    <d v="2025-09-27T00:00:00"/>
    <s v="Q3-2025"/>
    <s v="Europe"/>
    <x v="8"/>
    <s v="Manchester"/>
    <s v="Laptops"/>
    <s v="High"/>
    <n v="1233.79"/>
    <n v="1233.79"/>
    <n v="0.14299999999999999"/>
    <n v="4"/>
    <n v="3248.9555599999999"/>
  </r>
  <r>
    <d v="2025-09-28T00:00:00"/>
    <x v="31"/>
    <x v="18"/>
    <d v="2025-09-28T00:00:00"/>
    <s v="Q3-2025"/>
    <s v="Africa"/>
    <x v="0"/>
    <s v="Mombasa"/>
    <s v="Components"/>
    <s v="High"/>
    <n v="1543.76"/>
    <n v="1543.76"/>
    <n v="0.126"/>
    <n v="13"/>
    <n v="26490.27576"/>
  </r>
  <r>
    <d v="2025-09-29T00:00:00"/>
    <x v="16"/>
    <x v="18"/>
    <d v="2025-09-29T00:00:00"/>
    <s v="Q3-2025"/>
    <s v="Africa"/>
    <x v="1"/>
    <s v="Port Harcourt"/>
    <s v="Laptops"/>
    <s v="High"/>
    <n v="2115.19"/>
    <n v="2115.19"/>
    <n v="9.1999999999999998E-2"/>
    <n v="23"/>
    <n v="29597.640160000003"/>
  </r>
  <r>
    <d v="2025-09-30T00:00:00"/>
    <x v="18"/>
    <x v="18"/>
    <d v="2025-09-30T00:00:00"/>
    <s v="Q3-2025"/>
    <s v="Europe"/>
    <x v="7"/>
    <s v="Lyon"/>
    <s v="Monitors"/>
    <s v="High"/>
    <n v="1837.19"/>
    <n v="1837.19"/>
    <n v="0.19700000000000001"/>
    <n v="17"/>
    <n v="9548.8744999999999"/>
  </r>
  <r>
    <d v="2025-10-01T00:00:00"/>
    <x v="31"/>
    <x v="19"/>
    <d v="2025-10-01T00:00:00"/>
    <s v="Q4-2025"/>
    <s v="Americas"/>
    <x v="10"/>
    <s v="New York"/>
    <s v="Networking"/>
    <s v="High"/>
    <n v="2858.93"/>
    <n v="2858.93"/>
    <n v="0"/>
    <n v="12"/>
    <n v="21446.400000000001"/>
  </r>
  <r>
    <d v="2025-10-02T00:00:00"/>
    <x v="19"/>
    <x v="19"/>
    <d v="2025-10-02T00:00:00"/>
    <s v="Q4-2025"/>
    <s v="Asia"/>
    <x v="2"/>
    <s v="Osaka"/>
    <s v="Components"/>
    <s v="High"/>
    <n v="289.92"/>
    <n v="289.92"/>
    <n v="2.9000000000000001E-2"/>
    <n v="12"/>
    <n v="19793.834999999999"/>
  </r>
  <r>
    <d v="2025-10-03T00:00:00"/>
    <x v="23"/>
    <x v="19"/>
    <d v="2025-10-03T00:00:00"/>
    <s v="Q4-2025"/>
    <s v="Asia"/>
    <x v="4"/>
    <s v="Bengaluru"/>
    <s v="Accessories"/>
    <s v="High"/>
    <n v="997.2"/>
    <n v="997.2"/>
    <n v="8.2000000000000003E-2"/>
    <n v="5"/>
    <n v="3326.373"/>
  </r>
  <r>
    <d v="2025-10-04T00:00:00"/>
    <x v="3"/>
    <x v="19"/>
    <d v="2025-10-04T00:00:00"/>
    <s v="Q4-2025"/>
    <s v="Asia"/>
    <x v="4"/>
    <s v="Mumbai"/>
    <s v="Phones"/>
    <s v="Low"/>
    <n v="47.29"/>
    <n v="47.29"/>
    <n v="6.4000000000000001E-2"/>
    <n v="19"/>
    <n v="24114.036959999998"/>
  </r>
  <r>
    <d v="2025-10-05T00:00:00"/>
    <x v="9"/>
    <x v="19"/>
    <d v="2025-10-05T00:00:00"/>
    <s v="Q4-2025"/>
    <s v="Americas"/>
    <x v="3"/>
    <s v="Vancouver"/>
    <s v="Laptops"/>
    <s v="High"/>
    <n v="754.24"/>
    <n v="754.24"/>
    <n v="0.20699999999999999"/>
    <n v="32"/>
    <n v="6980.1763200000005"/>
  </r>
  <r>
    <d v="2025-10-06T00:00:00"/>
    <x v="4"/>
    <x v="19"/>
    <d v="2025-10-06T00:00:00"/>
    <s v="Q4-2025"/>
    <s v="Americas"/>
    <x v="3"/>
    <s v="Toronto"/>
    <s v="Monitors"/>
    <s v="High"/>
    <n v="901.48"/>
    <n v="901.48"/>
    <n v="5.6000000000000001E-2"/>
    <n v="17"/>
    <n v="28925.557119999998"/>
  </r>
  <r>
    <d v="2025-10-07T00:00:00"/>
    <x v="12"/>
    <x v="19"/>
    <d v="2025-10-07T00:00:00"/>
    <s v="Q4-2025"/>
    <s v="Europe"/>
    <x v="7"/>
    <s v="Marseille"/>
    <s v="Components"/>
    <s v="Medium"/>
    <n v="113.08"/>
    <n v="113.08"/>
    <n v="0.121"/>
    <n v="5"/>
    <n v="5580.6830999999993"/>
  </r>
  <r>
    <d v="2025-10-08T00:00:00"/>
    <x v="28"/>
    <x v="19"/>
    <d v="2025-10-08T00:00:00"/>
    <s v="Q4-2025"/>
    <s v="Americas"/>
    <x v="3"/>
    <s v="Montreal"/>
    <s v="Networking"/>
    <s v="High"/>
    <n v="868.62"/>
    <n v="868.62"/>
    <n v="7.1999999999999995E-2"/>
    <n v="15"/>
    <n v="7960.848"/>
  </r>
  <r>
    <d v="2025-10-09T00:00:00"/>
    <x v="25"/>
    <x v="19"/>
    <d v="2025-10-09T00:00:00"/>
    <s v="Q4-2025"/>
    <s v="Americas"/>
    <x v="3"/>
    <s v="Vancouver"/>
    <s v="Networking"/>
    <s v="High"/>
    <n v="347.9"/>
    <n v="347.9"/>
    <n v="7.1999999999999995E-2"/>
    <n v="43"/>
    <n v="109937.11616000001"/>
  </r>
  <r>
    <d v="2025-10-10T00:00:00"/>
    <x v="23"/>
    <x v="19"/>
    <d v="2025-10-10T00:00:00"/>
    <s v="Q4-2025"/>
    <s v="Europe"/>
    <x v="8"/>
    <s v="Manchester"/>
    <s v="Accessories"/>
    <s v="High"/>
    <n v="1111.8800000000001"/>
    <n v="1111.8800000000001"/>
    <n v="0.13500000000000001"/>
    <n v="7"/>
    <n v="5827.9980499999992"/>
  </r>
  <r>
    <d v="2025-10-11T00:00:00"/>
    <x v="18"/>
    <x v="19"/>
    <d v="2025-10-11T00:00:00"/>
    <s v="Q4-2025"/>
    <s v="Europe"/>
    <x v="8"/>
    <s v="London"/>
    <s v="Networking"/>
    <s v="High"/>
    <n v="327.72"/>
    <n v="327.72"/>
    <n v="6.7000000000000004E-2"/>
    <n v="14"/>
    <n v="8728.9427399999986"/>
  </r>
  <r>
    <d v="2025-10-12T00:00:00"/>
    <x v="13"/>
    <x v="19"/>
    <d v="2025-10-12T00:00:00"/>
    <s v="Q4-2025"/>
    <s v="Africa"/>
    <x v="0"/>
    <s v="Nakuru"/>
    <s v="Phones"/>
    <s v="High"/>
    <n v="486.13"/>
    <n v="486.13"/>
    <n v="0.13200000000000001"/>
    <n v="17"/>
    <n v="20722.29348"/>
  </r>
  <r>
    <d v="2025-10-13T00:00:00"/>
    <x v="23"/>
    <x v="19"/>
    <d v="2025-10-13T00:00:00"/>
    <s v="Q4-2025"/>
    <s v="Americas"/>
    <x v="5"/>
    <s v="Brasília"/>
    <s v="Components"/>
    <s v="High"/>
    <n v="2066.6"/>
    <n v="2066.6"/>
    <n v="0.01"/>
    <n v="3"/>
    <n v="10661.9733"/>
  </r>
  <r>
    <d v="2025-10-14T00:00:00"/>
    <x v="5"/>
    <x v="19"/>
    <d v="2025-10-14T00:00:00"/>
    <s v="Q4-2025"/>
    <s v="Americas"/>
    <x v="5"/>
    <s v="Brasília"/>
    <s v="Monitors"/>
    <s v="Medium"/>
    <n v="86.2"/>
    <n v="86.2"/>
    <n v="0.22600000000000001"/>
    <n v="27"/>
    <n v="4879.8919799999994"/>
  </r>
  <r>
    <d v="2025-10-15T00:00:00"/>
    <x v="29"/>
    <x v="19"/>
    <d v="2025-10-15T00:00:00"/>
    <s v="Q4-2025"/>
    <s v="Asia"/>
    <x v="2"/>
    <s v="Osaka"/>
    <s v="Laptops"/>
    <s v="High"/>
    <n v="2307.75"/>
    <n v="2307.75"/>
    <n v="0.16300000000000001"/>
    <n v="21"/>
    <n v="2183.9422500000001"/>
  </r>
  <r>
    <d v="2025-10-16T00:00:00"/>
    <x v="21"/>
    <x v="19"/>
    <d v="2025-10-16T00:00:00"/>
    <s v="Q4-2025"/>
    <s v="Africa"/>
    <x v="0"/>
    <s v="Mombasa"/>
    <s v="Laptops"/>
    <s v="High"/>
    <n v="1112.81"/>
    <n v="1112.81"/>
    <n v="0.14099999999999999"/>
    <n v="4"/>
    <n v="4918.1873199999991"/>
  </r>
  <r>
    <d v="2025-10-17T00:00:00"/>
    <x v="19"/>
    <x v="19"/>
    <d v="2025-10-17T00:00:00"/>
    <s v="Q4-2025"/>
    <s v="Americas"/>
    <x v="5"/>
    <s v="São Paulo"/>
    <s v="Phones"/>
    <s v="High"/>
    <n v="1125.99"/>
    <n v="1125.99"/>
    <n v="4.1000000000000002E-2"/>
    <n v="21"/>
    <n v="32132.177279999996"/>
  </r>
  <r>
    <d v="2025-10-18T00:00:00"/>
    <x v="15"/>
    <x v="19"/>
    <d v="2025-10-18T00:00:00"/>
    <s v="Q4-2025"/>
    <s v="Americas"/>
    <x v="10"/>
    <s v="New York"/>
    <s v="Phones"/>
    <s v="Medium"/>
    <n v="123.62"/>
    <n v="123.62"/>
    <n v="0"/>
    <n v="3"/>
    <n v="3085.38"/>
  </r>
  <r>
    <d v="2025-10-19T00:00:00"/>
    <x v="0"/>
    <x v="19"/>
    <d v="2025-10-19T00:00:00"/>
    <s v="Q4-2025"/>
    <s v="Africa"/>
    <x v="1"/>
    <s v="Abuja"/>
    <s v="Components"/>
    <s v="High"/>
    <n v="1731.75"/>
    <n v="1731.75"/>
    <n v="9.2999999999999999E-2"/>
    <n v="16"/>
    <n v="46878.839200000002"/>
  </r>
  <r>
    <d v="2025-10-20T00:00:00"/>
    <x v="17"/>
    <x v="19"/>
    <d v="2025-10-20T00:00:00"/>
    <s v="Q4-2025"/>
    <s v="Asia"/>
    <x v="2"/>
    <s v="Tokyo"/>
    <s v="Phones"/>
    <s v="High"/>
    <n v="3062.01"/>
    <n v="3062.01"/>
    <n v="0.10299999999999999"/>
    <n v="25"/>
    <n v="62557.004249999998"/>
  </r>
  <r>
    <d v="2025-10-21T00:00:00"/>
    <x v="26"/>
    <x v="19"/>
    <d v="2025-10-21T00:00:00"/>
    <s v="Q4-2025"/>
    <s v="Europe"/>
    <x v="7"/>
    <s v="Lyon"/>
    <s v="Accessories"/>
    <s v="High"/>
    <n v="2200.41"/>
    <n v="2200.41"/>
    <n v="8.7999999999999995E-2"/>
    <n v="6"/>
    <n v="10384.433280000001"/>
  </r>
  <r>
    <d v="2025-10-22T00:00:00"/>
    <x v="12"/>
    <x v="19"/>
    <d v="2025-10-22T00:00:00"/>
    <s v="Q4-2025"/>
    <s v="Europe"/>
    <x v="7"/>
    <s v="Marseille"/>
    <s v="Accessories"/>
    <s v="High"/>
    <n v="601.49"/>
    <n v="601.49"/>
    <n v="0"/>
    <n v="15"/>
    <n v="13537.050000000001"/>
  </r>
  <r>
    <d v="2025-10-23T00:00:00"/>
    <x v="28"/>
    <x v="19"/>
    <d v="2025-10-23T00:00:00"/>
    <s v="Q4-2025"/>
    <s v="Europe"/>
    <x v="7"/>
    <s v="Marseille"/>
    <s v="Components"/>
    <s v="High"/>
    <n v="947.77"/>
    <n v="947.77"/>
    <n v="0.17399999999999999"/>
    <n v="15"/>
    <n v="-417.04740000000004"/>
  </r>
  <r>
    <d v="2025-10-24T00:00:00"/>
    <x v="2"/>
    <x v="19"/>
    <d v="2025-10-24T00:00:00"/>
    <s v="Q4-2025"/>
    <s v="Americas"/>
    <x v="10"/>
    <s v="San Francisco"/>
    <s v="Networking"/>
    <s v="High"/>
    <n v="2331.48"/>
    <n v="2331.48"/>
    <n v="0.14599999999999999"/>
    <n v="26"/>
    <n v="24128.64272"/>
  </r>
  <r>
    <d v="2025-10-25T00:00:00"/>
    <x v="14"/>
    <x v="19"/>
    <d v="2025-10-25T00:00:00"/>
    <s v="Q4-2025"/>
    <s v="Asia"/>
    <x v="2"/>
    <s v="Tokyo"/>
    <s v="Monitors"/>
    <s v="High"/>
    <n v="1417.24"/>
    <n v="1417.24"/>
    <n v="0.192"/>
    <n v="5"/>
    <n v="4083.4300000000003"/>
  </r>
  <r>
    <d v="2025-10-26T00:00:00"/>
    <x v="16"/>
    <x v="19"/>
    <d v="2025-10-26T00:00:00"/>
    <s v="Q4-2025"/>
    <s v="Europe"/>
    <x v="7"/>
    <s v="Marseille"/>
    <s v="Accessories"/>
    <s v="High"/>
    <n v="699.5"/>
    <n v="699.5"/>
    <n v="0.08"/>
    <n v="13"/>
    <n v="4921.3008"/>
  </r>
  <r>
    <d v="2025-10-27T00:00:00"/>
    <x v="17"/>
    <x v="19"/>
    <d v="2025-10-27T00:00:00"/>
    <s v="Q4-2025"/>
    <s v="Africa"/>
    <x v="0"/>
    <s v="Kisumu"/>
    <s v="Laptops"/>
    <s v="High"/>
    <n v="1787.2"/>
    <n v="1787.2"/>
    <n v="7.2999999999999995E-2"/>
    <n v="9"/>
    <n v="3448.4956200000001"/>
  </r>
  <r>
    <d v="2025-10-28T00:00:00"/>
    <x v="26"/>
    <x v="19"/>
    <d v="2025-10-28T00:00:00"/>
    <s v="Q4-2025"/>
    <s v="Americas"/>
    <x v="3"/>
    <s v="Toronto"/>
    <s v="Components"/>
    <s v="High"/>
    <n v="1698.75"/>
    <n v="1698.75"/>
    <n v="4.2999999999999997E-2"/>
    <n v="5"/>
    <n v="7459.2886500000004"/>
  </r>
  <r>
    <d v="2025-10-29T00:00:00"/>
    <x v="5"/>
    <x v="19"/>
    <d v="2025-10-29T00:00:00"/>
    <s v="Q4-2025"/>
    <s v="Africa"/>
    <x v="11"/>
    <s v="Cape Town"/>
    <s v="Printers"/>
    <s v="High"/>
    <n v="724.7"/>
    <n v="724.7"/>
    <n v="0.14000000000000001"/>
    <n v="5"/>
    <n v="3702.9880000000003"/>
  </r>
  <r>
    <d v="2025-10-30T00:00:00"/>
    <x v="3"/>
    <x v="19"/>
    <d v="2025-10-30T00:00:00"/>
    <s v="Q4-2025"/>
    <s v="Asia"/>
    <x v="2"/>
    <s v="Osaka"/>
    <s v="Printers"/>
    <s v="High"/>
    <n v="1355.94"/>
    <n v="1355.94"/>
    <n v="0.187"/>
    <n v="4"/>
    <n v="7467.4049999999997"/>
  </r>
  <r>
    <d v="2025-10-31T00:00:00"/>
    <x v="21"/>
    <x v="19"/>
    <d v="2025-10-31T00:00:00"/>
    <s v="Q4-2025"/>
    <s v="Americas"/>
    <x v="5"/>
    <s v="Rio de Janeiro"/>
    <s v="Monitors"/>
    <s v="High"/>
    <n v="275.07"/>
    <n v="275.07"/>
    <n v="0.13300000000000001"/>
    <n v="25"/>
    <n v="57148.305"/>
  </r>
  <r>
    <d v="2025-11-01T00:00:00"/>
    <x v="0"/>
    <x v="20"/>
    <d v="2025-11-01T00:00:00"/>
    <s v="Q4-2025"/>
    <s v="Europe"/>
    <x v="8"/>
    <s v="Manchester"/>
    <s v="Laptops"/>
    <s v="High"/>
    <n v="1802.44"/>
    <n v="1802.44"/>
    <n v="8.9999999999999993E-3"/>
    <n v="19"/>
    <n v="18416.456609999997"/>
  </r>
  <r>
    <d v="2025-11-02T00:00:00"/>
    <x v="21"/>
    <x v="20"/>
    <d v="2025-11-02T00:00:00"/>
    <s v="Q4-2025"/>
    <s v="Americas"/>
    <x v="3"/>
    <s v="Toronto"/>
    <s v="Printers"/>
    <s v="High"/>
    <n v="1269.78"/>
    <n v="1269.78"/>
    <n v="0.16"/>
    <n v="7"/>
    <n v="3208.8335999999999"/>
  </r>
  <r>
    <d v="2025-11-03T00:00:00"/>
    <x v="28"/>
    <x v="20"/>
    <d v="2025-11-03T00:00:00"/>
    <s v="Q4-2025"/>
    <s v="Europe"/>
    <x v="7"/>
    <s v="Paris"/>
    <s v="Networking"/>
    <s v="High"/>
    <n v="571.9"/>
    <n v="571.9"/>
    <n v="7.0999999999999994E-2"/>
    <n v="2"/>
    <n v="2667.2333200000003"/>
  </r>
  <r>
    <d v="2025-11-04T00:00:00"/>
    <x v="8"/>
    <x v="20"/>
    <d v="2025-11-04T00:00:00"/>
    <s v="Q4-2025"/>
    <s v="Asia"/>
    <x v="2"/>
    <s v="Tokyo"/>
    <s v="Printers"/>
    <s v="High"/>
    <n v="2755.04"/>
    <n v="2755.04"/>
    <n v="0.15"/>
    <n v="17"/>
    <n v="34640.985000000001"/>
  </r>
  <r>
    <d v="2025-11-05T00:00:00"/>
    <x v="12"/>
    <x v="20"/>
    <d v="2025-11-05T00:00:00"/>
    <s v="Q4-2025"/>
    <s v="Europe"/>
    <x v="8"/>
    <s v="London"/>
    <s v="Printers"/>
    <s v="High"/>
    <n v="962.51"/>
    <n v="962.51"/>
    <n v="0.19"/>
    <n v="7"/>
    <n v="10511.386199999999"/>
  </r>
  <r>
    <d v="2025-11-06T00:00:00"/>
    <x v="27"/>
    <x v="20"/>
    <d v="2025-11-06T00:00:00"/>
    <s v="Q4-2025"/>
    <s v="Americas"/>
    <x v="5"/>
    <s v="Rio de Janeiro"/>
    <s v="Laptops"/>
    <s v="High"/>
    <n v="668.27"/>
    <n v="668.27"/>
    <n v="0.186"/>
    <n v="13"/>
    <n v="486.56036000000006"/>
  </r>
  <r>
    <d v="2025-11-07T00:00:00"/>
    <x v="12"/>
    <x v="20"/>
    <d v="2025-11-07T00:00:00"/>
    <s v="Q4-2025"/>
    <s v="Asia"/>
    <x v="2"/>
    <s v="Nagoya"/>
    <s v="Accessories"/>
    <s v="High"/>
    <n v="1404.33"/>
    <n v="1404.33"/>
    <n v="0.10299999999999999"/>
    <n v="11"/>
    <n v="0"/>
  </r>
  <r>
    <d v="2025-11-08T00:00:00"/>
    <x v="16"/>
    <x v="20"/>
    <d v="2025-11-08T00:00:00"/>
    <s v="Q4-2025"/>
    <s v="Africa"/>
    <x v="11"/>
    <s v="Johannesburg"/>
    <s v="Phones"/>
    <s v="High"/>
    <n v="3589.89"/>
    <n v="3589.89"/>
    <n v="9.7000000000000003E-2"/>
    <n v="9"/>
    <n v="0"/>
  </r>
  <r>
    <d v="2025-11-09T00:00:00"/>
    <x v="18"/>
    <x v="20"/>
    <d v="2025-11-09T00:00:00"/>
    <s v="Q4-2025"/>
    <s v="Africa"/>
    <x v="0"/>
    <s v="Mombasa"/>
    <s v="Printers"/>
    <s v="High"/>
    <n v="233.51"/>
    <n v="233.51"/>
    <n v="0.16300000000000001"/>
    <n v="14"/>
    <n v="0"/>
  </r>
  <r>
    <d v="2025-11-10T00:00:00"/>
    <x v="9"/>
    <x v="20"/>
    <d v="2025-11-10T00:00:00"/>
    <s v="Q4-2025"/>
    <s v="Africa"/>
    <x v="11"/>
    <s v="Cape Town"/>
    <s v="Components"/>
    <s v="Medium"/>
    <n v="124.25"/>
    <n v="124.25"/>
    <n v="0.12"/>
    <n v="19"/>
    <n v="0"/>
  </r>
  <r>
    <d v="2025-11-11T00:00:00"/>
    <x v="12"/>
    <x v="20"/>
    <d v="2025-11-11T00:00:00"/>
    <s v="Q4-2025"/>
    <s v="Americas"/>
    <x v="10"/>
    <s v="Austin"/>
    <s v="Printers"/>
    <s v="High"/>
    <n v="1431.37"/>
    <n v="1431.37"/>
    <n v="0.104"/>
    <n v="8"/>
    <n v="0"/>
  </r>
  <r>
    <d v="2025-11-12T00:00:00"/>
    <x v="31"/>
    <x v="20"/>
    <d v="2025-11-12T00:00:00"/>
    <s v="Q4-2025"/>
    <s v="Americas"/>
    <x v="10"/>
    <s v="Austin"/>
    <s v="Printers"/>
    <s v="High"/>
    <n v="1595.52"/>
    <n v="1595.52"/>
    <n v="0.19400000000000001"/>
    <n v="14"/>
    <n v="0"/>
  </r>
  <r>
    <d v="2025-11-13T00:00:00"/>
    <x v="1"/>
    <x v="20"/>
    <d v="2025-11-13T00:00:00"/>
    <s v="Q4-2025"/>
    <s v="Americas"/>
    <x v="10"/>
    <s v="Chicago"/>
    <s v="Monitors"/>
    <s v="High"/>
    <n v="1028.46"/>
    <n v="1028.46"/>
    <n v="0"/>
    <n v="9"/>
    <n v="0"/>
  </r>
  <r>
    <d v="2025-11-14T00:00:00"/>
    <x v="17"/>
    <x v="20"/>
    <d v="2025-11-14T00:00:00"/>
    <s v="Q4-2025"/>
    <s v="Africa"/>
    <x v="0"/>
    <s v="Kisumu"/>
    <s v="Networking"/>
    <s v="High"/>
    <n v="3230.35"/>
    <n v="3230.35"/>
    <n v="2.1999999999999999E-2"/>
    <n v="26"/>
    <n v="0"/>
  </r>
  <r>
    <d v="2025-11-15T00:00:00"/>
    <x v="24"/>
    <x v="20"/>
    <d v="2025-11-15T00:00:00"/>
    <s v="Q4-2025"/>
    <s v="Europe"/>
    <x v="7"/>
    <s v="Paris"/>
    <s v="Networking"/>
    <s v="High"/>
    <n v="2789.61"/>
    <n v="2789.61"/>
    <n v="0.17100000000000001"/>
    <n v="8"/>
    <n v="0"/>
  </r>
  <r>
    <d v="2025-11-16T00:00:00"/>
    <x v="3"/>
    <x v="20"/>
    <d v="2025-11-16T00:00:00"/>
    <s v="Q4-2025"/>
    <s v="Asia"/>
    <x v="2"/>
    <s v="Tokyo"/>
    <s v="Printers"/>
    <s v="High"/>
    <n v="1897.74"/>
    <n v="1897.74"/>
    <n v="8.1000000000000003E-2"/>
    <n v="6"/>
    <n v="0"/>
  </r>
  <r>
    <d v="2025-11-17T00:00:00"/>
    <x v="32"/>
    <x v="20"/>
    <d v="2025-11-17T00:00:00"/>
    <s v="Q4-2025"/>
    <s v="Africa"/>
    <x v="1"/>
    <s v="Port Harcourt"/>
    <s v="Networking"/>
    <s v="High"/>
    <n v="902.47"/>
    <n v="902.47"/>
    <n v="4.0000000000000001E-3"/>
    <n v="12"/>
    <n v="0"/>
  </r>
  <r>
    <d v="2025-11-18T00:00:00"/>
    <x v="6"/>
    <x v="20"/>
    <d v="2025-11-18T00:00:00"/>
    <s v="Q4-2025"/>
    <s v="Europe"/>
    <x v="8"/>
    <s v="Manchester"/>
    <s v="Monitors"/>
    <s v="Low"/>
    <n v="-33.659999999999997"/>
    <n v="-33.659999999999997"/>
    <n v="0.10199999999999999"/>
    <n v="28"/>
    <n v="0"/>
  </r>
  <r>
    <d v="2025-11-19T00:00:00"/>
    <x v="13"/>
    <x v="20"/>
    <d v="2025-11-19T00:00:00"/>
    <s v="Q4-2025"/>
    <s v="Europe"/>
    <x v="8"/>
    <s v="London"/>
    <s v="Printers"/>
    <s v="High"/>
    <n v="1086.68"/>
    <n v="1086.68"/>
    <n v="0.109"/>
    <n v="26"/>
    <n v="0"/>
  </r>
  <r>
    <d v="2025-11-20T00:00:00"/>
    <x v="1"/>
    <x v="20"/>
    <d v="2025-11-20T00:00:00"/>
    <s v="Q4-2025"/>
    <s v="Europe"/>
    <x v="7"/>
    <s v="Paris"/>
    <s v="Components"/>
    <s v="High"/>
    <n v="1010.75"/>
    <n v="1010.75"/>
    <n v="4.7E-2"/>
    <n v="43"/>
    <n v="0"/>
  </r>
  <r>
    <d v="2025-11-21T00:00:00"/>
    <x v="27"/>
    <x v="20"/>
    <d v="2025-11-21T00:00:00"/>
    <s v="Q4-2025"/>
    <s v="Africa"/>
    <x v="0"/>
    <s v="Nakuru"/>
    <s v="Accessories"/>
    <s v="High"/>
    <n v="411.48"/>
    <n v="411.48"/>
    <n v="0.16500000000000001"/>
    <n v="3"/>
    <n v="0"/>
  </r>
  <r>
    <d v="2025-11-22T00:00:00"/>
    <x v="19"/>
    <x v="20"/>
    <d v="2025-11-22T00:00:00"/>
    <s v="Q4-2025"/>
    <s v="Americas"/>
    <x v="5"/>
    <s v="Rio de Janeiro"/>
    <s v="Networking"/>
    <s v="High"/>
    <n v="413.34"/>
    <n v="413.34"/>
    <n v="0.186"/>
    <n v="7"/>
    <n v="0"/>
  </r>
  <r>
    <d v="2025-11-23T00:00:00"/>
    <x v="14"/>
    <x v="20"/>
    <d v="2025-11-23T00:00:00"/>
    <s v="Q4-2025"/>
    <s v="Asia"/>
    <x v="4"/>
    <s v="Hyderabad"/>
    <s v="Networking"/>
    <s v="High"/>
    <n v="1558.89"/>
    <n v="1558.89"/>
    <n v="0.192"/>
    <n v="24"/>
    <n v="0"/>
  </r>
  <r>
    <d v="2025-11-24T00:00:00"/>
    <x v="13"/>
    <x v="20"/>
    <d v="2025-11-24T00:00:00"/>
    <s v="Q4-2025"/>
    <s v="Africa"/>
    <x v="0"/>
    <s v="Nairobi"/>
    <s v="Accessories"/>
    <s v="High"/>
    <n v="861.16"/>
    <n v="861.16"/>
    <n v="0.113"/>
    <n v="14"/>
    <n v="0"/>
  </r>
  <r>
    <d v="2025-11-25T00:00:00"/>
    <x v="25"/>
    <x v="20"/>
    <d v="2025-11-25T00:00:00"/>
    <s v="Q4-2025"/>
    <s v="Asia"/>
    <x v="9"/>
    <s v="Shanghai"/>
    <s v="Networking"/>
    <s v="High"/>
    <n v="2296.25"/>
    <n v="2296.25"/>
    <n v="0.161"/>
    <n v="26"/>
    <n v="0"/>
  </r>
  <r>
    <d v="2025-11-26T00:00:00"/>
    <x v="30"/>
    <x v="20"/>
    <d v="2025-11-26T00:00:00"/>
    <s v="Q4-2025"/>
    <s v="Asia"/>
    <x v="4"/>
    <s v="Delhi"/>
    <s v="Networking"/>
    <s v="High"/>
    <n v="2636.6"/>
    <n v="2636.6"/>
    <n v="0.114"/>
    <n v="14"/>
    <n v="0"/>
  </r>
  <r>
    <d v="2025-11-27T00:00:00"/>
    <x v="4"/>
    <x v="20"/>
    <d v="2025-11-27T00:00:00"/>
    <s v="Q4-2025"/>
    <s v="Asia"/>
    <x v="4"/>
    <s v="Hyderabad"/>
    <s v="Components"/>
    <s v="High"/>
    <n v="978.09"/>
    <n v="978.09"/>
    <n v="0.159"/>
    <n v="17"/>
    <n v="0"/>
  </r>
  <r>
    <d v="2025-11-28T00:00:00"/>
    <x v="25"/>
    <x v="20"/>
    <d v="2025-11-28T00:00:00"/>
    <s v="Q4-2025"/>
    <s v="Asia"/>
    <x v="9"/>
    <s v="Shanghai"/>
    <s v="Monitors"/>
    <s v="High"/>
    <n v="545.72"/>
    <n v="545.72"/>
    <n v="0.151"/>
    <n v="11"/>
    <n v="0"/>
  </r>
  <r>
    <d v="2025-11-29T00:00:00"/>
    <x v="23"/>
    <x v="20"/>
    <d v="2025-11-29T00:00:00"/>
    <s v="Q4-2025"/>
    <s v="Americas"/>
    <x v="3"/>
    <s v="Vancouver"/>
    <s v="Phones"/>
    <s v="High"/>
    <n v="1435.54"/>
    <n v="1435.54"/>
    <n v="0"/>
    <n v="23"/>
    <n v="0"/>
  </r>
  <r>
    <d v="2025-11-30T00:00:00"/>
    <x v="4"/>
    <x v="20"/>
    <d v="2025-11-30T00:00:00"/>
    <s v="Q4-2025"/>
    <s v="Europe"/>
    <x v="6"/>
    <s v="Frankfurt"/>
    <s v="Components"/>
    <s v="High"/>
    <n v="2397.3000000000002"/>
    <n v="2397.3000000000002"/>
    <n v="6.2E-2"/>
    <n v="18"/>
    <n v="0"/>
  </r>
  <r>
    <d v="2025-12-01T00:00:00"/>
    <x v="30"/>
    <x v="21"/>
    <d v="2025-12-01T00:00:00"/>
    <s v="Q4-2025"/>
    <s v="Asia"/>
    <x v="2"/>
    <s v="Nagoya"/>
    <s v="Phones"/>
    <s v="High"/>
    <n v="1853.86"/>
    <n v="1853.86"/>
    <n v="0.13900000000000001"/>
    <n v="8"/>
    <n v="0"/>
  </r>
  <r>
    <d v="2025-12-02T00:00:00"/>
    <x v="26"/>
    <x v="21"/>
    <d v="2025-12-02T00:00:00"/>
    <s v="Q4-2025"/>
    <s v="Asia"/>
    <x v="2"/>
    <s v="Osaka"/>
    <s v="Laptops"/>
    <s v="Low"/>
    <n v="45.98"/>
    <n v="45.98"/>
    <n v="0.17299999999999999"/>
    <n v="7"/>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d v="2024-04-06T00:00:00"/>
    <n v="26"/>
    <s v="Mar-2024"/>
    <s v="Q1-2024"/>
    <s v="Africa"/>
    <s v="Kenya"/>
    <s v="Kisumu"/>
    <s v="Corporate"/>
    <s v="Retail"/>
    <s v="C. Otieno"/>
    <x v="0"/>
    <x v="0"/>
    <n v="279.24"/>
    <s v="High"/>
    <n v="608.9"/>
    <n v="0.112"/>
    <n v="9"/>
    <x v="0"/>
    <n v="2513.16"/>
    <n v="-1109.2053599999999"/>
    <n v="-0.79005783263766982"/>
  </r>
  <r>
    <s v="ORD-2024-358795"/>
    <d v="2024-10-23T00:00:00"/>
    <d v="2024-10-22T00:00:00"/>
    <n v="1"/>
    <s v="Oct-2024"/>
    <s v="Q4-2024"/>
    <s v="Africa"/>
    <s v="Nigeria"/>
    <s v="Port Harcourt"/>
    <s v="Education"/>
    <s v="Online"/>
    <s v="J. Njeri"/>
    <x v="1"/>
    <x v="1"/>
    <n v="1084.3900000000001"/>
    <s v="High"/>
    <n v="759.33"/>
    <n v="0.23699999999999999"/>
    <n v="31"/>
    <x v="1"/>
    <n v="33616.090000000004"/>
    <n v="-15681.675810000004"/>
    <n v="-0.87439018882166253"/>
  </r>
  <r>
    <s v="ORD-2023-373538"/>
    <d v="2023-02-28T00:00:00"/>
    <d v="2023-03-25T00:00:00"/>
    <n v="25"/>
    <s v="Feb-2023"/>
    <s v="Q1-2023"/>
    <s v="Africa"/>
    <s v="Kenya"/>
    <s v="Nairobi"/>
    <s v="Corporate"/>
    <s v="Retail"/>
    <s v="I. Johnson"/>
    <x v="2"/>
    <x v="2"/>
    <n v="1460.76"/>
    <s v="Low"/>
    <n v="-30.66"/>
    <n v="0.13100000000000001"/>
    <n v="12"/>
    <x v="2"/>
    <n v="17529.12"/>
    <n v="-12995.025599999999"/>
    <n v="-2.8660686023652264"/>
  </r>
  <r>
    <s v="ORD-2025-168148"/>
    <d v="2025-03-29T00:00:00"/>
    <d v="2025-04-02T00:00:00"/>
    <n v="4"/>
    <s v="Mar-2025"/>
    <s v="Q1-2025"/>
    <s v="Africa"/>
    <s v="Nigeria"/>
    <s v="Lagos"/>
    <s v="Non-Profit"/>
    <s v="Marketplace"/>
    <s v="G. Dubois"/>
    <x v="3"/>
    <x v="3"/>
    <n v="259.93"/>
    <s v="High"/>
    <n v="255.94"/>
    <n v="7.1999999999999995E-2"/>
    <n v="22"/>
    <x v="3"/>
    <n v="5718.46"/>
    <n v="28298.270880000004"/>
    <n v="0.83189272301994943"/>
  </r>
  <r>
    <s v="ORD-2023-824839"/>
    <d v="2023-12-06T00:00:00"/>
    <d v="2023-12-31T00:00:00"/>
    <n v="25"/>
    <s v="Dec-2023"/>
    <s v="Q4-2023"/>
    <s v="Asia"/>
    <s v="Japan"/>
    <s v="Osaka"/>
    <s v="Consumer"/>
    <s v="Retail"/>
    <s v="L. Okafor"/>
    <x v="1"/>
    <x v="4"/>
    <n v="663.03"/>
    <s v="High"/>
    <n v="813.51"/>
    <n v="0.10199999999999999"/>
    <n v="15"/>
    <x v="4"/>
    <n v="9945.4499999999989"/>
    <n v="-1435.3734000000004"/>
    <n v="-0.16866750647109341"/>
  </r>
  <r>
    <s v="ORD-2023-723587"/>
    <d v="2023-01-02T00:00:00"/>
    <d v="2023-01-05T00:00:00"/>
    <n v="3"/>
    <s v="Jan-2023"/>
    <s v="Q1-2023"/>
    <s v="Americas"/>
    <s v="Canada"/>
    <s v="Toronto"/>
    <s v="Corporate"/>
    <s v="Distributor"/>
    <s v="B. Chen"/>
    <x v="4"/>
    <x v="5"/>
    <n v="315.87"/>
    <s v="High"/>
    <n v="591.67999999999995"/>
    <n v="0"/>
    <n v="7"/>
    <x v="5"/>
    <n v="2211.09"/>
    <n v="10347.4"/>
    <n v="0.82393663569425946"/>
  </r>
  <r>
    <s v="ORD-2024-336584"/>
    <d v="2024-12-27T00:00:00"/>
    <d v="2025-01-14T00:00:00"/>
    <n v="18"/>
    <s v="Dec-2024"/>
    <s v="Q4-2024"/>
    <s v="Asia"/>
    <s v="India"/>
    <s v="Bengaluru"/>
    <s v="Small Business"/>
    <s v="Marketplace"/>
    <s v="E. Garcia"/>
    <x v="5"/>
    <x v="6"/>
    <n v="586.07000000000005"/>
    <s v="High"/>
    <n v="845.97"/>
    <n v="0.14699999999999999"/>
    <n v="4"/>
    <x v="6"/>
    <n v="2344.2800000000002"/>
    <n v="6639.5842399999983"/>
    <n v="0.73905660889639613"/>
  </r>
  <r>
    <s v="ORD-2023-112666"/>
    <d v="2023-01-15T00:00:00"/>
    <d v="2023-01-13T00:00:00"/>
    <n v="2"/>
    <s v="Jan-2023"/>
    <s v="Q1-2023"/>
    <s v="Africa"/>
    <s v="Nigeria"/>
    <s v="Abuja"/>
    <s v="Education"/>
    <s v="Online"/>
    <s v="O. Wang"/>
    <x v="1"/>
    <x v="7"/>
    <n v="28.38"/>
    <s v="Low"/>
    <n v="47.22"/>
    <n v="0.19400000000000001"/>
    <n v="18"/>
    <x v="7"/>
    <n v="510.84"/>
    <n v="18666.559799999999"/>
    <n v="0.97336239504168864"/>
  </r>
  <r>
    <s v="ORD-2024-589570"/>
    <d v="2024-05-04T00:00:00"/>
    <d v="2024-05-29T00:00:00"/>
    <n v="25"/>
    <s v="May-2024"/>
    <s v="Q2-2024"/>
    <s v="Africa"/>
    <s v="Nigeria"/>
    <s v="Abuja"/>
    <s v="Non-Profit"/>
    <s v="Marketplace"/>
    <s v="O. Wang"/>
    <x v="5"/>
    <x v="8"/>
    <n v="1295.3399999999999"/>
    <s v="High"/>
    <n v="2530.81"/>
    <n v="3.1E-2"/>
    <n v="6"/>
    <x v="8"/>
    <n v="7772.0399999999991"/>
    <n v="9884.322180000001"/>
    <n v="0.55981646044825306"/>
  </r>
  <r>
    <s v="ORD-2025-997421"/>
    <d v="2025-05-21T00:00:00"/>
    <d v="2025-06-09T00:00:00"/>
    <n v="19"/>
    <s v="May-2025"/>
    <s v="Q2-2025"/>
    <s v="Americas"/>
    <s v="Brazil"/>
    <s v="São Paulo"/>
    <s v="Non-Profit"/>
    <s v="Online"/>
    <s v="A. Patel"/>
    <x v="0"/>
    <x v="9"/>
    <n v="1331.38"/>
    <s v="High"/>
    <n v="2309.56"/>
    <n v="0.14899999999999999"/>
    <n v="31"/>
    <x v="9"/>
    <n v="41272.780000000006"/>
    <n v="-36013.200030000007"/>
    <n v="-6.8471627459635354"/>
  </r>
  <r>
    <s v="ORD-2024-210687"/>
    <d v="2024-01-28T00:00:00"/>
    <d v="2024-02-09T00:00:00"/>
    <n v="12"/>
    <s v="Jan-2024"/>
    <s v="Q1-2024"/>
    <s v="Europe"/>
    <s v="Germany"/>
    <s v="Berlin"/>
    <s v="Corporate"/>
    <s v="Online"/>
    <s v="G. Dubois"/>
    <x v="6"/>
    <x v="10"/>
    <n v="644.16999999999996"/>
    <s v="High"/>
    <n v="700.12"/>
    <n v="6.0000000000000001E-3"/>
    <n v="23"/>
    <x v="10"/>
    <n v="14815.91"/>
    <n v="6388.8236199999992"/>
    <n v="0.30129233097152197"/>
  </r>
  <r>
    <s v="ORD-2025-515515"/>
    <d v="2025-01-03T00:00:00"/>
    <d v="2025-01-23T00:00:00"/>
    <n v="20"/>
    <s v="Jan-2025"/>
    <s v="Q1-2025"/>
    <s v="Asia"/>
    <s v="Japan"/>
    <s v="Osaka"/>
    <s v="Corporate"/>
    <s v="Distributor"/>
    <s v="F. Müller"/>
    <x v="3"/>
    <x v="11"/>
    <n v="908.6"/>
    <s v="High"/>
    <n v="691.37"/>
    <n v="0.25"/>
    <n v="20"/>
    <x v="11"/>
    <n v="18172"/>
    <n v="7859.1500000000015"/>
    <n v="0.30191328466087747"/>
  </r>
  <r>
    <s v="ORD-2025-487261"/>
    <d v="2025-03-06T00:00:00"/>
    <d v="2025-03-31T00:00:00"/>
    <n v="25"/>
    <s v="Mar-2025"/>
    <s v="Q1-2025"/>
    <s v="Americas"/>
    <s v="Brazil"/>
    <s v="Brasília"/>
    <s v="Non-Profit"/>
    <s v="Online"/>
    <s v="J. Njeri"/>
    <x v="0"/>
    <x v="12"/>
    <n v="331.57"/>
    <s v="High"/>
    <n v="548.4"/>
    <n v="9.4E-2"/>
    <n v="10"/>
    <x v="12"/>
    <n v="3315.7"/>
    <n v="9328.7984000000033"/>
    <n v="0.73777528415045723"/>
  </r>
  <r>
    <s v="ORD-2024-890180"/>
    <d v="2024-01-20T00:00:00"/>
    <d v="2024-02-13T00:00:00"/>
    <n v="24"/>
    <s v="Jan-2024"/>
    <s v="Q1-2024"/>
    <s v="Europe"/>
    <s v="France"/>
    <s v="Marseille"/>
    <s v="Corporate"/>
    <s v="Retail"/>
    <s v="H. Kim"/>
    <x v="1"/>
    <x v="13"/>
    <n v="643.53"/>
    <s v="High"/>
    <n v="1439.01"/>
    <n v="0"/>
    <n v="15"/>
    <x v="13"/>
    <n v="9652.9499999999989"/>
    <n v="-2836.6499999999987"/>
    <n v="-0.4161568592931647"/>
  </r>
  <r>
    <s v="ORD-2025-840976"/>
    <d v="2025-09-01T00:00:00"/>
    <d v="2025-09-30T00:00:00"/>
    <n v="29"/>
    <s v="Sept-2025"/>
    <s v="Q3-2025"/>
    <s v="Americas"/>
    <s v="Brazil"/>
    <s v="Brasília"/>
    <s v="Education"/>
    <s v="Retail"/>
    <s v="K. Singh"/>
    <x v="6"/>
    <x v="14"/>
    <n v="780.59"/>
    <s v="High"/>
    <n v="631.57000000000005"/>
    <n v="0"/>
    <n v="12"/>
    <x v="14"/>
    <n v="9367.08"/>
    <n v="9604.56"/>
    <n v="0.50625881579030596"/>
  </r>
  <r>
    <s v="ORD-2023-937291"/>
    <d v="2023-04-23T00:00:00"/>
    <d v="2023-04-22T00:00:00"/>
    <n v="1"/>
    <s v="Apr-2023"/>
    <s v="Q2-2023"/>
    <s v="Africa"/>
    <s v="Kenya"/>
    <s v="Nairobi"/>
    <s v="Small Business"/>
    <s v="Direct"/>
    <s v="E. Garcia"/>
    <x v="4"/>
    <x v="15"/>
    <n v="756.51"/>
    <s v="High"/>
    <n v="850.8"/>
    <n v="7.3999999999999996E-2"/>
    <n v="9"/>
    <x v="15"/>
    <n v="6808.59"/>
    <n v="7857.4998600000017"/>
    <n v="0.53575969702943038"/>
  </r>
  <r>
    <s v="ORD-2024-206081"/>
    <d v="2024-12-10T00:00:00"/>
    <d v="2025-01-08T00:00:00"/>
    <n v="29"/>
    <s v="Dec-2024"/>
    <s v="Q4-2024"/>
    <s v="Europe"/>
    <s v="France"/>
    <s v="Marseille"/>
    <s v="Small Business"/>
    <s v="Retail"/>
    <s v="K. Singh"/>
    <x v="1"/>
    <x v="16"/>
    <n v="891.08"/>
    <s v="High"/>
    <n v="1040.0999999999999"/>
    <n v="0.109"/>
    <n v="28"/>
    <x v="16"/>
    <n v="24950.240000000002"/>
    <n v="54995.625999999989"/>
    <n v="0.68791081705212864"/>
  </r>
  <r>
    <s v="ORD-2025-233883"/>
    <d v="2025-09-08T00:00:00"/>
    <d v="2025-09-16T00:00:00"/>
    <n v="8"/>
    <s v="Sept-2025"/>
    <s v="Q3-2025"/>
    <s v="Asia"/>
    <s v="Japan"/>
    <s v="Osaka"/>
    <s v="Corporate"/>
    <s v="Distributor"/>
    <s v="C. Otieno"/>
    <x v="3"/>
    <x v="17"/>
    <n v="1225.57"/>
    <s v="High"/>
    <n v="2705.57"/>
    <n v="0.183"/>
    <n v="16"/>
    <x v="17"/>
    <n v="19609.12"/>
    <n v="-4766.7790399999994"/>
    <n v="-0.32116086356232038"/>
  </r>
  <r>
    <s v="ORD-2025-843974"/>
    <d v="2025-07-20T00:00:00"/>
    <d v="2025-08-05T00:00:00"/>
    <n v="16"/>
    <s v="Jul-2025"/>
    <s v="Q3-2025"/>
    <s v="Americas"/>
    <s v="Brazil"/>
    <s v="Brasília"/>
    <s v="Enterprise"/>
    <s v="Marketplace"/>
    <s v="G. Dubois"/>
    <x v="6"/>
    <x v="18"/>
    <n v="1068.17"/>
    <s v="High"/>
    <n v="2375.37"/>
    <n v="0.109"/>
    <n v="18"/>
    <x v="18"/>
    <n v="19227.060000000001"/>
    <n v="-3247.4383200000011"/>
    <n v="-0.20322372988745258"/>
  </r>
  <r>
    <s v="ORD-2025-745263"/>
    <d v="2025-05-21T00:00:00"/>
    <d v="2025-05-19T00:00:00"/>
    <n v="2"/>
    <s v="May-2025"/>
    <s v="Q2-2025"/>
    <s v="Europe"/>
    <s v="United Kingdom"/>
    <s v="Birmingham"/>
    <s v="Enterprise"/>
    <s v="Online"/>
    <s v="M. Rossi"/>
    <x v="4"/>
    <x v="19"/>
    <n v="1015.16"/>
    <s v="High"/>
    <n v="2148.14"/>
    <n v="3.7999999999999999E-2"/>
    <n v="19"/>
    <x v="19"/>
    <n v="19288.04"/>
    <n v="6247.2399000000005"/>
    <n v="0.24465131866441769"/>
  </r>
  <r>
    <s v="ORD-2024-798002"/>
    <d v="2024-07-25T00:00:00"/>
    <d v="2024-07-24T00:00:00"/>
    <n v="1"/>
    <s v="Jul-2024"/>
    <s v="Q3-2024"/>
    <s v="Africa"/>
    <s v="Kenya"/>
    <s v="Mombasa"/>
    <s v="Non-Profit"/>
    <s v="Direct"/>
    <s v="J. Njeri"/>
    <x v="4"/>
    <x v="20"/>
    <n v="1494.4"/>
    <s v="High"/>
    <n v="3661.07"/>
    <n v="7.1999999999999995E-2"/>
    <n v="7"/>
    <x v="20"/>
    <n v="10460.800000000001"/>
    <n v="-6895.2105600000014"/>
    <n v="-1.9338206700544864"/>
  </r>
  <r>
    <s v="ORD-2023-867836"/>
    <d v="2023-05-11T00:00:00"/>
    <d v="2023-05-28T00:00:00"/>
    <n v="17"/>
    <s v="May-2023"/>
    <s v="Q2-2023"/>
    <s v="Asia"/>
    <s v="China"/>
    <s v="Shenzhen"/>
    <s v="Enterprise"/>
    <s v="Marketplace"/>
    <s v="E. Garcia"/>
    <x v="2"/>
    <x v="21"/>
    <n v="1331.19"/>
    <s v="High"/>
    <n v="2903.09"/>
    <n v="0.14299999999999999"/>
    <n v="8"/>
    <x v="21"/>
    <n v="10649.52"/>
    <n v="13511.023999999998"/>
    <n v="0.55921853415221112"/>
  </r>
  <r>
    <s v="ORD-2025-580047"/>
    <d v="2025-06-14T00:00:00"/>
    <d v="2025-06-29T00:00:00"/>
    <n v="15"/>
    <s v="Jun-2025"/>
    <s v="Q2-2025"/>
    <s v="Africa"/>
    <s v="Nigeria"/>
    <s v="Port Harcourt"/>
    <s v="Consumer"/>
    <s v="Marketplace"/>
    <s v="M. Rossi"/>
    <x v="6"/>
    <x v="22"/>
    <n v="730.99"/>
    <s v="High"/>
    <n v="1242.8399999999999"/>
    <n v="0.12"/>
    <n v="10"/>
    <x v="22"/>
    <n v="7309.9"/>
    <n v="8755.4679999999989"/>
    <n v="0.54499019256826231"/>
  </r>
  <r>
    <s v="ORD-2024-500109"/>
    <d v="2024-05-18T00:00:00"/>
    <d v="2024-05-23T00:00:00"/>
    <n v="5"/>
    <s v="May-2024"/>
    <s v="Q2-2024"/>
    <s v="Americas"/>
    <s v="USA"/>
    <s v="Chicago"/>
    <s v="Enterprise"/>
    <s v="Retail"/>
    <s v="H. Kim"/>
    <x v="4"/>
    <x v="23"/>
    <n v="1274.5899999999999"/>
    <s v="High"/>
    <n v="2553.69"/>
    <n v="0.01"/>
    <n v="8"/>
    <x v="23"/>
    <n v="10196.719999999999"/>
    <n v="3990.9303999999993"/>
    <n v="0.28129607704458237"/>
  </r>
  <r>
    <s v="ORD-2023-271836"/>
    <d v="2023-02-07T00:00:00"/>
    <d v="2023-02-12T00:00:00"/>
    <n v="5"/>
    <s v="Feb-2023"/>
    <s v="Q1-2023"/>
    <s v="Americas"/>
    <s v="Brazil"/>
    <s v="São Paulo"/>
    <s v="Education"/>
    <s v="Online"/>
    <s v="N. Brown"/>
    <x v="0"/>
    <x v="24"/>
    <n v="948.55"/>
    <s v="High"/>
    <n v="2089.16"/>
    <n v="7.0000000000000001E-3"/>
    <n v="12"/>
    <x v="24"/>
    <n v="11382.599999999999"/>
    <n v="19953.501"/>
    <n v="0.63675761703729516"/>
  </r>
  <r>
    <s v="ORD-2024-215294"/>
    <d v="2024-06-30T00:00:00"/>
    <d v="2024-07-14T00:00:00"/>
    <n v="14"/>
    <s v="Jun-2024"/>
    <s v="Q2-2024"/>
    <s v="Americas"/>
    <s v="Brazil"/>
    <s v="Brasília"/>
    <s v="Education"/>
    <s v="Retail"/>
    <s v="C. Otieno"/>
    <x v="6"/>
    <x v="25"/>
    <n v="1491.85"/>
    <s v="High"/>
    <n v="2583.02"/>
    <n v="0.16800000000000001"/>
    <n v="4"/>
    <x v="25"/>
    <n v="5967.4"/>
    <n v="-5613.6335999999992"/>
    <n v="-15.868193248426079"/>
  </r>
  <r>
    <s v="ORD-2024-788105"/>
    <d v="2024-11-30T00:00:00"/>
    <d v="2024-12-30T00:00:00"/>
    <n v="0"/>
    <s v="Nov-2024"/>
    <s v="Q4-2024"/>
    <s v="Europe"/>
    <s v="France"/>
    <s v="Marseille"/>
    <s v="Consumer"/>
    <s v="Marketplace"/>
    <s v="F. Müller"/>
    <x v="1"/>
    <x v="26"/>
    <n v="117.64"/>
    <s v="Medium"/>
    <n v="175.67"/>
    <n v="0"/>
    <n v="10"/>
    <x v="26"/>
    <n v="1176.4000000000001"/>
    <n v="2680.8"/>
    <n v="0.69501192574924819"/>
  </r>
  <r>
    <s v="ORD-2024-855073"/>
    <d v="2024-07-19T00:00:00"/>
    <d v="2024-07-19T00:00:00"/>
    <n v="0"/>
    <s v="Jul-2024"/>
    <s v="Q3-2024"/>
    <s v="Africa"/>
    <s v="Kenya"/>
    <s v="Kisumu"/>
    <s v="Small Business"/>
    <s v="Retail"/>
    <s v="A. Patel"/>
    <x v="3"/>
    <x v="27"/>
    <n v="857.24"/>
    <s v="High"/>
    <n v="758.23"/>
    <n v="0.125"/>
    <n v="6"/>
    <x v="27"/>
    <n v="5143.4400000000005"/>
    <n v="-3899.8725000000004"/>
    <n v="-3.1360360414694015"/>
  </r>
  <r>
    <s v="ORD-2023-897079"/>
    <d v="2023-04-14T00:00:00"/>
    <d v="2023-05-14T00:00:00"/>
    <n v="0"/>
    <s v="Apr-2023"/>
    <s v="Q2-2023"/>
    <s v="Africa"/>
    <s v="Kenya"/>
    <s v="Nakuru"/>
    <s v="Consumer"/>
    <s v="Marketplace"/>
    <s v="M. Rossi"/>
    <x v="3"/>
    <x v="28"/>
    <n v="209.25"/>
    <s v="High"/>
    <n v="434.8"/>
    <n v="0"/>
    <n v="9"/>
    <x v="28"/>
    <n v="1883.25"/>
    <n v="-1506.15"/>
    <n v="-3.9940334128878288"/>
  </r>
  <r>
    <s v="ORD-2025-548982"/>
    <d v="2025-04-07T00:00:00"/>
    <d v="2025-04-11T00:00:00"/>
    <n v="4"/>
    <s v="Apr-2025"/>
    <s v="Q2-2025"/>
    <s v="Europe"/>
    <s v="France"/>
    <s v="Lyon"/>
    <s v="Education"/>
    <s v="Retail"/>
    <s v="E. Garcia"/>
    <x v="2"/>
    <x v="29"/>
    <n v="754.77"/>
    <s v="High"/>
    <n v="1666.18"/>
    <n v="0.13900000000000001"/>
    <n v="14"/>
    <x v="29"/>
    <n v="10566.779999999999"/>
    <n v="1214.5585200000005"/>
    <n v="0.10309172577786183"/>
  </r>
  <r>
    <s v="ORD-2024-170313"/>
    <d v="2024-12-27T00:00:00"/>
    <d v="2025-01-15T00:00:00"/>
    <n v="19"/>
    <s v="Dec-2024"/>
    <s v="Q4-2024"/>
    <s v="Asia"/>
    <s v="India"/>
    <s v="Delhi"/>
    <s v="Non-Profit"/>
    <s v="Distributor"/>
    <s v="G. Dubois"/>
    <x v="0"/>
    <x v="30"/>
    <n v="495.59"/>
    <s v="High"/>
    <n v="631.78"/>
    <n v="8.6999999999999994E-2"/>
    <n v="17"/>
    <x v="30"/>
    <n v="8425.0299999999988"/>
    <n v="34942.66173"/>
    <n v="0.8057302645376464"/>
  </r>
  <r>
    <s v="ORD-2023-562894"/>
    <d v="2023-02-23T00:00:00"/>
    <d v="2023-03-25T00:00:00"/>
    <n v="2"/>
    <s v="Feb-2023"/>
    <s v="Q1-2023"/>
    <s v="Americas"/>
    <s v="Canada"/>
    <s v="Montreal"/>
    <s v="Enterprise"/>
    <s v="Online"/>
    <s v="D. Smith"/>
    <x v="3"/>
    <x v="31"/>
    <n v="1242.6600000000001"/>
    <s v="High"/>
    <n v="1794.07"/>
    <n v="8.8999999999999996E-2"/>
    <n v="16"/>
    <x v="31"/>
    <n v="19882.560000000001"/>
    <n v="-9650.9367999999995"/>
    <n v="-0.94324591624914389"/>
  </r>
  <r>
    <s v="ORD-2025-474710"/>
    <d v="2025-07-24T00:00:00"/>
    <d v="2025-08-06T00:00:00"/>
    <n v="13"/>
    <s v="Jul-2025"/>
    <s v="Q3-2025"/>
    <s v="Africa"/>
    <s v="South Africa"/>
    <s v="Johannesburg"/>
    <s v="Education"/>
    <s v="Marketplace"/>
    <s v="D. Smith"/>
    <x v="2"/>
    <x v="32"/>
    <n v="1463.9"/>
    <s v="High"/>
    <n v="2633.02"/>
    <n v="8.4000000000000005E-2"/>
    <n v="4"/>
    <x v="32"/>
    <n v="5855.6"/>
    <n v="-5874.9092800000008"/>
    <n v="304.25315081660227"/>
  </r>
  <r>
    <s v="ORD-2024-629525"/>
    <d v="2024-04-18T00:00:00"/>
    <d v="2024-05-08T00:00:00"/>
    <n v="20"/>
    <s v="Apr-2024"/>
    <s v="Q2-2024"/>
    <s v="Europe"/>
    <s v="United Kingdom"/>
    <s v="London"/>
    <s v="Non-Profit"/>
    <s v="Not Provided"/>
    <s v="D. Smith"/>
    <x v="4"/>
    <x v="33"/>
    <n v="645.33000000000004"/>
    <s v="High"/>
    <n v="1321.85"/>
    <n v="0"/>
    <n v="10"/>
    <x v="33"/>
    <n v="6453.3"/>
    <n v="7917.2999999999984"/>
    <n v="0.55093733038286496"/>
  </r>
  <r>
    <s v="ORD-2024-167215"/>
    <d v="2024-08-23T00:00:00"/>
    <d v="2024-08-21T00:00:00"/>
    <n v="2"/>
    <s v="Aug-2024"/>
    <s v="Q3-2024"/>
    <s v="Africa"/>
    <s v="South Africa"/>
    <s v="Johannesburg"/>
    <s v="Education"/>
    <s v="Retail"/>
    <s v="E. Garcia"/>
    <x v="0"/>
    <x v="34"/>
    <n v="1432.52"/>
    <s v="High"/>
    <n v="3036.87"/>
    <n v="0"/>
    <n v="9"/>
    <x v="34"/>
    <n v="12892.68"/>
    <n v="4314.3300000000017"/>
    <n v="0.25073095209452434"/>
  </r>
  <r>
    <s v="ORD-2023-864121"/>
    <d v="2023-03-27T00:00:00"/>
    <d v="2023-04-22T00:00:00"/>
    <n v="26"/>
    <s v="Mar-2023"/>
    <s v="Q1-2023"/>
    <s v="Asia"/>
    <s v="India"/>
    <s v="Delhi"/>
    <s v="Non-Profit"/>
    <s v="Marketplace"/>
    <s v="J. Njeri"/>
    <x v="1"/>
    <x v="35"/>
    <n v="178.53"/>
    <s v="Medium"/>
    <n v="199.37"/>
    <n v="0.10100000000000001"/>
    <n v="37"/>
    <x v="35"/>
    <n v="6605.61"/>
    <n v="79671.294139999998"/>
    <n v="0.92343709981432354"/>
  </r>
  <r>
    <s v="ORD-2024-692673"/>
    <d v="2024-03-07T00:00:00"/>
    <d v="2024-03-25T00:00:00"/>
    <n v="18"/>
    <s v="Mar-2024"/>
    <s v="Q1-2024"/>
    <s v="Europe"/>
    <s v="Germany"/>
    <s v="Munich"/>
    <s v="Corporate"/>
    <s v="Online"/>
    <s v="B. Chen"/>
    <x v="0"/>
    <x v="36"/>
    <n v="712.84"/>
    <s v="High"/>
    <n v="927.51"/>
    <n v="0.24299999999999999"/>
    <n v="27"/>
    <x v="36"/>
    <n v="19246.68"/>
    <n v="6181.0711199999969"/>
    <n v="0.24308367227718869"/>
  </r>
  <r>
    <s v="ORD-2025-718992"/>
    <d v="2025-06-24T00:00:00"/>
    <d v="2025-07-10T00:00:00"/>
    <n v="16"/>
    <s v="Jun-2025"/>
    <s v="Q2-2025"/>
    <s v="Asia"/>
    <s v="China"/>
    <s v="Shanghai"/>
    <s v="Enterprise"/>
    <s v="Direct"/>
    <s v="N. Brown"/>
    <x v="0"/>
    <x v="37"/>
    <n v="757.19"/>
    <s v="High"/>
    <n v="1735.41"/>
    <n v="0.13600000000000001"/>
    <n v="8"/>
    <x v="37"/>
    <n v="6057.52"/>
    <n v="7161.7491199999986"/>
    <n v="0.54176589151700383"/>
  </r>
  <r>
    <s v="ORD-2024-599522"/>
    <d v="2024-04-19T00:00:00"/>
    <d v="2024-05-06T00:00:00"/>
    <n v="17"/>
    <s v="Apr-2024"/>
    <s v="Q2-2024"/>
    <s v="Africa"/>
    <s v="Nigeria"/>
    <s v="Port Harcourt"/>
    <s v="Non-Profit"/>
    <s v="Online"/>
    <s v="A. Patel"/>
    <x v="1"/>
    <x v="38"/>
    <n v="865.33"/>
    <s v="High"/>
    <n v="1395.64"/>
    <n v="0.17499999999999999"/>
    <n v="13"/>
    <x v="38"/>
    <n v="11249.29"/>
    <n v="-3142.5842500000017"/>
    <n v="-0.38765243822991874"/>
  </r>
  <r>
    <s v="ORD-2023-651638"/>
    <d v="2023-06-17T00:00:00"/>
    <d v="2023-06-24T00:00:00"/>
    <n v="7"/>
    <s v="Jun-2023"/>
    <s v="Q2-2023"/>
    <s v="Americas"/>
    <s v="USA"/>
    <s v="San Francisco"/>
    <s v="Corporate"/>
    <s v="Retail"/>
    <s v="I. Johnson"/>
    <x v="1"/>
    <x v="39"/>
    <n v="313.99"/>
    <s v="High"/>
    <n v="454.42"/>
    <n v="0.129"/>
    <n v="9"/>
    <x v="39"/>
    <n v="2825.91"/>
    <n v="6154.9971300000016"/>
    <n v="0.68534247608904963"/>
  </r>
  <r>
    <s v="ORD-2024-635626"/>
    <d v="2024-08-27T00:00:00"/>
    <d v="2024-09-19T00:00:00"/>
    <n v="23"/>
    <s v="Aug-2024"/>
    <s v="Q3-2024"/>
    <s v="Europe"/>
    <s v="Germany"/>
    <s v="Berlin"/>
    <s v="Small Business"/>
    <s v="Direct"/>
    <s v="D. Smith"/>
    <x v="5"/>
    <x v="40"/>
    <n v="1024.01"/>
    <s v="High"/>
    <n v="1580.97"/>
    <n v="3.6999999999999998E-2"/>
    <n v="27"/>
    <x v="40"/>
    <n v="27648.27"/>
    <n v="4439.564099999996"/>
    <n v="0.13835661472707492"/>
  </r>
  <r>
    <s v="ORD-2024-296582"/>
    <d v="2024-01-11T00:00:00"/>
    <d v="2024-02-02T00:00:00"/>
    <n v="22"/>
    <s v="Jan-2024"/>
    <s v="Q1-2024"/>
    <s v="Africa"/>
    <s v="South Africa"/>
    <s v="Durban"/>
    <s v="Consumer"/>
    <s v="Online"/>
    <s v="K. Singh"/>
    <x v="2"/>
    <x v="41"/>
    <n v="1206.2"/>
    <s v="High"/>
    <n v="1759.79"/>
    <n v="0"/>
    <n v="6"/>
    <x v="41"/>
    <n v="7237.2000000000007"/>
    <n v="130.85999999999876"/>
    <n v="1.7760441690214082E-2"/>
  </r>
  <r>
    <s v="ORD-2024-998320"/>
    <d v="2024-10-25T00:00:00"/>
    <d v="2024-11-14T00:00:00"/>
    <n v="20"/>
    <s v="Oct-2024"/>
    <s v="Q4-2024"/>
    <s v="Africa"/>
    <s v="Kenya"/>
    <s v="Mombasa"/>
    <s v="Corporate"/>
    <s v="Direct"/>
    <s v="H. Kim"/>
    <x v="1"/>
    <x v="42"/>
    <n v="1396.48"/>
    <s v="High"/>
    <n v="3204.5"/>
    <n v="0.318"/>
    <n v="14"/>
    <x v="42"/>
    <n v="19550.72"/>
    <n v="-13771.983960000001"/>
    <n v="-2.3832173445319715"/>
  </r>
  <r>
    <s v="ORD-2025-820255"/>
    <d v="2025-05-29T00:00:00"/>
    <d v="2025-06-20T00:00:00"/>
    <n v="22"/>
    <s v="May-2025"/>
    <s v="Q2-2025"/>
    <s v="Europe"/>
    <s v="Germany"/>
    <s v="Berlin"/>
    <s v="Corporate"/>
    <s v="Direct"/>
    <s v="A. Patel"/>
    <x v="1"/>
    <x v="43"/>
    <n v="483.47"/>
    <s v="High"/>
    <n v="1135.43"/>
    <n v="0.14599999999999999"/>
    <n v="11"/>
    <x v="43"/>
    <n v="5318.17"/>
    <n v="12343.959100000002"/>
    <n v="0.6988941723905755"/>
  </r>
  <r>
    <s v="ORD-2024-389336"/>
    <d v="2024-05-20T00:00:00"/>
    <d v="2024-06-02T00:00:00"/>
    <n v="13"/>
    <s v="May-2024"/>
    <s v="Q2-2024"/>
    <s v="Americas"/>
    <s v="Canada"/>
    <s v="Vancouver"/>
    <s v="Enterprise"/>
    <s v="Marketplace"/>
    <s v="K. Singh"/>
    <x v="0"/>
    <x v="44"/>
    <n v="675.43"/>
    <s v="High"/>
    <n v="996.36"/>
    <n v="0.182"/>
    <n v="22"/>
    <x v="44"/>
    <n v="14859.46"/>
    <n v="7984.6624000000047"/>
    <n v="0.34952808692707771"/>
  </r>
  <r>
    <s v="ORD-2023-308124"/>
    <d v="2023-04-19T00:00:00"/>
    <d v="2023-04-30T00:00:00"/>
    <n v="11"/>
    <s v="Apr-2023"/>
    <s v="Q2-2023"/>
    <s v="Asia"/>
    <s v="India"/>
    <s v="Delhi"/>
    <s v="Small Business"/>
    <s v="Retail"/>
    <s v="A. Patel"/>
    <x v="2"/>
    <x v="45"/>
    <n v="826.55"/>
    <s v="High"/>
    <n v="1397.05"/>
    <n v="0.16900000000000001"/>
    <n v="28"/>
    <x v="45"/>
    <n v="23143.399999999998"/>
    <n v="-8695.6007600000012"/>
    <n v="-0.6018633437212686"/>
  </r>
  <r>
    <s v="ORD-2023-128295"/>
    <d v="2023-06-23T00:00:00"/>
    <d v="2023-07-03T00:00:00"/>
    <n v="10"/>
    <s v="Jun-2023"/>
    <s v="Q2-2023"/>
    <s v="Africa"/>
    <s v="Nigeria"/>
    <s v="Abuja"/>
    <s v="Consumer"/>
    <s v="Online"/>
    <s v="J. Njeri"/>
    <x v="1"/>
    <x v="46"/>
    <n v="337.75"/>
    <s v="High"/>
    <n v="548.89"/>
    <n v="0"/>
    <n v="13"/>
    <x v="46"/>
    <n v="4390.75"/>
    <n v="14536.080000000002"/>
    <n v="0.76801450639119173"/>
  </r>
  <r>
    <s v="ORD-2024-548345"/>
    <d v="2024-05-14T00:00:00"/>
    <d v="2024-05-28T00:00:00"/>
    <n v="14"/>
    <s v="May-2024"/>
    <s v="Q2-2024"/>
    <s v="Europe"/>
    <s v="United Kingdom"/>
    <s v="Birmingham"/>
    <s v="Consumer"/>
    <s v="Retail"/>
    <s v="B. Chen"/>
    <x v="2"/>
    <x v="47"/>
    <n v="1421.14"/>
    <s v="High"/>
    <n v="3524"/>
    <n v="0"/>
    <n v="31"/>
    <x v="47"/>
    <n v="44055.340000000004"/>
    <n v="-27116.010000000006"/>
    <n v="-1.6007722855626527"/>
  </r>
  <r>
    <s v="ORD-2024-966651"/>
    <d v="2024-10-14T00:00:00"/>
    <d v="2024-11-08T00:00:00"/>
    <n v="25"/>
    <s v="Oct-2024"/>
    <s v="Q4-2024"/>
    <s v="Africa"/>
    <s v="Nigeria"/>
    <s v="Lagos"/>
    <s v="Enterprise"/>
    <s v="Online"/>
    <s v="O. Wang"/>
    <x v="2"/>
    <x v="48"/>
    <n v="859.35"/>
    <s v="High"/>
    <n v="1825.61"/>
    <n v="0.187"/>
    <n v="24"/>
    <x v="48"/>
    <n v="20624.400000000001"/>
    <n v="5676.2150399999991"/>
    <n v="0.21582061983596865"/>
  </r>
  <r>
    <s v="ORD-2023-292714"/>
    <d v="2023-07-10T00:00:00"/>
    <d v="2023-08-01T00:00:00"/>
    <n v="22"/>
    <s v="Jul-2023"/>
    <s v="Q3-2023"/>
    <s v="Europe"/>
    <s v="France"/>
    <s v="Marseille"/>
    <s v="Consumer"/>
    <s v="Marketplace"/>
    <s v="B. Chen"/>
    <x v="1"/>
    <x v="49"/>
    <n v="1303.56"/>
    <s v="High"/>
    <n v="1791.37"/>
    <n v="0.126"/>
    <n v="22"/>
    <x v="49"/>
    <n v="28678.32"/>
    <n v="-7365.4279599999973"/>
    <n v="-0.34558557075110097"/>
  </r>
  <r>
    <s v="ORD-2024-468501"/>
    <d v="2024-11-06T00:00:00"/>
    <d v="2024-11-22T00:00:00"/>
    <n v="16"/>
    <s v="Nov-2024"/>
    <s v="Q4-2024"/>
    <s v="Americas"/>
    <s v="Canada"/>
    <s v="Toronto"/>
    <s v="Non-Profit"/>
    <s v="Distributor"/>
    <s v="D. Smith"/>
    <x v="6"/>
    <x v="50"/>
    <n v="1454.11"/>
    <s v="High"/>
    <n v="2629.75"/>
    <n v="0.29199999999999998"/>
    <n v="8"/>
    <x v="50"/>
    <n v="11632.88"/>
    <n v="6175.3023999999987"/>
    <n v="0.34676769707839467"/>
  </r>
  <r>
    <s v="ORD-2024-260775"/>
    <d v="2024-10-17T00:00:00"/>
    <d v="2024-11-06T00:00:00"/>
    <n v="20"/>
    <s v="Oct-2024"/>
    <s v="Q4-2024"/>
    <s v="Asia"/>
    <s v="India"/>
    <s v="Bengaluru"/>
    <s v="Enterprise"/>
    <s v="Distributor"/>
    <s v="O. Wang"/>
    <x v="5"/>
    <x v="51"/>
    <n v="72.94"/>
    <s v="Medium"/>
    <n v="106.3"/>
    <n v="0.29499999999999998"/>
    <n v="8"/>
    <x v="51"/>
    <n v="583.52"/>
    <n v="11236.397200000001"/>
    <n v="0.95063247989588284"/>
  </r>
  <r>
    <s v="ORD-2023-419187"/>
    <d v="2023-03-31T00:00:00"/>
    <d v="2023-04-05T00:00:00"/>
    <n v="5"/>
    <s v="Mar-2023"/>
    <s v="Q1-2023"/>
    <s v="Africa"/>
    <s v="Kenya"/>
    <s v="Nakuru"/>
    <s v="Education"/>
    <s v="Marketplace"/>
    <s v="B. Chen"/>
    <x v="4"/>
    <x v="52"/>
    <n v="533.26"/>
    <s v="High"/>
    <n v="385.72"/>
    <n v="0"/>
    <n v="15"/>
    <x v="52"/>
    <n v="7998.9"/>
    <n v="2555.3999999999996"/>
    <n v="0.24211932577243397"/>
  </r>
  <r>
    <s v="ORD-2025-578007"/>
    <d v="2025-01-21T00:00:00"/>
    <d v="2025-02-16T00:00:00"/>
    <n v="26"/>
    <s v="Jan-2025"/>
    <s v="Q1-2025"/>
    <s v="Europe"/>
    <s v="France"/>
    <s v="Lyon"/>
    <s v="Corporate"/>
    <s v="Distributor"/>
    <s v="O. Wang"/>
    <x v="4"/>
    <x v="53"/>
    <n v="204.11"/>
    <s v="High"/>
    <n v="236.87"/>
    <n v="0.182"/>
    <n v="13"/>
    <x v="53"/>
    <n v="2653.4300000000003"/>
    <n v="18584.688460000001"/>
    <n v="0.87506284961177294"/>
  </r>
  <r>
    <s v="ORD-2023-235230"/>
    <d v="2023-08-30T00:00:00"/>
    <d v="2023-09-01T00:00:00"/>
    <n v="2"/>
    <s v="Aug-2023"/>
    <s v="Q3-2023"/>
    <s v="Europe"/>
    <s v="Germany"/>
    <s v="Munich"/>
    <s v="Corporate"/>
    <s v="Direct"/>
    <s v="N. Brown"/>
    <x v="2"/>
    <x v="54"/>
    <n v="44.42"/>
    <s v="Low"/>
    <n v="41.9"/>
    <n v="0.14399999999999999"/>
    <n v="6"/>
    <x v="54"/>
    <n v="266.52"/>
    <n v="13929.127199999997"/>
    <n v="0.9812252307876459"/>
  </r>
  <r>
    <s v="ORD-2025-765220"/>
    <d v="2025-04-06T00:00:00"/>
    <d v="2025-04-30T00:00:00"/>
    <n v="24"/>
    <s v="Apr-2025"/>
    <s v="Q2-2025"/>
    <s v="Americas"/>
    <s v="Brazil"/>
    <s v="Brasília"/>
    <s v="Education"/>
    <s v="Online"/>
    <s v="K. Singh"/>
    <x v="5"/>
    <x v="55"/>
    <n v="855.78"/>
    <s v="High"/>
    <n v="977.38"/>
    <n v="0.14699999999999999"/>
    <n v="38"/>
    <x v="55"/>
    <n v="32519.64"/>
    <n v="16215.781419999999"/>
    <n v="0.33273091619036216"/>
  </r>
  <r>
    <s v="ORD-2025-931538"/>
    <d v="2025-02-09T00:00:00"/>
    <d v="2025-03-01T00:00:00"/>
    <n v="20"/>
    <s v="Feb-2025"/>
    <s v="Q1-2025"/>
    <s v="Americas"/>
    <s v="Brazil"/>
    <s v="São Paulo"/>
    <s v="Corporate"/>
    <s v="Distributor"/>
    <s v="B. Chen"/>
    <x v="4"/>
    <x v="56"/>
    <n v="1154.6400000000001"/>
    <s v="High"/>
    <n v="2794.13"/>
    <n v="3.5000000000000003E-2"/>
    <n v="11"/>
    <x v="56"/>
    <n v="12701.04"/>
    <n v="-8581.9953999999998"/>
    <n v="-2.0834917398078185"/>
  </r>
  <r>
    <s v="ORD-2024-289089"/>
    <d v="2024-12-17T00:00:00"/>
    <d v="2024-12-18T00:00:00"/>
    <n v="1"/>
    <s v="Dec-2024"/>
    <s v="Q4-2024"/>
    <s v="Europe"/>
    <s v="Germany"/>
    <s v="Munich"/>
    <s v="Education"/>
    <s v="Retail"/>
    <s v="L. Okafor"/>
    <x v="6"/>
    <x v="57"/>
    <n v="346.82"/>
    <s v="High"/>
    <n v="701.95"/>
    <n v="0.14699999999999999"/>
    <n v="8"/>
    <x v="57"/>
    <n v="2774.56"/>
    <n v="-2470.4143199999999"/>
    <n v="-8.122470521363315"/>
  </r>
  <r>
    <s v="ORD-2025-639542"/>
    <d v="2025-06-09T00:00:00"/>
    <d v="2025-06-18T00:00:00"/>
    <n v="9"/>
    <s v="Jun-2025"/>
    <s v="Q2-2025"/>
    <s v="Europe"/>
    <s v="France"/>
    <s v="Marseille"/>
    <s v="Small Business"/>
    <s v="Marketplace"/>
    <s v="H. Kim"/>
    <x v="6"/>
    <x v="58"/>
    <n v="1225.5"/>
    <s v="Low"/>
    <n v="-5.27"/>
    <n v="7.4999999999999997E-2"/>
    <n v="56"/>
    <x v="58"/>
    <n v="68628"/>
    <n v="25039.868000000002"/>
    <n v="0.2673261229774121"/>
  </r>
  <r>
    <s v="ORD-2025-762301"/>
    <d v="2025-05-02T00:00:00"/>
    <d v="2025-05-13T00:00:00"/>
    <n v="11"/>
    <s v="May-2025"/>
    <s v="Q2-2025"/>
    <s v="Africa"/>
    <s v="Kenya"/>
    <s v="Nakuru"/>
    <s v="Small Business"/>
    <s v="Online"/>
    <s v="A. Patel"/>
    <x v="6"/>
    <x v="59"/>
    <n v="1057.5999999999999"/>
    <s v="High"/>
    <n v="1437.06"/>
    <n v="0.20499999999999999"/>
    <n v="4"/>
    <x v="59"/>
    <n v="4230.3999999999996"/>
    <n v="-143.8137999999999"/>
    <n v="-3.5191671718560573E-2"/>
  </r>
  <r>
    <s v="ORD-2024-906395"/>
    <d v="2024-03-10T00:00:00"/>
    <d v="2024-04-09T00:00:00"/>
    <n v="30"/>
    <s v="Mar-2024"/>
    <s v="Q1-2024"/>
    <s v="Europe"/>
    <s v="France"/>
    <s v="Lyon"/>
    <s v="Corporate"/>
    <s v="Direct"/>
    <s v="I. Johnson"/>
    <x v="0"/>
    <x v="60"/>
    <n v="1176.56"/>
    <s v="High"/>
    <n v="1911.89"/>
    <n v="0.11899999999999999"/>
    <n v="20"/>
    <x v="60"/>
    <n v="23531.199999999997"/>
    <n v="6037.6268000000055"/>
    <n v="0.20418891966319086"/>
  </r>
  <r>
    <s v="ORD-2025-779574"/>
    <d v="2025-09-10T00:00:00"/>
    <d v="2025-09-12T00:00:00"/>
    <n v="2"/>
    <s v="Sept-2025"/>
    <s v="Q3-2025"/>
    <s v="Asia"/>
    <s v="Japan"/>
    <s v="Tokyo"/>
    <s v="Consumer"/>
    <s v="Online"/>
    <s v="O. Wang"/>
    <x v="0"/>
    <x v="61"/>
    <n v="1470.15"/>
    <s v="High"/>
    <n v="2593.7800000000002"/>
    <n v="0.11"/>
    <n v="12"/>
    <x v="61"/>
    <n v="17641.800000000003"/>
    <n v="-10386.342000000002"/>
    <n v="-1.4315212078961799"/>
  </r>
  <r>
    <s v="ORD-2025-526650"/>
    <d v="2025-04-27T00:00:00"/>
    <d v="2025-05-25T00:00:00"/>
    <n v="28"/>
    <s v="Apr-2025"/>
    <s v="Q2-2025"/>
    <s v="Europe"/>
    <s v="France"/>
    <s v="Paris"/>
    <s v="Small Business"/>
    <s v="Marketplace"/>
    <s v="I. Johnson"/>
    <x v="3"/>
    <x v="62"/>
    <n v="603.45000000000005"/>
    <s v="High"/>
    <n v="1244.08"/>
    <n v="0.2"/>
    <n v="11"/>
    <x v="62"/>
    <n v="6637.9500000000007"/>
    <n v="3129.3459999999995"/>
    <n v="0.32039020830330106"/>
  </r>
  <r>
    <s v="ORD-2024-247979"/>
    <d v="2024-11-02T00:00:00"/>
    <d v="2024-11-18T00:00:00"/>
    <n v="16"/>
    <s v="Nov-2024"/>
    <s v="Q4-2024"/>
    <s v="Asia"/>
    <s v="India"/>
    <s v="Mumbai"/>
    <s v="Small Business"/>
    <s v="Distributor"/>
    <s v="O. Wang"/>
    <x v="5"/>
    <x v="63"/>
    <n v="1233.58"/>
    <s v="High"/>
    <n v="1912.51"/>
    <n v="0.255"/>
    <n v="51"/>
    <x v="63"/>
    <n v="62912.579999999994"/>
    <n v="-59737.337849999996"/>
    <n v="-18.813474698299782"/>
  </r>
  <r>
    <s v="ORD-2023-480975"/>
    <d v="2023-02-15T00:00:00"/>
    <d v="2023-02-26T00:00:00"/>
    <n v="11"/>
    <s v="Feb-2023"/>
    <s v="Q1-2023"/>
    <s v="Africa"/>
    <s v="South Africa"/>
    <s v="Johannesburg"/>
    <s v="Non-Profit"/>
    <s v="Retail"/>
    <s v="K. Singh"/>
    <x v="4"/>
    <x v="64"/>
    <n v="498.5"/>
    <s v="High"/>
    <n v="755.87"/>
    <n v="0.13"/>
    <n v="40"/>
    <x v="64"/>
    <n v="19940"/>
    <n v="24753.64"/>
    <n v="0.55385150996875621"/>
  </r>
  <r>
    <s v="ORD-2023-239789"/>
    <d v="2023-12-03T00:00:00"/>
    <d v="2023-12-26T00:00:00"/>
    <n v="23"/>
    <s v="Dec-2023"/>
    <s v="Q4-2023"/>
    <s v="Americas"/>
    <s v="Brazil"/>
    <s v="Rio de Janeiro"/>
    <s v="Education"/>
    <s v="Retail"/>
    <s v="O. Wang"/>
    <x v="3"/>
    <x v="65"/>
    <n v="1303.1099999999999"/>
    <s v="High"/>
    <n v="1145.67"/>
    <n v="0.184"/>
    <n v="13"/>
    <x v="65"/>
    <n v="16940.43"/>
    <n v="-7268.9042399999998"/>
    <n v="-0.75157781929952694"/>
  </r>
  <r>
    <s v="ORD-2023-548874"/>
    <d v="2023-03-19T00:00:00"/>
    <d v="2023-04-09T00:00:00"/>
    <n v="21"/>
    <s v="Mar-2023"/>
    <s v="Q1-2023"/>
    <s v="Europe"/>
    <s v="United Kingdom"/>
    <s v="Manchester"/>
    <s v="Consumer"/>
    <s v="Retail"/>
    <s v="L. Okafor"/>
    <x v="6"/>
    <x v="66"/>
    <n v="1082.17"/>
    <s v="High"/>
    <n v="1234.0999999999999"/>
    <n v="0.189"/>
    <n v="16"/>
    <x v="66"/>
    <n v="17314.72"/>
    <n v="917.46831999999631"/>
    <n v="5.0321349467061474E-2"/>
  </r>
  <r>
    <s v="ORD-2024-347736"/>
    <d v="2024-05-22T00:00:00"/>
    <d v="2024-06-06T00:00:00"/>
    <n v="15"/>
    <s v="May-2024"/>
    <s v="Q2-2024"/>
    <s v="Asia"/>
    <s v="Japan"/>
    <s v="Nagoya"/>
    <s v="Corporate"/>
    <s v="Distributor"/>
    <s v="C. Otieno"/>
    <x v="5"/>
    <x v="67"/>
    <n v="673.88"/>
    <s v="High"/>
    <n v="1228.01"/>
    <n v="0.105"/>
    <n v="13"/>
    <x v="67"/>
    <n v="8760.44"/>
    <n v="2513.1769000000004"/>
    <n v="0.22292551913840536"/>
  </r>
  <r>
    <s v="ORD-2023-749324"/>
    <d v="2023-08-19T00:00:00"/>
    <d v="2023-09-07T00:00:00"/>
    <n v="19"/>
    <s v="Aug-2023"/>
    <s v="Q3-2023"/>
    <s v="Africa"/>
    <s v="South Africa"/>
    <s v="Johannesburg"/>
    <s v="Enterprise"/>
    <s v="Retail"/>
    <s v="D. Smith"/>
    <x v="5"/>
    <x v="68"/>
    <n v="494.61"/>
    <s v="High"/>
    <n v="605.23"/>
    <n v="0.20399999999999999"/>
    <n v="18"/>
    <x v="68"/>
    <n v="8902.98"/>
    <n v="6697.4896800000006"/>
    <n v="0.42931333590464055"/>
  </r>
  <r>
    <s v="ORD-2023-809913"/>
    <d v="2023-04-21T00:00:00"/>
    <d v="2023-05-10T00:00:00"/>
    <n v="19"/>
    <s v="Apr-2023"/>
    <s v="Q2-2023"/>
    <s v="Asia"/>
    <s v="China"/>
    <s v="Shanghai"/>
    <s v="Corporate"/>
    <s v="Retail"/>
    <s v="A. Patel"/>
    <x v="0"/>
    <x v="69"/>
    <n v="882.33"/>
    <s v="High"/>
    <n v="1880.15"/>
    <n v="0.05"/>
    <n v="5"/>
    <x v="69"/>
    <n v="4411.6500000000005"/>
    <n v="7392.0524999999971"/>
    <n v="0.6262486283435218"/>
  </r>
  <r>
    <s v="ORD-2024-287210"/>
    <d v="2024-03-18T00:00:00"/>
    <d v="2024-03-21T00:00:00"/>
    <n v="3"/>
    <s v="Mar-2024"/>
    <s v="Q1-2024"/>
    <s v="Europe"/>
    <s v="Germany"/>
    <s v="Munich"/>
    <s v="Small Business"/>
    <s v="Online"/>
    <s v="M. Rossi"/>
    <x v="6"/>
    <x v="70"/>
    <n v="910.63"/>
    <s v="High"/>
    <n v="1269.4000000000001"/>
    <n v="6.8000000000000005E-2"/>
    <n v="9"/>
    <x v="70"/>
    <n v="8195.67"/>
    <n v="-7955.0182800000002"/>
    <n v="-33.05614553679483"/>
  </r>
  <r>
    <s v="ORD-2025-640677"/>
    <d v="2025-04-09T00:00:00"/>
    <d v="2025-05-06T00:00:00"/>
    <n v="27"/>
    <s v="Apr-2025"/>
    <s v="Q2-2025"/>
    <s v="Americas"/>
    <s v="Brazil"/>
    <s v="Brasília"/>
    <s v="Enterprise"/>
    <s v="Marketplace"/>
    <s v="F. Müller"/>
    <x v="4"/>
    <x v="71"/>
    <n v="264.19"/>
    <s v="High"/>
    <n v="620.92999999999995"/>
    <n v="0.14199999999999999"/>
    <n v="12"/>
    <x v="71"/>
    <n v="3170.2799999999997"/>
    <n v="16357.319520000001"/>
    <n v="0.83765132028885447"/>
  </r>
  <r>
    <s v="ORD-2024-939873"/>
    <d v="2024-04-12T00:00:00"/>
    <d v="2024-05-07T00:00:00"/>
    <n v="25"/>
    <s v="Apr-2024"/>
    <s v="Q2-2024"/>
    <s v="Africa"/>
    <s v="South Africa"/>
    <s v="Johannesburg"/>
    <s v="Education"/>
    <s v="Distributor"/>
    <s v="A. Patel"/>
    <x v="4"/>
    <x v="72"/>
    <n v="1376.51"/>
    <s v="High"/>
    <n v="1455.91"/>
    <n v="0.185"/>
    <n v="17"/>
    <x v="72"/>
    <n v="23400.67"/>
    <n v="-17593.069649999998"/>
    <n v="-3.0293182364037841"/>
  </r>
  <r>
    <s v="ORD-2024-800947"/>
    <d v="2024-12-15T00:00:00"/>
    <d v="2024-12-20T00:00:00"/>
    <n v="5"/>
    <s v="Dec-2024"/>
    <s v="Q4-2024"/>
    <s v="Asia"/>
    <s v="China"/>
    <s v="Shenzhen"/>
    <s v="Small Business"/>
    <s v="Direct"/>
    <s v="J. Njeri"/>
    <x v="2"/>
    <x v="73"/>
    <n v="717.55"/>
    <s v="High"/>
    <n v="546.42999999999995"/>
    <n v="4.7E-2"/>
    <n v="18"/>
    <x v="73"/>
    <n v="12915.9"/>
    <n v="21412.170179999994"/>
    <n v="0.62375106050893059"/>
  </r>
  <r>
    <s v="ORD-2023-382272"/>
    <d v="2023-05-20T00:00:00"/>
    <d v="2023-05-18T00:00:00"/>
    <n v="2"/>
    <s v="May-2023"/>
    <s v="Q2-2023"/>
    <s v="Africa"/>
    <s v="South Africa"/>
    <s v="Durban"/>
    <s v="Corporate"/>
    <s v="Distributor"/>
    <s v="A. Patel"/>
    <x v="0"/>
    <x v="74"/>
    <n v="917.88"/>
    <s v="High"/>
    <n v="1347.92"/>
    <n v="0.34300000000000003"/>
    <n v="5"/>
    <x v="74"/>
    <n v="4589.3999999999996"/>
    <n v="5609.5723500000004"/>
    <n v="0.55001348738826616"/>
  </r>
  <r>
    <s v="ORD-2023-722117"/>
    <d v="2023-09-18T00:00:00"/>
    <d v="2023-10-08T00:00:00"/>
    <n v="20"/>
    <s v="Sept-2023"/>
    <s v="Q3-2023"/>
    <s v="Asia"/>
    <s v="India"/>
    <s v="Delhi"/>
    <s v="Small Business"/>
    <s v="Direct"/>
    <s v="B. Chen"/>
    <x v="0"/>
    <x v="75"/>
    <n v="825.64"/>
    <s v="High"/>
    <n v="1108.43"/>
    <n v="0.114"/>
    <n v="7"/>
    <x v="75"/>
    <n v="5779.48"/>
    <n v="-3706.2754399999994"/>
    <n v="-1.7877036890175464"/>
  </r>
  <r>
    <s v="ORD-2024-446699"/>
    <d v="2024-08-28T00:00:00"/>
    <d v="2024-09-25T00:00:00"/>
    <n v="28"/>
    <s v="Aug-2024"/>
    <s v="Q3-2024"/>
    <s v="Americas"/>
    <s v="Brazil"/>
    <s v="Rio de Janeiro"/>
    <s v="Non-Profit"/>
    <s v="Online"/>
    <s v="Not Provided"/>
    <x v="6"/>
    <x v="76"/>
    <n v="1394.65"/>
    <s v="High"/>
    <n v="3144.1"/>
    <n v="0.13400000000000001"/>
    <n v="13"/>
    <x v="76"/>
    <n v="18130.45"/>
    <n v="3854.5101399999985"/>
    <n v="0.17532486370020767"/>
  </r>
  <r>
    <s v="ORD-2024-451005"/>
    <d v="2024-06-30T00:00:00"/>
    <d v="2024-06-28T00:00:00"/>
    <n v="2"/>
    <s v="Jun-2024"/>
    <s v="Q2-2024"/>
    <s v="Americas"/>
    <s v="Brazil"/>
    <s v="Rio de Janeiro"/>
    <s v="Small Business"/>
    <s v="Direct"/>
    <s v="L. Okafor"/>
    <x v="6"/>
    <x v="77"/>
    <n v="1112.98"/>
    <s v="High"/>
    <n v="2095.73"/>
    <n v="7.1999999999999995E-2"/>
    <n v="17"/>
    <x v="77"/>
    <n v="18920.66"/>
    <n v="-15098.292959999999"/>
    <n v="-3.9499851275402365"/>
  </r>
  <r>
    <s v="ORD-2023-290279"/>
    <d v="2023-06-14T00:00:00"/>
    <d v="2023-06-16T00:00:00"/>
    <n v="2"/>
    <s v="Jun-2023"/>
    <s v="Q2-2023"/>
    <s v="Europe"/>
    <s v="United Kingdom"/>
    <s v="Manchester"/>
    <s v="Non-Profit"/>
    <s v="Direct"/>
    <s v="K. Singh"/>
    <x v="0"/>
    <x v="78"/>
    <n v="357.36"/>
    <s v="High"/>
    <n v="703.62"/>
    <n v="0.25700000000000001"/>
    <n v="20"/>
    <x v="78"/>
    <n v="7147.2000000000007"/>
    <n v="36970.208199999994"/>
    <n v="0.83799592288832592"/>
  </r>
  <r>
    <s v="ORD-2024-192263"/>
    <d v="2024-11-21T00:00:00"/>
    <d v="2024-12-21T00:00:00"/>
    <n v="0"/>
    <s v="Nov-2024"/>
    <s v="Q4-2024"/>
    <s v="Europe"/>
    <s v="France"/>
    <s v="Marseille"/>
    <s v="Small Business"/>
    <s v="Direct"/>
    <s v="I. Johnson"/>
    <x v="5"/>
    <x v="79"/>
    <n v="1122.68"/>
    <s v="High"/>
    <n v="1997.19"/>
    <n v="0.186"/>
    <n v="3"/>
    <x v="79"/>
    <n v="3368.04"/>
    <n v="36.840599999999995"/>
    <n v="1.081993888420052E-2"/>
  </r>
  <r>
    <s v="ORD-2023-159379"/>
    <d v="2023-02-08T00:00:00"/>
    <d v="2023-02-11T00:00:00"/>
    <n v="3"/>
    <s v="Feb-2023"/>
    <s v="Q1-2023"/>
    <s v="Africa"/>
    <s v="South Africa"/>
    <s v="Cape Town"/>
    <s v="Corporate"/>
    <s v="Direct"/>
    <s v="M. Rossi"/>
    <x v="2"/>
    <x v="80"/>
    <n v="1410.05"/>
    <s v="High"/>
    <n v="2763.95"/>
    <n v="0.161"/>
    <n v="26"/>
    <x v="80"/>
    <n v="36661.299999999996"/>
    <n v="-36325.146259999994"/>
    <n v="-108.06110995522462"/>
  </r>
  <r>
    <s v="ORD-2023-343322"/>
    <d v="2023-08-19T00:00:00"/>
    <d v="2023-09-12T00:00:00"/>
    <n v="24"/>
    <s v="Aug-2023"/>
    <s v="Q3-2023"/>
    <s v="Americas"/>
    <s v="Canada"/>
    <s v="Vancouver"/>
    <s v="Enterprise"/>
    <s v="Retail"/>
    <s v="I. Johnson"/>
    <x v="1"/>
    <x v="81"/>
    <n v="1183.95"/>
    <s v="High"/>
    <n v="1503.53"/>
    <n v="0.24099999999999999"/>
    <n v="16"/>
    <x v="81"/>
    <n v="18943.2"/>
    <n v="8390.6366400000006"/>
    <n v="0.30696885879976488"/>
  </r>
  <r>
    <s v="ORD-2025-114382"/>
    <d v="2025-05-14T00:00:00"/>
    <d v="2025-05-24T00:00:00"/>
    <n v="10"/>
    <s v="May-2025"/>
    <s v="Q2-2025"/>
    <s v="Europe"/>
    <s v="France"/>
    <s v="Paris"/>
    <s v="Small Business"/>
    <s v="Marketplace"/>
    <s v="K. Singh"/>
    <x v="0"/>
    <x v="82"/>
    <n v="170.39"/>
    <s v="High"/>
    <n v="388.04"/>
    <n v="8.4000000000000005E-2"/>
    <n v="15"/>
    <x v="82"/>
    <n v="2555.85"/>
    <n v="-274.46039999999994"/>
    <n v="-0.12030404627074653"/>
  </r>
  <r>
    <s v="ORD-2025-488349"/>
    <d v="2025-04-23T00:00:00"/>
    <d v="2025-04-22T00:00:00"/>
    <n v="1"/>
    <s v="Apr-2025"/>
    <s v="Q2-2025"/>
    <s v="Americas"/>
    <s v="USA"/>
    <s v="San Francisco"/>
    <s v="Non-Profit"/>
    <s v="Distributor"/>
    <s v="D. Smith"/>
    <x v="5"/>
    <x v="83"/>
    <n v="23.24"/>
    <s v="Low"/>
    <n v="44.57"/>
    <n v="0.215"/>
    <n v="15"/>
    <x v="83"/>
    <n v="348.59999999999997"/>
    <n v="3849.7762500000003"/>
    <n v="0.91696789919674304"/>
  </r>
  <r>
    <s v="ORD-2025-330203"/>
    <d v="2025-03-25T00:00:00"/>
    <d v="2025-04-17T00:00:00"/>
    <n v="23"/>
    <s v="Mar-2025"/>
    <s v="Q1-2025"/>
    <s v="Europe"/>
    <s v="United Kingdom"/>
    <s v="London"/>
    <s v="Consumer"/>
    <s v="Retail"/>
    <s v="H. Kim"/>
    <x v="2"/>
    <x v="84"/>
    <n v="1421.19"/>
    <s v="High"/>
    <n v="1808.26"/>
    <n v="0.104"/>
    <n v="13"/>
    <x v="84"/>
    <n v="18475.47"/>
    <n v="-6535.6876000000011"/>
    <n v="-0.54738749677716081"/>
  </r>
  <r>
    <s v="ORD-2023-841426"/>
    <d v="2023-12-22T00:00:00"/>
    <d v="2023-12-23T00:00:00"/>
    <n v="1"/>
    <s v="Dec-2023"/>
    <s v="Q4-2023"/>
    <s v="Africa"/>
    <s v="South Africa"/>
    <s v="Cape Town"/>
    <s v="Non-Profit"/>
    <s v="Marketplace"/>
    <s v="D. Smith"/>
    <x v="0"/>
    <x v="85"/>
    <n v="1186.18"/>
    <s v="High"/>
    <n v="1285.0899999999999"/>
    <n v="7.0000000000000007E-2"/>
    <n v="11"/>
    <x v="85"/>
    <n v="13047.980000000001"/>
    <n v="5316.6090999999997"/>
    <n v="0.28950329740838032"/>
  </r>
  <r>
    <s v="ORD-2024-594592"/>
    <d v="2024-04-06T00:00:00"/>
    <d v="2024-04-25T00:00:00"/>
    <n v="19"/>
    <s v="Apr-2024"/>
    <s v="Q2-2024"/>
    <s v="Asia"/>
    <s v="China"/>
    <s v="Shanghai"/>
    <s v="Corporate"/>
    <s v="Retail"/>
    <s v="K. Singh"/>
    <x v="0"/>
    <x v="86"/>
    <n v="1366.48"/>
    <s v="High"/>
    <n v="1678.14"/>
    <n v="0.154"/>
    <n v="10"/>
    <x v="86"/>
    <n v="13664.8"/>
    <n v="-13627.8298"/>
    <n v="-368.61661013464897"/>
  </r>
  <r>
    <s v="ORD-2025-863978"/>
    <d v="2025-08-07T00:00:00"/>
    <d v="2025-08-19T00:00:00"/>
    <n v="12"/>
    <s v="Aug-2025"/>
    <s v="Q3-2025"/>
    <s v="Africa"/>
    <s v="Kenya"/>
    <s v="Nakuru"/>
    <s v="Corporate"/>
    <s v="Not Provided"/>
    <s v="M. Rossi"/>
    <x v="0"/>
    <x v="87"/>
    <n v="601.51"/>
    <s v="High"/>
    <n v="679.35"/>
    <n v="0.188"/>
    <n v="3"/>
    <x v="87"/>
    <n v="1804.53"/>
    <n v="-1272.2639999999999"/>
    <n v="-2.3902785449380568"/>
  </r>
  <r>
    <s v="ORD-2024-604471"/>
    <d v="2024-01-21T00:00:00"/>
    <d v="2024-01-25T00:00:00"/>
    <n v="4"/>
    <s v="Jan-2024"/>
    <s v="Q1-2024"/>
    <s v="Asia"/>
    <s v="India"/>
    <s v="Delhi"/>
    <s v="Consumer"/>
    <s v="Direct"/>
    <s v="C. Otieno"/>
    <x v="5"/>
    <x v="88"/>
    <n v="523.70000000000005"/>
    <s v="High"/>
    <n v="1109.92"/>
    <n v="0.03"/>
    <n v="11"/>
    <x v="88"/>
    <n v="5760.7000000000007"/>
    <n v="-3094.5871000000006"/>
    <n v="-1.160711198689298"/>
  </r>
  <r>
    <s v="ORD-2023-258768"/>
    <d v="2023-06-29T00:00:00"/>
    <d v="2023-07-02T00:00:00"/>
    <n v="3"/>
    <s v="Jun-2023"/>
    <s v="Q2-2023"/>
    <s v="Asia"/>
    <s v="Japan"/>
    <s v="Nagoya"/>
    <s v="Education"/>
    <s v="Marketplace"/>
    <s v="F. Müller"/>
    <x v="5"/>
    <x v="89"/>
    <n v="55.65"/>
    <s v="Medium"/>
    <n v="83.57"/>
    <n v="6.6000000000000003E-2"/>
    <n v="8"/>
    <x v="89"/>
    <n v="445.2"/>
    <n v="25232.477439999999"/>
    <n v="0.98266198331059018"/>
  </r>
  <r>
    <s v="ORD-2025-626047"/>
    <d v="2025-04-28T00:00:00"/>
    <d v="2025-05-15T00:00:00"/>
    <n v="17"/>
    <s v="Apr-2025"/>
    <s v="Q2-2025"/>
    <s v="Asia"/>
    <s v="Japan"/>
    <s v="Nagoya"/>
    <s v="Education"/>
    <s v="Direct"/>
    <s v="N. Brown"/>
    <x v="2"/>
    <x v="90"/>
    <n v="691.19"/>
    <s v="High"/>
    <n v="1284.3"/>
    <n v="7.3999999999999996E-2"/>
    <n v="7"/>
    <x v="90"/>
    <n v="4838.33"/>
    <n v="-4491.8670999999995"/>
    <n v="-12.964929578318483"/>
  </r>
  <r>
    <s v="ORD-2025-526752"/>
    <d v="2025-06-09T00:00:00"/>
    <d v="2025-06-25T00:00:00"/>
    <n v="16"/>
    <s v="Jun-2025"/>
    <s v="Q2-2025"/>
    <s v="Asia"/>
    <s v="India"/>
    <s v="Hyderabad"/>
    <s v="Enterprise"/>
    <s v="Distributor"/>
    <s v="M. Rossi"/>
    <x v="3"/>
    <x v="91"/>
    <n v="527.33000000000004"/>
    <s v="High"/>
    <n v="911.72"/>
    <n v="0.14399999999999999"/>
    <n v="25"/>
    <x v="91"/>
    <n v="13183.250000000002"/>
    <n v="61068.33"/>
    <n v="0.82245158958233622"/>
  </r>
  <r>
    <s v="ORD-2023-374486"/>
    <d v="2023-06-24T00:00:00"/>
    <d v="2023-06-23T00:00:00"/>
    <n v="1"/>
    <s v="Jun-2023"/>
    <s v="Q2-2023"/>
    <s v="Americas"/>
    <s v="Brazil"/>
    <s v="Rio de Janeiro"/>
    <s v="Non-Profit"/>
    <s v="Retail"/>
    <s v="E. Garcia"/>
    <x v="1"/>
    <x v="92"/>
    <n v="804.01"/>
    <s v="High"/>
    <n v="1405.07"/>
    <n v="9.6000000000000002E-2"/>
    <n v="8"/>
    <x v="92"/>
    <n v="6432.08"/>
    <n v="-1940.8633600000003"/>
    <n v="-0.43214645731273393"/>
  </r>
  <r>
    <s v="ORD-2024-997336"/>
    <d v="2024-10-04T00:00:00"/>
    <d v="2024-11-02T00:00:00"/>
    <n v="29"/>
    <s v="Oct-2024"/>
    <s v="Q4-2024"/>
    <s v="Africa"/>
    <s v="Nigeria"/>
    <s v="Abuja"/>
    <s v="Corporate"/>
    <s v="Distributor"/>
    <s v="F. Müller"/>
    <x v="6"/>
    <x v="93"/>
    <n v="412.09"/>
    <s v="High"/>
    <n v="968.94"/>
    <n v="9.9000000000000005E-2"/>
    <n v="23"/>
    <x v="93"/>
    <n v="9478.07"/>
    <n v="-7643.87727"/>
    <n v="-4.1674340678473847"/>
  </r>
  <r>
    <s v="ORD-2025-725646"/>
    <d v="2025-09-10T00:00:00"/>
    <d v="2025-09-30T00:00:00"/>
    <n v="20"/>
    <s v="Sept-2025"/>
    <s v="Q3-2025"/>
    <s v="Africa"/>
    <s v="Kenya"/>
    <s v="Mombasa"/>
    <s v="Corporate"/>
    <s v="Direct"/>
    <s v="L. Okafor"/>
    <x v="3"/>
    <x v="94"/>
    <n v="1009.48"/>
    <s v="High"/>
    <n v="1088.81"/>
    <n v="0.16"/>
    <n v="6"/>
    <x v="94"/>
    <n v="6056.88"/>
    <n v="3816.9335999999994"/>
    <n v="0.38657136488782812"/>
  </r>
  <r>
    <s v="ORD-2023-868734"/>
    <d v="2023-04-06T00:00:00"/>
    <d v="2023-04-27T00:00:00"/>
    <n v="21"/>
    <s v="Apr-2023"/>
    <s v="Q2-2023"/>
    <s v="Europe"/>
    <s v="United Kingdom"/>
    <s v="Manchester"/>
    <s v="Enterprise"/>
    <s v="Distributor"/>
    <s v="I. Johnson"/>
    <x v="1"/>
    <x v="95"/>
    <n v="1084.79"/>
    <s v="High"/>
    <n v="2484.9899999999998"/>
    <n v="3.4000000000000002E-2"/>
    <n v="18"/>
    <x v="95"/>
    <n v="19526.22"/>
    <n v="28168.542359999999"/>
    <n v="0.59060032939013052"/>
  </r>
  <r>
    <s v="ORD-2025-262491"/>
    <d v="2025-08-01T00:00:00"/>
    <d v="2025-08-16T00:00:00"/>
    <n v="15"/>
    <s v="Aug-2025"/>
    <s v="Q3-2025"/>
    <s v="Asia"/>
    <s v="India"/>
    <s v="Not Provided"/>
    <s v="Enterprise"/>
    <s v="Direct"/>
    <s v="O. Wang"/>
    <x v="5"/>
    <x v="96"/>
    <n v="24.44"/>
    <s v="Low"/>
    <n v="28.69"/>
    <n v="0.14599999999999999"/>
    <n v="6"/>
    <x v="96"/>
    <n v="146.64000000000001"/>
    <n v="8458.7080800000003"/>
    <n v="0.98295943422197984"/>
  </r>
  <r>
    <s v="ORD-2024-638884"/>
    <d v="2024-05-28T00:00:00"/>
    <d v="2024-05-26T00:00:00"/>
    <n v="2"/>
    <s v="May-2024"/>
    <s v="Q2-2024"/>
    <s v="Africa"/>
    <s v="Nigeria"/>
    <s v="Abuja"/>
    <s v="Enterprise"/>
    <s v="Online"/>
    <s v="F. Müller"/>
    <x v="6"/>
    <x v="97"/>
    <n v="1227.08"/>
    <s v="High"/>
    <n v="1896.62"/>
    <n v="0"/>
    <n v="18"/>
    <x v="97"/>
    <n v="22087.439999999999"/>
    <n v="3722.760000000002"/>
    <n v="0.14423599972104059"/>
  </r>
  <r>
    <s v="ORD-2025-541501"/>
    <d v="2025-07-22T00:00:00"/>
    <d v="2025-08-18T00:00:00"/>
    <n v="27"/>
    <s v="Jul-2025"/>
    <s v="Q3-2025"/>
    <s v="Asia"/>
    <s v="China"/>
    <s v="Shenzhen"/>
    <s v="Non-Profit"/>
    <s v="Marketplace"/>
    <s v="M. Rossi"/>
    <x v="2"/>
    <x v="98"/>
    <n v="547.32000000000005"/>
    <s v="High"/>
    <n v="419.17"/>
    <n v="9.1999999999999998E-2"/>
    <n v="14"/>
    <x v="98"/>
    <n v="7662.4800000000005"/>
    <n v="-4046.8058400000004"/>
    <n v="-1.1192396385630061"/>
  </r>
  <r>
    <s v="ORD-2023-422918"/>
    <d v="2023-02-28T00:00:00"/>
    <d v="2023-03-20T00:00:00"/>
    <n v="20"/>
    <s v="Feb-2023"/>
    <s v="Q1-2023"/>
    <s v="Europe"/>
    <s v="Germany"/>
    <s v="Berlin"/>
    <s v="Small Business"/>
    <s v="Direct"/>
    <s v="H. Kim"/>
    <x v="4"/>
    <x v="99"/>
    <n v="1200.78"/>
    <s v="High"/>
    <n v="2001.17"/>
    <n v="0.29199999999999998"/>
    <n v="18"/>
    <x v="99"/>
    <n v="21614.04"/>
    <n v="-12759.763680000002"/>
    <n v="-1.4410848745682701"/>
  </r>
  <r>
    <s v="ORD-2025-328504"/>
    <d v="2025-01-27T00:00:00"/>
    <d v="2025-02-15T00:00:00"/>
    <n v="19"/>
    <s v="Jan-2025"/>
    <s v="Q1-2025"/>
    <s v="Asia"/>
    <s v="China"/>
    <s v="Shenzhen"/>
    <s v="Non-Profit"/>
    <s v="Direct"/>
    <s v="L. Okafor"/>
    <x v="3"/>
    <x v="100"/>
    <n v="1253.22"/>
    <s v="High"/>
    <n v="3104.71"/>
    <n v="0"/>
    <n v="17"/>
    <x v="100"/>
    <n v="21304.74"/>
    <n v="10117.89"/>
    <n v="0.3219937350883742"/>
  </r>
  <r>
    <s v="ORD-2024-851883"/>
    <d v="2024-01-13T00:00:00"/>
    <d v="2024-01-22T00:00:00"/>
    <n v="9"/>
    <s v="Jan-2024"/>
    <s v="Q1-2024"/>
    <s v="Asia"/>
    <s v="India"/>
    <s v="Mumbai"/>
    <s v="Enterprise"/>
    <s v="Marketplace"/>
    <s v="J. Njeri"/>
    <x v="0"/>
    <x v="101"/>
    <n v="313.60000000000002"/>
    <s v="High"/>
    <n v="334.28"/>
    <n v="0.14000000000000001"/>
    <n v="22"/>
    <x v="101"/>
    <n v="6899.2000000000007"/>
    <n v="-6044.2052000000003"/>
    <n v="-7.0692888424584579"/>
  </r>
  <r>
    <s v="ORD-2025-662997"/>
    <d v="2025-03-31T00:00:00"/>
    <d v="2025-04-04T00:00:00"/>
    <n v="4"/>
    <s v="Mar-2025"/>
    <s v="Q1-2025"/>
    <s v="Africa"/>
    <s v="Kenya"/>
    <s v="Nakuru"/>
    <s v="Corporate"/>
    <s v="Direct"/>
    <s v="C. Otieno"/>
    <x v="4"/>
    <x v="102"/>
    <n v="862.08"/>
    <s v="High"/>
    <n v="1952.83"/>
    <n v="0"/>
    <n v="7"/>
    <x v="102"/>
    <n v="6034.56"/>
    <n v="-3506.86"/>
    <n v="-1.3873719191359732"/>
  </r>
  <r>
    <s v="ORD-2024-478165"/>
    <d v="2024-12-05T00:00:00"/>
    <d v="2024-12-28T00:00:00"/>
    <n v="23"/>
    <s v="Dec-2024"/>
    <s v="Q4-2024"/>
    <s v="Americas"/>
    <s v="Canada"/>
    <s v="Vancouver"/>
    <s v="Corporate"/>
    <s v="Direct"/>
    <s v="F. Müller"/>
    <x v="6"/>
    <x v="103"/>
    <n v="107.03"/>
    <s v="High"/>
    <n v="242.29"/>
    <n v="0.18"/>
    <n v="30"/>
    <x v="103"/>
    <n v="3210.9"/>
    <n v="21495.864000000001"/>
    <n v="0.87003963772835646"/>
  </r>
  <r>
    <s v="ORD-2024-771210"/>
    <d v="2024-09-14T00:00:00"/>
    <d v="2024-10-05T00:00:00"/>
    <n v="21"/>
    <s v="Sept-2024"/>
    <s v="Q3-2024"/>
    <s v="Asia"/>
    <s v="China"/>
    <s v="Shanghai"/>
    <s v="Small Business"/>
    <s v="Online"/>
    <s v="H. Kim"/>
    <x v="4"/>
    <x v="104"/>
    <n v="1405.56"/>
    <s v="High"/>
    <n v="2968.87"/>
    <n v="0.16900000000000001"/>
    <n v="5"/>
    <x v="104"/>
    <n v="7027.7999999999993"/>
    <n v="-2757.5818499999996"/>
    <n v="-0.64577072016800818"/>
  </r>
  <r>
    <s v="ORD-2024-155337"/>
    <d v="2024-05-21T00:00:00"/>
    <d v="2024-05-27T00:00:00"/>
    <n v="6"/>
    <s v="May-2024"/>
    <s v="Q2-2024"/>
    <s v="Africa"/>
    <s v="South Africa"/>
    <s v="Johannesburg"/>
    <s v="Non-Profit"/>
    <s v="Online"/>
    <s v="M. Rossi"/>
    <x v="0"/>
    <x v="105"/>
    <n v="1157.51"/>
    <s v="High"/>
    <n v="1394.3"/>
    <n v="0.27800000000000002"/>
    <n v="12"/>
    <x v="105"/>
    <n v="13890.119999999999"/>
    <n v="-9834.5882399999991"/>
    <n v="-2.4249811916156712"/>
  </r>
  <r>
    <s v="ORD-2023-251563"/>
    <d v="2023-05-11T00:00:00"/>
    <d v="2023-06-07T00:00:00"/>
    <n v="27"/>
    <s v="May-2023"/>
    <s v="Q2-2023"/>
    <s v="Africa"/>
    <s v="Kenya"/>
    <s v="Mombasa"/>
    <s v="Corporate"/>
    <s v="Online"/>
    <s v="J. Njeri"/>
    <x v="3"/>
    <x v="106"/>
    <n v="12.85"/>
    <s v="Low"/>
    <n v="15.41"/>
    <n v="0.13700000000000001"/>
    <n v="39"/>
    <x v="106"/>
    <n v="501.15"/>
    <n v="21982.399139999998"/>
    <n v="0.97771036961827273"/>
  </r>
  <r>
    <s v="ORD-2024-286833"/>
    <d v="2024-08-14T00:00:00"/>
    <d v="2024-09-04T00:00:00"/>
    <n v="21"/>
    <s v="Aug-2024"/>
    <s v="Q3-2024"/>
    <s v="Europe"/>
    <s v="United Kingdom"/>
    <s v="Manchester"/>
    <s v="Non-Profit"/>
    <s v="Online"/>
    <s v="J. Njeri"/>
    <x v="3"/>
    <x v="107"/>
    <n v="1138.8"/>
    <s v="High"/>
    <n v="2250.81"/>
    <n v="0.123"/>
    <n v="12"/>
    <x v="107"/>
    <n v="13665.599999999999"/>
    <n v="-8011.3705199999986"/>
    <n v="-1.4168810353979475"/>
  </r>
  <r>
    <s v="ORD-2024-792558"/>
    <d v="2024-10-16T00:00:00"/>
    <d v="2024-11-08T00:00:00"/>
    <n v="23"/>
    <s v="Oct-2024"/>
    <s v="Q4-2024"/>
    <s v="Asia"/>
    <s v="Japan"/>
    <s v="Osaka"/>
    <s v="Small Business"/>
    <s v="Retail"/>
    <s v="J. Njeri"/>
    <x v="2"/>
    <x v="108"/>
    <n v="82.14"/>
    <s v="Medium"/>
    <n v="166.04"/>
    <n v="0"/>
    <n v="10"/>
    <x v="108"/>
    <n v="821.4"/>
    <n v="4905.7000000000007"/>
    <n v="0.85657662691414516"/>
  </r>
  <r>
    <s v="ORD-2024-166150"/>
    <d v="2024-06-02T00:00:00"/>
    <d v="2024-06-08T00:00:00"/>
    <n v="6"/>
    <s v="Jun-2024"/>
    <s v="Q2-2024"/>
    <s v="Africa"/>
    <s v="Kenya"/>
    <s v="Kisumu"/>
    <s v="Consumer"/>
    <s v="Marketplace"/>
    <s v="A. Patel"/>
    <x v="6"/>
    <x v="109"/>
    <n v="292.94"/>
    <s v="High"/>
    <n v="356.55"/>
    <n v="0.22900000000000001"/>
    <n v="2"/>
    <x v="109"/>
    <n v="585.88"/>
    <n v="2997.5275399999996"/>
    <n v="0.83650199050482543"/>
  </r>
  <r>
    <s v="ORD-2024-909942"/>
    <d v="2024-06-09T00:00:00"/>
    <d v="2024-07-07T00:00:00"/>
    <n v="28"/>
    <s v="Jun-2024"/>
    <s v="Q2-2024"/>
    <s v="Asia"/>
    <s v="China"/>
    <s v="Shenzhen"/>
    <s v="Corporate"/>
    <s v="Online"/>
    <s v="J. Njeri"/>
    <x v="0"/>
    <x v="110"/>
    <n v="550.22"/>
    <s v="High"/>
    <n v="1025.05"/>
    <n v="0"/>
    <n v="27"/>
    <x v="110"/>
    <n v="14855.94"/>
    <n v="29182.14"/>
    <n v="0.66265695507161071"/>
  </r>
  <r>
    <s v="ORD-2024-223618"/>
    <d v="2024-06-10T00:00:00"/>
    <d v="2024-06-11T00:00:00"/>
    <n v="1"/>
    <s v="Jun-2024"/>
    <s v="Q2-2024"/>
    <s v="Europe"/>
    <s v="United Kingdom"/>
    <s v="Birmingham"/>
    <s v="Small Business"/>
    <s v="Marketplace"/>
    <s v="M. Rossi"/>
    <x v="4"/>
    <x v="111"/>
    <n v="1187.1300000000001"/>
    <s v="High"/>
    <n v="1795.17"/>
    <n v="1.2E-2"/>
    <n v="17"/>
    <x v="111"/>
    <n v="20181.210000000003"/>
    <n v="-13575.175240000002"/>
    <n v="-2.0549657598229172"/>
  </r>
  <r>
    <s v="ORD-2024-919471"/>
    <d v="2024-06-29T00:00:00"/>
    <d v="2024-07-26T00:00:00"/>
    <n v="27"/>
    <s v="Jun-2024"/>
    <s v="Q2-2024"/>
    <s v="Africa"/>
    <s v="South Africa"/>
    <s v="Durban"/>
    <s v="Enterprise"/>
    <s v="Distributor"/>
    <s v="B. Chen"/>
    <x v="2"/>
    <x v="112"/>
    <n v="5.36"/>
    <s v="Low"/>
    <n v="4.37"/>
    <n v="0.11799999999999999"/>
    <n v="9"/>
    <x v="112"/>
    <n v="48.24"/>
    <n v="14685.958080000002"/>
    <n v="0.99672598401771995"/>
  </r>
  <r>
    <s v="ORD-2025-649239"/>
    <d v="2025-01-17T00:00:00"/>
    <d v="2025-01-24T00:00:00"/>
    <n v="7"/>
    <s v="Jan-2025"/>
    <s v="Q1-2025"/>
    <s v="Americas"/>
    <s v="USA"/>
    <s v="Austin"/>
    <s v="Enterprise"/>
    <s v="Online"/>
    <s v="G. Dubois"/>
    <x v="6"/>
    <x v="113"/>
    <n v="142.09"/>
    <s v="High"/>
    <n v="218.5"/>
    <n v="0.11899999999999999"/>
    <n v="11"/>
    <x v="113"/>
    <n v="1562.99"/>
    <n v="-740.22409999999991"/>
    <n v="-0.89967766043779862"/>
  </r>
  <r>
    <s v="ORD-2023-975863"/>
    <d v="2023-11-20T00:00:00"/>
    <d v="2023-12-05T00:00:00"/>
    <n v="15"/>
    <s v="Nov-2023"/>
    <s v="Q4-2023"/>
    <s v="Asia"/>
    <s v="Japan"/>
    <s v="Tokyo"/>
    <s v="Enterprise"/>
    <s v="Retail"/>
    <s v="L. Okafor"/>
    <x v="2"/>
    <x v="114"/>
    <n v="354.24"/>
    <s v="High"/>
    <n v="249.87"/>
    <n v="0"/>
    <n v="6"/>
    <x v="114"/>
    <n v="2125.44"/>
    <n v="11387.999999999998"/>
    <n v="0.84271658437821895"/>
  </r>
  <r>
    <s v="ORD-2023-869884"/>
    <d v="2023-03-02T00:00:00"/>
    <d v="2023-03-05T00:00:00"/>
    <n v="3"/>
    <s v="Mar-2023"/>
    <s v="Q1-2023"/>
    <s v="Americas"/>
    <s v="Brazil"/>
    <s v="Brasília"/>
    <s v="Enterprise"/>
    <s v="Direct"/>
    <s v="G. Dubois"/>
    <x v="5"/>
    <x v="115"/>
    <n v="1473.58"/>
    <s v="High"/>
    <n v="3436.52"/>
    <n v="0.108"/>
    <n v="8"/>
    <x v="115"/>
    <n v="11788.64"/>
    <n v="-5211.959679999999"/>
    <n v="-0.79249095689662452"/>
  </r>
  <r>
    <s v="ORD-2025-698069"/>
    <d v="2025-06-03T00:00:00"/>
    <d v="2025-06-10T00:00:00"/>
    <n v="7"/>
    <s v="Jun-2025"/>
    <s v="Q2-2025"/>
    <s v="Americas"/>
    <s v="Canada"/>
    <s v="Toronto"/>
    <s v="Consumer"/>
    <s v="Distributor"/>
    <s v="O. Wang"/>
    <x v="1"/>
    <x v="116"/>
    <n v="75.180000000000007"/>
    <s v="Medium"/>
    <n v="53.45"/>
    <n v="0.157"/>
    <n v="17"/>
    <x v="116"/>
    <n v="1278.0600000000002"/>
    <n v="22270.352579999999"/>
    <n v="0.94572627791117114"/>
  </r>
  <r>
    <s v="ORD-2024-474999"/>
    <d v="2024-12-27T00:00:00"/>
    <d v="2025-01-02T00:00:00"/>
    <n v="6"/>
    <s v="Dec-2024"/>
    <s v="Q4-2024"/>
    <s v="Europe"/>
    <s v="Germany"/>
    <s v="Frankfurt"/>
    <s v="Education"/>
    <s v="Direct"/>
    <s v="F. Müller"/>
    <x v="4"/>
    <x v="117"/>
    <n v="1391.99"/>
    <s v="High"/>
    <n v="3469.7"/>
    <n v="0.184"/>
    <n v="23"/>
    <x v="117"/>
    <n v="32015.77"/>
    <n v="-4479.923439999995"/>
    <n v="-0.16269423314218215"/>
  </r>
  <r>
    <s v="ORD-2023-427304"/>
    <d v="2023-06-09T00:00:00"/>
    <d v="2023-06-19T00:00:00"/>
    <n v="10"/>
    <s v="Jun-2023"/>
    <s v="Q2-2023"/>
    <s v="Asia"/>
    <s v="China"/>
    <s v="Beijing"/>
    <s v="Enterprise"/>
    <s v="Retail"/>
    <s v="F. Müller"/>
    <x v="5"/>
    <x v="118"/>
    <n v="339.61"/>
    <s v="High"/>
    <n v="621.02"/>
    <n v="7.0999999999999994E-2"/>
    <n v="10"/>
    <x v="118"/>
    <n v="3396.1000000000004"/>
    <n v="5882.3804"/>
    <n v="0.63398101266668616"/>
  </r>
  <r>
    <s v="ORD-2025-956101"/>
    <d v="2025-07-09T00:00:00"/>
    <d v="2025-07-18T00:00:00"/>
    <n v="9"/>
    <s v="Jul-2025"/>
    <s v="Q3-2025"/>
    <s v="Americas"/>
    <s v="Canada"/>
    <s v="Vancouver"/>
    <s v="Education"/>
    <s v="Distributor"/>
    <s v="I. Johnson"/>
    <x v="4"/>
    <x v="119"/>
    <n v="57.96"/>
    <s v="Medium"/>
    <n v="88.51"/>
    <n v="4.2999999999999997E-2"/>
    <n v="7"/>
    <x v="119"/>
    <n v="405.72"/>
    <n v="3819.4732799999992"/>
    <n v="0.90397599041907017"/>
  </r>
  <r>
    <s v="ORD-2025-184082"/>
    <d v="2025-06-19T00:00:00"/>
    <d v="2025-07-12T00:00:00"/>
    <n v="23"/>
    <s v="Jun-2025"/>
    <s v="Q2-2025"/>
    <s v="Europe"/>
    <s v="United Kingdom"/>
    <s v="Not Provided"/>
    <s v="Non-Profit"/>
    <s v="Direct"/>
    <s v="Not Provided"/>
    <x v="2"/>
    <x v="120"/>
    <n v="801.24"/>
    <s v="High"/>
    <n v="1959.09"/>
    <n v="0.123"/>
    <n v="23"/>
    <x v="120"/>
    <n v="18428.52"/>
    <n v="-3731.7276900000015"/>
    <n v="-0.25391443325091134"/>
  </r>
  <r>
    <s v="ORD-2023-576840"/>
    <d v="2023-11-19T00:00:00"/>
    <d v="2023-12-13T00:00:00"/>
    <n v="24"/>
    <s v="Nov-2023"/>
    <s v="Q4-2023"/>
    <s v="Europe"/>
    <s v="France"/>
    <s v="Lyon"/>
    <s v="Non-Profit"/>
    <s v="Direct"/>
    <s v="H. Kim"/>
    <x v="5"/>
    <x v="121"/>
    <n v="1297.42"/>
    <s v="High"/>
    <n v="2742.97"/>
    <n v="6.9000000000000006E-2"/>
    <n v="9"/>
    <x v="121"/>
    <n v="11676.78"/>
    <n v="-3704.0777100000005"/>
    <n v="-0.46459501123551927"/>
  </r>
  <r>
    <s v="ORD-2023-178249"/>
    <d v="2023-12-29T00:00:00"/>
    <d v="2024-01-20T00:00:00"/>
    <n v="22"/>
    <s v="Dec-2023"/>
    <s v="Q4-2023"/>
    <s v="Africa"/>
    <s v="Kenya"/>
    <s v="Kisumu"/>
    <s v="Corporate"/>
    <s v="Direct"/>
    <s v="L. Okafor"/>
    <x v="3"/>
    <x v="122"/>
    <n v="1395.49"/>
    <s v="High"/>
    <n v="1679.42"/>
    <n v="0.20300000000000001"/>
    <n v="12"/>
    <x v="122"/>
    <n v="16745.88"/>
    <n v="-9736.6156800000026"/>
    <n v="-1.3891066502111884"/>
  </r>
  <r>
    <s v="ORD-2024-588972"/>
    <d v="2024-11-02T00:00:00"/>
    <d v="2024-11-29T00:00:00"/>
    <n v="27"/>
    <s v="Nov-2024"/>
    <s v="Q4-2024"/>
    <s v="Americas"/>
    <s v="Brazil"/>
    <s v="Brasília"/>
    <s v="Small Business"/>
    <s v="Direct"/>
    <s v="I. Johnson"/>
    <x v="2"/>
    <x v="123"/>
    <n v="1363.51"/>
    <s v="High"/>
    <n v="1433.9"/>
    <n v="5.7000000000000002E-2"/>
    <n v="8"/>
    <x v="123"/>
    <n v="10908.08"/>
    <n v="7284.4268799999973"/>
    <n v="0.4004080871343883"/>
  </r>
  <r>
    <s v="ORD-2023-603238"/>
    <d v="2023-08-21T00:00:00"/>
    <d v="2023-09-04T00:00:00"/>
    <n v="14"/>
    <s v="Aug-2023"/>
    <s v="Q3-2023"/>
    <s v="Americas"/>
    <s v="Canada"/>
    <s v="Montreal"/>
    <s v="Education"/>
    <s v="Distributor"/>
    <s v="F. Müller"/>
    <x v="0"/>
    <x v="124"/>
    <n v="178.19"/>
    <s v="High"/>
    <n v="284.43"/>
    <n v="8.8999999999999996E-2"/>
    <n v="8"/>
    <x v="124"/>
    <n v="1425.52"/>
    <n v="2716.1775199999997"/>
    <n v="0.65581262438498888"/>
  </r>
  <r>
    <s v="ORD-2023-883066"/>
    <d v="2023-08-12T00:00:00"/>
    <d v="2023-09-06T00:00:00"/>
    <n v="25"/>
    <s v="Aug-2023"/>
    <s v="Q3-2023"/>
    <s v="Asia"/>
    <s v="China"/>
    <s v="Shanghai"/>
    <s v="Small Business"/>
    <s v="Retail"/>
    <s v="B. Chen"/>
    <x v="0"/>
    <x v="125"/>
    <n v="950.77"/>
    <s v="High"/>
    <n v="694.78"/>
    <n v="8.4000000000000005E-2"/>
    <n v="14"/>
    <x v="125"/>
    <n v="13310.779999999999"/>
    <n v="2782.6988000000019"/>
    <n v="0.17290847023081185"/>
  </r>
  <r>
    <s v="ORD-2024-584090"/>
    <d v="2024-06-07T00:00:00"/>
    <d v="2024-06-26T00:00:00"/>
    <n v="19"/>
    <s v="Jun-2024"/>
    <s v="Q2-2024"/>
    <s v="Europe"/>
    <s v="Germany"/>
    <s v="Berlin"/>
    <s v="Non-Profit"/>
    <s v="Marketplace"/>
    <s v="M. Rossi"/>
    <x v="0"/>
    <x v="126"/>
    <n v="1064.32"/>
    <s v="High"/>
    <n v="1848.39"/>
    <n v="7.2999999999999995E-2"/>
    <n v="38"/>
    <x v="126"/>
    <n v="40444.159999999996"/>
    <n v="-10658.815699999996"/>
    <n v="-0.35785437269563458"/>
  </r>
  <r>
    <s v="ORD-2025-537785"/>
    <d v="2025-08-05T00:00:00"/>
    <d v="2025-08-14T00:00:00"/>
    <n v="9"/>
    <s v="Aug-2025"/>
    <s v="Q3-2025"/>
    <s v="Europe"/>
    <s v="United Kingdom"/>
    <s v="London"/>
    <s v="Non-Profit"/>
    <s v="Direct"/>
    <s v="E. Garcia"/>
    <x v="0"/>
    <x v="127"/>
    <n v="41.76"/>
    <s v="Low"/>
    <n v="45.19"/>
    <n v="0.17899999999999999"/>
    <n v="23"/>
    <x v="127"/>
    <n v="960.4799999999999"/>
    <n v="39546.76511"/>
    <n v="0.97628868619942533"/>
  </r>
  <r>
    <s v="ORD-2024-605518"/>
    <d v="2024-05-30T00:00:00"/>
    <d v="2024-06-13T00:00:00"/>
    <n v="14"/>
    <s v="May-2024"/>
    <s v="Q2-2024"/>
    <s v="Americas"/>
    <s v="USA"/>
    <s v="San Francisco"/>
    <s v="Small Business"/>
    <s v="Retail"/>
    <s v="F. Müller"/>
    <x v="3"/>
    <x v="128"/>
    <n v="157.78"/>
    <s v="High"/>
    <n v="361.1"/>
    <n v="0.187"/>
    <n v="9"/>
    <x v="128"/>
    <n v="1420.02"/>
    <n v="8457.4909800000005"/>
    <n v="0.85623706185948478"/>
  </r>
  <r>
    <s v="ORD-2023-521818"/>
    <d v="2023-01-22T00:00:00"/>
    <d v="2023-01-30T00:00:00"/>
    <n v="8"/>
    <s v="Jan-2023"/>
    <s v="Q1-2023"/>
    <s v="Americas"/>
    <s v="USA"/>
    <s v="San Francisco"/>
    <s v="Small Business"/>
    <s v="Online"/>
    <s v="A. Patel"/>
    <x v="2"/>
    <x v="129"/>
    <n v="413.52"/>
    <s v="High"/>
    <n v="1004.34"/>
    <n v="0.111"/>
    <n v="18"/>
    <x v="129"/>
    <n v="7443.36"/>
    <n v="997.3749600000001"/>
    <n v="0.11816209900281008"/>
  </r>
  <r>
    <s v="ORD-2025-650719"/>
    <d v="2025-02-12T00:00:00"/>
    <d v="2025-02-28T00:00:00"/>
    <n v="16"/>
    <s v="Feb-2025"/>
    <s v="Q1-2025"/>
    <s v="Americas"/>
    <s v="Brazil"/>
    <s v="São Paulo"/>
    <s v="Non-Profit"/>
    <s v="Direct"/>
    <s v="B. Chen"/>
    <x v="5"/>
    <x v="130"/>
    <n v="414.95"/>
    <s v="High"/>
    <n v="1027.73"/>
    <n v="6.3E-2"/>
    <n v="8"/>
    <x v="130"/>
    <n v="3319.6"/>
    <n v="7678.3063200000015"/>
    <n v="0.69816073137818835"/>
  </r>
  <r>
    <s v="ORD-2025-501927"/>
    <d v="2025-03-03T00:00:00"/>
    <d v="2025-03-24T00:00:00"/>
    <n v="21"/>
    <s v="Mar-2025"/>
    <s v="Q1-2025"/>
    <s v="Africa"/>
    <s v="Nigeria"/>
    <s v="Abuja"/>
    <s v="Enterprise"/>
    <s v="Direct"/>
    <s v="H. Kim"/>
    <x v="6"/>
    <x v="131"/>
    <n v="555.95000000000005"/>
    <s v="High"/>
    <n v="468.09"/>
    <n v="0.14199999999999999"/>
    <n v="11"/>
    <x v="131"/>
    <n v="6115.4500000000007"/>
    <n v="9468.0093199999992"/>
    <n v="0.60756787858063332"/>
  </r>
  <r>
    <s v="ORD-2023-430904"/>
    <d v="2023-01-27T00:00:00"/>
    <d v="2023-01-31T00:00:00"/>
    <n v="4"/>
    <s v="Jan-2023"/>
    <s v="Q1-2023"/>
    <s v="Europe"/>
    <s v="United Kingdom"/>
    <s v="Manchester"/>
    <s v="Enterprise"/>
    <s v="Online"/>
    <s v="N. Brown"/>
    <x v="4"/>
    <x v="132"/>
    <n v="941.2"/>
    <s v="High"/>
    <n v="668.02"/>
    <n v="0.22"/>
    <n v="16"/>
    <x v="132"/>
    <n v="15059.2"/>
    <n v="9678.4063999999998"/>
    <n v="0.3912426385763822"/>
  </r>
  <r>
    <s v="ORD-2025-354346"/>
    <d v="2025-01-09T00:00:00"/>
    <d v="2025-01-15T00:00:00"/>
    <n v="6"/>
    <s v="Jan-2025"/>
    <s v="Q1-2025"/>
    <s v="Asia"/>
    <s v="China"/>
    <s v="Beijing"/>
    <s v="Education"/>
    <s v="Online"/>
    <s v="C. Otieno"/>
    <x v="3"/>
    <x v="133"/>
    <n v="304.77999999999997"/>
    <s v="High"/>
    <n v="537.27"/>
    <n v="0.187"/>
    <n v="8"/>
    <x v="133"/>
    <n v="2438.2399999999998"/>
    <n v="14161.398879999999"/>
    <n v="0.85311487691833454"/>
  </r>
  <r>
    <s v="ORD-2024-164288"/>
    <d v="2024-12-21T00:00:00"/>
    <d v="2024-12-26T00:00:00"/>
    <n v="5"/>
    <s v="Dec-2024"/>
    <s v="Q4-2024"/>
    <s v="Americas"/>
    <s v="USA"/>
    <s v="San Francisco"/>
    <s v="Consumer"/>
    <s v="Marketplace"/>
    <s v="M. Rossi"/>
    <x v="1"/>
    <x v="134"/>
    <n v="699.57"/>
    <s v="High"/>
    <n v="572.71"/>
    <n v="0.192"/>
    <n v="26"/>
    <x v="134"/>
    <n v="18188.82"/>
    <n v="-7201.4259199999997"/>
    <n v="-0.65542619729172391"/>
  </r>
  <r>
    <s v="ORD-2023-867285"/>
    <d v="2023-04-12T00:00:00"/>
    <d v="2023-04-17T00:00:00"/>
    <n v="5"/>
    <s v="Apr-2023"/>
    <s v="Q2-2023"/>
    <s v="Europe"/>
    <s v="France"/>
    <s v="Lyon"/>
    <s v="Enterprise"/>
    <s v="Direct"/>
    <s v="E. Garcia"/>
    <x v="5"/>
    <x v="135"/>
    <n v="1087.81"/>
    <s v="High"/>
    <n v="2323.87"/>
    <n v="9.4E-2"/>
    <n v="13"/>
    <x v="135"/>
    <n v="14141.529999999999"/>
    <n v="200.65838000000076"/>
    <n v="1.399077844213902E-2"/>
  </r>
  <r>
    <s v="ORD-2024-836421"/>
    <d v="2024-12-14T00:00:00"/>
    <d v="2025-01-12T00:00:00"/>
    <n v="29"/>
    <s v="Dec-2024"/>
    <s v="Q4-2024"/>
    <s v="Asia"/>
    <s v="China"/>
    <s v="Shenzhen"/>
    <s v="Education"/>
    <s v="Online"/>
    <s v="J. Njeri"/>
    <x v="0"/>
    <x v="136"/>
    <n v="1412.15"/>
    <s v="High"/>
    <n v="1631.04"/>
    <n v="8.9999999999999993E-3"/>
    <n v="6"/>
    <x v="136"/>
    <n v="8472.9000000000015"/>
    <n v="-483.6165600000013"/>
    <n v="-6.0533158403002073E-2"/>
  </r>
  <r>
    <s v="ORD-2023-613287"/>
    <d v="2023-03-31T00:00:00"/>
    <d v="2023-04-12T00:00:00"/>
    <n v="12"/>
    <s v="Mar-2023"/>
    <s v="Q1-2023"/>
    <s v="Africa"/>
    <s v="Kenya"/>
    <s v="Mombasa"/>
    <s v="Small Business"/>
    <s v="Online"/>
    <s v="C. Otieno"/>
    <x v="3"/>
    <x v="137"/>
    <n v="304.22000000000003"/>
    <s v="High"/>
    <n v="393.31"/>
    <n v="0.26500000000000001"/>
    <n v="15"/>
    <x v="137"/>
    <n v="4563.3"/>
    <n v="-1237.0575000000003"/>
    <n v="-0.3719083921271526"/>
  </r>
  <r>
    <s v="ORD-2024-783321"/>
    <d v="2024-11-20T00:00:00"/>
    <d v="2024-12-15T00:00:00"/>
    <n v="25"/>
    <s v="Nov-2024"/>
    <s v="Q4-2024"/>
    <s v="Europe"/>
    <s v="France"/>
    <s v="Paris"/>
    <s v="Corporate"/>
    <s v="Online"/>
    <s v="G. Dubois"/>
    <x v="1"/>
    <x v="138"/>
    <n v="1203.58"/>
    <s v="High"/>
    <n v="1856.16"/>
    <n v="0.129"/>
    <n v="22"/>
    <x v="138"/>
    <n v="26478.76"/>
    <n v="2488.6270200000035"/>
    <n v="8.591133947572753E-2"/>
  </r>
  <r>
    <s v="ORD-2024-232632"/>
    <d v="2024-02-14T00:00:00"/>
    <d v="2024-02-14T00:00:00"/>
    <n v="0"/>
    <s v="Feb-2024"/>
    <s v="Q1-2024"/>
    <s v="Asia"/>
    <s v="China"/>
    <s v="Beijing"/>
    <s v="Corporate"/>
    <s v="Distributor"/>
    <s v="L. Okafor"/>
    <x v="6"/>
    <x v="139"/>
    <n v="65.930000000000007"/>
    <s v="Medium"/>
    <n v="84.9"/>
    <n v="0.25900000000000001"/>
    <n v="23"/>
    <x v="139"/>
    <n v="1516.39"/>
    <n v="33511.065319999994"/>
    <n v="0.95670853088964847"/>
  </r>
  <r>
    <s v="ORD-2023-906481"/>
    <d v="2023-05-02T00:00:00"/>
    <d v="2023-05-18T00:00:00"/>
    <n v="16"/>
    <s v="May-2023"/>
    <s v="Q2-2023"/>
    <s v="Asia"/>
    <s v="India"/>
    <s v="Delhi"/>
    <s v="Small Business"/>
    <s v="Marketplace"/>
    <s v="K. Singh"/>
    <x v="5"/>
    <x v="140"/>
    <n v="1463.92"/>
    <s v="High"/>
    <n v="2252.2399999999998"/>
    <n v="0.11799999999999999"/>
    <n v="44"/>
    <x v="140"/>
    <n v="64412.480000000003"/>
    <n v="-49232.730800000005"/>
    <n v="-3.2433164837795876"/>
  </r>
  <r>
    <s v="ORD-2024-902741"/>
    <d v="2024-12-23T00:00:00"/>
    <d v="2025-01-11T00:00:00"/>
    <n v="19"/>
    <s v="Dec-2024"/>
    <s v="Q4-2024"/>
    <s v="Europe"/>
    <s v="Germany"/>
    <s v="Berlin"/>
    <s v="Education"/>
    <s v="Retail"/>
    <s v="K. Singh"/>
    <x v="3"/>
    <x v="141"/>
    <n v="501.81"/>
    <s v="High"/>
    <n v="921.62"/>
    <n v="0.01"/>
    <n v="9"/>
    <x v="141"/>
    <n v="4516.29"/>
    <n v="11958.0327"/>
    <n v="0.72585883606614066"/>
  </r>
  <r>
    <s v="ORD-2023-912395"/>
    <d v="2023-07-26T00:00:00"/>
    <d v="2023-08-25T00:00:00"/>
    <n v="30"/>
    <s v="Jul-2023"/>
    <s v="Q3-2023"/>
    <s v="Americas"/>
    <s v="USA"/>
    <s v="New York"/>
    <s v="Consumer"/>
    <s v="Retail"/>
    <s v="M. Rossi"/>
    <x v="6"/>
    <x v="142"/>
    <n v="1261.48"/>
    <s v="High"/>
    <n v="1643.18"/>
    <n v="0.151"/>
    <n v="23"/>
    <x v="142"/>
    <n v="29014.04"/>
    <n v="-1762.9398800000054"/>
    <n v="-6.4692429745475011E-2"/>
  </r>
  <r>
    <s v="ORD-2024-389102"/>
    <d v="2024-06-15T00:00:00"/>
    <d v="2024-07-06T00:00:00"/>
    <n v="21"/>
    <s v="Jun-2024"/>
    <s v="Q2-2024"/>
    <s v="Americas"/>
    <s v="Canada"/>
    <s v="Toronto"/>
    <s v="Enterprise"/>
    <s v="Distributor"/>
    <s v="L. Okafor"/>
    <x v="1"/>
    <x v="143"/>
    <n v="817.23"/>
    <s v="High"/>
    <n v="1467.17"/>
    <n v="0.245"/>
    <n v="9"/>
    <x v="143"/>
    <n v="7355.07"/>
    <n v="-3699.0882000000001"/>
    <n v="-1.0117906495048745"/>
  </r>
  <r>
    <s v="ORD-2023-309373"/>
    <d v="2023-07-05T00:00:00"/>
    <d v="2023-07-14T00:00:00"/>
    <n v="9"/>
    <s v="Jul-2023"/>
    <s v="Q3-2023"/>
    <s v="Americas"/>
    <s v="Brazil"/>
    <s v="Brasília"/>
    <s v="Enterprise"/>
    <s v="Direct"/>
    <s v="B. Chen"/>
    <x v="2"/>
    <x v="144"/>
    <n v="578.85"/>
    <s v="High"/>
    <n v="998.76"/>
    <n v="8.2000000000000003E-2"/>
    <n v="28"/>
    <x v="144"/>
    <n v="16207.800000000001"/>
    <n v="15123.319680000002"/>
    <n v="0.4826932402819254"/>
  </r>
  <r>
    <s v="ORD-2023-825495"/>
    <d v="2023-11-30T00:00:00"/>
    <d v="2023-11-29T00:00:00"/>
    <n v="1"/>
    <s v="Nov-2023"/>
    <s v="Q4-2023"/>
    <s v="Africa"/>
    <s v="South Africa"/>
    <s v="Durban"/>
    <s v="Small Business"/>
    <s v="Marketplace"/>
    <s v="E. Garcia"/>
    <x v="4"/>
    <x v="145"/>
    <n v="275.56"/>
    <s v="High"/>
    <n v="630.72"/>
    <n v="0.107"/>
    <n v="23"/>
    <x v="145"/>
    <n v="6337.88"/>
    <n v="36016.002679999998"/>
    <n v="0.85035893762361436"/>
  </r>
  <r>
    <s v="ORD-2025-244832"/>
    <d v="2025-09-11T00:00:00"/>
    <d v="2025-09-28T00:00:00"/>
    <n v="17"/>
    <s v="Sept-2025"/>
    <s v="Q3-2025"/>
    <s v="Africa"/>
    <s v="Kenya"/>
    <s v="Nairobi"/>
    <s v="Non-Profit"/>
    <s v="Distributor"/>
    <s v="J. Njeri"/>
    <x v="4"/>
    <x v="146"/>
    <n v="891.46"/>
    <s v="High"/>
    <n v="728.61"/>
    <n v="0.185"/>
    <n v="6"/>
    <x v="146"/>
    <n v="5348.76"/>
    <n v="-5298.9798000000001"/>
    <n v="-106.44753938312824"/>
  </r>
  <r>
    <s v="ORD-2024-211453"/>
    <d v="2024-04-04T00:00:00"/>
    <d v="2024-04-24T00:00:00"/>
    <n v="20"/>
    <s v="Apr-2024"/>
    <s v="Q2-2024"/>
    <s v="Europe"/>
    <s v="Germany"/>
    <s v="Frankfurt"/>
    <s v="Non-Profit"/>
    <s v="Direct"/>
    <s v="O. Wang"/>
    <x v="6"/>
    <x v="147"/>
    <n v="683.42"/>
    <s v="High"/>
    <n v="951.51"/>
    <n v="0"/>
    <n v="14"/>
    <x v="147"/>
    <n v="9567.8799999999992"/>
    <n v="22376.199999999997"/>
    <n v="0.7004803393930894"/>
  </r>
  <r>
    <s v="ORD-2023-192324"/>
    <d v="2023-09-14T00:00:00"/>
    <d v="2023-09-16T00:00:00"/>
    <n v="2"/>
    <s v="Sept-2023"/>
    <s v="Q3-2023"/>
    <s v="Europe"/>
    <s v="France"/>
    <s v="Lyon"/>
    <s v="Non-Profit"/>
    <s v="Direct"/>
    <s v="B. Chen"/>
    <x v="1"/>
    <x v="148"/>
    <n v="376.83"/>
    <s v="High"/>
    <n v="732.88"/>
    <n v="0.188"/>
    <n v="25"/>
    <x v="148"/>
    <n v="9420.75"/>
    <n v="-4354.4789999999994"/>
    <n v="-0.85950376519534755"/>
  </r>
  <r>
    <s v="ORD-2024-438404"/>
    <d v="2024-09-23T00:00:00"/>
    <d v="2024-10-18T00:00:00"/>
    <n v="25"/>
    <s v="Sept-2024"/>
    <s v="Q3-2024"/>
    <s v="Americas"/>
    <s v="Canada"/>
    <s v="Vancouver"/>
    <s v="Small Business"/>
    <s v="Online"/>
    <s v="N. Brown"/>
    <x v="3"/>
    <x v="149"/>
    <n v="1297"/>
    <s v="High"/>
    <n v="2411.52"/>
    <n v="2.1000000000000001E-2"/>
    <n v="18"/>
    <x v="149"/>
    <n v="23346"/>
    <n v="34366.049999999996"/>
    <n v="0.59547442865051581"/>
  </r>
  <r>
    <s v="ORD-2025-246470"/>
    <d v="2025-04-16T00:00:00"/>
    <d v="2025-05-16T00:00:00"/>
    <n v="0"/>
    <s v="Apr-2025"/>
    <s v="Q2-2025"/>
    <s v="Americas"/>
    <s v="Canada"/>
    <s v="Montreal"/>
    <s v="Enterprise"/>
    <s v="Distributor"/>
    <s v="K. Singh"/>
    <x v="1"/>
    <x v="150"/>
    <n v="763.32"/>
    <s v="High"/>
    <n v="568.29"/>
    <n v="0.13100000000000001"/>
    <n v="16"/>
    <x v="150"/>
    <n v="12213.12"/>
    <n v="14395.79904"/>
    <n v="0.54101404940048248"/>
  </r>
  <r>
    <s v="ORD-2023-497686"/>
    <d v="2023-07-03T00:00:00"/>
    <d v="2023-07-23T00:00:00"/>
    <n v="20"/>
    <s v="Jul-2023"/>
    <s v="Q3-2023"/>
    <s v="Africa"/>
    <s v="South Africa"/>
    <s v="Johannesburg"/>
    <s v="Small Business"/>
    <s v="Distributor"/>
    <s v="F. Müller"/>
    <x v="4"/>
    <x v="151"/>
    <n v="1001.96"/>
    <s v="High"/>
    <n v="1254.95"/>
    <n v="4.4999999999999998E-2"/>
    <n v="18"/>
    <x v="151"/>
    <n v="18035.28"/>
    <n v="-17518.032899999998"/>
    <n v="-33.867822361884677"/>
  </r>
  <r>
    <s v="ORD-2023-596758"/>
    <d v="2023-12-07T00:00:00"/>
    <d v="2023-12-05T00:00:00"/>
    <n v="2"/>
    <s v="Dec-2023"/>
    <s v="Q4-2023"/>
    <s v="Asia"/>
    <s v="Japan"/>
    <s v="Tokyo"/>
    <s v="Non-Profit"/>
    <s v="Marketplace"/>
    <s v="H. Kim"/>
    <x v="1"/>
    <x v="152"/>
    <n v="1097.5899999999999"/>
    <s v="High"/>
    <n v="845.55"/>
    <n v="0.184"/>
    <n v="6"/>
    <x v="152"/>
    <n v="6585.5399999999991"/>
    <n v="-4131.1262399999987"/>
    <n v="-1.6831417372757875"/>
  </r>
  <r>
    <s v="ORD-2024-201376"/>
    <d v="2024-02-18T00:00:00"/>
    <d v="2024-03-04T00:00:00"/>
    <n v="15"/>
    <s v="Feb-2024"/>
    <s v="Q1-2024"/>
    <s v="Africa"/>
    <s v="Kenya"/>
    <s v="Kisumu"/>
    <s v="Education"/>
    <s v="Direct"/>
    <s v="K. Singh"/>
    <x v="1"/>
    <x v="153"/>
    <n v="928.68"/>
    <s v="High"/>
    <n v="2145.17"/>
    <n v="0.13600000000000001"/>
    <n v="16"/>
    <x v="153"/>
    <n v="14858.88"/>
    <n v="-9174.72768"/>
    <n v="-1.6140889904934848"/>
  </r>
  <r>
    <s v="ORD-2023-842488"/>
    <d v="2023-10-31T00:00:00"/>
    <d v="2023-11-02T00:00:00"/>
    <n v="2"/>
    <s v="Oct-2023"/>
    <s v="Q4-2023"/>
    <s v="Africa"/>
    <s v="Kenya"/>
    <s v="Kisumu"/>
    <s v="Education"/>
    <s v="Retail"/>
    <s v="O. Wang"/>
    <x v="6"/>
    <x v="154"/>
    <n v="867.89"/>
    <s v="High"/>
    <n v="1349.94"/>
    <n v="0.184"/>
    <n v="10"/>
    <x v="154"/>
    <n v="8678.9"/>
    <n v="-8630.5928000000004"/>
    <n v="-178.66058889772123"/>
  </r>
  <r>
    <s v="ORD-2024-136321"/>
    <d v="2024-08-07T00:00:00"/>
    <d v="2024-08-17T00:00:00"/>
    <n v="10"/>
    <s v="Aug-2024"/>
    <s v="Q3-2024"/>
    <s v="Asia"/>
    <s v="Japan"/>
    <s v="Osaka"/>
    <s v="Consumer"/>
    <s v="Online"/>
    <s v="K. Singh"/>
    <x v="2"/>
    <x v="155"/>
    <n v="436.58"/>
    <s v="High"/>
    <n v="527.48"/>
    <n v="0.111"/>
    <n v="19"/>
    <x v="155"/>
    <n v="8295.02"/>
    <n v="28977.16733"/>
    <n v="0.77744745897101064"/>
  </r>
  <r>
    <s v="ORD-2024-764468"/>
    <d v="2024-02-01T00:00:00"/>
    <d v="2024-02-21T00:00:00"/>
    <n v="20"/>
    <s v="Feb-2024"/>
    <s v="Q1-2024"/>
    <s v="Europe"/>
    <s v="France"/>
    <s v="Paris"/>
    <s v="Small Business"/>
    <s v="Marketplace"/>
    <s v="A. Patel"/>
    <x v="2"/>
    <x v="156"/>
    <n v="656.2"/>
    <s v="High"/>
    <n v="1467.17"/>
    <n v="1.7999999999999999E-2"/>
    <n v="5"/>
    <x v="156"/>
    <n v="3281"/>
    <n v="6110.848"/>
    <n v="0.65065448248310664"/>
  </r>
  <r>
    <s v="ORD-2024-553449"/>
    <d v="2024-08-27T00:00:00"/>
    <d v="2024-09-18T00:00:00"/>
    <n v="22"/>
    <s v="Aug-2024"/>
    <s v="Q3-2024"/>
    <s v="Asia"/>
    <s v="India"/>
    <s v="Delhi"/>
    <s v="Consumer"/>
    <s v="Direct"/>
    <s v="B. Chen"/>
    <x v="0"/>
    <x v="157"/>
    <n v="896.75"/>
    <s v="High"/>
    <n v="1651.14"/>
    <n v="2.5000000000000001E-2"/>
    <n v="15"/>
    <x v="157"/>
    <n v="13451.25"/>
    <n v="6765.0337499999987"/>
    <n v="0.3346329045267778"/>
  </r>
  <r>
    <s v="ORD-2025-766923"/>
    <d v="2025-02-15T00:00:00"/>
    <d v="2025-02-15T00:00:00"/>
    <n v="0"/>
    <s v="Feb-2025"/>
    <s v="Q1-2025"/>
    <s v="Europe"/>
    <s v="Germany"/>
    <s v="Frankfurt"/>
    <s v="Small Business"/>
    <s v="Marketplace"/>
    <s v="L. Okafor"/>
    <x v="6"/>
    <x v="158"/>
    <n v="815.83"/>
    <s v="High"/>
    <n v="1982.18"/>
    <n v="0.127"/>
    <n v="6"/>
    <x v="158"/>
    <n v="4894.9800000000005"/>
    <n v="2205.705179999999"/>
    <n v="0.31063272403804826"/>
  </r>
  <r>
    <s v="ORD-2025-418232"/>
    <d v="2025-08-01T00:00:00"/>
    <d v="2025-08-21T00:00:00"/>
    <n v="20"/>
    <s v="Aug-2025"/>
    <s v="Q3-2025"/>
    <s v="Asia"/>
    <s v="China"/>
    <s v="Shanghai"/>
    <s v="Corporate"/>
    <s v="Direct"/>
    <s v="I. Johnson"/>
    <x v="3"/>
    <x v="159"/>
    <n v="1220.4100000000001"/>
    <s v="High"/>
    <n v="2552.2199999999998"/>
    <n v="0.18099999999999999"/>
    <n v="14"/>
    <x v="159"/>
    <n v="17085.740000000002"/>
    <n v="-6905.0786000000026"/>
    <n v="-0.6782544206803699"/>
  </r>
  <r>
    <s v="ORD-2023-848013"/>
    <d v="2023-02-20T00:00:00"/>
    <d v="2023-03-04T00:00:00"/>
    <n v="12"/>
    <s v="Feb-2023"/>
    <s v="Q1-2023"/>
    <s v="Asia"/>
    <s v="India"/>
    <s v="Delhi"/>
    <s v="Consumer"/>
    <s v="Distributor"/>
    <s v="M. Rossi"/>
    <x v="5"/>
    <x v="160"/>
    <n v="299.75"/>
    <s v="High"/>
    <n v="523.01"/>
    <n v="0.157"/>
    <n v="50"/>
    <x v="160"/>
    <n v="14987.5"/>
    <n v="28034.583500000001"/>
    <n v="0.65163239943969709"/>
  </r>
  <r>
    <s v="ORD-2024-357368"/>
    <d v="2024-10-30T00:00:00"/>
    <d v="2024-11-24T00:00:00"/>
    <n v="25"/>
    <s v="Oct-2024"/>
    <s v="Q4-2024"/>
    <s v="Asia"/>
    <s v="China"/>
    <s v="Shenzhen"/>
    <s v="Small Business"/>
    <s v="Online"/>
    <s v="E. Garcia"/>
    <x v="0"/>
    <x v="161"/>
    <n v="811.05"/>
    <s v="High"/>
    <n v="1217.71"/>
    <n v="7.1999999999999995E-2"/>
    <n v="5"/>
    <x v="161"/>
    <n v="4055.25"/>
    <n v="2420.0092000000004"/>
    <n v="0.37373163378540897"/>
  </r>
  <r>
    <s v="ORD-2024-219735"/>
    <d v="2024-04-03T00:00:00"/>
    <d v="2024-04-07T00:00:00"/>
    <n v="4"/>
    <s v="Apr-2024"/>
    <s v="Q2-2024"/>
    <s v="Americas"/>
    <s v="Brazil"/>
    <s v="Brasília"/>
    <s v="Non-Profit"/>
    <s v="Direct"/>
    <s v="N. Brown"/>
    <x v="3"/>
    <x v="162"/>
    <n v="1023.27"/>
    <s v="High"/>
    <n v="1343.64"/>
    <n v="0.13300000000000001"/>
    <n v="7"/>
    <x v="162"/>
    <n v="7162.8899999999994"/>
    <n v="6634.4959800000015"/>
    <n v="0.48085166201895302"/>
  </r>
  <r>
    <s v="ORD-2023-240507"/>
    <d v="2023-03-25T00:00:00"/>
    <d v="2023-03-26T00:00:00"/>
    <n v="1"/>
    <s v="Mar-2023"/>
    <s v="Q1-2023"/>
    <s v="Asia"/>
    <s v="Japan"/>
    <s v="Osaka"/>
    <s v="Small Business"/>
    <s v="Distributor"/>
    <s v="I. Johnson"/>
    <x v="5"/>
    <x v="163"/>
    <n v="135.12"/>
    <s v="High"/>
    <n v="301.7"/>
    <n v="0.14000000000000001"/>
    <n v="47"/>
    <x v="163"/>
    <n v="6350.64"/>
    <n v="43857.063000000002"/>
    <n v="0.87351263609888707"/>
  </r>
  <r>
    <s v="ORD-2024-134084"/>
    <d v="2024-06-04T00:00:00"/>
    <d v="2024-06-16T00:00:00"/>
    <n v="12"/>
    <s v="Jun-2024"/>
    <s v="Q2-2024"/>
    <s v="Asia"/>
    <s v="China"/>
    <s v="Shanghai"/>
    <s v="Corporate"/>
    <s v="Retail"/>
    <s v="J. Njeri"/>
    <x v="1"/>
    <x v="164"/>
    <n v="918.42"/>
    <s v="High"/>
    <n v="1511.71"/>
    <n v="0.02"/>
    <n v="8"/>
    <x v="164"/>
    <n v="7347.36"/>
    <n v="2925.3136000000004"/>
    <n v="0.28476652855007489"/>
  </r>
  <r>
    <s v="ORD-2023-884625"/>
    <d v="2023-02-19T00:00:00"/>
    <d v="2023-03-12T00:00:00"/>
    <n v="21"/>
    <s v="Feb-2023"/>
    <s v="Q1-2023"/>
    <s v="Europe"/>
    <s v="Germany"/>
    <s v="Berlin"/>
    <s v="Small Business"/>
    <s v="Direct"/>
    <s v="L. Okafor"/>
    <x v="5"/>
    <x v="165"/>
    <n v="1234.81"/>
    <s v="High"/>
    <n v="2055.2399999999998"/>
    <n v="5.2999999999999999E-2"/>
    <n v="44"/>
    <x v="165"/>
    <n v="54331.64"/>
    <n v="-14028.267"/>
    <n v="-0.34806682309195314"/>
  </r>
  <r>
    <s v="ORD-2023-157993"/>
    <d v="2023-04-18T00:00:00"/>
    <d v="2023-05-18T00:00:00"/>
    <n v="0"/>
    <s v="Apr-2023"/>
    <s v="Q2-2023"/>
    <s v="Asia"/>
    <s v="China"/>
    <s v="Shenzhen"/>
    <s v="Non-Profit"/>
    <s v="Retail"/>
    <s v="H. Kim"/>
    <x v="4"/>
    <x v="166"/>
    <n v="329.03"/>
    <s v="High"/>
    <n v="391.15"/>
    <n v="0.19700000000000001"/>
    <n v="46"/>
    <x v="166"/>
    <n v="15135.38"/>
    <n v="17599.814359999997"/>
    <n v="0.53764196926552166"/>
  </r>
  <r>
    <s v="ORD-2024-329104"/>
    <d v="2024-05-23T00:00:00"/>
    <d v="2024-06-14T00:00:00"/>
    <n v="22"/>
    <s v="May-2024"/>
    <s v="Q2-2024"/>
    <s v="Europe"/>
    <s v="France"/>
    <s v="Marseille"/>
    <s v="Small Business"/>
    <s v="Online"/>
    <s v="N. Brown"/>
    <x v="5"/>
    <x v="167"/>
    <n v="1481.74"/>
    <s v="High"/>
    <n v="1848.97"/>
    <n v="0.254"/>
    <n v="9"/>
    <x v="167"/>
    <n v="13335.66"/>
    <n v="-8027.5044600000001"/>
    <n v="-1.5122963898680333"/>
  </r>
  <r>
    <s v="ORD-2023-304451"/>
    <d v="2023-10-07T00:00:00"/>
    <d v="2023-10-23T00:00:00"/>
    <n v="16"/>
    <s v="Oct-2023"/>
    <s v="Q4-2023"/>
    <s v="Asia"/>
    <s v="India"/>
    <s v="Hyderabad"/>
    <s v="Consumer"/>
    <s v="Retail"/>
    <s v="G. Dubois"/>
    <x v="5"/>
    <x v="168"/>
    <n v="906.81"/>
    <s v="High"/>
    <n v="1395.56"/>
    <n v="0.185"/>
    <n v="6"/>
    <x v="168"/>
    <n v="5440.86"/>
    <n v="-3673.9562999999998"/>
    <n v="-2.079318923832691"/>
  </r>
  <r>
    <s v="ORD-2024-942981"/>
    <d v="2024-10-09T00:00:00"/>
    <d v="2024-11-08T00:00:00"/>
    <n v="30"/>
    <s v="Oct-2024"/>
    <s v="Q4-2024"/>
    <s v="Europe"/>
    <s v="United Kingdom"/>
    <s v="Manchester"/>
    <s v="Small Business"/>
    <s v="Distributor"/>
    <s v="J. Njeri"/>
    <x v="0"/>
    <x v="169"/>
    <n v="343.85"/>
    <s v="High"/>
    <n v="538.04"/>
    <n v="0.13900000000000001"/>
    <n v="5"/>
    <x v="169"/>
    <n v="1719.25"/>
    <n v="6684.2821999999996"/>
    <n v="0.79541340961363838"/>
  </r>
  <r>
    <s v="ORD-2024-605629"/>
    <d v="2024-07-15T00:00:00"/>
    <d v="2024-07-15T00:00:00"/>
    <n v="0"/>
    <s v="Jul-2024"/>
    <s v="Q3-2024"/>
    <s v="Asia"/>
    <s v="Japan"/>
    <s v="Tokyo"/>
    <s v="Small Business"/>
    <s v="Marketplace"/>
    <s v="G. Dubois"/>
    <x v="6"/>
    <x v="170"/>
    <n v="801.77"/>
    <s v="High"/>
    <n v="1218.92"/>
    <n v="0.254"/>
    <n v="16"/>
    <x v="170"/>
    <n v="12828.32"/>
    <n v="5848.6553600000007"/>
    <n v="0.31314788648947495"/>
  </r>
  <r>
    <s v="ORD-2023-450877"/>
    <d v="2023-09-21T00:00:00"/>
    <d v="2023-10-10T00:00:00"/>
    <n v="19"/>
    <s v="Sept-2023"/>
    <s v="Q3-2023"/>
    <s v="Asia"/>
    <s v="Japan"/>
    <s v="Tokyo"/>
    <s v="Education"/>
    <s v="Online"/>
    <s v="D. Smith"/>
    <x v="0"/>
    <x v="171"/>
    <n v="845.63"/>
    <s v="High"/>
    <n v="2062.12"/>
    <n v="0.13400000000000001"/>
    <n v="5"/>
    <x v="171"/>
    <n v="4228.1499999999996"/>
    <n v="-536.65179999999964"/>
    <n v="-0.1453750674996942"/>
  </r>
  <r>
    <s v="ORD-2023-286994"/>
    <d v="2023-02-24T00:00:00"/>
    <d v="2023-03-09T00:00:00"/>
    <n v="13"/>
    <s v="Feb-2023"/>
    <s v="Q1-2023"/>
    <s v="Americas"/>
    <s v="USA"/>
    <s v="New York"/>
    <s v="Enterprise"/>
    <s v="Online"/>
    <s v="M. Rossi"/>
    <x v="0"/>
    <x v="172"/>
    <n v="6.85"/>
    <s v="Low"/>
    <n v="10.18"/>
    <n v="4.7E-2"/>
    <n v="10"/>
    <x v="172"/>
    <n v="68.5"/>
    <n v="13895.713699999998"/>
    <n v="0.99509460385871928"/>
  </r>
  <r>
    <s v="ORD-2025-700847"/>
    <d v="2025-05-21T00:00:00"/>
    <d v="2025-05-19T00:00:00"/>
    <n v="2"/>
    <s v="May-2025"/>
    <s v="Q2-2025"/>
    <s v="Africa"/>
    <s v="South Africa"/>
    <s v="Johannesburg"/>
    <s v="Non-Profit"/>
    <s v="Distributor"/>
    <s v="O. Wang"/>
    <x v="4"/>
    <x v="173"/>
    <n v="1263.8399999999999"/>
    <s v="High"/>
    <n v="2281.7199999999998"/>
    <n v="7.8E-2"/>
    <n v="15"/>
    <x v="173"/>
    <n v="18957.599999999999"/>
    <n v="17625.930899999999"/>
    <n v="0.48179960945213191"/>
  </r>
  <r>
    <s v="ORD-2024-970848"/>
    <d v="2024-05-23T00:00:00"/>
    <d v="2024-06-03T00:00:00"/>
    <n v="11"/>
    <s v="May-2024"/>
    <s v="Q2-2024"/>
    <s v="Africa"/>
    <s v="South Africa"/>
    <s v="Johannesburg"/>
    <s v="Small Business"/>
    <s v="Distributor"/>
    <s v="F. Müller"/>
    <x v="1"/>
    <x v="174"/>
    <n v="180.89"/>
    <s v="High"/>
    <n v="249.57"/>
    <n v="2.1999999999999999E-2"/>
    <n v="8"/>
    <x v="174"/>
    <n v="1447.12"/>
    <n v="5450.2836800000005"/>
    <n v="0.79019351815000627"/>
  </r>
  <r>
    <s v="ORD-2025-845715"/>
    <d v="2025-04-14T00:00:00"/>
    <d v="2025-05-04T00:00:00"/>
    <n v="20"/>
    <s v="Apr-2025"/>
    <s v="Q2-2025"/>
    <s v="Europe"/>
    <s v="United Kingdom"/>
    <s v="Birmingham"/>
    <s v="Enterprise"/>
    <s v="Marketplace"/>
    <s v="K. Singh"/>
    <x v="5"/>
    <x v="175"/>
    <n v="1413.87"/>
    <s v="High"/>
    <n v="3275"/>
    <n v="0.255"/>
    <n v="38"/>
    <x v="175"/>
    <n v="53727.06"/>
    <n v="-36032.177599999995"/>
    <n v="-2.0363050053387188"/>
  </r>
  <r>
    <s v="ORD-2023-664749"/>
    <d v="2023-08-27T00:00:00"/>
    <d v="2023-09-11T00:00:00"/>
    <n v="15"/>
    <s v="Aug-2023"/>
    <s v="Q3-2023"/>
    <s v="Europe"/>
    <s v="United Kingdom"/>
    <s v="London"/>
    <s v="Consumer"/>
    <s v="Marketplace"/>
    <s v="N. Brown"/>
    <x v="1"/>
    <x v="176"/>
    <n v="943.79"/>
    <s v="High"/>
    <n v="1913.76"/>
    <n v="9.0999999999999998E-2"/>
    <n v="9"/>
    <x v="176"/>
    <n v="8494.11"/>
    <n v="-533.66975999999977"/>
    <n v="-6.7040231935715122E-2"/>
  </r>
  <r>
    <s v="ORD-2024-960952"/>
    <d v="2024-02-03T00:00:00"/>
    <d v="2024-02-21T00:00:00"/>
    <n v="18"/>
    <s v="Feb-2024"/>
    <s v="Q1-2024"/>
    <s v="Europe"/>
    <s v="Germany"/>
    <s v="Frankfurt"/>
    <s v="Corporate"/>
    <s v="Retail"/>
    <s v="H. Kim"/>
    <x v="0"/>
    <x v="177"/>
    <n v="39.229999999999997"/>
    <s v="Low"/>
    <n v="30.09"/>
    <n v="0.17699999999999999"/>
    <n v="13"/>
    <x v="177"/>
    <n v="509.98999999999995"/>
    <n v="16023.602659999999"/>
    <n v="0.96915431446222655"/>
  </r>
  <r>
    <s v="ORD-2023-987700"/>
    <d v="2023-04-05T00:00:00"/>
    <d v="2023-04-16T00:00:00"/>
    <n v="11"/>
    <s v="Apr-2023"/>
    <s v="Q2-2023"/>
    <s v="Americas"/>
    <s v="Canada"/>
    <s v="Vancouver"/>
    <s v="Non-Profit"/>
    <s v="Online"/>
    <s v="O. Wang"/>
    <x v="5"/>
    <x v="178"/>
    <n v="213.1"/>
    <s v="High"/>
    <n v="501.31"/>
    <n v="5.6000000000000001E-2"/>
    <n v="15"/>
    <x v="178"/>
    <n v="3196.5"/>
    <n v="28711.927200000002"/>
    <n v="0.89982270263700115"/>
  </r>
  <r>
    <s v="ORD-2025-652467"/>
    <d v="2025-08-21T00:00:00"/>
    <d v="2025-09-12T00:00:00"/>
    <n v="22"/>
    <s v="Aug-2025"/>
    <s v="Q3-2025"/>
    <s v="Asia"/>
    <s v="China"/>
    <s v="Shenzhen"/>
    <s v="Education"/>
    <s v="Retail"/>
    <s v="B. Chen"/>
    <x v="1"/>
    <x v="179"/>
    <n v="352.66"/>
    <s v="High"/>
    <n v="411.18"/>
    <n v="0.17299999999999999"/>
    <n v="13"/>
    <x v="179"/>
    <n v="4584.58"/>
    <n v="21718.386559999999"/>
    <n v="0.82570102921501043"/>
  </r>
  <r>
    <s v="ORD-2025-667201"/>
    <d v="2025-09-15T00:00:00"/>
    <d v="2025-09-18T00:00:00"/>
    <n v="3"/>
    <s v="Sept-2025"/>
    <s v="Q3-2025"/>
    <s v="Americas"/>
    <s v="Brazil"/>
    <s v="Rio de Janeiro"/>
    <s v="Non-Profit"/>
    <s v="Direct"/>
    <s v="L. Okafor"/>
    <x v="6"/>
    <x v="180"/>
    <n v="5.5"/>
    <s v="Low"/>
    <n v="5.92"/>
    <n v="0.21199999999999999"/>
    <n v="4"/>
    <x v="180"/>
    <n v="22"/>
    <n v="571.52160000000003"/>
    <n v="0.96293310976382329"/>
  </r>
  <r>
    <s v="ORD-2024-237478"/>
    <d v="2024-10-03T00:00:00"/>
    <d v="2024-10-11T00:00:00"/>
    <n v="8"/>
    <s v="Oct-2024"/>
    <s v="Q4-2024"/>
    <s v="Asia"/>
    <s v="China"/>
    <s v="Beijing"/>
    <s v="Enterprise"/>
    <s v="Direct"/>
    <s v="B. Chen"/>
    <x v="3"/>
    <x v="181"/>
    <n v="1132.6099999999999"/>
    <s v="High"/>
    <n v="2206.63"/>
    <n v="6.3E-2"/>
    <n v="20"/>
    <x v="181"/>
    <n v="22652.199999999997"/>
    <n v="25375.421600000009"/>
    <n v="0.52835057732694402"/>
  </r>
  <r>
    <s v="ORD-2025-898843"/>
    <d v="2025-02-02T00:00:00"/>
    <d v="2025-03-04T00:00:00"/>
    <n v="2"/>
    <s v="Feb-2025"/>
    <s v="Q1-2025"/>
    <s v="Asia"/>
    <s v="Japan"/>
    <s v="Osaka"/>
    <s v="Education"/>
    <s v="Distributor"/>
    <s v="L. Okafor"/>
    <x v="6"/>
    <x v="182"/>
    <n v="766.59"/>
    <s v="High"/>
    <n v="1912.8"/>
    <n v="0.19600000000000001"/>
    <n v="5"/>
    <x v="182"/>
    <n v="3832.9500000000003"/>
    <n v="3423.5921999999996"/>
    <n v="0.47179388001078526"/>
  </r>
  <r>
    <s v="ORD-2023-334213"/>
    <d v="2023-08-19T00:00:00"/>
    <d v="2023-08-23T00:00:00"/>
    <n v="4"/>
    <s v="Aug-2023"/>
    <s v="Q3-2023"/>
    <s v="Africa"/>
    <s v="Nigeria"/>
    <s v="Abuja"/>
    <s v="Small Business"/>
    <s v="Online"/>
    <s v="J. Njeri"/>
    <x v="5"/>
    <x v="183"/>
    <n v="790.63"/>
    <s v="High"/>
    <n v="1382.31"/>
    <n v="0.10100000000000001"/>
    <n v="7"/>
    <x v="183"/>
    <n v="5534.41"/>
    <n v="7465.2288900000003"/>
    <n v="0.57426432789164961"/>
  </r>
  <r>
    <s v="ORD-2024-640340"/>
    <d v="2024-10-22T00:00:00"/>
    <d v="2024-10-29T00:00:00"/>
    <n v="7"/>
    <s v="Oct-2024"/>
    <s v="Q4-2024"/>
    <s v="Africa"/>
    <s v="Nigeria"/>
    <s v="Port Harcourt"/>
    <s v="Enterprise"/>
    <s v="Distributor"/>
    <s v="M. Rossi"/>
    <x v="5"/>
    <x v="184"/>
    <n v="1023.06"/>
    <s v="High"/>
    <n v="1355.61"/>
    <n v="0.153"/>
    <n v="23"/>
    <x v="184"/>
    <n v="23530.379999999997"/>
    <n v="22571.601310000005"/>
    <n v="0.4896015457171683"/>
  </r>
  <r>
    <s v="ORD-2023-399631"/>
    <d v="2023-06-22T00:00:00"/>
    <d v="2023-07-21T00:00:00"/>
    <n v="29"/>
    <s v="Jun-2023"/>
    <s v="Q2-2023"/>
    <s v="Europe"/>
    <s v="France"/>
    <s v="Lyon"/>
    <s v="Corporate"/>
    <s v="Retail"/>
    <s v="J. Njeri"/>
    <x v="6"/>
    <x v="185"/>
    <n v="734.34"/>
    <s v="High"/>
    <n v="887.9"/>
    <n v="2.5000000000000001E-2"/>
    <n v="12"/>
    <x v="185"/>
    <n v="8812.08"/>
    <n v="-7270.4880000000003"/>
    <n v="-4.7162206342534221"/>
  </r>
  <r>
    <s v="ORD-2025-542939"/>
    <d v="2025-01-13T00:00:00"/>
    <d v="2025-02-08T00:00:00"/>
    <n v="26"/>
    <s v="Jan-2025"/>
    <s v="Q1-2025"/>
    <s v="Europe"/>
    <s v="France"/>
    <s v="Paris"/>
    <s v="Non-Profit"/>
    <s v="Not Provided"/>
    <s v="E. Garcia"/>
    <x v="5"/>
    <x v="186"/>
    <n v="594.74"/>
    <s v="High"/>
    <n v="1020.69"/>
    <n v="0.21099999999999999"/>
    <n v="6"/>
    <x v="186"/>
    <n v="3568.44"/>
    <n v="2751.5446800000004"/>
    <n v="0.43537204903477711"/>
  </r>
  <r>
    <s v="ORD-2023-521818"/>
    <d v="2023-01-29T00:00:00"/>
    <d v="2023-02-28T00:00:00"/>
    <n v="30"/>
    <s v="Jan-2023"/>
    <s v="Q1-2023"/>
    <s v="Asia"/>
    <s v="India"/>
    <s v="Bengaluru"/>
    <s v="Non-Profit"/>
    <s v="Retail"/>
    <s v="B. Chen"/>
    <x v="6"/>
    <x v="187"/>
    <n v="1262.0999999999999"/>
    <s v="High"/>
    <n v="1395.53"/>
    <n v="0.23300000000000001"/>
    <n v="25"/>
    <x v="187"/>
    <n v="31552.499999999996"/>
    <n v="20056.053750000003"/>
    <n v="0.38861879073679723"/>
  </r>
  <r>
    <s v="ORD-2023-825836"/>
    <d v="2023-07-19T00:00:00"/>
    <d v="2023-07-31T00:00:00"/>
    <n v="12"/>
    <s v="Jul-2023"/>
    <s v="Q3-2023"/>
    <s v="Americas"/>
    <s v="Brazil"/>
    <s v="Rio de Janeiro"/>
    <s v="Corporate"/>
    <s v="Retail"/>
    <s v="C. Otieno"/>
    <x v="5"/>
    <x v="188"/>
    <n v="1334.64"/>
    <s v="High"/>
    <n v="2273.42"/>
    <n v="0.11799999999999999"/>
    <n v="14"/>
    <x v="188"/>
    <n v="18684.960000000003"/>
    <n v="-9097.231920000002"/>
    <n v="-0.94884125249409468"/>
  </r>
  <r>
    <s v="ORD-2024-503082"/>
    <d v="2024-05-19T00:00:00"/>
    <d v="2024-06-08T00:00:00"/>
    <n v="20"/>
    <s v="May-2024"/>
    <s v="Q2-2024"/>
    <s v="Americas"/>
    <s v="Brazil"/>
    <s v="Brasília"/>
    <s v="Small Business"/>
    <s v="Retail"/>
    <s v="E. Garcia"/>
    <x v="5"/>
    <x v="189"/>
    <n v="1075.9000000000001"/>
    <s v="High"/>
    <n v="1242.1500000000001"/>
    <n v="1.2E-2"/>
    <n v="7"/>
    <x v="189"/>
    <n v="7531.3000000000011"/>
    <n v="-5330.8362800000014"/>
    <n v="-2.4225967606500691"/>
  </r>
  <r>
    <s v="ORD-2024-760799"/>
    <d v="2024-02-03T00:00:00"/>
    <d v="2024-02-19T00:00:00"/>
    <n v="16"/>
    <s v="Feb-2024"/>
    <s v="Q1-2024"/>
    <s v="Asia"/>
    <s v="China"/>
    <s v="Shenzhen"/>
    <s v="Small Business"/>
    <s v="Online"/>
    <s v="H. Kim"/>
    <x v="4"/>
    <x v="190"/>
    <n v="993.75"/>
    <s v="High"/>
    <n v="1310.29"/>
    <n v="0.215"/>
    <n v="19"/>
    <x v="190"/>
    <n v="18881.25"/>
    <n v="-291.04484999999841"/>
    <n v="-1.5655817009636301E-2"/>
  </r>
  <r>
    <s v="ORD-2023-197661"/>
    <d v="2023-08-08T00:00:00"/>
    <d v="2023-08-22T00:00:00"/>
    <n v="14"/>
    <s v="Aug-2023"/>
    <s v="Q3-2023"/>
    <s v="Europe"/>
    <s v="United Kingdom"/>
    <s v="Birmingham"/>
    <s v="Non-Profit"/>
    <s v="Direct"/>
    <s v="N. Brown"/>
    <x v="5"/>
    <x v="191"/>
    <n v="446.69"/>
    <s v="High"/>
    <n v="967.25"/>
    <n v="9.4E-2"/>
    <n v="10"/>
    <x v="191"/>
    <n v="4466.8999999999996"/>
    <n v="-1323.4423999999995"/>
    <n v="-0.42101487228585471"/>
  </r>
  <r>
    <s v="ORD-2024-212990"/>
    <d v="2024-08-12T00:00:00"/>
    <d v="2024-09-03T00:00:00"/>
    <n v="22"/>
    <s v="Aug-2024"/>
    <s v="Q3-2024"/>
    <s v="Americas"/>
    <s v="USA"/>
    <s v="Austin"/>
    <s v="Consumer"/>
    <s v="Distributor"/>
    <s v="I. Johnson"/>
    <x v="4"/>
    <x v="192"/>
    <n v="797.8"/>
    <s v="High"/>
    <n v="886.22"/>
    <n v="0.23599999999999999"/>
    <n v="36"/>
    <x v="192"/>
    <n v="28720.799999999999"/>
    <n v="-14837.880959999999"/>
    <n v="-1.06878682482038"/>
  </r>
  <r>
    <s v="ORD-2023-925146"/>
    <d v="2023-10-15T00:00:00"/>
    <d v="2023-11-13T00:00:00"/>
    <n v="29"/>
    <s v="Oct-2023"/>
    <s v="Q4-2023"/>
    <s v="Asia"/>
    <s v="China"/>
    <s v="Shenzhen"/>
    <s v="Non-Profit"/>
    <s v="Distributor"/>
    <s v="J. Njeri"/>
    <x v="1"/>
    <x v="193"/>
    <n v="986.44"/>
    <s v="High"/>
    <n v="790.61"/>
    <n v="7.1999999999999995E-2"/>
    <n v="6"/>
    <x v="193"/>
    <n v="5918.64"/>
    <n v="-698.86272000000008"/>
    <n v="-0.13388745965804888"/>
  </r>
  <r>
    <s v="ORD-2023-177794"/>
    <d v="2023-05-04T00:00:00"/>
    <d v="2023-05-26T00:00:00"/>
    <n v="22"/>
    <s v="May-2023"/>
    <s v="Q2-2023"/>
    <s v="Americas"/>
    <s v="USA"/>
    <s v="San Francisco"/>
    <s v="Enterprise"/>
    <s v="Online"/>
    <s v="J. Njeri"/>
    <x v="2"/>
    <x v="194"/>
    <n v="249.71"/>
    <s v="High"/>
    <n v="361.33"/>
    <n v="9.4E-2"/>
    <n v="12"/>
    <x v="194"/>
    <n v="2996.52"/>
    <n v="11143.385759999999"/>
    <n v="0.7880806243789279"/>
  </r>
  <r>
    <s v="ORD-2024-444710"/>
    <d v="2024-09-22T00:00:00"/>
    <d v="2024-10-01T00:00:00"/>
    <n v="9"/>
    <s v="Sept-2024"/>
    <s v="Q3-2024"/>
    <s v="Americas"/>
    <s v="Brazil"/>
    <s v="São Paulo"/>
    <s v="Non-Profit"/>
    <s v="Online"/>
    <s v="K. Singh"/>
    <x v="5"/>
    <x v="195"/>
    <n v="1378.8"/>
    <s v="High"/>
    <n v="1952.04"/>
    <n v="0.159"/>
    <n v="19"/>
    <x v="195"/>
    <n v="26197.200000000001"/>
    <n v="-22551.59115"/>
    <n v="-6.1859601723317077"/>
  </r>
  <r>
    <s v="ORD-2024-668926"/>
    <d v="2024-10-23T00:00:00"/>
    <d v="2024-11-14T00:00:00"/>
    <n v="22"/>
    <s v="Oct-2024"/>
    <s v="Q4-2024"/>
    <s v="Asia"/>
    <s v="Japan"/>
    <s v="Osaka"/>
    <s v="Non-Profit"/>
    <s v="Direct"/>
    <s v="B. Chen"/>
    <x v="3"/>
    <x v="196"/>
    <n v="1406.4"/>
    <s v="High"/>
    <n v="1564.76"/>
    <n v="0.185"/>
    <n v="17"/>
    <x v="196"/>
    <n v="23908.800000000003"/>
    <n v="-17029.515400000004"/>
    <n v="-2.4754776681284567"/>
  </r>
  <r>
    <s v="ORD-2024-968374"/>
    <d v="2024-02-11T00:00:00"/>
    <d v="2024-03-03T00:00:00"/>
    <n v="21"/>
    <s v="Feb-2024"/>
    <s v="Q1-2024"/>
    <s v="Africa"/>
    <s v="Kenya"/>
    <s v="Kisumu"/>
    <s v="Enterprise"/>
    <s v="Online"/>
    <s v="B. Chen"/>
    <x v="3"/>
    <x v="197"/>
    <n v="516.86"/>
    <s v="High"/>
    <n v="852.54"/>
    <n v="5.0999999999999997E-2"/>
    <n v="14"/>
    <x v="197"/>
    <n v="7236.04"/>
    <n v="31840.74319999999"/>
    <n v="0.81482508519278518"/>
  </r>
  <r>
    <s v="ORD-2023-575584"/>
    <d v="2023-01-30T00:00:00"/>
    <d v="2023-02-21T00:00:00"/>
    <n v="22"/>
    <s v="Jan-2023"/>
    <s v="Q1-2023"/>
    <s v="Europe"/>
    <s v="Germany"/>
    <s v="Munich"/>
    <s v="Small Business"/>
    <s v="Marketplace"/>
    <s v="G. Dubois"/>
    <x v="2"/>
    <x v="198"/>
    <n v="1142.8800000000001"/>
    <s v="High"/>
    <n v="1465.29"/>
    <n v="0.186"/>
    <n v="7"/>
    <x v="198"/>
    <n v="8000.1600000000008"/>
    <n v="-1799.5963999999994"/>
    <n v="-0.29023110092766391"/>
  </r>
  <r>
    <s v="ORD-2023-701153"/>
    <d v="2023-04-14T00:00:00"/>
    <d v="2023-05-13T00:00:00"/>
    <n v="29"/>
    <s v="Apr-2023"/>
    <s v="Q2-2023"/>
    <s v="Europe"/>
    <s v="Germany"/>
    <s v="Frankfurt"/>
    <s v="Consumer"/>
    <s v="Direct"/>
    <s v="J. Njeri"/>
    <x v="1"/>
    <x v="199"/>
    <n v="1320.33"/>
    <s v="High"/>
    <n v="2645.23"/>
    <n v="0.155"/>
    <n v="25"/>
    <x v="199"/>
    <n v="33008.25"/>
    <n v="20420.043749999997"/>
    <n v="0.38219531856189959"/>
  </r>
  <r>
    <s v="ORD-2023-382017"/>
    <d v="2023-01-13T00:00:00"/>
    <d v="2023-01-19T00:00:00"/>
    <n v="6"/>
    <s v="Jan-2023"/>
    <s v="Q1-2023"/>
    <s v="Americas"/>
    <s v="USA"/>
    <s v="Chicago"/>
    <s v="Corporate"/>
    <s v="Direct"/>
    <s v="H. Kim"/>
    <x v="3"/>
    <x v="200"/>
    <n v="833.57"/>
    <s v="High"/>
    <n v="881.57"/>
    <n v="5.7000000000000002E-2"/>
    <n v="18"/>
    <x v="200"/>
    <n v="15004.26"/>
    <n v="30791.761740000002"/>
    <n v="0.67236761120464961"/>
  </r>
  <r>
    <s v="ORD-2024-999607"/>
    <d v="2024-01-12T00:00:00"/>
    <d v="2024-01-29T00:00:00"/>
    <n v="17"/>
    <s v="Jan-2024"/>
    <s v="Q1-2024"/>
    <s v="Americas"/>
    <s v="USA"/>
    <s v="Chicago"/>
    <s v="Education"/>
    <s v="Distributor"/>
    <s v="A. Patel"/>
    <x v="1"/>
    <x v="201"/>
    <n v="493.76"/>
    <s v="High"/>
    <n v="625.04"/>
    <n v="0.25800000000000001"/>
    <n v="10"/>
    <x v="201"/>
    <n v="4937.6000000000004"/>
    <n v="6064.4049999999988"/>
    <n v="0.55120907507313432"/>
  </r>
  <r>
    <s v="ORD-2023-133848"/>
    <d v="2023-08-15T00:00:00"/>
    <d v="2023-09-07T00:00:00"/>
    <n v="23"/>
    <s v="Aug-2023"/>
    <s v="Q3-2023"/>
    <s v="Americas"/>
    <s v="USA"/>
    <s v="New York"/>
    <s v="Enterprise"/>
    <s v="Online"/>
    <s v="K. Singh"/>
    <x v="3"/>
    <x v="202"/>
    <n v="590.33000000000004"/>
    <s v="High"/>
    <n v="973.04"/>
    <n v="0"/>
    <n v="26"/>
    <x v="202"/>
    <n v="15348.580000000002"/>
    <n v="22528.479999999996"/>
    <n v="0.59477900343902079"/>
  </r>
  <r>
    <s v="ORD-2023-586275"/>
    <d v="2023-01-20T00:00:00"/>
    <d v="2023-02-03T00:00:00"/>
    <n v="14"/>
    <s v="Jan-2023"/>
    <s v="Q1-2023"/>
    <s v="Africa"/>
    <s v="Kenya"/>
    <s v="Kisumu"/>
    <s v="Corporate"/>
    <s v="Retail"/>
    <s v="M. Rossi"/>
    <x v="2"/>
    <x v="203"/>
    <n v="884.36"/>
    <s v="High"/>
    <n v="1545.34"/>
    <n v="0.24299999999999999"/>
    <n v="41"/>
    <x v="203"/>
    <n v="36258.76"/>
    <n v="-7760.8969700000016"/>
    <n v="-0.27233259426610423"/>
  </r>
  <r>
    <s v="ORD-2025-964661"/>
    <d v="2025-02-04T00:00:00"/>
    <d v="2025-02-25T00:00:00"/>
    <n v="21"/>
    <s v="Feb-2025"/>
    <s v="Q1-2025"/>
    <s v="Europe"/>
    <s v="United Kingdom"/>
    <s v="Birmingham"/>
    <s v="Corporate"/>
    <s v="Marketplace"/>
    <s v="D. Smith"/>
    <x v="5"/>
    <x v="204"/>
    <n v="1016.32"/>
    <s v="High"/>
    <n v="2253.42"/>
    <n v="5.5E-2"/>
    <n v="12"/>
    <x v="204"/>
    <n v="12195.84"/>
    <n v="-11640.8604"/>
    <n v="-20.97529422703105"/>
  </r>
  <r>
    <s v="ORD-2023-390998"/>
    <d v="2023-04-19T00:00:00"/>
    <d v="2023-04-28T00:00:00"/>
    <n v="9"/>
    <s v="Apr-2023"/>
    <s v="Q2-2023"/>
    <s v="Europe"/>
    <s v="Germany"/>
    <s v="Berlin"/>
    <s v="Education"/>
    <s v="Online"/>
    <s v="E. Garcia"/>
    <x v="5"/>
    <x v="205"/>
    <n v="1178.42"/>
    <s v="High"/>
    <n v="2446.56"/>
    <n v="2.9000000000000001E-2"/>
    <n v="11"/>
    <x v="205"/>
    <n v="12962.62"/>
    <n v="-3004.8305100000016"/>
    <n v="-0.30175678176542792"/>
  </r>
  <r>
    <s v="ORD-2023-920483"/>
    <d v="2023-07-02T00:00:00"/>
    <d v="2023-08-01T00:00:00"/>
    <n v="30"/>
    <s v="Jul-2023"/>
    <s v="Q3-2023"/>
    <s v="Europe"/>
    <s v="United Kingdom"/>
    <s v="Birmingham"/>
    <s v="Small Business"/>
    <s v="Retail"/>
    <s v="B. Chen"/>
    <x v="0"/>
    <x v="206"/>
    <n v="137.46"/>
    <s v="Medium"/>
    <n v="188.3"/>
    <n v="3.7999999999999999E-2"/>
    <n v="37"/>
    <x v="206"/>
    <n v="5086.0200000000004"/>
    <n v="6510.1492600000001"/>
    <n v="0.56140516010370822"/>
  </r>
  <r>
    <s v="ORD-2025-146850"/>
    <d v="2025-01-21T00:00:00"/>
    <d v="2025-02-14T00:00:00"/>
    <n v="24"/>
    <s v="Jan-2025"/>
    <s v="Q1-2025"/>
    <s v="Africa"/>
    <s v="Kenya"/>
    <s v="Nairobi"/>
    <s v="Small Business"/>
    <s v="Retail"/>
    <s v="J. Njeri"/>
    <x v="6"/>
    <x v="207"/>
    <n v="1030.44"/>
    <s v="High"/>
    <n v="2562.84"/>
    <n v="0.14799999999999999"/>
    <n v="13"/>
    <x v="207"/>
    <n v="13395.720000000001"/>
    <n v="-8899.1962800000001"/>
    <n v="-1.9791280629561541"/>
  </r>
  <r>
    <s v="ORD-2024-687100"/>
    <d v="2024-09-10T00:00:00"/>
    <d v="2024-10-07T00:00:00"/>
    <n v="27"/>
    <s v="Sept-2024"/>
    <s v="Q3-2024"/>
    <s v="Africa"/>
    <s v="Kenya"/>
    <s v="Kisumu"/>
    <s v="Consumer"/>
    <s v="Retail"/>
    <s v="L. Okafor"/>
    <x v="1"/>
    <x v="208"/>
    <n v="1248.3900000000001"/>
    <s v="High"/>
    <n v="1805.11"/>
    <n v="0.20300000000000001"/>
    <n v="11"/>
    <x v="208"/>
    <n v="13732.29"/>
    <n v="199.08668999999827"/>
    <n v="1.4290525224467122E-2"/>
  </r>
  <r>
    <s v="ORD-2025-629393"/>
    <d v="2025-07-21T00:00:00"/>
    <d v="2025-08-07T00:00:00"/>
    <n v="17"/>
    <s v="Jul-2025"/>
    <s v="Q3-2025"/>
    <s v="Africa"/>
    <s v="Nigeria"/>
    <s v="Lagos"/>
    <s v="Enterprise"/>
    <s v="Direct"/>
    <s v="M. Rossi"/>
    <x v="6"/>
    <x v="209"/>
    <n v="1204.95"/>
    <s v="High"/>
    <n v="2065.73"/>
    <n v="0.13600000000000001"/>
    <n v="10"/>
    <x v="209"/>
    <n v="12049.5"/>
    <n v="329.89199999999983"/>
    <n v="2.6648481605558643E-2"/>
  </r>
  <r>
    <s v="ORD-2024-686712"/>
    <d v="2024-10-02T00:00:00"/>
    <d v="2024-10-23T00:00:00"/>
    <n v="21"/>
    <s v="Oct-2024"/>
    <s v="Q4-2024"/>
    <s v="Africa"/>
    <s v="South Africa"/>
    <s v="Durban"/>
    <s v="Corporate"/>
    <s v="Marketplace"/>
    <s v="A. Patel"/>
    <x v="0"/>
    <x v="210"/>
    <n v="1095.6099999999999"/>
    <s v="High"/>
    <n v="2366.5100000000002"/>
    <n v="0.152"/>
    <n v="9"/>
    <x v="210"/>
    <n v="9860.49"/>
    <n v="3615.7903200000001"/>
    <n v="0.26830774027710341"/>
  </r>
  <r>
    <s v="ORD-2025-586799"/>
    <d v="2025-07-14T00:00:00"/>
    <d v="2025-08-04T00:00:00"/>
    <n v="21"/>
    <s v="Jul-2025"/>
    <s v="Q3-2025"/>
    <s v="Americas"/>
    <s v="Canada"/>
    <s v="Montreal"/>
    <s v="Consumer"/>
    <s v="Online"/>
    <s v="H. Kim"/>
    <x v="5"/>
    <x v="211"/>
    <n v="90.3"/>
    <s v="Medium"/>
    <n v="131.76"/>
    <n v="0.10199999999999999"/>
    <n v="15"/>
    <x v="211"/>
    <n v="1354.5"/>
    <n v="35789.563799999996"/>
    <n v="0.96353387697982573"/>
  </r>
  <r>
    <s v="ORD-2024-988736"/>
    <d v="2024-09-09T00:00:00"/>
    <d v="2024-10-01T00:00:00"/>
    <n v="22"/>
    <s v="Sept-2024"/>
    <s v="Q3-2024"/>
    <s v="Asia"/>
    <s v="China"/>
    <s v="Shenzhen"/>
    <s v="Consumer"/>
    <s v="Direct"/>
    <s v="L. Okafor"/>
    <x v="1"/>
    <x v="212"/>
    <n v="1166.18"/>
    <s v="High"/>
    <n v="1335.02"/>
    <n v="0.128"/>
    <n v="6"/>
    <x v="212"/>
    <n v="6997.08"/>
    <n v="-2425.62"/>
    <n v="-0.53060072712000106"/>
  </r>
  <r>
    <s v="ORD-2025-564184"/>
    <d v="2025-01-29T00:00:00"/>
    <d v="2025-02-06T00:00:00"/>
    <n v="8"/>
    <s v="Jan-2025"/>
    <s v="Q1-2025"/>
    <s v="Africa"/>
    <s v="Kenya"/>
    <s v="Kisumu"/>
    <s v="Education"/>
    <s v="Retail"/>
    <s v="B. Chen"/>
    <x v="3"/>
    <x v="213"/>
    <n v="1445.27"/>
    <s v="High"/>
    <n v="2691.45"/>
    <n v="0"/>
    <n v="9"/>
    <x v="213"/>
    <n v="13007.43"/>
    <n v="-10680.75"/>
    <n v="-4.5905539223270928"/>
  </r>
  <r>
    <s v="ORD-2023-653343"/>
    <d v="2023-11-10T00:00:00"/>
    <d v="2023-11-28T00:00:00"/>
    <n v="18"/>
    <s v="Nov-2023"/>
    <s v="Q4-2023"/>
    <s v="Americas"/>
    <s v="Brazil"/>
    <s v="Brasília"/>
    <s v="Education"/>
    <s v="Marketplace"/>
    <s v="L. Okafor"/>
    <x v="6"/>
    <x v="214"/>
    <n v="388.51"/>
    <s v="High"/>
    <n v="776.46"/>
    <n v="0.157"/>
    <n v="12"/>
    <x v="214"/>
    <n v="4662.12"/>
    <n v="1475.8641600000001"/>
    <n v="0.24044769773403912"/>
  </r>
  <r>
    <s v="ORD-2024-197852"/>
    <d v="2024-02-29T00:00:00"/>
    <d v="2024-03-30T00:00:00"/>
    <n v="1"/>
    <s v="Feb-2024"/>
    <s v="Q1-2024"/>
    <s v="Asia"/>
    <s v="Japan"/>
    <s v="Nagoya"/>
    <s v="Small Business"/>
    <s v="Direct"/>
    <s v="I. Johnson"/>
    <x v="2"/>
    <x v="215"/>
    <n v="231.11"/>
    <s v="High"/>
    <n v="318.17"/>
    <n v="0.20100000000000001"/>
    <n v="60"/>
    <x v="215"/>
    <n v="13866.6"/>
    <n v="50262.258600000001"/>
    <n v="0.7837697363913475"/>
  </r>
  <r>
    <s v="ORD-2023-431328"/>
    <d v="2023-12-20T00:00:00"/>
    <d v="2024-01-14T00:00:00"/>
    <n v="25"/>
    <s v="Dec-2023"/>
    <s v="Q4-2023"/>
    <s v="Asia"/>
    <s v="India"/>
    <s v="Mumbai"/>
    <s v="Non-Profit"/>
    <s v="Marketplace"/>
    <s v="L. Okafor"/>
    <x v="5"/>
    <x v="216"/>
    <n v="1085.6099999999999"/>
    <s v="High"/>
    <n v="1246.4100000000001"/>
    <n v="0.113"/>
    <n v="7"/>
    <x v="216"/>
    <n v="7599.2699999999995"/>
    <n v="3533.9637200000006"/>
    <n v="0.31742473111397151"/>
  </r>
  <r>
    <s v="ORD-2023-613317"/>
    <d v="2023-01-22T00:00:00"/>
    <d v="2023-01-21T00:00:00"/>
    <n v="1"/>
    <s v="Jan-2023"/>
    <s v="Q1-2023"/>
    <s v="Europe"/>
    <s v="Germany"/>
    <s v="Munich"/>
    <s v="Corporate"/>
    <s v="Direct"/>
    <s v="F. Müller"/>
    <x v="5"/>
    <x v="217"/>
    <n v="150.86000000000001"/>
    <s v="High"/>
    <n v="346.96"/>
    <n v="0.19600000000000001"/>
    <n v="8"/>
    <x v="217"/>
    <n v="1206.8800000000001"/>
    <n v="-417.41632000000004"/>
    <n v="-0.52873403878440617"/>
  </r>
  <r>
    <s v="ORD-2024-720756"/>
    <d v="2024-10-11T00:00:00"/>
    <d v="2024-11-09T00:00:00"/>
    <n v="29"/>
    <s v="Oct-2024"/>
    <s v="Q4-2024"/>
    <s v="Asia"/>
    <s v="China"/>
    <s v="Shanghai"/>
    <s v="Non-Profit"/>
    <s v="Online"/>
    <s v="F. Müller"/>
    <x v="1"/>
    <x v="218"/>
    <n v="391.64"/>
    <s v="High"/>
    <n v="504.76"/>
    <n v="4.0000000000000001E-3"/>
    <n v="13"/>
    <x v="218"/>
    <n v="5091.32"/>
    <n v="6923.51764"/>
    <n v="0.57624729084562143"/>
  </r>
  <r>
    <s v="ORD-2024-777623"/>
    <d v="2024-09-19T00:00:00"/>
    <d v="2024-10-14T00:00:00"/>
    <n v="25"/>
    <s v="Sept-2024"/>
    <s v="Q3-2024"/>
    <s v="Americas"/>
    <s v="Brazil"/>
    <s v="Rio de Janeiro"/>
    <s v="Small Business"/>
    <s v="Retail"/>
    <s v="K. Singh"/>
    <x v="1"/>
    <x v="219"/>
    <n v="386.96"/>
    <s v="High"/>
    <n v="937.46"/>
    <n v="0.26600000000000001"/>
    <n v="41"/>
    <x v="219"/>
    <n v="15865.359999999999"/>
    <n v="-11294.683279999999"/>
    <n v="-2.4711183861631763"/>
  </r>
  <r>
    <s v="ORD-2025-762212"/>
    <d v="2025-08-25T00:00:00"/>
    <d v="2025-09-24T00:00:00"/>
    <n v="30"/>
    <s v="Aug-2025"/>
    <s v="Q3-2025"/>
    <s v="Africa"/>
    <s v="Kenya"/>
    <s v="Nairobi"/>
    <s v="Consumer"/>
    <s v="Direct"/>
    <s v="B. Chen"/>
    <x v="0"/>
    <x v="220"/>
    <n v="589.14"/>
    <s v="High"/>
    <n v="1300.58"/>
    <n v="5.5E-2"/>
    <n v="11"/>
    <x v="220"/>
    <n v="6480.54"/>
    <n v="16496.567999999999"/>
    <n v="0.71795667235406646"/>
  </r>
  <r>
    <s v="ORD-2023-271918"/>
    <d v="2023-09-25T00:00:00"/>
    <d v="2023-10-02T00:00:00"/>
    <n v="7"/>
    <s v="Sept-2023"/>
    <s v="Q3-2023"/>
    <s v="Americas"/>
    <s v="USA"/>
    <s v="New York"/>
    <s v="Education"/>
    <s v="Marketplace"/>
    <s v="I. Johnson"/>
    <x v="6"/>
    <x v="221"/>
    <n v="145.58000000000001"/>
    <s v="High"/>
    <n v="228.15"/>
    <n v="0.20399999999999999"/>
    <n v="5"/>
    <x v="221"/>
    <n v="727.90000000000009"/>
    <n v="-569.73480000000006"/>
    <n v="-3.602150156924532"/>
  </r>
  <r>
    <s v="ORD-2023-713375"/>
    <d v="2023-08-26T00:00:00"/>
    <d v="2023-09-10T00:00:00"/>
    <n v="15"/>
    <s v="Aug-2023"/>
    <s v="Q3-2023"/>
    <s v="Africa"/>
    <s v="South Africa"/>
    <s v="Cape Town"/>
    <s v="Non-Profit"/>
    <s v="Direct"/>
    <s v="N. Brown"/>
    <x v="0"/>
    <x v="222"/>
    <n v="241.14"/>
    <s v="High"/>
    <n v="496.52"/>
    <n v="9.2999999999999999E-2"/>
    <n v="10"/>
    <x v="222"/>
    <n v="2411.3999999999996"/>
    <n v="6740.2300000000014"/>
    <n v="0.73650595576962796"/>
  </r>
  <r>
    <s v="ORD-2025-678688"/>
    <d v="2025-07-16T00:00:00"/>
    <d v="2025-07-17T00:00:00"/>
    <n v="1"/>
    <s v="Jul-2025"/>
    <s v="Q3-2025"/>
    <s v="Africa"/>
    <s v="South Africa"/>
    <s v="Durban"/>
    <s v="Small Business"/>
    <s v="Distributor"/>
    <s v="B. Chen"/>
    <x v="2"/>
    <x v="223"/>
    <n v="1198.9000000000001"/>
    <s v="High"/>
    <n v="2941.2"/>
    <n v="5.0999999999999997E-2"/>
    <n v="24"/>
    <x v="223"/>
    <n v="28773.600000000002"/>
    <n v="8889.7046399999999"/>
    <n v="0.23603092519286697"/>
  </r>
  <r>
    <s v="ORD-2023-501220"/>
    <d v="2023-04-19T00:00:00"/>
    <d v="2023-05-07T00:00:00"/>
    <n v="18"/>
    <s v="Apr-2023"/>
    <s v="Q2-2023"/>
    <s v="Europe"/>
    <s v="United Kingdom"/>
    <s v="Birmingham"/>
    <s v="Enterprise"/>
    <s v="Retail"/>
    <s v="N. Brown"/>
    <x v="4"/>
    <x v="224"/>
    <n v="1089.1500000000001"/>
    <s v="High"/>
    <n v="1088.2"/>
    <n v="5.0999999999999997E-2"/>
    <n v="15"/>
    <x v="224"/>
    <n v="16337.250000000002"/>
    <n v="-1878.7605000000021"/>
    <n v="-0.12994168581718044"/>
  </r>
  <r>
    <s v="ORD-2023-195665"/>
    <d v="2023-12-19T00:00:00"/>
    <d v="2023-12-20T00:00:00"/>
    <n v="1"/>
    <s v="Dec-2023"/>
    <s v="Q4-2023"/>
    <s v="Americas"/>
    <s v="Brazil"/>
    <s v="Rio de Janeiro"/>
    <s v="Consumer"/>
    <s v="Distributor"/>
    <s v="J. Njeri"/>
    <x v="3"/>
    <x v="225"/>
    <n v="1080.43"/>
    <s v="High"/>
    <n v="2529.15"/>
    <n v="0.14699999999999999"/>
    <n v="10"/>
    <x v="225"/>
    <n v="10804.300000000001"/>
    <n v="-3021.1015000000016"/>
    <n v="-0.38815680982567796"/>
  </r>
  <r>
    <s v="ORD-2023-290237"/>
    <d v="2023-07-30T00:00:00"/>
    <d v="2023-08-07T00:00:00"/>
    <n v="8"/>
    <s v="Jul-2023"/>
    <s v="Q3-2023"/>
    <s v="Asia"/>
    <s v="Japan"/>
    <s v="Nagoya"/>
    <s v="Education"/>
    <s v="Marketplace"/>
    <s v="A. Patel"/>
    <x v="2"/>
    <x v="226"/>
    <n v="1352.44"/>
    <s v="High"/>
    <n v="2698.01"/>
    <n v="0.13100000000000001"/>
    <n v="13"/>
    <x v="226"/>
    <n v="17581.72"/>
    <n v="-8372.5185700000002"/>
    <n v="-0.90914707791335603"/>
  </r>
  <r>
    <s v="ORD-2023-302041"/>
    <d v="2023-10-04T00:00:00"/>
    <d v="2023-10-29T00:00:00"/>
    <n v="25"/>
    <s v="Oct-2023"/>
    <s v="Q4-2023"/>
    <s v="Americas"/>
    <s v="USA"/>
    <s v="San Francisco"/>
    <s v="Small Business"/>
    <s v="Distributor"/>
    <s v="O. Wang"/>
    <x v="6"/>
    <x v="227"/>
    <n v="1239.8399999999999"/>
    <s v="High"/>
    <n v="1482.75"/>
    <n v="6.7000000000000004E-2"/>
    <n v="4"/>
    <x v="227"/>
    <n v="4959.3599999999997"/>
    <n v="1810.7119200000006"/>
    <n v="0.26745829902498297"/>
  </r>
  <r>
    <s v="ORD-2025-289139"/>
    <d v="2025-08-10T00:00:00"/>
    <d v="2025-08-30T00:00:00"/>
    <n v="20"/>
    <s v="Aug-2025"/>
    <s v="Q3-2025"/>
    <s v="Americas"/>
    <s v="USA"/>
    <s v="San Francisco"/>
    <s v="Corporate"/>
    <s v="Marketplace"/>
    <s v="K. Singh"/>
    <x v="1"/>
    <x v="228"/>
    <n v="933.29"/>
    <s v="High"/>
    <n v="1456.81"/>
    <n v="0.123"/>
    <n v="13"/>
    <x v="228"/>
    <n v="12132.77"/>
    <n v="-3480.3230800000019"/>
    <n v="-0.4022357042093247"/>
  </r>
  <r>
    <s v="ORD-2023-949710"/>
    <d v="2023-03-07T00:00:00"/>
    <d v="2023-04-01T00:00:00"/>
    <n v="25"/>
    <s v="Mar-2023"/>
    <s v="Q1-2023"/>
    <s v="Africa"/>
    <s v="Kenya"/>
    <s v="Nairobi"/>
    <s v="Consumer"/>
    <s v="Marketplace"/>
    <s v="D. Smith"/>
    <x v="1"/>
    <x v="229"/>
    <n v="1024.0999999999999"/>
    <s v="High"/>
    <n v="918.19"/>
    <n v="0.189"/>
    <n v="10"/>
    <x v="229"/>
    <n v="10241"/>
    <n v="3281.9384000000009"/>
    <n v="0.24269417658517181"/>
  </r>
  <r>
    <s v="ORD-2023-603650"/>
    <d v="2023-05-23T00:00:00"/>
    <d v="2023-06-10T00:00:00"/>
    <n v="18"/>
    <s v="May-2023"/>
    <s v="Q2-2023"/>
    <s v="Asia"/>
    <s v="China"/>
    <s v="Shanghai"/>
    <s v="Corporate"/>
    <s v="Distributor"/>
    <s v="E. Garcia"/>
    <x v="0"/>
    <x v="230"/>
    <n v="54.62"/>
    <s v="Low"/>
    <n v="48.94"/>
    <n v="0.14799999999999999"/>
    <n v="16"/>
    <x v="230"/>
    <n v="873.92"/>
    <n v="34058.761600000005"/>
    <n v="0.9749827393726338"/>
  </r>
  <r>
    <s v="ORD-2025-757957"/>
    <d v="2025-04-24T00:00:00"/>
    <d v="2025-05-06T00:00:00"/>
    <n v="12"/>
    <s v="Apr-2025"/>
    <s v="Q2-2025"/>
    <s v="Americas"/>
    <s v="Brazil"/>
    <s v="Brasília"/>
    <s v="Consumer"/>
    <s v="Online"/>
    <s v="C. Otieno"/>
    <x v="3"/>
    <x v="231"/>
    <n v="394.13"/>
    <s v="High"/>
    <n v="932.29"/>
    <n v="0.109"/>
    <n v="7"/>
    <x v="231"/>
    <n v="2758.91"/>
    <n v="1890.0250599999999"/>
    <n v="0.40655010999443819"/>
  </r>
  <r>
    <s v="ORD-2024-423853"/>
    <d v="2024-09-03T00:00:00"/>
    <d v="2024-09-08T00:00:00"/>
    <n v="5"/>
    <s v="Sept-2024"/>
    <s v="Q3-2024"/>
    <s v="Africa"/>
    <s v="Nigeria"/>
    <s v="Lagos"/>
    <s v="Small Business"/>
    <s v="Direct"/>
    <s v="K. Singh"/>
    <x v="1"/>
    <x v="232"/>
    <n v="197.63"/>
    <s v="High"/>
    <n v="325.79000000000002"/>
    <n v="0.11600000000000001"/>
    <n v="10"/>
    <x v="232"/>
    <n v="1976.3"/>
    <n v="4105.1779999999999"/>
    <n v="0.67502965561990025"/>
  </r>
  <r>
    <s v="ORD-2024-569164"/>
    <d v="2024-09-05T00:00:00"/>
    <d v="2024-09-25T00:00:00"/>
    <n v="20"/>
    <s v="Sept-2024"/>
    <s v="Q3-2024"/>
    <s v="Asia"/>
    <s v="Japan"/>
    <s v="Osaka"/>
    <s v="Enterprise"/>
    <s v="Distributor"/>
    <s v="D. Smith"/>
    <x v="5"/>
    <x v="233"/>
    <n v="195.54"/>
    <s v="High"/>
    <n v="405.97"/>
    <n v="0.187"/>
    <n v="16"/>
    <x v="233"/>
    <n v="3128.64"/>
    <n v="4026.67056"/>
    <n v="0.56275273116866642"/>
  </r>
  <r>
    <s v="ORD-2023-946143"/>
    <d v="2023-03-14T00:00:00"/>
    <d v="2023-03-30T00:00:00"/>
    <n v="16"/>
    <s v="Mar-2023"/>
    <s v="Q1-2023"/>
    <s v="Africa"/>
    <s v="South Africa"/>
    <s v="Cape Town"/>
    <s v="Consumer"/>
    <s v="Distributor"/>
    <s v="K. Singh"/>
    <x v="0"/>
    <x v="234"/>
    <n v="1309.77"/>
    <s v="High"/>
    <n v="1589.07"/>
    <n v="0.10199999999999999"/>
    <n v="10"/>
    <x v="234"/>
    <n v="13097.7"/>
    <n v="5474.8257999999987"/>
    <n v="0.29478089619883574"/>
  </r>
  <r>
    <s v="ORD-2024-281211"/>
    <d v="2024-01-11T00:00:00"/>
    <d v="2024-02-02T00:00:00"/>
    <n v="22"/>
    <s v="Jan-2024"/>
    <s v="Q1-2024"/>
    <s v="Asia"/>
    <s v="Japan"/>
    <s v="Nagoya"/>
    <s v="Small Business"/>
    <s v="Online"/>
    <s v="Not Provided"/>
    <x v="1"/>
    <x v="235"/>
    <n v="1237.68"/>
    <s v="High"/>
    <n v="1432.8"/>
    <n v="6.8000000000000005E-2"/>
    <n v="13"/>
    <x v="235"/>
    <n v="16089.84"/>
    <n v="15128.851400000003"/>
    <n v="0.48460876230065175"/>
  </r>
  <r>
    <s v="ORD-2024-805860"/>
    <d v="2024-09-13T00:00:00"/>
    <d v="2024-10-02T00:00:00"/>
    <n v="19"/>
    <s v="Sept-2024"/>
    <s v="Q3-2024"/>
    <s v="Africa"/>
    <s v="Kenya"/>
    <s v="Mombasa"/>
    <s v="Small Business"/>
    <s v="Retail"/>
    <s v="M. Rossi"/>
    <x v="3"/>
    <x v="236"/>
    <n v="1338.99"/>
    <s v="High"/>
    <n v="1765.76"/>
    <n v="0.126"/>
    <n v="24"/>
    <x v="236"/>
    <n v="32135.760000000002"/>
    <n v="-10233.879360000003"/>
    <n v="-0.46726030189889678"/>
  </r>
  <r>
    <s v="ORD-2025-132174"/>
    <d v="2025-07-17T00:00:00"/>
    <d v="2025-07-23T00:00:00"/>
    <n v="6"/>
    <s v="Jul-2025"/>
    <s v="Q3-2025"/>
    <s v="Americas"/>
    <s v="Canada"/>
    <s v="Vancouver"/>
    <s v="Consumer"/>
    <s v="Online"/>
    <s v="H. Kim"/>
    <x v="0"/>
    <x v="237"/>
    <n v="1364.89"/>
    <s v="High"/>
    <n v="2757.54"/>
    <n v="0.17199999999999999"/>
    <n v="61"/>
    <x v="237"/>
    <n v="83258.290000000008"/>
    <n v="-78255.977680000011"/>
    <n v="-15.643960767327698"/>
  </r>
  <r>
    <s v="ORD-2023-964434"/>
    <d v="2023-11-28T00:00:00"/>
    <d v="2023-12-07T00:00:00"/>
    <n v="9"/>
    <s v="Nov-2023"/>
    <s v="Q4-2023"/>
    <s v="Asia"/>
    <s v="India"/>
    <s v="Delhi"/>
    <s v="Enterprise"/>
    <s v="Marketplace"/>
    <s v="L. Okafor"/>
    <x v="3"/>
    <x v="238"/>
    <n v="699.33"/>
    <s v="High"/>
    <n v="873.75"/>
    <n v="0.23499999999999999"/>
    <n v="10"/>
    <x v="238"/>
    <n v="6993.3"/>
    <n v="8282.2965000000004"/>
    <n v="0.5421913638527962"/>
  </r>
  <r>
    <s v="ORD-2024-897622"/>
    <d v="2024-03-30T00:00:00"/>
    <d v="2024-04-24T00:00:00"/>
    <n v="25"/>
    <s v="Mar-2024"/>
    <s v="Q1-2024"/>
    <s v="Americas"/>
    <s v="USA"/>
    <s v="Austin"/>
    <s v="Non-Profit"/>
    <s v="Online"/>
    <s v="G. Dubois"/>
    <x v="4"/>
    <x v="239"/>
    <n v="160.82"/>
    <s v="High"/>
    <n v="258.52"/>
    <n v="0.13"/>
    <n v="17"/>
    <x v="239"/>
    <n v="2733.94"/>
    <n v="10897.707199999999"/>
    <n v="0.79944169916604058"/>
  </r>
  <r>
    <s v="ORD-2023-517216"/>
    <d v="2023-09-19T00:00:00"/>
    <d v="2023-10-08T00:00:00"/>
    <n v="19"/>
    <s v="Sept-2023"/>
    <s v="Q3-2023"/>
    <s v="Asia"/>
    <s v="India"/>
    <s v="Bengaluru"/>
    <s v="Education"/>
    <s v="Direct"/>
    <s v="J. Njeri"/>
    <x v="1"/>
    <x v="240"/>
    <n v="385.32"/>
    <s v="High"/>
    <n v="606.76"/>
    <n v="8.5999999999999993E-2"/>
    <n v="8"/>
    <x v="240"/>
    <n v="3082.56"/>
    <n v="15225.152480000002"/>
    <n v="0.8316250594732959"/>
  </r>
  <r>
    <s v="ORD-2025-509940"/>
    <d v="2025-05-16T00:00:00"/>
    <d v="2025-05-27T00:00:00"/>
    <n v="11"/>
    <s v="May-2025"/>
    <s v="Q2-2025"/>
    <s v="Asia"/>
    <s v="China"/>
    <s v="Beijing"/>
    <s v="Enterprise"/>
    <s v="Online"/>
    <s v="F. Müller"/>
    <x v="3"/>
    <x v="241"/>
    <n v="918.12"/>
    <s v="High"/>
    <n v="1337.69"/>
    <n v="9.5000000000000001E-2"/>
    <n v="8"/>
    <x v="241"/>
    <n v="7344.96"/>
    <n v="10485.4948"/>
    <n v="0.58806659267042372"/>
  </r>
  <r>
    <s v="ORD-2025-646342"/>
    <d v="2025-08-02T00:00:00"/>
    <d v="2025-08-08T00:00:00"/>
    <n v="6"/>
    <s v="Aug-2025"/>
    <s v="Q3-2025"/>
    <s v="Asia"/>
    <s v="Japan"/>
    <s v="Osaka"/>
    <s v="Consumer"/>
    <s v="Direct"/>
    <s v="N. Brown"/>
    <x v="4"/>
    <x v="242"/>
    <n v="1225.94"/>
    <s v="High"/>
    <n v="1793.08"/>
    <n v="0.13600000000000001"/>
    <n v="22"/>
    <x v="242"/>
    <n v="26970.68"/>
    <n v="-17538.910400000001"/>
    <n v="-1.8595567050323198"/>
  </r>
  <r>
    <s v="ORD-2024-866535"/>
    <d v="2024-12-04T00:00:00"/>
    <d v="2024-12-12T00:00:00"/>
    <n v="8"/>
    <s v="Dec-2024"/>
    <s v="Q4-2024"/>
    <s v="Europe"/>
    <s v="Germany"/>
    <s v="Frankfurt"/>
    <s v="Enterprise"/>
    <s v="Marketplace"/>
    <s v="B. Chen"/>
    <x v="1"/>
    <x v="243"/>
    <n v="72.06"/>
    <s v="Medium"/>
    <n v="122.74"/>
    <n v="0.23799999999999999"/>
    <n v="8"/>
    <x v="243"/>
    <n v="576.48"/>
    <n v="4956.1886400000003"/>
    <n v="0.89580435093615152"/>
  </r>
  <r>
    <s v="ORD-2023-747341"/>
    <d v="2023-04-19T00:00:00"/>
    <d v="2023-04-28T00:00:00"/>
    <n v="9"/>
    <s v="Apr-2023"/>
    <s v="Q2-2023"/>
    <s v="Americas"/>
    <s v="Brazil"/>
    <s v="Rio de Janeiro"/>
    <s v="Corporate"/>
    <s v="Distributor"/>
    <s v="M. Rossi"/>
    <x v="3"/>
    <x v="244"/>
    <n v="1013.54"/>
    <s v="High"/>
    <n v="927.93"/>
    <n v="0.17499999999999999"/>
    <n v="16"/>
    <x v="244"/>
    <n v="16216.64"/>
    <n v="-11805.331999999999"/>
    <n v="-2.6761522886182507"/>
  </r>
  <r>
    <s v="ORD-2024-853298"/>
    <d v="2024-03-06T00:00:00"/>
    <d v="2024-03-26T00:00:00"/>
    <n v="20"/>
    <s v="Mar-2024"/>
    <s v="Q1-2024"/>
    <s v="Africa"/>
    <s v="Nigeria"/>
    <s v="Port Harcourt"/>
    <s v="Consumer"/>
    <s v="Marketplace"/>
    <s v="I. Johnson"/>
    <x v="3"/>
    <x v="245"/>
    <n v="65.64"/>
    <s v="Medium"/>
    <n v="151.88"/>
    <n v="0.16700000000000001"/>
    <n v="23"/>
    <x v="245"/>
    <n v="1509.72"/>
    <n v="8812.9576099999995"/>
    <n v="0.8537472488206479"/>
  </r>
  <r>
    <s v="ORD-2024-544865"/>
    <d v="2024-02-16T00:00:00"/>
    <d v="2024-03-04T00:00:00"/>
    <n v="17"/>
    <s v="Feb-2024"/>
    <s v="Q1-2024"/>
    <s v="Americas"/>
    <s v="Canada"/>
    <s v="Montreal"/>
    <s v="Non-Profit"/>
    <s v="Retail"/>
    <s v="D. Smith"/>
    <x v="4"/>
    <x v="246"/>
    <n v="1350.98"/>
    <s v="High"/>
    <n v="2210.4"/>
    <n v="0.26300000000000001"/>
    <n v="6"/>
    <x v="246"/>
    <n v="8105.88"/>
    <n v="-1753.5001200000006"/>
    <n v="-0.27603829637468102"/>
  </r>
  <r>
    <s v="ORD-2025-946490"/>
    <d v="2025-04-22T00:00:00"/>
    <d v="2025-05-02T00:00:00"/>
    <n v="10"/>
    <s v="Apr-2025"/>
    <s v="Q2-2025"/>
    <s v="Europe"/>
    <s v="Germany"/>
    <s v="Berlin"/>
    <s v="Corporate"/>
    <s v="Marketplace"/>
    <s v="C. Otieno"/>
    <x v="5"/>
    <x v="247"/>
    <n v="20.149999999999999"/>
    <s v="Low"/>
    <n v="39.74"/>
    <n v="0.151"/>
    <n v="18"/>
    <x v="247"/>
    <n v="362.7"/>
    <n v="26633.717099999998"/>
    <n v="0.98656488382675045"/>
  </r>
  <r>
    <s v="ORD-2024-320972"/>
    <d v="2024-11-08T00:00:00"/>
    <d v="2024-11-08T00:00:00"/>
    <n v="0"/>
    <s v="Nov-2024"/>
    <s v="Q4-2024"/>
    <s v="Africa"/>
    <s v="Kenya"/>
    <s v="Nakuru"/>
    <s v="Enterprise"/>
    <s v="Marketplace"/>
    <s v="M. Rossi"/>
    <x v="2"/>
    <x v="248"/>
    <n v="803.28"/>
    <s v="High"/>
    <n v="1009"/>
    <n v="0.11"/>
    <n v="4"/>
    <x v="248"/>
    <n v="3213.12"/>
    <n v="-975.51760000000013"/>
    <n v="-0.43596556743056775"/>
  </r>
  <r>
    <s v="ORD-2025-248586"/>
    <d v="2025-09-12T00:00:00"/>
    <d v="2025-09-30T00:00:00"/>
    <n v="18"/>
    <s v="Sept-2025"/>
    <s v="Q3-2025"/>
    <s v="Asia"/>
    <s v="Japan"/>
    <s v="Nagoya"/>
    <s v="Non-Profit"/>
    <s v="Marketplace"/>
    <s v="F. Müller"/>
    <x v="5"/>
    <x v="249"/>
    <n v="1212.99"/>
    <s v="High"/>
    <n v="1653.64"/>
    <n v="0.107"/>
    <n v="8"/>
    <x v="249"/>
    <n v="9703.92"/>
    <n v="2089.0380000000005"/>
    <n v="0.17714283388442495"/>
  </r>
  <r>
    <s v="ORD-2024-664046"/>
    <d v="2024-09-02T00:00:00"/>
    <d v="2024-09-08T00:00:00"/>
    <n v="6"/>
    <s v="Sept-2024"/>
    <s v="Q3-2024"/>
    <s v="Americas"/>
    <s v="USA"/>
    <s v="Austin"/>
    <s v="Consumer"/>
    <s v="Direct"/>
    <s v="H. Kim"/>
    <x v="0"/>
    <x v="250"/>
    <n v="462.94"/>
    <s v="High"/>
    <n v="1015.7"/>
    <n v="0.14299999999999999"/>
    <n v="14"/>
    <x v="250"/>
    <n v="6481.16"/>
    <n v="20480.025719999998"/>
    <n v="0.75961146266678359"/>
  </r>
  <r>
    <s v="ORD-2023-276806"/>
    <d v="2023-03-04T00:00:00"/>
    <d v="2023-03-24T00:00:00"/>
    <n v="20"/>
    <s v="Mar-2023"/>
    <s v="Q1-2023"/>
    <s v="Americas"/>
    <s v="Canada"/>
    <s v="Montreal"/>
    <s v="Consumer"/>
    <s v="Distributor"/>
    <s v="I. Johnson"/>
    <x v="4"/>
    <x v="251"/>
    <n v="481.71"/>
    <s v="High"/>
    <n v="912.45"/>
    <n v="0.20300000000000001"/>
    <n v="24"/>
    <x v="251"/>
    <n v="11561.039999999999"/>
    <n v="5523.8983200000021"/>
    <n v="0.3233197695266834"/>
  </r>
  <r>
    <s v="ORD-2024-220234"/>
    <d v="2024-03-15T00:00:00"/>
    <d v="2024-04-09T00:00:00"/>
    <n v="25"/>
    <s v="Mar-2024"/>
    <s v="Q1-2024"/>
    <s v="Americas"/>
    <s v="Canada"/>
    <s v="Vancouver"/>
    <s v="Consumer"/>
    <s v="Online"/>
    <s v="F. Müller"/>
    <x v="5"/>
    <x v="252"/>
    <n v="648.64"/>
    <s v="High"/>
    <n v="815.19"/>
    <n v="0.22500000000000001"/>
    <n v="28"/>
    <x v="252"/>
    <n v="18161.919999999998"/>
    <n v="32375.210000000006"/>
    <n v="0.64062225140208795"/>
  </r>
  <r>
    <s v="ORD-2024-301260"/>
    <d v="2024-07-29T00:00:00"/>
    <d v="2024-07-31T00:00:00"/>
    <n v="2"/>
    <s v="Jul-2024"/>
    <s v="Q3-2024"/>
    <s v="Americas"/>
    <s v="USA"/>
    <s v="New York"/>
    <s v="Education"/>
    <s v="Marketplace"/>
    <s v="I. Johnson"/>
    <x v="1"/>
    <x v="253"/>
    <n v="798.97"/>
    <s v="High"/>
    <n v="1814.06"/>
    <n v="0.122"/>
    <n v="16"/>
    <x v="253"/>
    <n v="12783.52"/>
    <n v="16250.184000000001"/>
    <n v="0.55970068441835741"/>
  </r>
  <r>
    <s v="ORD-2024-350100"/>
    <d v="2024-10-27T00:00:00"/>
    <d v="2024-11-20T00:00:00"/>
    <n v="24"/>
    <s v="Oct-2024"/>
    <s v="Q4-2024"/>
    <s v="Asia"/>
    <s v="Japan"/>
    <s v="Nagoya"/>
    <s v="Non-Profit"/>
    <s v="Online"/>
    <s v="H. Kim"/>
    <x v="5"/>
    <x v="254"/>
    <n v="317.25"/>
    <s v="High"/>
    <n v="758.92"/>
    <n v="5.2999999999999999E-2"/>
    <n v="9"/>
    <x v="254"/>
    <n v="2855.25"/>
    <n v="15744.578130000002"/>
    <n v="0.84649051700672895"/>
  </r>
  <r>
    <s v="ORD-2024-855600"/>
    <d v="2024-04-29T00:00:00"/>
    <d v="2024-05-19T00:00:00"/>
    <n v="20"/>
    <s v="Apr-2024"/>
    <s v="Q2-2024"/>
    <s v="Europe"/>
    <s v="Germany"/>
    <s v="Frankfurt"/>
    <s v="Enterprise"/>
    <s v="Marketplace"/>
    <s v="C. Otieno"/>
    <x v="4"/>
    <x v="255"/>
    <n v="668.97"/>
    <s v="High"/>
    <n v="1667.44"/>
    <n v="3.4000000000000002E-2"/>
    <n v="15"/>
    <x v="255"/>
    <n v="10034.550000000001"/>
    <n v="29474.17379999999"/>
    <n v="0.74601685311839905"/>
  </r>
  <r>
    <s v="ORD-2023-474313"/>
    <d v="2023-10-05T00:00:00"/>
    <d v="2023-10-06T00:00:00"/>
    <n v="1"/>
    <s v="Oct-2023"/>
    <s v="Q4-2023"/>
    <s v="Asia"/>
    <s v="India"/>
    <s v="Bengaluru"/>
    <s v="Non-Profit"/>
    <s v="Online"/>
    <s v="I. Johnson"/>
    <x v="0"/>
    <x v="256"/>
    <n v="1470.26"/>
    <s v="High"/>
    <n v="2562.5500000000002"/>
    <n v="0.17299999999999999"/>
    <n v="9"/>
    <x v="256"/>
    <n v="13232.34"/>
    <n v="-12404.008530000001"/>
    <n v="-14.974691870634834"/>
  </r>
  <r>
    <s v="ORD-2023-256951"/>
    <d v="2023-04-19T00:00:00"/>
    <d v="2023-05-07T00:00:00"/>
    <n v="18"/>
    <s v="Apr-2023"/>
    <s v="Q2-2023"/>
    <s v="Europe"/>
    <s v="United Kingdom"/>
    <s v="London"/>
    <s v="Non-Profit"/>
    <s v="Direct"/>
    <s v="H. Kim"/>
    <x v="2"/>
    <x v="257"/>
    <n v="516.96"/>
    <s v="High"/>
    <n v="745.38"/>
    <n v="0.19700000000000001"/>
    <n v="4"/>
    <x v="257"/>
    <n v="2067.84"/>
    <n v="1465.6490799999992"/>
    <n v="0.41478805985159561"/>
  </r>
  <r>
    <s v="ORD-2025-184754"/>
    <d v="2025-06-27T00:00:00"/>
    <d v="2025-07-05T00:00:00"/>
    <n v="8"/>
    <s v="Jun-2025"/>
    <s v="Q2-2025"/>
    <s v="Europe"/>
    <s v="Germany"/>
    <s v="Munich"/>
    <s v="Small Business"/>
    <s v="Direct"/>
    <s v="G. Dubois"/>
    <x v="5"/>
    <x v="258"/>
    <n v="314.93"/>
    <s v="High"/>
    <n v="687.95"/>
    <n v="0.20499999999999999"/>
    <n v="8"/>
    <x v="258"/>
    <n v="2519.44"/>
    <n v="7205.8904000000002"/>
    <n v="0.74094042090333501"/>
  </r>
  <r>
    <s v="ORD-2023-888140"/>
    <d v="2023-10-11T00:00:00"/>
    <d v="2023-10-13T00:00:00"/>
    <n v="2"/>
    <s v="Oct-2023"/>
    <s v="Q4-2023"/>
    <s v="Americas"/>
    <s v="Brazil"/>
    <s v="Brasília"/>
    <s v="Consumer"/>
    <s v="Distributor"/>
    <s v="Not Provided"/>
    <x v="6"/>
    <x v="259"/>
    <n v="715.94"/>
    <s v="High"/>
    <n v="550.07000000000005"/>
    <n v="0.14000000000000001"/>
    <n v="16"/>
    <x v="259"/>
    <n v="11455.04"/>
    <n v="-1428.2656000000006"/>
    <n v="-0.14244517159975201"/>
  </r>
  <r>
    <s v="ORD-2023-638181"/>
    <d v="2023-05-20T00:00:00"/>
    <d v="2023-06-07T00:00:00"/>
    <n v="18"/>
    <s v="May-2023"/>
    <s v="Q2-2023"/>
    <s v="Africa"/>
    <s v="Nigeria"/>
    <s v="Port Harcourt"/>
    <s v="Enterprise"/>
    <s v="Distributor"/>
    <s v="E. Garcia"/>
    <x v="0"/>
    <x v="260"/>
    <n v="1120.06"/>
    <s v="High"/>
    <n v="2068.21"/>
    <n v="7.8E-2"/>
    <n v="12"/>
    <x v="260"/>
    <n v="13440.72"/>
    <n v="-13371.238079999999"/>
    <n v="-192.44197742376721"/>
  </r>
  <r>
    <s v="ORD-2023-521280"/>
    <d v="2023-05-27T00:00:00"/>
    <d v="2023-06-19T00:00:00"/>
    <n v="23"/>
    <s v="May-2023"/>
    <s v="Q2-2023"/>
    <s v="Europe"/>
    <s v="Germany"/>
    <s v="Berlin"/>
    <s v="Education"/>
    <s v="Retail"/>
    <s v="O. Wang"/>
    <x v="6"/>
    <x v="261"/>
    <n v="1471.58"/>
    <s v="High"/>
    <n v="2576.65"/>
    <n v="4.0000000000000001E-3"/>
    <n v="7"/>
    <x v="261"/>
    <n v="10301.06"/>
    <n v="7615.3764399999982"/>
    <n v="0.42504972824830334"/>
  </r>
  <r>
    <s v="ORD-2023-630430"/>
    <d v="2023-08-04T00:00:00"/>
    <d v="2023-08-24T00:00:00"/>
    <n v="20"/>
    <s v="Aug-2023"/>
    <s v="Q3-2023"/>
    <s v="Americas"/>
    <s v="Brazil"/>
    <s v="Brasília"/>
    <s v="Non-Profit"/>
    <s v="Direct"/>
    <s v="Not Provided"/>
    <x v="2"/>
    <x v="262"/>
    <n v="582.88"/>
    <s v="High"/>
    <n v="1044.1400000000001"/>
    <n v="0.216"/>
    <n v="10"/>
    <x v="262"/>
    <n v="5828.8"/>
    <n v="6652.6368000000011"/>
    <n v="0.53300248253470306"/>
  </r>
  <r>
    <s v="ORD-2025-908258"/>
    <d v="2025-06-21T00:00:00"/>
    <d v="2025-06-27T00:00:00"/>
    <n v="6"/>
    <s v="Jun-2025"/>
    <s v="Q2-2025"/>
    <s v="Africa"/>
    <s v="South Africa"/>
    <s v="Durban"/>
    <s v="Enterprise"/>
    <s v="Distributor"/>
    <s v="N. Brown"/>
    <x v="3"/>
    <x v="263"/>
    <n v="93.91"/>
    <s v="Medium"/>
    <n v="99.04"/>
    <n v="5.7000000000000002E-2"/>
    <n v="6"/>
    <x v="263"/>
    <n v="563.46"/>
    <n v="5068.9092599999994"/>
    <n v="0.89996039428707486"/>
  </r>
  <r>
    <s v="ORD-2025-440093"/>
    <d v="2025-04-16T00:00:00"/>
    <d v="2025-04-26T00:00:00"/>
    <n v="10"/>
    <s v="Apr-2025"/>
    <s v="Q2-2025"/>
    <s v="Africa"/>
    <s v="Nigeria"/>
    <s v="Port Harcourt"/>
    <s v="Enterprise"/>
    <s v="Marketplace"/>
    <s v="F. Müller"/>
    <x v="4"/>
    <x v="264"/>
    <n v="1457.44"/>
    <s v="High"/>
    <n v="1996.81"/>
    <n v="0.126"/>
    <n v="23"/>
    <x v="264"/>
    <n v="33521.120000000003"/>
    <n v="-8588.4083800000044"/>
    <n v="-0.3444634707566559"/>
  </r>
  <r>
    <s v="ORD-2025-898022"/>
    <d v="2025-09-02T00:00:00"/>
    <d v="2025-09-11T00:00:00"/>
    <n v="9"/>
    <s v="Sept-2025"/>
    <s v="Q3-2025"/>
    <s v="Americas"/>
    <s v="Canada"/>
    <s v="Toronto"/>
    <s v="Corporate"/>
    <s v="Distributor"/>
    <s v="M. Rossi"/>
    <x v="1"/>
    <x v="265"/>
    <n v="1207.6300000000001"/>
    <s v="High"/>
    <n v="921.68"/>
    <n v="0.19600000000000001"/>
    <n v="17"/>
    <x v="265"/>
    <n v="20529.710000000003"/>
    <n v="-18911.828840000002"/>
    <n v="-11.689257102171831"/>
  </r>
  <r>
    <s v="ORD-2024-500511"/>
    <d v="2024-10-08T00:00:00"/>
    <d v="2024-10-08T00:00:00"/>
    <n v="0"/>
    <s v="Oct-2024"/>
    <s v="Q4-2024"/>
    <s v="Europe"/>
    <s v="United Kingdom"/>
    <s v="London"/>
    <s v="Corporate"/>
    <s v="Online"/>
    <s v="E. Garcia"/>
    <x v="5"/>
    <x v="266"/>
    <n v="1108.1099999999999"/>
    <s v="High"/>
    <n v="2503.79"/>
    <n v="0.184"/>
    <n v="19"/>
    <x v="266"/>
    <n v="21054.089999999997"/>
    <n v="11590.04712000001"/>
    <n v="0.35504222633898824"/>
  </r>
  <r>
    <s v="ORD-2023-632893"/>
    <d v="2023-05-07T00:00:00"/>
    <d v="2023-05-05T00:00:00"/>
    <n v="2"/>
    <s v="May-2023"/>
    <s v="Q2-2023"/>
    <s v="Africa"/>
    <s v="Nigeria"/>
    <s v="Port Harcourt"/>
    <s v="Non-Profit"/>
    <s v="Marketplace"/>
    <s v="A. Patel"/>
    <x v="0"/>
    <x v="267"/>
    <n v="1269.6500000000001"/>
    <s v="High"/>
    <n v="2462.77"/>
    <n v="0.107"/>
    <n v="8"/>
    <x v="267"/>
    <n v="10157.200000000001"/>
    <n v="-6420.8880000000008"/>
    <n v="-1.7185095891349547"/>
  </r>
  <r>
    <s v="ORD-2023-967239"/>
    <d v="2023-12-24T00:00:00"/>
    <d v="2024-01-01T00:00:00"/>
    <n v="8"/>
    <s v="Dec-2023"/>
    <s v="Q4-2023"/>
    <s v="Americas"/>
    <s v="Brazil"/>
    <s v="São Paulo"/>
    <s v="Education"/>
    <s v="Direct"/>
    <s v="C. Otieno"/>
    <x v="3"/>
    <x v="268"/>
    <n v="526.49"/>
    <s v="High"/>
    <n v="496.2"/>
    <n v="0"/>
    <n v="14"/>
    <x v="268"/>
    <n v="7370.8600000000006"/>
    <n v="7683.3399999999983"/>
    <n v="0.51037849902352828"/>
  </r>
  <r>
    <s v="ORD-2024-885858"/>
    <d v="2024-01-10T00:00:00"/>
    <d v="2024-01-23T00:00:00"/>
    <n v="13"/>
    <s v="Jan-2024"/>
    <s v="Q1-2024"/>
    <s v="Europe"/>
    <s v="France"/>
    <s v="Marseille"/>
    <s v="Corporate"/>
    <s v="Direct"/>
    <s v="A. Patel"/>
    <x v="1"/>
    <x v="269"/>
    <n v="720"/>
    <s v="High"/>
    <n v="907.59"/>
    <n v="0.154"/>
    <n v="10"/>
    <x v="269"/>
    <n v="7200"/>
    <n v="20672.062200000004"/>
    <n v="0.7416768106954067"/>
  </r>
  <r>
    <s v="ORD-2023-253245"/>
    <d v="2023-08-03T00:00:00"/>
    <d v="2023-08-14T00:00:00"/>
    <n v="11"/>
    <s v="Aug-2023"/>
    <s v="Q3-2023"/>
    <s v="Americas"/>
    <s v="Brazil"/>
    <s v="Brasília"/>
    <s v="Corporate"/>
    <s v="Direct"/>
    <s v="J. Njeri"/>
    <x v="6"/>
    <x v="270"/>
    <n v="232.73"/>
    <s v="High"/>
    <n v="334.19"/>
    <n v="0.13400000000000001"/>
    <n v="25"/>
    <x v="270"/>
    <n v="5818.25"/>
    <n v="4228.4325000000008"/>
    <n v="0.42087848401698774"/>
  </r>
  <r>
    <s v="ORD-2025-484073"/>
    <d v="2025-02-19T00:00:00"/>
    <d v="2025-03-09T00:00:00"/>
    <n v="18"/>
    <s v="Feb-2025"/>
    <s v="Q1-2025"/>
    <s v="Asia"/>
    <s v="India"/>
    <s v="Delhi"/>
    <s v="Small Business"/>
    <s v="Direct"/>
    <s v="O. Wang"/>
    <x v="5"/>
    <x v="271"/>
    <n v="325.87"/>
    <s v="High"/>
    <n v="538.79"/>
    <n v="0.17399999999999999"/>
    <n v="16"/>
    <x v="271"/>
    <n v="5213.92"/>
    <n v="1539.8524800000005"/>
    <n v="0.22799886797489516"/>
  </r>
  <r>
    <s v="ORD-2024-745822"/>
    <d v="2024-03-31T00:00:00"/>
    <d v="2024-04-17T00:00:00"/>
    <n v="17"/>
    <s v="Mar-2024"/>
    <s v="Q1-2024"/>
    <s v="Europe"/>
    <s v="Germany"/>
    <s v="Frankfurt"/>
    <s v="Education"/>
    <s v="Direct"/>
    <s v="H. Kim"/>
    <x v="5"/>
    <x v="272"/>
    <n v="1025.51"/>
    <s v="High"/>
    <n v="1436.54"/>
    <n v="0.13900000000000001"/>
    <n v="28"/>
    <x v="272"/>
    <n v="28714.28"/>
    <n v="-28612.544239999999"/>
    <n v="-281.24372629643699"/>
  </r>
  <r>
    <s v="ORD-2023-369160"/>
    <d v="2023-07-24T00:00:00"/>
    <d v="2023-08-13T00:00:00"/>
    <n v="20"/>
    <s v="Jul-2023"/>
    <s v="Q3-2023"/>
    <s v="Americas"/>
    <s v="Canada"/>
    <s v="Montreal"/>
    <s v="Education"/>
    <s v="Direct"/>
    <s v="C. Otieno"/>
    <x v="5"/>
    <x v="273"/>
    <n v="1082.3800000000001"/>
    <s v="High"/>
    <n v="1766.55"/>
    <n v="0.16400000000000001"/>
    <n v="20"/>
    <x v="273"/>
    <n v="21647.600000000002"/>
    <n v="-11996.147200000003"/>
    <n v="-1.242936938986015"/>
  </r>
  <r>
    <s v="ORD-2024-834983"/>
    <d v="2024-03-16T00:00:00"/>
    <d v="2024-04-13T00:00:00"/>
    <n v="28"/>
    <s v="Mar-2024"/>
    <s v="Q1-2024"/>
    <s v="Europe"/>
    <s v="France"/>
    <s v="Paris"/>
    <s v="Small Business"/>
    <s v="Online"/>
    <s v="K. Singh"/>
    <x v="1"/>
    <x v="274"/>
    <n v="287.61"/>
    <s v="High"/>
    <n v="628.54"/>
    <n v="0.13500000000000001"/>
    <n v="21"/>
    <x v="274"/>
    <n v="6039.81"/>
    <n v="19864.024949999999"/>
    <n v="0.76683722654741504"/>
  </r>
  <r>
    <s v="ORD-2024-499009"/>
    <d v="2024-01-25T00:00:00"/>
    <d v="2024-01-27T00:00:00"/>
    <n v="2"/>
    <s v="Jan-2024"/>
    <s v="Q1-2024"/>
    <s v="Americas"/>
    <s v="Brazil"/>
    <s v="São Paulo"/>
    <s v="Non-Profit"/>
    <s v="Marketplace"/>
    <s v="N. Brown"/>
    <x v="4"/>
    <x v="275"/>
    <n v="1410.97"/>
    <s v="High"/>
    <n v="1650.75"/>
    <n v="0.13500000000000001"/>
    <n v="6"/>
    <x v="275"/>
    <n v="8465.82"/>
    <n v="-1406.7972"/>
    <n v="-0.19929064402511917"/>
  </r>
  <r>
    <s v="ORD-2024-948800"/>
    <d v="2024-03-27T00:00:00"/>
    <d v="2024-04-11T00:00:00"/>
    <n v="15"/>
    <s v="Mar-2024"/>
    <s v="Q1-2024"/>
    <s v="Americas"/>
    <s v="USA"/>
    <s v="San Francisco"/>
    <s v="Small Business"/>
    <s v="Direct"/>
    <s v="O. Wang"/>
    <x v="2"/>
    <x v="276"/>
    <n v="1338.35"/>
    <s v="High"/>
    <n v="2247.14"/>
    <n v="0.115"/>
    <n v="40"/>
    <x v="276"/>
    <n v="53534"/>
    <n v="19782.940000000002"/>
    <n v="0.26982768238827209"/>
  </r>
  <r>
    <s v="ORD-2025-678328"/>
    <d v="2025-06-24T00:00:00"/>
    <d v="2025-07-14T00:00:00"/>
    <n v="20"/>
    <s v="Jun-2025"/>
    <s v="Q2-2025"/>
    <s v="Europe"/>
    <s v="Germany"/>
    <s v="Berlin"/>
    <s v="Corporate"/>
    <s v="Direct"/>
    <s v="O. Wang"/>
    <x v="6"/>
    <x v="277"/>
    <n v="385.08"/>
    <s v="High"/>
    <n v="893.19"/>
    <n v="0.151"/>
    <n v="8"/>
    <x v="277"/>
    <n v="3080.64"/>
    <n v="3574.4332799999997"/>
    <n v="0.53709901147775185"/>
  </r>
  <r>
    <s v="ORD-2024-580808"/>
    <d v="2024-06-16T00:00:00"/>
    <d v="2024-07-03T00:00:00"/>
    <n v="17"/>
    <s v="Jun-2024"/>
    <s v="Q2-2024"/>
    <s v="Africa"/>
    <s v="South Africa"/>
    <s v="Johannesburg"/>
    <s v="Enterprise"/>
    <s v="Marketplace"/>
    <s v="F. Müller"/>
    <x v="3"/>
    <x v="278"/>
    <n v="1173.83"/>
    <s v="High"/>
    <n v="2328.9"/>
    <n v="0.12"/>
    <n v="17"/>
    <x v="278"/>
    <n v="19955.11"/>
    <n v="-11915.7556"/>
    <n v="-1.4821781709237749"/>
  </r>
  <r>
    <s v="ORD-2023-211715"/>
    <d v="2023-10-30T00:00:00"/>
    <d v="2023-11-14T00:00:00"/>
    <n v="15"/>
    <s v="Oct-2023"/>
    <s v="Q4-2023"/>
    <s v="Asia"/>
    <s v="India"/>
    <s v="Bengaluru"/>
    <s v="Corporate"/>
    <s v="Online"/>
    <s v="F. Müller"/>
    <x v="4"/>
    <x v="279"/>
    <n v="953.46"/>
    <s v="High"/>
    <n v="2066.75"/>
    <n v="0.13800000000000001"/>
    <n v="5"/>
    <x v="279"/>
    <n v="4767.3"/>
    <n v="-3847.8908000000001"/>
    <n v="-4.1851776118838062"/>
  </r>
  <r>
    <s v="ORD-2023-715175"/>
    <d v="2023-06-15T00:00:00"/>
    <d v="2023-06-23T00:00:00"/>
    <n v="8"/>
    <s v="Jun-2023"/>
    <s v="Q2-2023"/>
    <s v="Americas"/>
    <s v="USA"/>
    <s v="San Francisco"/>
    <s v="Consumer"/>
    <s v="Distributor"/>
    <s v="O. Wang"/>
    <x v="5"/>
    <x v="280"/>
    <n v="1097.0899999999999"/>
    <s v="High"/>
    <n v="2182.31"/>
    <n v="0.112"/>
    <n v="9"/>
    <x v="280"/>
    <n v="9873.81"/>
    <n v="6067.5926399999989"/>
    <n v="0.38061849242646062"/>
  </r>
  <r>
    <s v="ORD-2025-685236"/>
    <d v="2025-03-14T00:00:00"/>
    <d v="2025-03-29T00:00:00"/>
    <n v="15"/>
    <s v="Mar-2025"/>
    <s v="Q1-2025"/>
    <s v="Asia"/>
    <s v="Japan"/>
    <s v="Tokyo"/>
    <s v="Non-Profit"/>
    <s v="Direct"/>
    <s v="H. Kim"/>
    <x v="2"/>
    <x v="281"/>
    <n v="1106.96"/>
    <s v="High"/>
    <n v="2726.62"/>
    <n v="0.317"/>
    <n v="7"/>
    <x v="281"/>
    <n v="7748.72"/>
    <n v="-5105.5919599999997"/>
    <n v="-1.9316476094741137"/>
  </r>
  <r>
    <s v="ORD-2023-274037"/>
    <d v="2023-08-15T00:00:00"/>
    <d v="2023-08-25T00:00:00"/>
    <n v="10"/>
    <s v="Aug-2023"/>
    <s v="Q3-2023"/>
    <s v="Africa"/>
    <s v="Kenya"/>
    <s v="Nairobi"/>
    <s v="Small Business"/>
    <s v="Retail"/>
    <s v="N. Brown"/>
    <x v="3"/>
    <x v="282"/>
    <n v="91.85"/>
    <s v="Medium"/>
    <n v="111.29"/>
    <n v="0"/>
    <n v="6"/>
    <x v="282"/>
    <n v="551.09999999999991"/>
    <n v="798.59999999999991"/>
    <n v="0.59168704156479224"/>
  </r>
  <r>
    <s v="ORD-2025-983096"/>
    <d v="2025-05-17T00:00:00"/>
    <d v="2025-05-28T00:00:00"/>
    <n v="11"/>
    <s v="May-2025"/>
    <s v="Q2-2025"/>
    <s v="Asia"/>
    <s v="India"/>
    <s v="Bengaluru"/>
    <s v="Corporate"/>
    <s v="Distributor"/>
    <s v="B. Chen"/>
    <x v="4"/>
    <x v="283"/>
    <n v="623.4"/>
    <s v="High"/>
    <n v="1100.0899999999999"/>
    <n v="0.114"/>
    <n v="12"/>
    <x v="283"/>
    <n v="7480.7999999999993"/>
    <n v="728.06088000000091"/>
    <n v="8.8692071974790357E-2"/>
  </r>
  <r>
    <s v="ORD-2024-366010"/>
    <d v="2024-01-13T00:00:00"/>
    <d v="2024-02-05T00:00:00"/>
    <n v="23"/>
    <s v="Jan-2024"/>
    <s v="Q1-2024"/>
    <s v="Europe"/>
    <s v="Germany"/>
    <s v="Frankfurt"/>
    <s v="Education"/>
    <s v="Direct"/>
    <s v="B. Chen"/>
    <x v="4"/>
    <x v="284"/>
    <n v="1017.93"/>
    <s v="High"/>
    <n v="1529.14"/>
    <n v="0.155"/>
    <n v="12"/>
    <x v="284"/>
    <n v="12215.16"/>
    <n v="19717.829400000002"/>
    <n v="0.61747521201381794"/>
  </r>
  <r>
    <s v="ORD-2023-610470"/>
    <d v="2023-06-24T00:00:00"/>
    <d v="2023-07-21T00:00:00"/>
    <n v="27"/>
    <s v="Jun-2023"/>
    <s v="Q2-2023"/>
    <s v="Asia"/>
    <s v="Japan"/>
    <s v="Nagoya"/>
    <s v="Consumer"/>
    <s v="Marketplace"/>
    <s v="J. Njeri"/>
    <x v="3"/>
    <x v="285"/>
    <n v="554.76"/>
    <s v="High"/>
    <n v="728.69"/>
    <n v="0.22"/>
    <n v="7"/>
    <x v="285"/>
    <n v="3883.3199999999997"/>
    <n v="-3569.2061999999996"/>
    <n v="-11.362780622818862"/>
  </r>
  <r>
    <s v="ORD-2025-541048"/>
    <d v="2025-04-04T00:00:00"/>
    <d v="2025-04-13T00:00:00"/>
    <n v="9"/>
    <s v="Apr-2025"/>
    <s v="Q2-2025"/>
    <s v="Europe"/>
    <s v="Germany"/>
    <s v="Munich"/>
    <s v="Consumer"/>
    <s v="Marketplace"/>
    <s v="F. Müller"/>
    <x v="3"/>
    <x v="286"/>
    <n v="7.02"/>
    <s v="Low"/>
    <n v="6.28"/>
    <n v="0.13400000000000001"/>
    <n v="14"/>
    <x v="286"/>
    <n v="98.28"/>
    <n v="9901.7164400000001"/>
    <n v="0.99017199650123067"/>
  </r>
  <r>
    <s v="ORD-2024-862371"/>
    <d v="2024-09-07T00:00:00"/>
    <d v="2024-09-07T00:00:00"/>
    <n v="0"/>
    <s v="Sept-2024"/>
    <s v="Q3-2024"/>
    <s v="Asia"/>
    <s v="India"/>
    <s v="Mumbai"/>
    <s v="Education"/>
    <s v="Distributor"/>
    <s v="B. Chen"/>
    <x v="2"/>
    <x v="287"/>
    <n v="1066.6500000000001"/>
    <s v="High"/>
    <n v="2569.77"/>
    <n v="0.13400000000000001"/>
    <n v="9"/>
    <x v="287"/>
    <n v="9599.85"/>
    <n v="2040.722819999999"/>
    <n v="0.17531120259767416"/>
  </r>
  <r>
    <s v="ORD-2024-277241"/>
    <d v="2024-01-28T00:00:00"/>
    <d v="2024-01-30T00:00:00"/>
    <n v="2"/>
    <s v="Jan-2024"/>
    <s v="Q1-2024"/>
    <s v="Africa"/>
    <s v="South Africa"/>
    <s v="Cape Town"/>
    <s v="Consumer"/>
    <s v="Direct"/>
    <s v="F. Müller"/>
    <x v="6"/>
    <x v="288"/>
    <n v="798.45"/>
    <s v="High"/>
    <n v="1592.02"/>
    <n v="6.6000000000000003E-2"/>
    <n v="18"/>
    <x v="288"/>
    <n v="14372.1"/>
    <n v="-1898.9409600000017"/>
    <n v="-0.15224218290733843"/>
  </r>
  <r>
    <s v="ORD-2023-369150"/>
    <d v="2023-07-18T00:00:00"/>
    <d v="2023-08-10T00:00:00"/>
    <n v="23"/>
    <s v="Jul-2023"/>
    <s v="Q3-2023"/>
    <s v="Africa"/>
    <s v="South Africa"/>
    <s v="Johannesburg"/>
    <s v="Small Business"/>
    <s v="Retail"/>
    <s v="L. Okafor"/>
    <x v="0"/>
    <x v="289"/>
    <n v="1271.56"/>
    <s v="High"/>
    <n v="995.47"/>
    <n v="0.192"/>
    <n v="13"/>
    <x v="289"/>
    <n v="16530.28"/>
    <n v="-8733.8960799999986"/>
    <n v="-1.1202496143878966"/>
  </r>
  <r>
    <s v="ORD-2025-922513"/>
    <d v="2025-08-28T00:00:00"/>
    <d v="2025-08-26T00:00:00"/>
    <n v="2"/>
    <s v="Aug-2025"/>
    <s v="Q3-2025"/>
    <s v="Africa"/>
    <s v="Nigeria"/>
    <s v="Port Harcourt"/>
    <s v="Small Business"/>
    <s v="Retail"/>
    <s v="A. Patel"/>
    <x v="6"/>
    <x v="290"/>
    <n v="521.05999999999995"/>
    <s v="High"/>
    <n v="1240.31"/>
    <n v="0.14599999999999999"/>
    <n v="18"/>
    <x v="290"/>
    <n v="9379.0799999999981"/>
    <n v="-2007.5911199999973"/>
    <n v="-0.27234540439271437"/>
  </r>
  <r>
    <s v="ORD-2025-752845"/>
    <d v="2025-03-30T00:00:00"/>
    <d v="2025-04-07T00:00:00"/>
    <n v="8"/>
    <s v="Mar-2025"/>
    <s v="Q1-2025"/>
    <s v="Americas"/>
    <s v="Brazil"/>
    <s v="São Paulo"/>
    <s v="Non-Profit"/>
    <s v="Direct"/>
    <s v="L. Okafor"/>
    <x v="1"/>
    <x v="291"/>
    <n v="71.62"/>
    <s v="Medium"/>
    <n v="118.37"/>
    <n v="0.156"/>
    <n v="11"/>
    <x v="291"/>
    <n v="787.82"/>
    <n v="10123.200999999999"/>
    <n v="0.92779594136973986"/>
  </r>
  <r>
    <s v="ORD-2023-667815"/>
    <d v="2023-10-21T00:00:00"/>
    <d v="2023-11-09T00:00:00"/>
    <n v="19"/>
    <s v="Oct-2023"/>
    <s v="Q4-2023"/>
    <s v="Europe"/>
    <s v="United Kingdom"/>
    <s v="London"/>
    <s v="Non-Profit"/>
    <s v="Direct"/>
    <s v="A. Patel"/>
    <x v="6"/>
    <x v="292"/>
    <n v="1142.48"/>
    <s v="High"/>
    <n v="2105.5300000000002"/>
    <n v="0.20699999999999999"/>
    <n v="14"/>
    <x v="292"/>
    <n v="15994.720000000001"/>
    <n v="-13469.570100000001"/>
    <n v="-5.3341665379944381"/>
  </r>
  <r>
    <s v="ORD-2023-375011"/>
    <d v="2023-08-23T00:00:00"/>
    <d v="2023-09-22T00:00:00"/>
    <n v="30"/>
    <s v="Aug-2023"/>
    <s v="Q3-2023"/>
    <s v="Europe"/>
    <s v="United Kingdom"/>
    <s v="London"/>
    <s v="Consumer"/>
    <s v="Distributor"/>
    <s v="O. Wang"/>
    <x v="6"/>
    <x v="293"/>
    <n v="209.81"/>
    <s v="High"/>
    <n v="523"/>
    <n v="5.8999999999999997E-2"/>
    <n v="15"/>
    <x v="293"/>
    <n v="3147.15"/>
    <n v="13489.071300000001"/>
    <n v="0.81082543065233215"/>
  </r>
  <r>
    <s v="ORD-2025-487025"/>
    <d v="2025-04-11T00:00:00"/>
    <d v="2025-05-04T00:00:00"/>
    <n v="23"/>
    <s v="Apr-2025"/>
    <s v="Q2-2025"/>
    <s v="Asia"/>
    <s v="Japan"/>
    <s v="Osaka"/>
    <s v="Small Business"/>
    <s v="Online"/>
    <s v="M. Rossi"/>
    <x v="0"/>
    <x v="294"/>
    <n v="786.2"/>
    <s v="High"/>
    <n v="1075.3"/>
    <n v="0.08"/>
    <n v="9"/>
    <x v="294"/>
    <n v="7075.8"/>
    <n v="12979.187999999998"/>
    <n v="0.64718004318925548"/>
  </r>
  <r>
    <s v="ORD-2025-398335"/>
    <d v="2025-06-01T00:00:00"/>
    <d v="2025-06-27T00:00:00"/>
    <n v="26"/>
    <s v="Jun-2025"/>
    <s v="Q2-2025"/>
    <s v="Europe"/>
    <s v="Germany"/>
    <s v="Munich"/>
    <s v="Consumer"/>
    <s v="Distributor"/>
    <s v="E. Garcia"/>
    <x v="4"/>
    <x v="295"/>
    <n v="1362.31"/>
    <s v="High"/>
    <n v="3294.57"/>
    <n v="0.113"/>
    <n v="7"/>
    <x v="295"/>
    <n v="9536.17"/>
    <n v="-6842.2090800000005"/>
    <n v="-2.5398323447097373"/>
  </r>
  <r>
    <s v="ORD-2024-792137"/>
    <d v="2024-03-02T00:00:00"/>
    <d v="2024-03-16T00:00:00"/>
    <n v="14"/>
    <s v="Mar-2024"/>
    <s v="Q1-2024"/>
    <s v="Americas"/>
    <s v="Canada"/>
    <s v="Vancouver"/>
    <s v="Non-Profit"/>
    <s v="Direct"/>
    <s v="O. Wang"/>
    <x v="1"/>
    <x v="296"/>
    <n v="248.24"/>
    <s v="High"/>
    <n v="464.05"/>
    <n v="0.16900000000000001"/>
    <n v="11"/>
    <x v="296"/>
    <n v="2730.6400000000003"/>
    <n v="26055.55733"/>
    <n v="0.90514064887777934"/>
  </r>
  <r>
    <s v="ORD-2023-602648"/>
    <d v="2023-06-20T00:00:00"/>
    <d v="2023-07-08T00:00:00"/>
    <n v="18"/>
    <s v="Jun-2023"/>
    <s v="Q2-2023"/>
    <s v="Americas"/>
    <s v="USA"/>
    <s v="Austin"/>
    <s v="Non-Profit"/>
    <s v="Direct"/>
    <s v="F. Müller"/>
    <x v="5"/>
    <x v="297"/>
    <n v="337"/>
    <s v="High"/>
    <n v="511.03"/>
    <n v="0.108"/>
    <n v="7"/>
    <x v="297"/>
    <n v="2359"/>
    <n v="-1949.0814"/>
    <n v="-4.7548010751402829"/>
  </r>
  <r>
    <s v="ORD-2024-207096"/>
    <d v="2024-03-26T00:00:00"/>
    <d v="2024-04-05T00:00:00"/>
    <n v="10"/>
    <s v="Mar-2024"/>
    <s v="Q1-2024"/>
    <s v="Americas"/>
    <s v="USA"/>
    <s v="Austin"/>
    <s v="Consumer"/>
    <s v="Direct"/>
    <s v="J. Njeri"/>
    <x v="5"/>
    <x v="298"/>
    <n v="5.66"/>
    <s v="Low"/>
    <n v="4.22"/>
    <n v="0.11899999999999999"/>
    <n v="18"/>
    <x v="298"/>
    <n v="101.88"/>
    <n v="39418.476119999999"/>
    <n v="0.99742208800723742"/>
  </r>
  <r>
    <s v="ORD-2025-939953"/>
    <d v="2025-01-22T00:00:00"/>
    <d v="2025-01-22T00:00:00"/>
    <n v="0"/>
    <s v="Jan-2025"/>
    <s v="Q1-2025"/>
    <s v="Europe"/>
    <s v="France"/>
    <s v="Lyon"/>
    <s v="Small Business"/>
    <s v="Online"/>
    <s v="B. Chen"/>
    <x v="6"/>
    <x v="299"/>
    <n v="591.72"/>
    <s v="High"/>
    <n v="577.24"/>
    <n v="0"/>
    <n v="22"/>
    <x v="299"/>
    <n v="13017.84"/>
    <n v="7482.6399999999994"/>
    <n v="0.36499828296703296"/>
  </r>
  <r>
    <s v="ORD-2025-191328"/>
    <d v="2025-05-10T00:00:00"/>
    <d v="2025-05-27T00:00:00"/>
    <n v="17"/>
    <s v="May-2025"/>
    <s v="Q2-2025"/>
    <s v="Americas"/>
    <s v="Canada"/>
    <s v="Vancouver"/>
    <s v="Education"/>
    <s v="Direct"/>
    <s v="C. Otieno"/>
    <x v="0"/>
    <x v="300"/>
    <n v="862.89"/>
    <s v="High"/>
    <n v="1426.03"/>
    <n v="5.6000000000000001E-2"/>
    <n v="19"/>
    <x v="300"/>
    <n v="16394.91"/>
    <n v="-5283.3786400000008"/>
    <n v="-0.4754860935747745"/>
  </r>
  <r>
    <s v="ORD-2023-166668"/>
    <d v="2023-10-05T00:00:00"/>
    <d v="2023-10-31T00:00:00"/>
    <n v="26"/>
    <s v="Oct-2023"/>
    <s v="Q4-2023"/>
    <s v="Asia"/>
    <s v="China"/>
    <s v="Shanghai"/>
    <s v="Consumer"/>
    <s v="Not Provided"/>
    <s v="J. Njeri"/>
    <x v="1"/>
    <x v="301"/>
    <n v="649.91"/>
    <s v="High"/>
    <n v="1360.12"/>
    <n v="0.19400000000000001"/>
    <n v="9"/>
    <x v="301"/>
    <n v="5849.19"/>
    <n v="4462.7336999999998"/>
    <n v="0.43277411953697836"/>
  </r>
  <r>
    <s v="ORD-2023-594700"/>
    <d v="2023-07-18T00:00:00"/>
    <d v="2023-07-22T00:00:00"/>
    <n v="4"/>
    <s v="Jul-2023"/>
    <s v="Q3-2023"/>
    <s v="Americas"/>
    <s v="Brazil"/>
    <s v="São Paulo"/>
    <s v="Consumer"/>
    <s v="Direct"/>
    <s v="F. Müller"/>
    <x v="2"/>
    <x v="302"/>
    <n v="1269.55"/>
    <s v="High"/>
    <n v="2071.1"/>
    <n v="0.129"/>
    <n v="22"/>
    <x v="302"/>
    <n v="27930.1"/>
    <n v="-9677.1452800000006"/>
    <n v="-0.53016870027057195"/>
  </r>
  <r>
    <s v="ORD-2025-278048"/>
    <d v="2025-06-22T00:00:00"/>
    <d v="2025-07-08T00:00:00"/>
    <n v="16"/>
    <s v="Jun-2025"/>
    <s v="Q2-2025"/>
    <s v="Europe"/>
    <s v="United Kingdom"/>
    <s v="London"/>
    <s v="Education"/>
    <s v="Direct"/>
    <s v="A. Patel"/>
    <x v="3"/>
    <x v="303"/>
    <n v="892.73"/>
    <s v="High"/>
    <n v="979.84"/>
    <n v="0.17399999999999999"/>
    <n v="10"/>
    <x v="303"/>
    <n v="8927.2999999999993"/>
    <n v="17125.896400000001"/>
    <n v="0.65734338839129935"/>
  </r>
  <r>
    <s v="ORD-2024-878493"/>
    <d v="2024-06-19T00:00:00"/>
    <d v="2024-06-20T00:00:00"/>
    <n v="1"/>
    <s v="Jun-2024"/>
    <s v="Q2-2024"/>
    <s v="Africa"/>
    <s v="Kenya"/>
    <s v="Kisumu"/>
    <s v="Small Business"/>
    <s v="Direct"/>
    <s v="J. Njeri"/>
    <x v="4"/>
    <x v="304"/>
    <n v="231.63"/>
    <s v="High"/>
    <n v="537.39"/>
    <n v="0.08"/>
    <n v="12"/>
    <x v="304"/>
    <n v="2779.56"/>
    <n v="-282.97440000000006"/>
    <n v="-0.11334456146827093"/>
  </r>
  <r>
    <s v="ORD-2025-138578"/>
    <d v="2025-04-09T00:00:00"/>
    <d v="2025-04-12T00:00:00"/>
    <n v="3"/>
    <s v="Apr-2025"/>
    <s v="Q2-2025"/>
    <s v="Europe"/>
    <s v="France"/>
    <s v="Lyon"/>
    <s v="Small Business"/>
    <s v="Distributor"/>
    <s v="H. Kim"/>
    <x v="5"/>
    <x v="305"/>
    <n v="86.68"/>
    <s v="High"/>
    <n v="213.32"/>
    <n v="3.7999999999999999E-2"/>
    <n v="8"/>
    <x v="305"/>
    <n v="693.44"/>
    <n v="6124.6003199999996"/>
    <n v="0.89829335594190218"/>
  </r>
  <r>
    <s v="ORD-2025-944081"/>
    <d v="2025-03-25T00:00:00"/>
    <d v="2025-03-26T00:00:00"/>
    <n v="1"/>
    <s v="Mar-2025"/>
    <s v="Q1-2025"/>
    <s v="Africa"/>
    <s v="Nigeria"/>
    <s v="Lagos"/>
    <s v="Education"/>
    <s v="Distributor"/>
    <s v="G. Dubois"/>
    <x v="6"/>
    <x v="306"/>
    <n v="1450.43"/>
    <s v="High"/>
    <n v="1994.67"/>
    <n v="0.1"/>
    <n v="24"/>
    <x v="306"/>
    <n v="34810.32"/>
    <n v="17749.824000000008"/>
    <n v="0.33770501085385163"/>
  </r>
  <r>
    <s v="ORD-2025-364852"/>
    <d v="2025-05-18T00:00:00"/>
    <d v="2025-06-09T00:00:00"/>
    <n v="22"/>
    <s v="May-2025"/>
    <s v="Q2-2025"/>
    <s v="Americas"/>
    <s v="USA"/>
    <s v="New York"/>
    <s v="Consumer"/>
    <s v="Retail"/>
    <s v="H. Kim"/>
    <x v="2"/>
    <x v="307"/>
    <n v="382.96"/>
    <s v="High"/>
    <n v="552.84"/>
    <n v="0.17599999999999999"/>
    <n v="8"/>
    <x v="307"/>
    <n v="3063.68"/>
    <n v="4545.7292799999996"/>
    <n v="0.59738267620164065"/>
  </r>
  <r>
    <s v="ORD-2025-415018"/>
    <d v="2025-01-22T00:00:00"/>
    <d v="2025-02-04T00:00:00"/>
    <n v="13"/>
    <s v="Jan-2025"/>
    <s v="Q1-2025"/>
    <s v="Asia"/>
    <s v="Japan"/>
    <s v="Tokyo"/>
    <s v="Small Business"/>
    <s v="Distributor"/>
    <s v="L. Okafor"/>
    <x v="1"/>
    <x v="308"/>
    <n v="122.29"/>
    <s v="High"/>
    <n v="224.95"/>
    <n v="0.153"/>
    <n v="28"/>
    <x v="308"/>
    <n v="3424.1200000000003"/>
    <n v="23517.018840000001"/>
    <n v="0.8729036652705956"/>
  </r>
  <r>
    <s v="ORD-2023-884192"/>
    <d v="2023-01-10T00:00:00"/>
    <d v="2023-01-29T00:00:00"/>
    <n v="19"/>
    <s v="Jan-2023"/>
    <s v="Q1-2023"/>
    <s v="Europe"/>
    <s v="France"/>
    <s v="Lyon"/>
    <s v="Non-Profit"/>
    <s v="Direct"/>
    <s v="D. Smith"/>
    <x v="4"/>
    <x v="309"/>
    <n v="401.66"/>
    <s v="High"/>
    <n v="772.09"/>
    <n v="8.8999999999999996E-2"/>
    <n v="14"/>
    <x v="309"/>
    <n v="5623.2400000000007"/>
    <n v="29473.727360000001"/>
    <n v="0.83977988917615698"/>
  </r>
  <r>
    <s v="ORD-2024-165942"/>
    <d v="2024-12-29T00:00:00"/>
    <d v="2025-01-12T00:00:00"/>
    <n v="14"/>
    <s v="Dec-2024"/>
    <s v="Q4-2024"/>
    <s v="Europe"/>
    <s v="United Kingdom"/>
    <s v="Manchester"/>
    <s v="Corporate"/>
    <s v="Direct"/>
    <s v="B. Chen"/>
    <x v="5"/>
    <x v="310"/>
    <n v="1399.72"/>
    <s v="High"/>
    <n v="3149.21"/>
    <n v="0.185"/>
    <n v="12"/>
    <x v="310"/>
    <n v="16796.64"/>
    <n v="-3351.8784000000014"/>
    <n v="-0.24930738823959525"/>
  </r>
  <r>
    <s v="ORD-2024-403664"/>
    <d v="2024-05-23T00:00:00"/>
    <d v="2024-06-06T00:00:00"/>
    <n v="14"/>
    <s v="May-2024"/>
    <s v="Q2-2024"/>
    <s v="Americas"/>
    <s v="Brazil"/>
    <s v="Rio de Janeiro"/>
    <s v="Non-Profit"/>
    <s v="Online"/>
    <s v="I. Johnson"/>
    <x v="2"/>
    <x v="311"/>
    <n v="51.13"/>
    <s v="Medium"/>
    <n v="57.53"/>
    <n v="4.4999999999999998E-2"/>
    <n v="16"/>
    <x v="311"/>
    <n v="818.08"/>
    <n v="19326.613599999997"/>
    <n v="0.95938980178879452"/>
  </r>
  <r>
    <s v="ORD-2023-890605"/>
    <d v="2023-06-24T00:00:00"/>
    <d v="2023-06-22T00:00:00"/>
    <n v="2"/>
    <s v="Jun-2023"/>
    <s v="Q2-2023"/>
    <s v="Americas"/>
    <s v="Canada"/>
    <s v="Toronto"/>
    <s v="Non-Profit"/>
    <s v="Retail"/>
    <s v="M. Rossi"/>
    <x v="6"/>
    <x v="312"/>
    <n v="471.42"/>
    <s v="High"/>
    <n v="824.81"/>
    <n v="8.7999999999999995E-2"/>
    <n v="15"/>
    <x v="312"/>
    <n v="7071.3"/>
    <n v="-1028.2968000000001"/>
    <n v="-0.17016320626803574"/>
  </r>
  <r>
    <s v="ORD-2024-925626"/>
    <d v="2024-11-04T00:00:00"/>
    <d v="2024-11-05T00:00:00"/>
    <n v="1"/>
    <s v="Nov-2024"/>
    <s v="Q4-2024"/>
    <s v="Europe"/>
    <s v="United Kingdom"/>
    <s v="London"/>
    <s v="Corporate"/>
    <s v="Retail"/>
    <s v="M. Rossi"/>
    <x v="1"/>
    <x v="313"/>
    <n v="840.68"/>
    <s v="High"/>
    <n v="1493.53"/>
    <n v="0"/>
    <n v="27"/>
    <x v="313"/>
    <n v="22698.359999999997"/>
    <n v="13213.530000000002"/>
    <n v="0.36794304059184862"/>
  </r>
  <r>
    <s v="ORD-2024-427031"/>
    <d v="2024-06-08T00:00:00"/>
    <d v="2024-06-24T00:00:00"/>
    <n v="16"/>
    <s v="Jun-2024"/>
    <s v="Q2-2024"/>
    <s v="Africa"/>
    <s v="South Africa"/>
    <s v="Durban"/>
    <s v="Education"/>
    <s v="Distributor"/>
    <s v="H. Kim"/>
    <x v="5"/>
    <x v="314"/>
    <n v="597.85"/>
    <s v="High"/>
    <n v="741.92"/>
    <n v="3.1E-2"/>
    <n v="7"/>
    <x v="314"/>
    <n v="4184.95"/>
    <n v="6904.3053799999989"/>
    <n v="0.62261217217995024"/>
  </r>
  <r>
    <s v="ORD-2025-231184"/>
    <d v="2025-06-01T00:00:00"/>
    <d v="2025-06-06T00:00:00"/>
    <n v="5"/>
    <s v="Jun-2025"/>
    <s v="Q2-2025"/>
    <s v="Europe"/>
    <s v="France"/>
    <s v="Paris"/>
    <s v="Consumer"/>
    <s v="Distributor"/>
    <s v="G. Dubois"/>
    <x v="0"/>
    <x v="315"/>
    <n v="379.45"/>
    <s v="High"/>
    <n v="742.23"/>
    <n v="0.09"/>
    <n v="13"/>
    <x v="315"/>
    <n v="4932.8499999999995"/>
    <n v="-4097.6519999999991"/>
    <n v="-4.9062042773090919"/>
  </r>
  <r>
    <s v="ORD-2023-363031"/>
    <d v="2023-05-06T00:00:00"/>
    <d v="2023-05-14T00:00:00"/>
    <n v="8"/>
    <s v="May-2023"/>
    <s v="Q2-2023"/>
    <s v="Asia"/>
    <s v="Japan"/>
    <s v="Osaka"/>
    <s v="Enterprise"/>
    <s v="Marketplace"/>
    <s v="B. Chen"/>
    <x v="3"/>
    <x v="316"/>
    <n v="291.18"/>
    <s v="High"/>
    <n v="479.54"/>
    <n v="0.14099999999999999"/>
    <n v="22"/>
    <x v="316"/>
    <n v="6405.96"/>
    <n v="28045.849920000001"/>
    <n v="0.81406027680765747"/>
  </r>
  <r>
    <s v="ORD-2023-619570"/>
    <d v="2023-11-14T00:00:00"/>
    <d v="2023-11-30T00:00:00"/>
    <n v="16"/>
    <s v="Nov-2023"/>
    <s v="Q4-2023"/>
    <s v="Americas"/>
    <s v="Brazil"/>
    <s v="São Paulo"/>
    <s v="Enterprise"/>
    <s v="Direct"/>
    <s v="K. Singh"/>
    <x v="2"/>
    <x v="317"/>
    <n v="1017.92"/>
    <s v="High"/>
    <n v="1175.25"/>
    <n v="7.4999999999999997E-2"/>
    <n v="15"/>
    <x v="317"/>
    <n v="15268.8"/>
    <n v="12703.061250000002"/>
    <n v="0.45413714648681097"/>
  </r>
  <r>
    <s v="ORD-2025-861401"/>
    <d v="2025-04-01T00:00:00"/>
    <d v="2025-04-27T00:00:00"/>
    <n v="26"/>
    <s v="Apr-2025"/>
    <s v="Q2-2025"/>
    <s v="Americas"/>
    <s v="USA"/>
    <s v="San Francisco"/>
    <s v="Corporate"/>
    <s v="Direct"/>
    <s v="I. Johnson"/>
    <x v="5"/>
    <x v="318"/>
    <n v="156.55000000000001"/>
    <s v="High"/>
    <n v="227.45"/>
    <n v="1.4E-2"/>
    <n v="13"/>
    <x v="318"/>
    <n v="2035.15"/>
    <n v="1094.1083399999998"/>
    <n v="0.34963822769583153"/>
  </r>
  <r>
    <s v="ORD-2023-835010"/>
    <d v="2023-03-23T00:00:00"/>
    <d v="2023-04-15T00:00:00"/>
    <n v="23"/>
    <s v="Mar-2023"/>
    <s v="Q1-2023"/>
    <s v="Africa"/>
    <s v="Kenya"/>
    <s v="Mombasa"/>
    <s v="Small Business"/>
    <s v="Retail"/>
    <s v="C. Otieno"/>
    <x v="6"/>
    <x v="319"/>
    <n v="875.36"/>
    <s v="High"/>
    <n v="1178.6199999999999"/>
    <n v="0.151"/>
    <n v="53"/>
    <x v="319"/>
    <n v="46394.080000000002"/>
    <n v="78837.970639999985"/>
    <n v="0.62953509295022747"/>
  </r>
  <r>
    <s v="ORD-2024-819979"/>
    <d v="2024-05-28T00:00:00"/>
    <d v="2024-06-18T00:00:00"/>
    <n v="21"/>
    <s v="May-2024"/>
    <s v="Q2-2024"/>
    <s v="Europe"/>
    <s v="Germany"/>
    <s v="Frankfurt"/>
    <s v="Small Business"/>
    <s v="Online"/>
    <s v="E. Garcia"/>
    <x v="3"/>
    <x v="320"/>
    <n v="986.85"/>
    <s v="High"/>
    <n v="2422.1"/>
    <n v="7.5999999999999998E-2"/>
    <n v="10"/>
    <x v="320"/>
    <n v="9868.5"/>
    <n v="9076.3643999999986"/>
    <n v="0.47909365875429538"/>
  </r>
  <r>
    <s v="ORD-2024-719055"/>
    <d v="2024-01-02T00:00:00"/>
    <d v="2024-01-01T00:00:00"/>
    <n v="1"/>
    <s v="Jan-2024"/>
    <s v="Q1-2024"/>
    <s v="Americas"/>
    <s v="USA"/>
    <s v="Chicago"/>
    <s v="Education"/>
    <s v="Marketplace"/>
    <s v="B. Chen"/>
    <x v="2"/>
    <x v="321"/>
    <n v="404.77"/>
    <s v="High"/>
    <n v="433.88"/>
    <n v="0.215"/>
    <n v="22"/>
    <x v="321"/>
    <n v="8904.9399999999987"/>
    <n v="-6364.1775999999982"/>
    <n v="-2.504829888855407"/>
  </r>
  <r>
    <s v="ORD-2023-888245"/>
    <d v="2023-02-28T00:00:00"/>
    <d v="2023-02-27T00:00:00"/>
    <n v="1"/>
    <s v="Feb-2023"/>
    <s v="Q1-2023"/>
    <s v="Europe"/>
    <s v="France"/>
    <s v="Marseille"/>
    <s v="Corporate"/>
    <s v="Retail"/>
    <s v="K. Singh"/>
    <x v="2"/>
    <x v="322"/>
    <n v="1299.81"/>
    <s v="High"/>
    <n v="3149.13"/>
    <n v="0.10299999999999999"/>
    <n v="14"/>
    <x v="322"/>
    <n v="18197.34"/>
    <n v="6704.9228400000029"/>
    <n v="0.26924954101881943"/>
  </r>
  <r>
    <s v="ORD-2024-206121"/>
    <d v="2024-02-18T00:00:00"/>
    <d v="2024-03-11T00:00:00"/>
    <n v="22"/>
    <s v="Feb-2024"/>
    <s v="Q1-2024"/>
    <s v="Americas"/>
    <s v="Brazil"/>
    <s v="São Paulo"/>
    <s v="Consumer"/>
    <s v="Online"/>
    <s v="A. Patel"/>
    <x v="0"/>
    <x v="323"/>
    <n v="80.48"/>
    <s v="Medium"/>
    <n v="65.650000000000006"/>
    <n v="0.17599999999999999"/>
    <n v="13"/>
    <x v="323"/>
    <n v="1046.24"/>
    <n v="23583.8616"/>
    <n v="0.95752189670220433"/>
  </r>
  <r>
    <s v="ORD-2024-500890"/>
    <d v="2024-09-09T00:00:00"/>
    <d v="2024-10-08T00:00:00"/>
    <n v="29"/>
    <s v="Sept-2024"/>
    <s v="Q3-2024"/>
    <s v="Americas"/>
    <s v="Brazil"/>
    <s v="São Paulo"/>
    <s v="Education"/>
    <s v="Direct"/>
    <s v="J. Njeri"/>
    <x v="0"/>
    <x v="324"/>
    <n v="1010.33"/>
    <s v="High"/>
    <n v="2492.14"/>
    <n v="5.0999999999999997E-2"/>
    <n v="11"/>
    <x v="324"/>
    <n v="11113.630000000001"/>
    <n v="-6284.4442100000015"/>
    <n v="-1.3013465381707756"/>
  </r>
  <r>
    <s v="ORD-2023-144816"/>
    <d v="2023-05-07T00:00:00"/>
    <d v="2023-05-29T00:00:00"/>
    <n v="22"/>
    <s v="May-2023"/>
    <s v="Q2-2023"/>
    <s v="Africa"/>
    <s v="South Africa"/>
    <s v="Durban"/>
    <s v="Education"/>
    <s v="Distributor"/>
    <s v="K. Singh"/>
    <x v="6"/>
    <x v="325"/>
    <n v="653.86"/>
    <s v="High"/>
    <n v="931.84"/>
    <n v="0.121"/>
    <n v="12"/>
    <x v="325"/>
    <n v="7846.32"/>
    <n v="3686.7577200000014"/>
    <n v="0.3196681587956906"/>
  </r>
  <r>
    <s v="ORD-2024-153053"/>
    <d v="2024-01-12T00:00:00"/>
    <d v="2024-01-29T00:00:00"/>
    <n v="17"/>
    <s v="Jan-2024"/>
    <s v="Q1-2024"/>
    <s v="Asia"/>
    <s v="India"/>
    <s v="Hyderabad"/>
    <s v="Small Business"/>
    <s v="Direct"/>
    <s v="B. Chen"/>
    <x v="0"/>
    <x v="326"/>
    <n v="310.02"/>
    <s v="High"/>
    <n v="619.51"/>
    <n v="4.2000000000000003E-2"/>
    <n v="4"/>
    <x v="326"/>
    <n v="1240.08"/>
    <n v="4332.4910399999999"/>
    <n v="0.77746717070115634"/>
  </r>
  <r>
    <s v="ORD-2023-536542"/>
    <d v="2023-06-10T00:00:00"/>
    <d v="2023-06-18T00:00:00"/>
    <n v="8"/>
    <s v="Jun-2023"/>
    <s v="Q2-2023"/>
    <s v="Africa"/>
    <s v="Kenya"/>
    <s v="Nakuru"/>
    <s v="Enterprise"/>
    <s v="Direct"/>
    <s v="H. Kim"/>
    <x v="3"/>
    <x v="327"/>
    <n v="894.23"/>
    <s v="High"/>
    <n v="1421.55"/>
    <n v="0.109"/>
    <n v="3"/>
    <x v="327"/>
    <n v="2682.69"/>
    <n v="2985.139200000001"/>
    <n v="0.52668122038681064"/>
  </r>
  <r>
    <s v="ORD-2025-779530"/>
    <d v="2025-05-19T00:00:00"/>
    <d v="2025-05-17T00:00:00"/>
    <n v="2"/>
    <s v="May-2025"/>
    <s v="Q2-2025"/>
    <s v="Americas"/>
    <s v="Brazil"/>
    <s v="São Paulo"/>
    <s v="Small Business"/>
    <s v="Distributor"/>
    <s v="L. Okafor"/>
    <x v="5"/>
    <x v="328"/>
    <n v="383.77"/>
    <s v="High"/>
    <n v="952.56"/>
    <n v="0.34599999999999997"/>
    <n v="10"/>
    <x v="328"/>
    <n v="3837.7"/>
    <n v="-2996.1327999999994"/>
    <n v="-3.5601824785946965"/>
  </r>
  <r>
    <s v="ORD-2023-163610"/>
    <d v="2023-10-22T00:00:00"/>
    <d v="2023-11-16T00:00:00"/>
    <n v="25"/>
    <s v="Oct-2023"/>
    <s v="Q4-2023"/>
    <s v="Americas"/>
    <s v="Canada"/>
    <s v="Toronto"/>
    <s v="Small Business"/>
    <s v="Marketplace"/>
    <s v="I. Johnson"/>
    <x v="4"/>
    <x v="329"/>
    <n v="1373.31"/>
    <s v="High"/>
    <n v="3154.14"/>
    <n v="0.2"/>
    <n v="11"/>
    <x v="329"/>
    <n v="15106.41"/>
    <n v="-3437.9619999999977"/>
    <n v="-0.29463747021026249"/>
  </r>
  <r>
    <s v="ORD-2025-653781"/>
    <d v="2025-01-11T00:00:00"/>
    <d v="2025-01-23T00:00:00"/>
    <n v="12"/>
    <s v="Jan-2025"/>
    <s v="Q1-2025"/>
    <s v="Americas"/>
    <s v="USA"/>
    <s v="Austin"/>
    <s v="Consumer"/>
    <s v="Distributor"/>
    <s v="H. Kim"/>
    <x v="3"/>
    <x v="330"/>
    <n v="100.69"/>
    <s v="High"/>
    <n v="226.14"/>
    <n v="6.5000000000000002E-2"/>
    <n v="12"/>
    <x v="330"/>
    <n v="1208.28"/>
    <n v="26161.002600000003"/>
    <n v="0.95585269743241286"/>
  </r>
  <r>
    <s v="ORD-2025-737787"/>
    <d v="2025-09-14T00:00:00"/>
    <d v="2025-09-26T00:00:00"/>
    <n v="12"/>
    <s v="Sept-2025"/>
    <s v="Q3-2025"/>
    <s v="Europe"/>
    <s v="United Kingdom"/>
    <s v="London"/>
    <s v="Small Business"/>
    <s v="Direct"/>
    <s v="N. Brown"/>
    <x v="2"/>
    <x v="331"/>
    <n v="425.15"/>
    <s v="High"/>
    <n v="885.92"/>
    <n v="0.23899999999999999"/>
    <n v="13"/>
    <x v="331"/>
    <n v="5526.95"/>
    <n v="16252.88522"/>
    <n v="0.74623545384196899"/>
  </r>
  <r>
    <s v="ORD-2023-944052"/>
    <d v="2023-08-30T00:00:00"/>
    <d v="2023-09-03T00:00:00"/>
    <n v="4"/>
    <s v="Aug-2023"/>
    <s v="Q3-2023"/>
    <s v="Asia"/>
    <s v="India"/>
    <s v="Delhi"/>
    <s v="Small Business"/>
    <s v="Marketplace"/>
    <s v="L. Okafor"/>
    <x v="6"/>
    <x v="332"/>
    <n v="1082.25"/>
    <s v="High"/>
    <n v="2433.34"/>
    <n v="0.27"/>
    <n v="4"/>
    <x v="332"/>
    <n v="4329"/>
    <n v="-1951.0688"/>
    <n v="-0.82049001249489473"/>
  </r>
  <r>
    <s v="ORD-2023-181257"/>
    <d v="2023-11-15T00:00:00"/>
    <d v="2023-12-06T00:00:00"/>
    <n v="21"/>
    <s v="Nov-2023"/>
    <s v="Q4-2023"/>
    <s v="Europe"/>
    <s v="United Kingdom"/>
    <s v="Manchester"/>
    <s v="Education"/>
    <s v="Direct"/>
    <s v="H. Kim"/>
    <x v="6"/>
    <x v="333"/>
    <n v="1184.99"/>
    <s v="High"/>
    <n v="1154.3399999999999"/>
    <n v="2.8000000000000001E-2"/>
    <n v="5"/>
    <x v="333"/>
    <n v="5924.95"/>
    <n v="795.99260000000049"/>
    <n v="0.11843466718492737"/>
  </r>
  <r>
    <s v="ORD-2025-323492"/>
    <d v="2025-04-27T00:00:00"/>
    <d v="2025-05-27T00:00:00"/>
    <n v="0"/>
    <s v="Apr-2025"/>
    <s v="Q2-2025"/>
    <s v="Asia"/>
    <s v="India"/>
    <s v="Not Provided"/>
    <s v="Enterprise"/>
    <s v="Marketplace"/>
    <s v="H. Kim"/>
    <x v="3"/>
    <x v="334"/>
    <n v="481.32"/>
    <s v="High"/>
    <n v="1135.99"/>
    <n v="0.14499999999999999"/>
    <n v="5"/>
    <x v="334"/>
    <n v="2406.6"/>
    <n v="4631.88825"/>
    <n v="0.65807998613906904"/>
  </r>
  <r>
    <s v="ORD-2024-332076"/>
    <d v="2024-04-09T00:00:00"/>
    <d v="2024-04-18T00:00:00"/>
    <n v="9"/>
    <s v="Apr-2024"/>
    <s v="Q2-2024"/>
    <s v="Europe"/>
    <s v="France"/>
    <s v="Lyon"/>
    <s v="Consumer"/>
    <s v="Online"/>
    <s v="E. Garcia"/>
    <x v="1"/>
    <x v="335"/>
    <n v="1288.8499999999999"/>
    <s v="High"/>
    <n v="2751.84"/>
    <n v="0.158"/>
    <n v="7"/>
    <x v="335"/>
    <n v="9021.9499999999989"/>
    <n v="-6659.3990399999993"/>
    <n v="-2.8187324433416667"/>
  </r>
  <r>
    <s v="ORD-2024-571797"/>
    <d v="2024-07-11T00:00:00"/>
    <d v="2024-07-31T00:00:00"/>
    <n v="20"/>
    <s v="Jul-2024"/>
    <s v="Q3-2024"/>
    <s v="Asia"/>
    <s v="China"/>
    <s v="Shenzhen"/>
    <s v="Consumer"/>
    <s v="Online"/>
    <s v="G. Dubois"/>
    <x v="3"/>
    <x v="336"/>
    <n v="647.26"/>
    <s v="High"/>
    <n v="1374.72"/>
    <n v="6.6000000000000003E-2"/>
    <n v="22"/>
    <x v="336"/>
    <n v="14239.72"/>
    <n v="22347.226879999995"/>
    <n v="0.6107978059305067"/>
  </r>
  <r>
    <s v="ORD-2024-129345"/>
    <d v="2024-02-18T00:00:00"/>
    <d v="2024-03-03T00:00:00"/>
    <n v="14"/>
    <s v="Feb-2024"/>
    <s v="Q1-2024"/>
    <s v="Americas"/>
    <s v="Brazil"/>
    <s v="Not Provided"/>
    <s v="Enterprise"/>
    <s v="Distributor"/>
    <s v="A. Patel"/>
    <x v="1"/>
    <x v="337"/>
    <n v="624.23"/>
    <s v="High"/>
    <n v="1318.37"/>
    <n v="0.21"/>
    <n v="37"/>
    <x v="337"/>
    <n v="23096.510000000002"/>
    <n v="9595.1989000000031"/>
    <n v="0.29350557749521627"/>
  </r>
  <r>
    <s v="ORD-2023-660608"/>
    <d v="2023-07-25T00:00:00"/>
    <d v="2023-08-10T00:00:00"/>
    <n v="16"/>
    <s v="Jul-2023"/>
    <s v="Q3-2023"/>
    <s v="Africa"/>
    <s v="Nigeria"/>
    <s v="Port Harcourt"/>
    <s v="Corporate"/>
    <s v="Distributor"/>
    <s v="I. Johnson"/>
    <x v="6"/>
    <x v="338"/>
    <n v="506.83"/>
    <s v="High"/>
    <n v="441.74"/>
    <n v="0.24"/>
    <n v="9"/>
    <x v="338"/>
    <n v="4561.47"/>
    <n v="712.99079999999958"/>
    <n v="0.1351779503224291"/>
  </r>
  <r>
    <s v="ORD-2023-825084"/>
    <d v="2023-07-14T00:00:00"/>
    <d v="2023-07-21T00:00:00"/>
    <n v="7"/>
    <s v="Jul-2023"/>
    <s v="Q3-2023"/>
    <s v="Africa"/>
    <s v="South Africa"/>
    <s v="Durban"/>
    <s v="Enterprise"/>
    <s v="Marketplace"/>
    <s v="Not Provided"/>
    <x v="5"/>
    <x v="339"/>
    <n v="620.74"/>
    <s v="High"/>
    <n v="1330.07"/>
    <n v="0.29899999999999999"/>
    <n v="28"/>
    <x v="339"/>
    <n v="17380.72"/>
    <n v="6369.9451199999967"/>
    <n v="0.26820070460409901"/>
  </r>
  <r>
    <s v="ORD-2023-261081"/>
    <d v="2023-07-24T00:00:00"/>
    <d v="2023-08-19T00:00:00"/>
    <n v="26"/>
    <s v="Jul-2023"/>
    <s v="Q3-2023"/>
    <s v="Africa"/>
    <s v="Kenya"/>
    <s v="Nairobi"/>
    <s v="Enterprise"/>
    <s v="Distributor"/>
    <s v="M. Rossi"/>
    <x v="6"/>
    <x v="340"/>
    <n v="661.45"/>
    <s v="High"/>
    <n v="1634.86"/>
    <n v="0.56499999999999995"/>
    <n v="24"/>
    <x v="340"/>
    <n v="15874.800000000001"/>
    <n v="15696.073200000004"/>
    <n v="0.49716943527555019"/>
  </r>
  <r>
    <s v="ORD-2023-766015"/>
    <d v="2023-04-13T00:00:00"/>
    <d v="2023-04-11T00:00:00"/>
    <n v="2"/>
    <s v="Apr-2023"/>
    <s v="Q2-2023"/>
    <s v="Americas"/>
    <s v="USA"/>
    <s v="San Francisco"/>
    <s v="Education"/>
    <s v="Marketplace"/>
    <s v="G. Dubois"/>
    <x v="2"/>
    <x v="341"/>
    <n v="32.1"/>
    <s v="Medium"/>
    <n v="70.599999999999994"/>
    <n v="0.28199999999999997"/>
    <n v="22"/>
    <x v="341"/>
    <n v="706.2"/>
    <n v="35679.254160000004"/>
    <n v="0.98059114510720191"/>
  </r>
  <r>
    <s v="ORD-2024-333192"/>
    <d v="2024-10-29T00:00:00"/>
    <d v="2024-11-04T00:00:00"/>
    <n v="6"/>
    <s v="Oct-2024"/>
    <s v="Q4-2024"/>
    <s v="Africa"/>
    <s v="Kenya"/>
    <s v="Nairobi"/>
    <s v="Corporate"/>
    <s v="Distributor"/>
    <s v="M. Rossi"/>
    <x v="1"/>
    <x v="342"/>
    <n v="805.81"/>
    <s v="High"/>
    <n v="1823.04"/>
    <n v="0"/>
    <n v="11"/>
    <x v="342"/>
    <n v="8863.91"/>
    <n v="25057.890000000003"/>
    <n v="0.73869576496530254"/>
  </r>
  <r>
    <s v="ORD-2024-647473"/>
    <d v="2024-02-17T00:00:00"/>
    <d v="2024-03-04T00:00:00"/>
    <n v="16"/>
    <s v="Feb-2024"/>
    <s v="Q1-2024"/>
    <s v="Asia"/>
    <s v="India"/>
    <s v="Delhi"/>
    <s v="Small Business"/>
    <s v="Marketplace"/>
    <s v="F. Müller"/>
    <x v="3"/>
    <x v="343"/>
    <n v="1231.8"/>
    <s v="High"/>
    <n v="2015.99"/>
    <n v="0.26100000000000001"/>
    <n v="6"/>
    <x v="343"/>
    <n v="7390.7999999999993"/>
    <n v="-5959.9038599999994"/>
    <n v="-4.1651547539991265"/>
  </r>
  <r>
    <s v="ORD-2024-892908"/>
    <d v="2024-07-13T00:00:00"/>
    <d v="2024-07-12T00:00:00"/>
    <n v="1"/>
    <s v="Jul-2024"/>
    <s v="Q3-2024"/>
    <s v="Asia"/>
    <s v="Japan"/>
    <s v="Nagoya"/>
    <s v="Small Business"/>
    <s v="Marketplace"/>
    <s v="F. Müller"/>
    <x v="2"/>
    <x v="344"/>
    <n v="105.13"/>
    <s v="High"/>
    <n v="244.13"/>
    <n v="7.0999999999999994E-2"/>
    <n v="14"/>
    <x v="344"/>
    <n v="1471.82"/>
    <n v="8039.3377400000008"/>
    <n v="0.84525332874986048"/>
  </r>
  <r>
    <s v="ORD-2023-573146"/>
    <d v="2023-12-01T00:00:00"/>
    <d v="2023-12-18T00:00:00"/>
    <n v="17"/>
    <s v="Dec-2023"/>
    <s v="Q4-2023"/>
    <s v="Asia"/>
    <s v="Japan"/>
    <s v="Nagoya"/>
    <s v="Small Business"/>
    <s v="Direct"/>
    <s v="N. Brown"/>
    <x v="4"/>
    <x v="345"/>
    <n v="1495.79"/>
    <s v="High"/>
    <n v="2783.12"/>
    <n v="0.02"/>
    <n v="5"/>
    <x v="345"/>
    <n v="7478.95"/>
    <n v="37.404999999999745"/>
    <n v="4.9764812864745937E-3"/>
  </r>
  <r>
    <s v="ORD-2024-901115"/>
    <d v="2024-07-25T00:00:00"/>
    <d v="2024-08-02T00:00:00"/>
    <n v="8"/>
    <s v="Jul-2024"/>
    <s v="Q3-2024"/>
    <s v="Americas"/>
    <s v="Canada"/>
    <s v="Montreal"/>
    <s v="Consumer"/>
    <s v="Direct"/>
    <s v="J. Njeri"/>
    <x v="6"/>
    <x v="346"/>
    <n v="986.81"/>
    <s v="High"/>
    <n v="2050.31"/>
    <n v="0.10299999999999999"/>
    <n v="43"/>
    <x v="346"/>
    <n v="42432.829999999994"/>
    <n v="18187.667860000009"/>
    <n v="0.30002504931588508"/>
  </r>
  <r>
    <s v="ORD-2023-898009"/>
    <d v="2023-05-04T00:00:00"/>
    <d v="2023-05-16T00:00:00"/>
    <n v="12"/>
    <s v="May-2023"/>
    <s v="Q2-2023"/>
    <s v="Africa"/>
    <s v="Nigeria"/>
    <s v="Abuja"/>
    <s v="Small Business"/>
    <s v="Marketplace"/>
    <s v="J. Njeri"/>
    <x v="3"/>
    <x v="347"/>
    <n v="77.739999999999995"/>
    <s v="Medium"/>
    <n v="147.12"/>
    <n v="0"/>
    <n v="15"/>
    <x v="347"/>
    <n v="1166.0999999999999"/>
    <n v="2594.85"/>
    <n v="0.68994535955011371"/>
  </r>
  <r>
    <s v="ORD-2023-208944"/>
    <d v="2023-12-21T00:00:00"/>
    <d v="2024-01-06T00:00:00"/>
    <n v="16"/>
    <s v="Dec-2023"/>
    <s v="Q4-2023"/>
    <s v="Africa"/>
    <s v="Nigeria"/>
    <s v="Not Provided"/>
    <s v="Corporate"/>
    <s v="Marketplace"/>
    <s v="K. Singh"/>
    <x v="0"/>
    <x v="348"/>
    <n v="932.61"/>
    <s v="High"/>
    <n v="1982.98"/>
    <n v="0.14399999999999999"/>
    <n v="16"/>
    <x v="348"/>
    <n v="14921.76"/>
    <n v="32641.845759999997"/>
    <n v="0.68627777979463256"/>
  </r>
  <r>
    <s v="ORD-2025-480172"/>
    <d v="2025-06-17T00:00:00"/>
    <d v="2025-07-05T00:00:00"/>
    <n v="18"/>
    <s v="Jun-2025"/>
    <s v="Q2-2025"/>
    <s v="Asia"/>
    <s v="India"/>
    <s v="Delhi"/>
    <s v="Consumer"/>
    <s v="Marketplace"/>
    <s v="L. Okafor"/>
    <x v="4"/>
    <x v="349"/>
    <n v="982.93"/>
    <s v="High"/>
    <n v="2299.3000000000002"/>
    <n v="0.113"/>
    <n v="6"/>
    <x v="349"/>
    <n v="5897.58"/>
    <n v="520.96487999999954"/>
    <n v="8.1165574088811171E-2"/>
  </r>
  <r>
    <s v="ORD-2023-735274"/>
    <d v="2023-02-23T00:00:00"/>
    <d v="2023-03-08T00:00:00"/>
    <n v="13"/>
    <s v="Feb-2023"/>
    <s v="Q1-2023"/>
    <s v="Europe"/>
    <s v="United Kingdom"/>
    <s v="Manchester"/>
    <s v="Small Business"/>
    <s v="Direct"/>
    <s v="C. Otieno"/>
    <x v="1"/>
    <x v="350"/>
    <n v="307.37"/>
    <s v="High"/>
    <n v="462.61"/>
    <n v="0.188"/>
    <n v="11"/>
    <x v="350"/>
    <n v="3381.07"/>
    <n v="16244.588360000002"/>
    <n v="0.82772195775652957"/>
  </r>
  <r>
    <s v="ORD-2023-212701"/>
    <d v="2023-12-02T00:00:00"/>
    <d v="2023-12-16T00:00:00"/>
    <n v="14"/>
    <s v="Dec-2023"/>
    <s v="Q4-2023"/>
    <s v="Europe"/>
    <s v="Germany"/>
    <s v="Frankfurt"/>
    <s v="Education"/>
    <s v="Direct"/>
    <s v="N. Brown"/>
    <x v="5"/>
    <x v="351"/>
    <n v="879.08"/>
    <s v="High"/>
    <n v="1093.3900000000001"/>
    <n v="0.113"/>
    <n v="17"/>
    <x v="351"/>
    <n v="14944.36"/>
    <n v="9492.6673999999985"/>
    <n v="0.38845426019369272"/>
  </r>
  <r>
    <s v="ORD-2023-479747"/>
    <d v="2023-07-14T00:00:00"/>
    <d v="2023-07-14T00:00:00"/>
    <n v="0"/>
    <s v="Jul-2023"/>
    <s v="Q3-2023"/>
    <s v="Africa"/>
    <s v="Nigeria"/>
    <s v="Lagos"/>
    <s v="Education"/>
    <s v="Retail"/>
    <s v="I. Johnson"/>
    <x v="6"/>
    <x v="352"/>
    <n v="956.38"/>
    <s v="High"/>
    <n v="1454.22"/>
    <n v="3.9E-2"/>
    <n v="19"/>
    <x v="352"/>
    <n v="18171.22"/>
    <n v="720.63694000000032"/>
    <n v="3.8145373548440616E-2"/>
  </r>
  <r>
    <s v="ORD-2024-915495"/>
    <d v="2024-08-08T00:00:00"/>
    <d v="2024-08-20T00:00:00"/>
    <n v="12"/>
    <s v="Aug-2024"/>
    <s v="Q3-2024"/>
    <s v="Asia"/>
    <s v="Japan"/>
    <s v="Osaka"/>
    <s v="Small Business"/>
    <s v="Retail"/>
    <s v="H. Kim"/>
    <x v="2"/>
    <x v="353"/>
    <n v="1233.3599999999999"/>
    <s v="High"/>
    <n v="2120.4"/>
    <n v="0.17899999999999999"/>
    <n v="20"/>
    <x v="353"/>
    <n v="24667.199999999997"/>
    <n v="6619.7964000000029"/>
    <n v="0.21158299490838958"/>
  </r>
  <r>
    <s v="ORD-2024-225829"/>
    <d v="2024-11-07T00:00:00"/>
    <d v="2024-11-26T00:00:00"/>
    <n v="19"/>
    <s v="Nov-2024"/>
    <s v="Q4-2024"/>
    <s v="Americas"/>
    <s v="Brazil"/>
    <s v="Rio de Janeiro"/>
    <s v="Non-Profit"/>
    <s v="Distributor"/>
    <s v="J. Njeri"/>
    <x v="1"/>
    <x v="354"/>
    <n v="55.35"/>
    <s v="Medium"/>
    <n v="128.68"/>
    <n v="0.128"/>
    <n v="10"/>
    <x v="354"/>
    <n v="553.5"/>
    <n v="4168.9031999999997"/>
    <n v="0.88279272722837387"/>
  </r>
  <r>
    <s v="ORD-2024-921935"/>
    <d v="2024-01-01T00:00:00"/>
    <d v="2024-01-27T00:00:00"/>
    <n v="26"/>
    <s v="Jan-2024"/>
    <s v="Q1-2024"/>
    <s v="Europe"/>
    <s v="United Kingdom"/>
    <s v="Manchester"/>
    <s v="Education"/>
    <s v="Distributor"/>
    <s v="D. Smith"/>
    <x v="6"/>
    <x v="355"/>
    <n v="657.45"/>
    <s v="High"/>
    <n v="1325.96"/>
    <n v="0.16700000000000001"/>
    <n v="21"/>
    <x v="355"/>
    <n v="13806.45"/>
    <n v="5726.2337999999982"/>
    <n v="0.29316164939914702"/>
  </r>
  <r>
    <s v="ORD-2025-949776"/>
    <d v="2025-08-14T00:00:00"/>
    <d v="2025-09-11T00:00:00"/>
    <n v="28"/>
    <s v="Aug-2025"/>
    <s v="Q3-2025"/>
    <s v="Americas"/>
    <s v="Brazil"/>
    <s v="São Paulo"/>
    <s v="Non-Profit"/>
    <s v="Direct"/>
    <s v="F. Müller"/>
    <x v="1"/>
    <x v="356"/>
    <n v="1203.02"/>
    <s v="High"/>
    <n v="2439.33"/>
    <n v="0"/>
    <n v="18"/>
    <x v="356"/>
    <n v="21654.36"/>
    <n v="4535.6399999999994"/>
    <n v="0.17318213058419241"/>
  </r>
  <r>
    <s v="ORD-2024-510591"/>
    <d v="2024-04-03T00:00:00"/>
    <d v="2024-04-21T00:00:00"/>
    <n v="18"/>
    <s v="Apr-2024"/>
    <s v="Q2-2024"/>
    <s v="Americas"/>
    <s v="Brazil"/>
    <s v="Brasília"/>
    <s v="Small Business"/>
    <s v="Distributor"/>
    <s v="B. Chen"/>
    <x v="2"/>
    <x v="357"/>
    <n v="1176.69"/>
    <s v="High"/>
    <n v="2201.54"/>
    <n v="0.17"/>
    <n v="27"/>
    <x v="357"/>
    <n v="31770.63"/>
    <n v="-3123.9270000000033"/>
    <n v="-0.1090501409533936"/>
  </r>
  <r>
    <s v="ORD-2024-961756"/>
    <d v="2024-11-25T00:00:00"/>
    <d v="2024-12-07T00:00:00"/>
    <n v="12"/>
    <s v="Nov-2024"/>
    <s v="Q4-2024"/>
    <s v="Asia"/>
    <s v="China"/>
    <s v="Shanghai"/>
    <s v="Corporate"/>
    <s v="Distributor"/>
    <s v="A. Patel"/>
    <x v="6"/>
    <x v="358"/>
    <n v="769.9"/>
    <s v="High"/>
    <n v="814.36"/>
    <n v="0"/>
    <n v="5"/>
    <x v="358"/>
    <n v="3849.5"/>
    <n v="649.65000000000055"/>
    <n v="0.14439394107775924"/>
  </r>
  <r>
    <s v="ORD-2024-892173"/>
    <d v="2024-01-18T00:00:00"/>
    <d v="2024-02-03T00:00:00"/>
    <n v="16"/>
    <s v="Jan-2024"/>
    <s v="Q1-2024"/>
    <s v="Africa"/>
    <s v="South Africa"/>
    <s v="Cape Town"/>
    <s v="Non-Profit"/>
    <s v="Distributor"/>
    <s v="L. Okafor"/>
    <x v="1"/>
    <x v="359"/>
    <n v="666.23"/>
    <s v="High"/>
    <n v="1382.91"/>
    <n v="0.17599999999999999"/>
    <n v="13"/>
    <x v="359"/>
    <n v="8660.99"/>
    <n v="751.96576000000096"/>
    <n v="7.9886252434697616E-2"/>
  </r>
  <r>
    <s v="ORD-2024-704056"/>
    <d v="2024-06-23T00:00:00"/>
    <d v="2024-06-25T00:00:00"/>
    <n v="2"/>
    <s v="Jun-2024"/>
    <s v="Q2-2024"/>
    <s v="Europe"/>
    <s v="United Kingdom"/>
    <s v="Birmingham"/>
    <s v="Small Business"/>
    <s v="Marketplace"/>
    <s v="L. Okafor"/>
    <x v="6"/>
    <x v="360"/>
    <n v="951.44"/>
    <s v="High"/>
    <n v="1646.43"/>
    <n v="0.11"/>
    <n v="24"/>
    <x v="360"/>
    <n v="22834.560000000001"/>
    <n v="-10137.748800000003"/>
    <n v="-0.79844841671741995"/>
  </r>
  <r>
    <s v="ORD-2025-591006"/>
    <d v="2025-06-25T00:00:00"/>
    <d v="2025-07-10T00:00:00"/>
    <n v="15"/>
    <s v="Jun-2025"/>
    <s v="Q2-2025"/>
    <s v="Europe"/>
    <s v="United Kingdom"/>
    <s v="Birmingham"/>
    <s v="Non-Profit"/>
    <s v="Marketplace"/>
    <s v="D. Smith"/>
    <x v="3"/>
    <x v="361"/>
    <n v="546.83000000000004"/>
    <s v="High"/>
    <n v="400.84"/>
    <n v="7.8E-2"/>
    <n v="13"/>
    <x v="361"/>
    <n v="7108.7900000000009"/>
    <n v="12282.7601"/>
    <n v="0.63340785221703344"/>
  </r>
  <r>
    <s v="ORD-2023-159821"/>
    <d v="2023-07-01T00:00:00"/>
    <d v="2023-07-08T00:00:00"/>
    <n v="7"/>
    <s v="Jul-2023"/>
    <s v="Q3-2023"/>
    <s v="Africa"/>
    <s v="Nigeria"/>
    <s v="Port Harcourt"/>
    <s v="Corporate"/>
    <s v="Retail"/>
    <s v="A. Patel"/>
    <x v="4"/>
    <x v="362"/>
    <n v="834.26"/>
    <s v="High"/>
    <n v="1780.56"/>
    <n v="1.4E-2"/>
    <n v="47"/>
    <x v="362"/>
    <n v="39210.22"/>
    <n v="5876.3752199999944"/>
    <n v="0.13033530678744376"/>
  </r>
  <r>
    <s v="ORD-2024-343877"/>
    <d v="2024-03-09T00:00:00"/>
    <d v="2024-03-26T00:00:00"/>
    <n v="17"/>
    <s v="Mar-2024"/>
    <s v="Q1-2024"/>
    <s v="Asia"/>
    <s v="China"/>
    <s v="Shenzhen"/>
    <s v="Enterprise"/>
    <s v="Online"/>
    <s v="K. Singh"/>
    <x v="5"/>
    <x v="363"/>
    <n v="1029.67"/>
    <s v="High"/>
    <n v="1118.43"/>
    <n v="0.27200000000000002"/>
    <n v="9"/>
    <x v="363"/>
    <n v="9267.0300000000007"/>
    <n v="-8988.1768800000009"/>
    <n v="-32.232656676030743"/>
  </r>
  <r>
    <s v="ORD-2023-386663"/>
    <d v="2023-06-05T00:00:00"/>
    <d v="2023-06-28T00:00:00"/>
    <n v="23"/>
    <s v="Jun-2023"/>
    <s v="Q2-2023"/>
    <s v="Europe"/>
    <s v="United Kingdom"/>
    <s v="Birmingham"/>
    <s v="Corporate"/>
    <s v="Direct"/>
    <s v="K. Singh"/>
    <x v="1"/>
    <x v="364"/>
    <n v="605.82000000000005"/>
    <s v="High"/>
    <n v="771.12"/>
    <n v="0.13200000000000001"/>
    <n v="19"/>
    <x v="364"/>
    <n v="11510.580000000002"/>
    <n v="12911.268359999995"/>
    <n v="0.52867695227962652"/>
  </r>
  <r>
    <s v="ORD-2025-125517"/>
    <d v="2025-03-21T00:00:00"/>
    <d v="2025-04-09T00:00:00"/>
    <n v="19"/>
    <s v="Mar-2025"/>
    <s v="Q1-2025"/>
    <s v="Asia"/>
    <s v="Japan"/>
    <s v="Tokyo"/>
    <s v="Small Business"/>
    <s v="Distributor"/>
    <s v="E. Garcia"/>
    <x v="0"/>
    <x v="365"/>
    <n v="1055.45"/>
    <s v="High"/>
    <n v="1210.04"/>
    <n v="8.9999999999999993E-3"/>
    <n v="18"/>
    <x v="365"/>
    <n v="18998.100000000002"/>
    <n v="-8932.8301200000024"/>
    <n v="-0.887490372985409"/>
  </r>
  <r>
    <s v="ORD-2024-819778"/>
    <d v="2024-06-02T00:00:00"/>
    <d v="2024-06-15T00:00:00"/>
    <n v="13"/>
    <s v="Jun-2024"/>
    <s v="Q2-2024"/>
    <s v="Africa"/>
    <s v="Kenya"/>
    <s v="Mombasa"/>
    <s v="Education"/>
    <s v="Online"/>
    <s v="O. Wang"/>
    <x v="3"/>
    <x v="366"/>
    <n v="1295.18"/>
    <s v="High"/>
    <n v="3024.03"/>
    <n v="0.192"/>
    <n v="8"/>
    <x v="366"/>
    <n v="10361.44"/>
    <n v="3453.4854400000004"/>
    <n v="0.24998219896292109"/>
  </r>
  <r>
    <s v="ORD-2025-624006"/>
    <d v="2025-03-15T00:00:00"/>
    <d v="2025-03-29T00:00:00"/>
    <n v="14"/>
    <s v="Mar-2025"/>
    <s v="Q1-2025"/>
    <s v="Asia"/>
    <s v="India"/>
    <s v="Mumbai"/>
    <s v="Enterprise"/>
    <s v="Direct"/>
    <s v="C. Otieno"/>
    <x v="0"/>
    <x v="367"/>
    <n v="935.83"/>
    <s v="High"/>
    <n v="2303.46"/>
    <n v="0.105"/>
    <n v="9"/>
    <x v="367"/>
    <n v="8422.4700000000012"/>
    <n v="5117.4211500000001"/>
    <n v="0.37795142466858012"/>
  </r>
  <r>
    <s v="ORD-2023-132101"/>
    <d v="2023-09-25T00:00:00"/>
    <d v="2023-10-09T00:00:00"/>
    <n v="14"/>
    <s v="Sept-2023"/>
    <s v="Q3-2023"/>
    <s v="Americas"/>
    <s v="USA"/>
    <s v="New York"/>
    <s v="Small Business"/>
    <s v="Marketplace"/>
    <s v="J. Njeri"/>
    <x v="4"/>
    <x v="368"/>
    <n v="1279.56"/>
    <s v="High"/>
    <n v="3083.8"/>
    <n v="0.106"/>
    <n v="5"/>
    <x v="368"/>
    <n v="6397.7999999999993"/>
    <n v="6587.8181999999997"/>
    <n v="0.50731648648040495"/>
  </r>
  <r>
    <s v="ORD-2025-306903"/>
    <d v="2025-06-24T00:00:00"/>
    <d v="2025-07-23T00:00:00"/>
    <n v="29"/>
    <s v="Jun-2025"/>
    <s v="Q2-2025"/>
    <s v="Americas"/>
    <s v="Canada"/>
    <s v="Vancouver"/>
    <s v="Non-Profit"/>
    <s v="Marketplace"/>
    <s v="I. Johnson"/>
    <x v="1"/>
    <x v="369"/>
    <n v="255.4"/>
    <s v="High"/>
    <n v="322.70999999999998"/>
    <n v="0.115"/>
    <n v="16"/>
    <x v="369"/>
    <n v="4086.4"/>
    <n v="7837.5944000000018"/>
    <n v="0.65729604837788258"/>
  </r>
  <r>
    <s v="ORD-2023-813340"/>
    <d v="2023-12-26T00:00:00"/>
    <d v="2024-01-03T00:00:00"/>
    <n v="8"/>
    <s v="Dec-2023"/>
    <s v="Q4-2023"/>
    <s v="Europe"/>
    <s v="France"/>
    <s v="Lyon"/>
    <s v="Small Business"/>
    <s v="Retail"/>
    <s v="M. Rossi"/>
    <x v="4"/>
    <x v="370"/>
    <n v="492.75"/>
    <s v="High"/>
    <n v="731.29"/>
    <n v="5.8000000000000003E-2"/>
    <n v="6"/>
    <x v="370"/>
    <n v="2956.5"/>
    <n v="14742.003240000002"/>
    <n v="0.83295197566096557"/>
  </r>
  <r>
    <s v="ORD-2023-855675"/>
    <d v="2023-02-05T00:00:00"/>
    <d v="2023-02-28T00:00:00"/>
    <n v="23"/>
    <s v="Feb-2023"/>
    <s v="Q1-2023"/>
    <s v="Americas"/>
    <s v="USA"/>
    <s v="Austin"/>
    <s v="Non-Profit"/>
    <s v="Distributor"/>
    <s v="L. Okafor"/>
    <x v="3"/>
    <x v="371"/>
    <n v="1214.49"/>
    <s v="High"/>
    <n v="1533.95"/>
    <n v="0"/>
    <n v="11"/>
    <x v="371"/>
    <n v="13359.39"/>
    <n v="2532.5300000000007"/>
    <n v="0.15935959909186559"/>
  </r>
  <r>
    <s v="ORD-2023-545150"/>
    <d v="2023-04-06T00:00:00"/>
    <d v="2023-04-08T00:00:00"/>
    <n v="2"/>
    <s v="Apr-2023"/>
    <s v="Q2-2023"/>
    <s v="Africa"/>
    <s v="Nigeria"/>
    <s v="Abuja"/>
    <s v="Small Business"/>
    <s v="Marketplace"/>
    <s v="K. Singh"/>
    <x v="5"/>
    <x v="372"/>
    <n v="720.35"/>
    <s v="High"/>
    <n v="1571.66"/>
    <n v="0.107"/>
    <n v="23"/>
    <x v="372"/>
    <n v="16568.05"/>
    <n v="42498.006200000003"/>
    <n v="0.71949964047201787"/>
  </r>
  <r>
    <s v="ORD-2025-269934"/>
    <d v="2025-04-04T00:00:00"/>
    <d v="2025-04-10T00:00:00"/>
    <n v="6"/>
    <s v="Apr-2025"/>
    <s v="Q2-2025"/>
    <s v="Europe"/>
    <s v="United Kingdom"/>
    <s v="Birmingham"/>
    <s v="Non-Profit"/>
    <s v="Direct"/>
    <s v="N. Brown"/>
    <x v="1"/>
    <x v="373"/>
    <n v="290.14"/>
    <s v="High"/>
    <n v="250.73"/>
    <n v="3.4000000000000002E-2"/>
    <n v="17"/>
    <x v="373"/>
    <n v="4932.38"/>
    <n v="22026.139419999996"/>
    <n v="0.81703817174986382"/>
  </r>
  <r>
    <s v="ORD-2024-690270"/>
    <d v="2024-05-17T00:00:00"/>
    <d v="2024-05-27T00:00:00"/>
    <n v="10"/>
    <s v="May-2024"/>
    <s v="Q2-2024"/>
    <s v="Americas"/>
    <s v="USA"/>
    <s v="Austin"/>
    <s v="Non-Profit"/>
    <s v="Online"/>
    <s v="C. Otieno"/>
    <x v="3"/>
    <x v="374"/>
    <n v="1484.23"/>
    <s v="High"/>
    <n v="3472.81"/>
    <n v="0.25600000000000001"/>
    <n v="12"/>
    <x v="374"/>
    <n v="17810.760000000002"/>
    <n v="-6213.109440000002"/>
    <n v="-0.53572138665988589"/>
  </r>
  <r>
    <s v="ORD-2024-868223"/>
    <d v="2024-03-03T00:00:00"/>
    <d v="2024-03-19T00:00:00"/>
    <n v="16"/>
    <s v="Mar-2024"/>
    <s v="Q1-2024"/>
    <s v="Asia"/>
    <s v="China"/>
    <s v="Beijing"/>
    <s v="Consumer"/>
    <s v="Distributor"/>
    <s v="G. Dubois"/>
    <x v="3"/>
    <x v="375"/>
    <n v="988.83"/>
    <s v="High"/>
    <n v="1206.04"/>
    <n v="6.3E-2"/>
    <n v="34"/>
    <x v="375"/>
    <n v="33620.22"/>
    <n v="2014.8644800000038"/>
    <n v="5.6541594033005182E-2"/>
  </r>
  <r>
    <s v="ORD-2025-188059"/>
    <d v="2025-06-27T00:00:00"/>
    <d v="2025-07-11T00:00:00"/>
    <n v="14"/>
    <s v="Jun-2025"/>
    <s v="Q2-2025"/>
    <s v="Asia"/>
    <s v="China"/>
    <s v="Shanghai"/>
    <s v="Small Business"/>
    <s v="Marketplace"/>
    <s v="L. Okafor"/>
    <x v="2"/>
    <x v="376"/>
    <n v="1227.7"/>
    <s v="High"/>
    <n v="2197.23"/>
    <n v="9.9000000000000005E-2"/>
    <n v="22"/>
    <x v="376"/>
    <n v="27009.4"/>
    <n v="-3526.078379999999"/>
    <n v="-0.15015245445503542"/>
  </r>
  <r>
    <s v="ORD-2023-281890"/>
    <d v="2023-03-13T00:00:00"/>
    <d v="2023-04-04T00:00:00"/>
    <n v="22"/>
    <s v="Mar-2023"/>
    <s v="Q1-2023"/>
    <s v="Africa"/>
    <s v="South Africa"/>
    <s v="Durban"/>
    <s v="Small Business"/>
    <s v="Retail"/>
    <s v="A. Patel"/>
    <x v="0"/>
    <x v="377"/>
    <n v="1113.7"/>
    <s v="High"/>
    <n v="1620.6"/>
    <n v="0.13900000000000001"/>
    <n v="11"/>
    <x v="377"/>
    <n v="12250.7"/>
    <n v="-871.57763000000159"/>
    <n v="-7.6594450930401736E-2"/>
  </r>
  <r>
    <s v="ORD-2025-636162"/>
    <d v="2025-01-07T00:00:00"/>
    <d v="2025-01-20T00:00:00"/>
    <n v="13"/>
    <s v="Jan-2025"/>
    <s v="Q1-2025"/>
    <s v="Africa"/>
    <s v="South Africa"/>
    <s v="Cape Town"/>
    <s v="Corporate"/>
    <s v="Direct"/>
    <s v="K. Singh"/>
    <x v="2"/>
    <x v="378"/>
    <n v="432.13"/>
    <s v="High"/>
    <n v="1034.6600000000001"/>
    <n v="9.1999999999999998E-2"/>
    <n v="7"/>
    <x v="378"/>
    <n v="3024.91"/>
    <n v="2574.662440000001"/>
    <n v="0.45979625544410324"/>
  </r>
  <r>
    <s v="ORD-2025-915869"/>
    <d v="2025-02-06T00:00:00"/>
    <d v="2025-02-15T00:00:00"/>
    <n v="9"/>
    <s v="Feb-2025"/>
    <s v="Q1-2025"/>
    <s v="Americas"/>
    <s v="Brazil"/>
    <s v="São Paulo"/>
    <s v="Non-Profit"/>
    <s v="Distributor"/>
    <s v="F. Müller"/>
    <x v="2"/>
    <x v="379"/>
    <n v="837.39"/>
    <s v="High"/>
    <n v="1905.42"/>
    <n v="3.2000000000000001E-2"/>
    <n v="18"/>
    <x v="379"/>
    <n v="15073.02"/>
    <n v="20661.338879999992"/>
    <n v="0.57819251632254265"/>
  </r>
  <r>
    <s v="ORD-2025-192876"/>
    <d v="2025-01-31T00:00:00"/>
    <d v="2025-02-17T00:00:00"/>
    <n v="17"/>
    <s v="Jan-2025"/>
    <s v="Q1-2025"/>
    <s v="Europe"/>
    <s v="United Kingdom"/>
    <s v="London"/>
    <s v="Enterprise"/>
    <s v="Retail"/>
    <s v="H. Kim"/>
    <x v="0"/>
    <x v="78"/>
    <n v="378.26"/>
    <s v="High"/>
    <n v="541.55999999999995"/>
    <n v="0.16300000000000001"/>
    <n v="25"/>
    <x v="380"/>
    <n v="9456.5"/>
    <n v="26909.057499999995"/>
    <n v="0.73995998823887132"/>
  </r>
  <r>
    <s v="ORD-2025-822030"/>
    <d v="2025-08-07T00:00:00"/>
    <d v="2025-09-06T00:00:00"/>
    <n v="30"/>
    <s v="Aug-2025"/>
    <s v="Q3-2025"/>
    <s v="Americas"/>
    <s v="Canada"/>
    <s v="Montreal"/>
    <s v="Education"/>
    <s v="Direct"/>
    <s v="M. Rossi"/>
    <x v="2"/>
    <x v="380"/>
    <n v="833.73"/>
    <s v="High"/>
    <n v="1116.5999999999999"/>
    <n v="0.17599999999999999"/>
    <n v="14"/>
    <x v="381"/>
    <n v="11672.220000000001"/>
    <n v="4343.3241600000001"/>
    <n v="0.27119429203334666"/>
  </r>
  <r>
    <s v="ORD-2025-789245"/>
    <d v="2025-07-23T00:00:00"/>
    <d v="2025-08-17T00:00:00"/>
    <n v="25"/>
    <s v="Jul-2025"/>
    <s v="Q3-2025"/>
    <s v="Europe"/>
    <s v="United Kingdom"/>
    <s v="Birmingham"/>
    <s v="Education"/>
    <s v="Online"/>
    <s v="I. Johnson"/>
    <x v="1"/>
    <x v="381"/>
    <n v="1142.06"/>
    <s v="High"/>
    <n v="1455"/>
    <n v="7.8E-2"/>
    <n v="28"/>
    <x v="382"/>
    <n v="31977.68"/>
    <n v="-18317.401760000001"/>
    <n v="-1.3409244993533893"/>
  </r>
  <r>
    <s v="ORD-2023-594955"/>
    <d v="2023-06-20T00:00:00"/>
    <d v="2023-07-08T00:00:00"/>
    <n v="18"/>
    <s v="Jun-2023"/>
    <s v="Q2-2023"/>
    <s v="Americas"/>
    <s v="USA"/>
    <s v="New York"/>
    <s v="Consumer"/>
    <s v="Marketplace"/>
    <s v="O. Wang"/>
    <x v="2"/>
    <x v="382"/>
    <n v="1145.53"/>
    <s v="High"/>
    <n v="1278.3"/>
    <n v="0.09"/>
    <n v="41"/>
    <x v="383"/>
    <n v="46966.729999999996"/>
    <n v="26622.767800000001"/>
    <n v="0.36177401118234026"/>
  </r>
  <r>
    <s v="ORD-2024-398783"/>
    <d v="2024-07-18T00:00:00"/>
    <d v="2024-08-07T00:00:00"/>
    <n v="20"/>
    <s v="Jul-2024"/>
    <s v="Q3-2024"/>
    <s v="Europe"/>
    <s v="France"/>
    <s v="Marseille"/>
    <s v="Corporate"/>
    <s v="Retail"/>
    <s v="F. Müller"/>
    <x v="5"/>
    <x v="383"/>
    <n v="941.35"/>
    <s v="High"/>
    <n v="899.83"/>
    <n v="5.8000000000000003E-2"/>
    <n v="18"/>
    <x v="384"/>
    <n v="16944.3"/>
    <n v="-2077.1096400000024"/>
    <n v="-0.13971097360725546"/>
  </r>
  <r>
    <s v="ORD-2023-676553"/>
    <d v="2023-05-20T00:00:00"/>
    <d v="2023-06-19T00:00:00"/>
    <n v="30"/>
    <s v="May-2023"/>
    <s v="Q2-2023"/>
    <s v="Asia"/>
    <s v="India"/>
    <s v="Delhi"/>
    <s v="Non-Profit"/>
    <s v="Marketplace"/>
    <s v="H. Kim"/>
    <x v="4"/>
    <x v="384"/>
    <n v="1161.2"/>
    <s v="High"/>
    <n v="878.73"/>
    <n v="0.19"/>
    <n v="31"/>
    <x v="385"/>
    <n v="35997.200000000004"/>
    <n v="-15300.031400000003"/>
    <n v="-0.73923306591801174"/>
  </r>
  <r>
    <s v="ORD-2025-866565"/>
    <d v="2025-05-12T00:00:00"/>
    <d v="2025-05-26T00:00:00"/>
    <n v="14"/>
    <s v="May-2025"/>
    <s v="Q2-2025"/>
    <s v="Asia"/>
    <s v="India"/>
    <s v="Hyderabad"/>
    <s v="Corporate"/>
    <s v="Marketplace"/>
    <s v="G. Dubois"/>
    <x v="1"/>
    <x v="385"/>
    <n v="320.12"/>
    <s v="High"/>
    <n v="594.41999999999996"/>
    <n v="0.104"/>
    <n v="18"/>
    <x v="386"/>
    <n v="5762.16"/>
    <n v="12935.836800000001"/>
    <n v="0.69183008952060576"/>
  </r>
  <r>
    <s v="ORD-2024-527858"/>
    <d v="2024-05-07T00:00:00"/>
    <d v="2024-05-12T00:00:00"/>
    <n v="5"/>
    <s v="May-2024"/>
    <s v="Q2-2024"/>
    <s v="Africa"/>
    <s v="Nigeria"/>
    <s v="Abuja"/>
    <s v="Non-Profit"/>
    <s v="Distributor"/>
    <s v="L. Okafor"/>
    <x v="4"/>
    <x v="386"/>
    <n v="1163.99"/>
    <s v="High"/>
    <n v="1617.85"/>
    <n v="0.127"/>
    <n v="14"/>
    <x v="387"/>
    <n v="16295.86"/>
    <n v="14424.25922"/>
    <n v="0.4695378659406127"/>
  </r>
  <r>
    <s v="ORD-2023-619385"/>
    <d v="2023-09-30T00:00:00"/>
    <d v="2023-10-03T00:00:00"/>
    <n v="3"/>
    <s v="Sept-2023"/>
    <s v="Q3-2023"/>
    <s v="Asia"/>
    <s v="China"/>
    <s v="Beijing"/>
    <s v="Non-Profit"/>
    <s v="Retail"/>
    <s v="J. Njeri"/>
    <x v="4"/>
    <x v="387"/>
    <n v="1019.36"/>
    <s v="High"/>
    <n v="972.91"/>
    <n v="0.14699999999999999"/>
    <n v="17"/>
    <x v="388"/>
    <n v="17329.12"/>
    <n v="27437.352129999996"/>
    <n v="0.61289958365097552"/>
  </r>
  <r>
    <s v="ORD-2023-835226"/>
    <d v="2023-10-26T00:00:00"/>
    <d v="2023-11-05T00:00:00"/>
    <n v="10"/>
    <s v="Oct-2023"/>
    <s v="Q4-2023"/>
    <s v="Africa"/>
    <s v="South Africa"/>
    <s v="Cape Town"/>
    <s v="Non-Profit"/>
    <s v="Online"/>
    <s v="I. Johnson"/>
    <x v="4"/>
    <x v="388"/>
    <n v="20.38"/>
    <s v="Low"/>
    <n v="42.56"/>
    <n v="7.1999999999999995E-2"/>
    <n v="11"/>
    <x v="389"/>
    <n v="224.17999999999998"/>
    <n v="27512.487200000003"/>
    <n v="0.99191755814123195"/>
  </r>
  <r>
    <s v="ORD-2025-485946"/>
    <d v="2025-06-15T00:00:00"/>
    <d v="2025-06-30T00:00:00"/>
    <n v="15"/>
    <s v="Jun-2025"/>
    <s v="Q2-2025"/>
    <s v="Africa"/>
    <s v="South Africa"/>
    <s v="Johannesburg"/>
    <s v="Small Business"/>
    <s v="Direct"/>
    <s v="C. Otieno"/>
    <x v="5"/>
    <x v="389"/>
    <n v="1487.59"/>
    <s v="High"/>
    <n v="1480.83"/>
    <n v="8.9999999999999993E-3"/>
    <n v="11"/>
    <x v="390"/>
    <n v="16363.49"/>
    <n v="-6533.0772100000013"/>
    <n v="-0.66457811584939586"/>
  </r>
  <r>
    <s v="ORD-2024-307849"/>
    <d v="2024-08-10T00:00:00"/>
    <d v="2024-09-07T00:00:00"/>
    <n v="28"/>
    <s v="Aug-2024"/>
    <s v="Q3-2024"/>
    <s v="Europe"/>
    <s v="France"/>
    <s v="Marseille"/>
    <s v="Non-Profit"/>
    <s v="Direct"/>
    <s v="F. Müller"/>
    <x v="1"/>
    <x v="390"/>
    <n v="229.96"/>
    <s v="High"/>
    <n v="564.26"/>
    <n v="0.105"/>
    <n v="5"/>
    <x v="391"/>
    <n v="1149.8"/>
    <n v="2412.9712500000005"/>
    <n v="0.67727369530109471"/>
  </r>
  <r>
    <s v="ORD-2023-368449"/>
    <d v="2023-10-09T00:00:00"/>
    <d v="2023-10-26T00:00:00"/>
    <n v="17"/>
    <s v="Oct-2023"/>
    <s v="Q4-2023"/>
    <s v="Asia"/>
    <s v="China"/>
    <s v="Shanghai"/>
    <s v="Consumer"/>
    <s v="Marketplace"/>
    <s v="C. Otieno"/>
    <x v="0"/>
    <x v="391"/>
    <n v="1132.03"/>
    <s v="High"/>
    <n v="2137.21"/>
    <n v="0.35699999999999998"/>
    <n v="35"/>
    <x v="392"/>
    <n v="39621.049999999996"/>
    <n v="-36069.310899999997"/>
    <n v="-10.155394268683755"/>
  </r>
  <r>
    <s v="ORD-2024-251426"/>
    <d v="2024-03-09T00:00:00"/>
    <d v="2024-03-26T00:00:00"/>
    <n v="17"/>
    <s v="Mar-2024"/>
    <s v="Q1-2024"/>
    <s v="Americas"/>
    <s v="USA"/>
    <s v="San Francisco"/>
    <s v="Education"/>
    <s v="Direct"/>
    <s v="I. Johnson"/>
    <x v="3"/>
    <x v="392"/>
    <n v="1137.4100000000001"/>
    <s v="High"/>
    <n v="1680.93"/>
    <n v="0.254"/>
    <n v="9"/>
    <x v="393"/>
    <n v="10236.69"/>
    <n v="-4737.5211600000011"/>
    <n v="-0.86149767316473258"/>
  </r>
  <r>
    <s v="ORD-2023-927385"/>
    <d v="2023-05-29T00:00:00"/>
    <d v="2023-06-20T00:00:00"/>
    <n v="22"/>
    <s v="May-2023"/>
    <s v="Q2-2023"/>
    <s v="Europe"/>
    <s v="United Kingdom"/>
    <s v="London"/>
    <s v="Small Business"/>
    <s v="Direct"/>
    <s v="K. Singh"/>
    <x v="0"/>
    <x v="393"/>
    <n v="1295.3900000000001"/>
    <s v="High"/>
    <n v="2905.06"/>
    <n v="0.14799999999999999"/>
    <n v="8"/>
    <x v="394"/>
    <n v="10363.120000000001"/>
    <n v="1300.1465599999992"/>
    <n v="0.11147362133168971"/>
  </r>
  <r>
    <s v="ORD-2025-486350"/>
    <d v="2025-05-27T00:00:00"/>
    <d v="2025-06-08T00:00:00"/>
    <n v="12"/>
    <s v="May-2025"/>
    <s v="Q2-2025"/>
    <s v="Asia"/>
    <s v="Japan"/>
    <s v="Osaka"/>
    <s v="Corporate"/>
    <s v="Retail"/>
    <s v="H. Kim"/>
    <x v="6"/>
    <x v="394"/>
    <n v="653.6"/>
    <s v="High"/>
    <n v="842.09"/>
    <n v="9.8000000000000004E-2"/>
    <n v="19"/>
    <x v="395"/>
    <n v="12418.4"/>
    <n v="16653.6463"/>
    <n v="0.5728405261930255"/>
  </r>
  <r>
    <s v="ORD-2025-677880"/>
    <d v="2025-08-21T00:00:00"/>
    <d v="2025-09-14T00:00:00"/>
    <n v="24"/>
    <s v="Aug-2025"/>
    <s v="Q3-2025"/>
    <s v="Europe"/>
    <s v="Germany"/>
    <s v="Berlin"/>
    <s v="Non-Profit"/>
    <s v="Online"/>
    <s v="A. Patel"/>
    <x v="5"/>
    <x v="395"/>
    <n v="1397.67"/>
    <s v="High"/>
    <n v="3131.37"/>
    <n v="0.10299999999999999"/>
    <n v="20"/>
    <x v="396"/>
    <n v="27953.4"/>
    <n v="23791.659599999999"/>
    <n v="0.45978610873993464"/>
  </r>
  <r>
    <s v="ORD-2024-102866"/>
    <d v="2024-12-12T00:00:00"/>
    <d v="2024-12-20T00:00:00"/>
    <n v="8"/>
    <s v="Dec-2024"/>
    <s v="Q4-2024"/>
    <s v="Asia"/>
    <s v="Japan"/>
    <s v="Tokyo"/>
    <s v="Corporate"/>
    <s v="Retail"/>
    <s v="B. Chen"/>
    <x v="4"/>
    <x v="396"/>
    <n v="1202.47"/>
    <s v="High"/>
    <n v="1444.72"/>
    <n v="0.24099999999999999"/>
    <n v="17"/>
    <x v="397"/>
    <n v="20441.990000000002"/>
    <n v="-1297.2927799999998"/>
    <n v="-6.7762512255599913E-2"/>
  </r>
  <r>
    <s v="ORD-2025-588029"/>
    <d v="2025-09-14T00:00:00"/>
    <d v="2025-09-23T00:00:00"/>
    <n v="9"/>
    <s v="Sept-2025"/>
    <s v="Q3-2025"/>
    <s v="Africa"/>
    <s v="South Africa"/>
    <s v="Durban"/>
    <s v="Non-Profit"/>
    <s v="Online"/>
    <s v="D. Smith"/>
    <x v="0"/>
    <x v="397"/>
    <n v="1310.3"/>
    <s v="High"/>
    <n v="2875.8"/>
    <n v="8.3000000000000004E-2"/>
    <n v="5"/>
    <x v="398"/>
    <n v="6551.5"/>
    <n v="8108.8999499999991"/>
    <n v="0.55311587525959682"/>
  </r>
  <r>
    <s v="ORD-2024-972999"/>
    <d v="2024-09-06T00:00:00"/>
    <d v="2024-10-04T00:00:00"/>
    <n v="28"/>
    <s v="Sept-2024"/>
    <s v="Q3-2024"/>
    <s v="Africa"/>
    <s v="South Africa"/>
    <s v="Cape Town"/>
    <s v="Corporate"/>
    <s v="Marketplace"/>
    <s v="D. Smith"/>
    <x v="5"/>
    <x v="398"/>
    <n v="1174.17"/>
    <s v="High"/>
    <n v="1641.61"/>
    <n v="0.122"/>
    <n v="9"/>
    <x v="399"/>
    <n v="10567.53"/>
    <n v="7786.4453999999987"/>
    <n v="0.42423754147561943"/>
  </r>
  <r>
    <s v="ORD-2025-608069"/>
    <d v="2025-04-12T00:00:00"/>
    <d v="2025-04-30T00:00:00"/>
    <n v="18"/>
    <s v="Apr-2025"/>
    <s v="Q2-2025"/>
    <s v="Africa"/>
    <s v="Kenya"/>
    <s v="Kisumu"/>
    <s v="Corporate"/>
    <s v="Marketplace"/>
    <s v="F. Müller"/>
    <x v="2"/>
    <x v="399"/>
    <n v="1119.04"/>
    <s v="High"/>
    <n v="1299.02"/>
    <n v="2.5000000000000001E-2"/>
    <n v="14"/>
    <x v="400"/>
    <n v="15666.56"/>
    <n v="10710.973"/>
    <n v="0.40606424414292269"/>
  </r>
  <r>
    <s v="ORD-2024-626750"/>
    <d v="2024-08-12T00:00:00"/>
    <d v="2024-08-15T00:00:00"/>
    <n v="3"/>
    <s v="Aug-2024"/>
    <s v="Q3-2024"/>
    <s v="Americas"/>
    <s v="USA"/>
    <s v="Chicago"/>
    <s v="Corporate"/>
    <s v="Marketplace"/>
    <s v="D. Smith"/>
    <x v="1"/>
    <x v="400"/>
    <n v="850.7"/>
    <s v="High"/>
    <n v="1118.56"/>
    <n v="0.18"/>
    <n v="19"/>
    <x v="401"/>
    <n v="16163.300000000001"/>
    <n v="8614.5087999999978"/>
    <n v="0.34767032345491333"/>
  </r>
  <r>
    <s v="ORD-2024-170021"/>
    <d v="2024-11-05T00:00:00"/>
    <d v="2024-11-08T00:00:00"/>
    <n v="3"/>
    <s v="Nov-2024"/>
    <s v="Q4-2024"/>
    <s v="Americas"/>
    <s v="Canada"/>
    <s v="Toronto"/>
    <s v="Education"/>
    <s v="Marketplace"/>
    <s v="O. Wang"/>
    <x v="0"/>
    <x v="401"/>
    <n v="1020.4"/>
    <s v="High"/>
    <n v="1184.71"/>
    <n v="0.106"/>
    <n v="16"/>
    <x v="402"/>
    <n v="16326.4"/>
    <n v="-10667.59456"/>
    <n v="-1.8851318839475772"/>
  </r>
  <r>
    <s v="ORD-2024-678110"/>
    <d v="2024-07-24T00:00:00"/>
    <d v="2024-08-08T00:00:00"/>
    <n v="15"/>
    <s v="Jul-2024"/>
    <s v="Q3-2024"/>
    <s v="Europe"/>
    <s v="France"/>
    <s v="Marseille"/>
    <s v="Enterprise"/>
    <s v="Marketplace"/>
    <s v="H. Kim"/>
    <x v="4"/>
    <x v="402"/>
    <n v="501.5"/>
    <s v="High"/>
    <n v="1201.47"/>
    <n v="0.126"/>
    <n v="5"/>
    <x v="403"/>
    <n v="2507.5"/>
    <n v="6572.0053000000007"/>
    <n v="0.72382856585809807"/>
  </r>
  <r>
    <s v="ORD-2025-909340"/>
    <d v="2025-01-20T00:00:00"/>
    <d v="2025-02-03T00:00:00"/>
    <n v="14"/>
    <s v="Jan-2025"/>
    <s v="Q1-2025"/>
    <s v="Americas"/>
    <s v="Brazil"/>
    <s v="Brasília"/>
    <s v="Enterprise"/>
    <s v="Marketplace"/>
    <s v="F. Müller"/>
    <x v="0"/>
    <x v="403"/>
    <n v="974.11"/>
    <s v="High"/>
    <n v="880.99"/>
    <n v="0.111"/>
    <n v="10"/>
    <x v="404"/>
    <n v="9741.1"/>
    <n v="2090.1564999999991"/>
    <n v="0.17666394942920891"/>
  </r>
  <r>
    <s v="ORD-2023-854471"/>
    <d v="2023-03-06T00:00:00"/>
    <d v="2023-04-04T00:00:00"/>
    <n v="29"/>
    <s v="Mar-2023"/>
    <s v="Q1-2023"/>
    <s v="Asia"/>
    <s v="China"/>
    <s v="Beijing"/>
    <s v="Small Business"/>
    <s v="Direct"/>
    <s v="C. Otieno"/>
    <x v="5"/>
    <x v="404"/>
    <n v="1126.29"/>
    <s v="High"/>
    <n v="2050.87"/>
    <n v="6.4000000000000001E-2"/>
    <n v="7"/>
    <x v="405"/>
    <n v="7884.03"/>
    <n v="10229.9568"/>
    <n v="0.56475456855251771"/>
  </r>
  <r>
    <s v="ORD-2024-390951"/>
    <d v="2024-12-20T00:00:00"/>
    <d v="2025-01-14T00:00:00"/>
    <n v="25"/>
    <s v="Dec-2024"/>
    <s v="Q4-2024"/>
    <s v="Asia"/>
    <s v="India"/>
    <s v="Delhi"/>
    <s v="Small Business"/>
    <s v="Retail"/>
    <s v="M. Rossi"/>
    <x v="1"/>
    <x v="405"/>
    <n v="1361.34"/>
    <s v="High"/>
    <n v="1737.9"/>
    <n v="7.6999999999999999E-2"/>
    <n v="14"/>
    <x v="406"/>
    <n v="19058.759999999998"/>
    <n v="-15461.921299999998"/>
    <n v="-4.2987530411080135"/>
  </r>
  <r>
    <s v="ORD-2025-881624"/>
    <d v="2025-02-21T00:00:00"/>
    <d v="2025-03-21T00:00:00"/>
    <n v="0"/>
    <s v="Feb-2025"/>
    <s v="Q1-2025"/>
    <s v="Africa"/>
    <s v="Nigeria"/>
    <s v="Abuja"/>
    <s v="Enterprise"/>
    <s v="Marketplace"/>
    <s v="I. Johnson"/>
    <x v="3"/>
    <x v="406"/>
    <n v="1437.39"/>
    <s v="High"/>
    <n v="1388.31"/>
    <n v="0.13800000000000001"/>
    <n v="18"/>
    <x v="407"/>
    <n v="25873.02"/>
    <n v="-10599.690240000002"/>
    <n v="-0.69399995983587026"/>
  </r>
  <r>
    <s v="ORD-2025-512310"/>
    <d v="2025-03-08T00:00:00"/>
    <d v="2025-03-15T00:00:00"/>
    <n v="7"/>
    <s v="Mar-2025"/>
    <s v="Q1-2025"/>
    <s v="Asia"/>
    <s v="India"/>
    <s v="Bengaluru"/>
    <s v="Corporate"/>
    <s v="Distributor"/>
    <s v="K. Singh"/>
    <x v="4"/>
    <x v="407"/>
    <n v="475.66"/>
    <s v="High"/>
    <n v="529.14"/>
    <n v="0.19600000000000001"/>
    <n v="11"/>
    <x v="408"/>
    <n v="5232.26"/>
    <n v="-3544.4710399999999"/>
    <n v="-2.1000676767076372"/>
  </r>
  <r>
    <s v="ORD-2023-674887"/>
    <d v="2023-12-16T00:00:00"/>
    <d v="2023-12-19T00:00:00"/>
    <n v="3"/>
    <s v="Dec-2023"/>
    <s v="Q4-2023"/>
    <s v="Asia"/>
    <s v="China"/>
    <s v="Beijing"/>
    <s v="Education"/>
    <s v="Retail"/>
    <s v="A. Patel"/>
    <x v="6"/>
    <x v="408"/>
    <n v="1415.05"/>
    <s v="High"/>
    <n v="1972.38"/>
    <n v="0"/>
    <n v="12"/>
    <x v="409"/>
    <n v="16980.599999999999"/>
    <n v="-6081"/>
    <n v="-0.5579103820323682"/>
  </r>
  <r>
    <s v="ORD-2024-542244"/>
    <d v="2024-08-30T00:00:00"/>
    <d v="2024-09-05T00:00:00"/>
    <n v="6"/>
    <s v="Aug-2024"/>
    <s v="Q3-2024"/>
    <s v="Asia"/>
    <s v="Japan"/>
    <s v="Nagoya"/>
    <s v="Education"/>
    <s v="Online"/>
    <s v="N. Brown"/>
    <x v="4"/>
    <x v="409"/>
    <n v="466.16"/>
    <s v="High"/>
    <n v="876.81"/>
    <n v="0.24099999999999999"/>
    <n v="8"/>
    <x v="410"/>
    <n v="3729.28"/>
    <n v="-2003.43544"/>
    <n v="-1.1608435002976165"/>
  </r>
  <r>
    <s v="ORD-2024-375848"/>
    <d v="2024-05-18T00:00:00"/>
    <d v="2024-05-21T00:00:00"/>
    <n v="3"/>
    <s v="May-2024"/>
    <s v="Q2-2024"/>
    <s v="Europe"/>
    <s v="France"/>
    <s v="Marseille"/>
    <s v="Non-Profit"/>
    <s v="Marketplace"/>
    <s v="D. Smith"/>
    <x v="1"/>
    <x v="410"/>
    <n v="663.66"/>
    <s v="High"/>
    <n v="824.26"/>
    <n v="0.23899999999999999"/>
    <n v="11"/>
    <x v="411"/>
    <n v="7300.2599999999993"/>
    <n v="2990.5451400000011"/>
    <n v="0.29060361160429093"/>
  </r>
  <r>
    <s v="ORD-2023-933238"/>
    <d v="2023-03-17T00:00:00"/>
    <d v="2023-04-06T00:00:00"/>
    <n v="20"/>
    <s v="Mar-2023"/>
    <s v="Q1-2023"/>
    <s v="Europe"/>
    <s v="Germany"/>
    <s v="Munich"/>
    <s v="Consumer"/>
    <s v="Retail"/>
    <s v="O. Wang"/>
    <x v="3"/>
    <x v="411"/>
    <n v="692.18"/>
    <s v="High"/>
    <n v="1159.3499999999999"/>
    <n v="0.112"/>
    <n v="2"/>
    <x v="412"/>
    <n v="1384.36"/>
    <n v="790.74271999999996"/>
    <n v="0.36354270202006828"/>
  </r>
  <r>
    <s v="ORD-2023-732585"/>
    <d v="2023-08-25T00:00:00"/>
    <d v="2023-09-16T00:00:00"/>
    <n v="22"/>
    <s v="Aug-2023"/>
    <s v="Q3-2023"/>
    <s v="Africa"/>
    <s v="Nigeria"/>
    <s v="Abuja"/>
    <s v="Corporate"/>
    <s v="Marketplace"/>
    <s v="L. Okafor"/>
    <x v="3"/>
    <x v="412"/>
    <n v="1196.83"/>
    <s v="High"/>
    <n v="2513.5100000000002"/>
    <n v="8.3000000000000004E-2"/>
    <n v="7"/>
    <x v="413"/>
    <n v="8377.81"/>
    <n v="-5259.0746599999993"/>
    <n v="-1.6862843706385162"/>
  </r>
  <r>
    <s v="ORD-2024-465898"/>
    <d v="2024-06-06T00:00:00"/>
    <d v="2024-06-24T00:00:00"/>
    <n v="18"/>
    <s v="Jun-2024"/>
    <s v="Q2-2024"/>
    <s v="Asia"/>
    <s v="India"/>
    <s v="Bengaluru"/>
    <s v="Small Business"/>
    <s v="Direct"/>
    <s v="H. Kim"/>
    <x v="2"/>
    <x v="413"/>
    <n v="1253.25"/>
    <s v="High"/>
    <n v="3087.13"/>
    <n v="7.1999999999999995E-2"/>
    <n v="11"/>
    <x v="414"/>
    <n v="13785.75"/>
    <n v="8783.5255200000029"/>
    <n v="0.38918065899884063"/>
  </r>
  <r>
    <s v="ORD-2023-987081"/>
    <d v="2023-08-29T00:00:00"/>
    <d v="2023-09-13T00:00:00"/>
    <n v="15"/>
    <s v="Aug-2023"/>
    <s v="Q3-2023"/>
    <s v="Americas"/>
    <s v="Canada"/>
    <s v="Vancouver"/>
    <s v="Small Business"/>
    <s v="Marketplace"/>
    <s v="O. Wang"/>
    <x v="1"/>
    <x v="414"/>
    <n v="1287.6400000000001"/>
    <s v="High"/>
    <n v="2717.15"/>
    <n v="3.2000000000000001E-2"/>
    <n v="7"/>
    <x v="415"/>
    <n v="9013.4800000000014"/>
    <n v="-5138.353360000001"/>
    <n v="-1.3259833387019324"/>
  </r>
  <r>
    <s v="ORD-2024-655710"/>
    <d v="2024-11-30T00:00:00"/>
    <d v="2024-12-10T00:00:00"/>
    <n v="10"/>
    <s v="Nov-2024"/>
    <s v="Q4-2024"/>
    <s v="Asia"/>
    <s v="India"/>
    <s v="Hyderabad"/>
    <s v="Small Business"/>
    <s v="Retail"/>
    <s v="F. Müller"/>
    <x v="6"/>
    <x v="415"/>
    <n v="851.49"/>
    <s v="High"/>
    <n v="901.79"/>
    <n v="0.245"/>
    <n v="16"/>
    <x v="416"/>
    <n v="13623.84"/>
    <n v="27428.4696"/>
    <n v="0.66813462792358946"/>
  </r>
  <r>
    <s v="ORD-2025-411385"/>
    <d v="2025-06-05T00:00:00"/>
    <d v="2025-06-14T00:00:00"/>
    <n v="9"/>
    <s v="Jun-2025"/>
    <s v="Q2-2025"/>
    <s v="Asia"/>
    <s v="India"/>
    <s v="Delhi"/>
    <s v="Non-Profit"/>
    <s v="Retail"/>
    <s v="A. Patel"/>
    <x v="6"/>
    <x v="416"/>
    <n v="618.69000000000005"/>
    <s v="High"/>
    <n v="796.15"/>
    <n v="0.09"/>
    <n v="11"/>
    <x v="417"/>
    <n v="6805.59"/>
    <n v="-4857.4438"/>
    <n v="-2.4933671815801093"/>
  </r>
  <r>
    <s v="ORD-2025-222035"/>
    <d v="2025-03-14T00:00:00"/>
    <d v="2025-04-08T00:00:00"/>
    <n v="25"/>
    <s v="Mar-2025"/>
    <s v="Q1-2025"/>
    <s v="Asia"/>
    <s v="China"/>
    <s v="Not Provided"/>
    <s v="Corporate"/>
    <s v="Distributor"/>
    <s v="D. Smith"/>
    <x v="1"/>
    <x v="417"/>
    <n v="80.59"/>
    <s v="Medium"/>
    <n v="157.82"/>
    <n v="0.217"/>
    <n v="6"/>
    <x v="418"/>
    <n v="483.54"/>
    <n v="4363.1047200000003"/>
    <n v="0.90023201040409662"/>
  </r>
  <r>
    <s v="ORD-2024-749242"/>
    <d v="2024-01-16T00:00:00"/>
    <d v="2024-02-11T00:00:00"/>
    <n v="26"/>
    <s v="Jan-2024"/>
    <s v="Q1-2024"/>
    <s v="Europe"/>
    <s v="Germany"/>
    <s v="Frankfurt"/>
    <s v="Non-Profit"/>
    <s v="Distributor"/>
    <s v="E. Garcia"/>
    <x v="5"/>
    <x v="418"/>
    <n v="504.93"/>
    <s v="High"/>
    <n v="819.06"/>
    <n v="0.22600000000000001"/>
    <n v="15"/>
    <x v="419"/>
    <n v="7573.95"/>
    <n v="-1824.7940999999992"/>
    <n v="-0.31740209027902672"/>
  </r>
  <r>
    <s v="ORD-2023-623293"/>
    <d v="2023-10-12T00:00:00"/>
    <d v="2023-10-29T00:00:00"/>
    <n v="17"/>
    <s v="Oct-2023"/>
    <s v="Q4-2023"/>
    <s v="Asia"/>
    <s v="Japan"/>
    <s v="Nagoya"/>
    <s v="Non-Profit"/>
    <s v="Direct"/>
    <s v="H. Kim"/>
    <x v="3"/>
    <x v="419"/>
    <n v="1102.19"/>
    <s v="High"/>
    <n v="1711.16"/>
    <n v="0.151"/>
    <n v="10"/>
    <x v="420"/>
    <n v="11021.900000000001"/>
    <n v="176.74959999999737"/>
    <n v="1.5783117278711657E-2"/>
  </r>
  <r>
    <s v="ORD-2025-276968"/>
    <d v="2025-02-25T00:00:00"/>
    <d v="2025-03-17T00:00:00"/>
    <n v="20"/>
    <s v="Feb-2025"/>
    <s v="Q1-2025"/>
    <s v="Americas"/>
    <s v="USA"/>
    <s v="San Francisco"/>
    <s v="Non-Profit"/>
    <s v="Marketplace"/>
    <s v="H. Kim"/>
    <x v="3"/>
    <x v="420"/>
    <n v="1205.26"/>
    <s v="High"/>
    <n v="1696.35"/>
    <n v="1.9E-2"/>
    <n v="6"/>
    <x v="421"/>
    <n v="7231.5599999999995"/>
    <n v="-5378.2351799999997"/>
    <n v="-2.9019387869634206"/>
  </r>
  <r>
    <s v="ORD-2025-650841"/>
    <d v="2025-07-03T00:00:00"/>
    <d v="2025-07-06T00:00:00"/>
    <n v="3"/>
    <s v="Jul-2025"/>
    <s v="Q3-2025"/>
    <s v="Africa"/>
    <s v="Nigeria"/>
    <s v="Lagos"/>
    <s v="Consumer"/>
    <s v="Online"/>
    <s v="Not Provided"/>
    <x v="4"/>
    <x v="421"/>
    <n v="1313.3"/>
    <s v="High"/>
    <n v="2884.34"/>
    <n v="0.157"/>
    <n v="42"/>
    <x v="422"/>
    <n v="55158.6"/>
    <n v="23094.679020000003"/>
    <n v="0.29512730085211453"/>
  </r>
  <r>
    <s v="ORD-2025-831576"/>
    <d v="2025-09-15T00:00:00"/>
    <d v="2025-09-25T00:00:00"/>
    <n v="10"/>
    <s v="Sept-2025"/>
    <s v="Q3-2025"/>
    <s v="Asia"/>
    <s v="India"/>
    <s v="Delhi"/>
    <s v="Consumer"/>
    <s v="Retail"/>
    <s v="A. Patel"/>
    <x v="3"/>
    <x v="422"/>
    <n v="1488.91"/>
    <s v="High"/>
    <n v="1483.74"/>
    <n v="0.16800000000000001"/>
    <n v="24"/>
    <x v="423"/>
    <n v="35733.840000000004"/>
    <n v="-14867.280000000006"/>
    <n v="-0.71249309900625724"/>
  </r>
  <r>
    <s v="ORD-2024-468655"/>
    <d v="2024-02-19T00:00:00"/>
    <d v="2024-03-06T00:00:00"/>
    <n v="16"/>
    <s v="Feb-2024"/>
    <s v="Q1-2024"/>
    <s v="Asia"/>
    <s v="China"/>
    <s v="Beijing"/>
    <s v="Education"/>
    <s v="Marketplace"/>
    <s v="O. Wang"/>
    <x v="1"/>
    <x v="423"/>
    <n v="1477.84"/>
    <s v="High"/>
    <n v="3197.47"/>
    <n v="0.24299999999999999"/>
    <n v="24"/>
    <x v="424"/>
    <n v="35468.159999999996"/>
    <n v="3269.4679200000028"/>
    <n v="8.4400312965781696E-2"/>
  </r>
  <r>
    <s v="ORD-2024-515105"/>
    <d v="2024-02-27T00:00:00"/>
    <d v="2024-03-26T00:00:00"/>
    <n v="28"/>
    <s v="Feb-2024"/>
    <s v="Q1-2024"/>
    <s v="Asia"/>
    <s v="India"/>
    <s v="Mumbai"/>
    <s v="Education"/>
    <s v="Marketplace"/>
    <s v="G. Dubois"/>
    <x v="4"/>
    <x v="424"/>
    <n v="1035.19"/>
    <s v="High"/>
    <n v="2322.6999999999998"/>
    <n v="0.17299999999999999"/>
    <n v="8"/>
    <x v="425"/>
    <n v="8281.52"/>
    <n v="5622.3348000000005"/>
    <n v="0.40437237592555986"/>
  </r>
  <r>
    <s v="ORD-2025-803803"/>
    <d v="2025-08-28T00:00:00"/>
    <d v="2025-09-05T00:00:00"/>
    <n v="8"/>
    <s v="Aug-2025"/>
    <s v="Q3-2025"/>
    <s v="Africa"/>
    <s v="Nigeria"/>
    <s v="Port Harcourt"/>
    <s v="Small Business"/>
    <s v="Marketplace"/>
    <s v="E. Garcia"/>
    <x v="4"/>
    <x v="425"/>
    <n v="1271.0999999999999"/>
    <s v="High"/>
    <n v="1932.42"/>
    <n v="0.25"/>
    <n v="21"/>
    <x v="426"/>
    <n v="26693.1"/>
    <n v="6782.5800000000017"/>
    <n v="0.20261216501053905"/>
  </r>
  <r>
    <s v="ORD-2024-993481"/>
    <d v="2024-08-18T00:00:00"/>
    <d v="2024-09-12T00:00:00"/>
    <n v="25"/>
    <s v="Aug-2024"/>
    <s v="Q3-2024"/>
    <s v="Asia"/>
    <s v="India"/>
    <s v="Mumbai"/>
    <s v="Consumer"/>
    <s v="Marketplace"/>
    <s v="C. Otieno"/>
    <x v="3"/>
    <x v="426"/>
    <n v="1154.03"/>
    <s v="High"/>
    <n v="1590.36"/>
    <n v="0.314"/>
    <n v="18"/>
    <x v="427"/>
    <n v="20772.54"/>
    <n v="-11971.503000000002"/>
    <n v="-1.360237776525653"/>
  </r>
  <r>
    <s v="ORD-2024-811752"/>
    <d v="2024-02-25T00:00:00"/>
    <d v="2024-03-09T00:00:00"/>
    <n v="13"/>
    <s v="Feb-2024"/>
    <s v="Q1-2024"/>
    <s v="Europe"/>
    <s v="France"/>
    <s v="Marseille"/>
    <s v="Small Business"/>
    <s v="Distributor"/>
    <s v="E. Garcia"/>
    <x v="5"/>
    <x v="427"/>
    <n v="322.44"/>
    <s v="High"/>
    <n v="395.61"/>
    <n v="0"/>
    <n v="34"/>
    <x v="428"/>
    <n v="10962.96"/>
    <n v="42377.26"/>
    <n v="0.79447103892709858"/>
  </r>
  <r>
    <s v="ORD-2025-673091"/>
    <d v="2025-05-07T00:00:00"/>
    <d v="2025-05-13T00:00:00"/>
    <n v="6"/>
    <s v="May-2025"/>
    <s v="Q2-2025"/>
    <s v="Asia"/>
    <s v="India"/>
    <s v="Bengaluru"/>
    <s v="Enterprise"/>
    <s v="Direct"/>
    <s v="J. Njeri"/>
    <x v="3"/>
    <x v="428"/>
    <n v="935.98"/>
    <s v="High"/>
    <n v="2077.69"/>
    <n v="0.17499999999999999"/>
    <n v="24"/>
    <x v="429"/>
    <n v="22463.52"/>
    <n v="18608.412"/>
    <n v="0.4530688256885505"/>
  </r>
  <r>
    <s v="ORD-2024-381197"/>
    <d v="2024-11-01T00:00:00"/>
    <d v="2024-11-12T00:00:00"/>
    <n v="11"/>
    <s v="Nov-2024"/>
    <s v="Q4-2024"/>
    <s v="Europe"/>
    <s v="Germany"/>
    <s v="Frankfurt"/>
    <s v="Consumer"/>
    <s v="Online"/>
    <s v="B. Chen"/>
    <x v="1"/>
    <x v="429"/>
    <n v="599.84"/>
    <s v="High"/>
    <n v="1330.85"/>
    <n v="0.115"/>
    <n v="11"/>
    <x v="430"/>
    <n v="6598.2400000000007"/>
    <n v="-1777.5653500000008"/>
    <n v="-0.36873787987330792"/>
  </r>
  <r>
    <s v="ORD-2024-651852"/>
    <d v="2024-12-28T00:00:00"/>
    <d v="2025-01-08T00:00:00"/>
    <n v="11"/>
    <s v="Dec-2024"/>
    <s v="Q4-2024"/>
    <s v="Asia"/>
    <s v="China"/>
    <s v="Shenzhen"/>
    <s v="Enterprise"/>
    <s v="Online"/>
    <s v="K. Singh"/>
    <x v="4"/>
    <x v="430"/>
    <n v="1201.31"/>
    <s v="High"/>
    <n v="2764.65"/>
    <n v="0"/>
    <n v="21"/>
    <x v="431"/>
    <n v="25227.51"/>
    <n v="-9318.1199999999972"/>
    <n v="-0.58569938885148942"/>
  </r>
  <r>
    <s v="ORD-2023-659070"/>
    <d v="2023-10-21T00:00:00"/>
    <d v="2023-10-21T00:00:00"/>
    <n v="0"/>
    <s v="Oct-2023"/>
    <s v="Q4-2023"/>
    <s v="Europe"/>
    <s v="United Kingdom"/>
    <s v="Manchester"/>
    <s v="Enterprise"/>
    <s v="Distributor"/>
    <s v="J. Njeri"/>
    <x v="5"/>
    <x v="431"/>
    <n v="384.19"/>
    <s v="High"/>
    <n v="278.35000000000002"/>
    <n v="5.6000000000000001E-2"/>
    <n v="10"/>
    <x v="432"/>
    <n v="3841.9"/>
    <n v="84.762399999999161"/>
    <n v="2.1586373200812775E-2"/>
  </r>
  <r>
    <s v="ORD-2024-837651"/>
    <d v="2024-12-10T00:00:00"/>
    <d v="2024-12-19T00:00:00"/>
    <n v="9"/>
    <s v="Dec-2024"/>
    <s v="Q4-2024"/>
    <s v="Africa"/>
    <s v="Nigeria"/>
    <s v="Lagos"/>
    <s v="Corporate"/>
    <s v="Retail"/>
    <s v="O. Wang"/>
    <x v="5"/>
    <x v="432"/>
    <n v="488.68"/>
    <s v="High"/>
    <n v="984.36"/>
    <n v="5.8999999999999997E-2"/>
    <n v="14"/>
    <x v="433"/>
    <n v="6841.52"/>
    <n v="17805.584860000003"/>
    <n v="0.72242094806424251"/>
  </r>
  <r>
    <s v="ORD-2024-581530"/>
    <d v="2024-09-07T00:00:00"/>
    <d v="2024-09-18T00:00:00"/>
    <n v="11"/>
    <s v="Sept-2024"/>
    <s v="Q3-2024"/>
    <s v="Asia"/>
    <s v="China"/>
    <s v="Beijing"/>
    <s v="Consumer"/>
    <s v="Distributor"/>
    <s v="O. Wang"/>
    <x v="2"/>
    <x v="433"/>
    <n v="181.74"/>
    <s v="Medium"/>
    <n v="190.84"/>
    <n v="0.214"/>
    <n v="13"/>
    <x v="434"/>
    <n v="2362.62"/>
    <n v="-248.72015999999985"/>
    <n v="-0.11765938730569177"/>
  </r>
  <r>
    <s v="ORD-2023-378104"/>
    <d v="2023-10-18T00:00:00"/>
    <d v="2023-10-20T00:00:00"/>
    <n v="2"/>
    <s v="Oct-2023"/>
    <s v="Q4-2023"/>
    <s v="Africa"/>
    <s v="Kenya"/>
    <s v="Kisumu"/>
    <s v="Consumer"/>
    <s v="Retail"/>
    <s v="J. Njeri"/>
    <x v="3"/>
    <x v="434"/>
    <n v="774.12"/>
    <s v="High"/>
    <n v="908.3"/>
    <n v="0"/>
    <n v="30"/>
    <x v="435"/>
    <n v="23223.599999999999"/>
    <n v="-21339"/>
    <n v="-11.322827125119389"/>
  </r>
  <r>
    <s v="ORD-2024-972318"/>
    <d v="2024-12-24T00:00:00"/>
    <d v="2025-01-13T00:00:00"/>
    <n v="20"/>
    <s v="Dec-2024"/>
    <s v="Q4-2024"/>
    <s v="Asia"/>
    <s v="India"/>
    <s v="Bengaluru"/>
    <s v="Corporate"/>
    <s v="Marketplace"/>
    <s v="D. Smith"/>
    <x v="2"/>
    <x v="435"/>
    <n v="126.15"/>
    <s v="High"/>
    <n v="284.23"/>
    <n v="0.113"/>
    <n v="22"/>
    <x v="436"/>
    <n v="2775.3"/>
    <n v="15889.645860000001"/>
    <n v="0.85130950709331443"/>
  </r>
  <r>
    <s v="ORD-2023-752962"/>
    <d v="2023-04-21T00:00:00"/>
    <d v="2023-04-19T00:00:00"/>
    <n v="2"/>
    <s v="Apr-2023"/>
    <s v="Q2-2023"/>
    <s v="Asia"/>
    <s v="Japan"/>
    <s v="Nagoya"/>
    <s v="Small Business"/>
    <s v="Direct"/>
    <s v="M. Rossi"/>
    <x v="0"/>
    <x v="436"/>
    <n v="607.04"/>
    <s v="High"/>
    <n v="1229.3399999999999"/>
    <n v="0.14699999999999999"/>
    <n v="7"/>
    <x v="437"/>
    <n v="4249.28"/>
    <n v="-3259.8852999999999"/>
    <n v="-3.2948279387387061"/>
  </r>
  <r>
    <s v="ORD-2023-808024"/>
    <d v="2023-12-30T00:00:00"/>
    <d v="2024-01-08T00:00:00"/>
    <n v="9"/>
    <s v="Dec-2023"/>
    <s v="Q4-2023"/>
    <s v="Europe"/>
    <s v="France"/>
    <s v="Marseille"/>
    <s v="Consumer"/>
    <s v="Marketplace"/>
    <s v="L. Okafor"/>
    <x v="6"/>
    <x v="437"/>
    <n v="861.1"/>
    <s v="High"/>
    <n v="1224.72"/>
    <n v="0.17399999999999999"/>
    <n v="24"/>
    <x v="438"/>
    <n v="20666.400000000001"/>
    <n v="-8606.2713600000006"/>
    <n v="-0.71361356225135586"/>
  </r>
  <r>
    <s v="ORD-2023-156396"/>
    <d v="2023-02-21T00:00:00"/>
    <d v="2023-03-12T00:00:00"/>
    <n v="19"/>
    <s v="Feb-2023"/>
    <s v="Q1-2023"/>
    <s v="Africa"/>
    <s v="Kenya"/>
    <s v="Nakuru"/>
    <s v="Corporate"/>
    <s v="Online"/>
    <s v="F. Müller"/>
    <x v="2"/>
    <x v="438"/>
    <n v="352.65"/>
    <s v="High"/>
    <n v="485.86"/>
    <n v="4.1000000000000002E-2"/>
    <n v="6"/>
    <x v="439"/>
    <n v="2115.8999999999996"/>
    <n v="13223.746139999999"/>
    <n v="0.86206331093371624"/>
  </r>
  <r>
    <s v="ORD-2023-184577"/>
    <d v="2023-05-17T00:00:00"/>
    <d v="2023-06-03T00:00:00"/>
    <n v="17"/>
    <s v="May-2023"/>
    <s v="Q2-2023"/>
    <s v="Asia"/>
    <s v="China"/>
    <s v="Beijing"/>
    <s v="Non-Profit"/>
    <s v="Distributor"/>
    <s v="M. Rossi"/>
    <x v="1"/>
    <x v="439"/>
    <n v="979.59"/>
    <s v="High"/>
    <n v="2210.94"/>
    <n v="0.15"/>
    <n v="11"/>
    <x v="440"/>
    <n v="10775.49"/>
    <n v="-5278.1574999999993"/>
    <n v="-0.96013066337173514"/>
  </r>
  <r>
    <s v="ORD-2024-446030"/>
    <d v="2024-03-23T00:00:00"/>
    <d v="2024-03-26T00:00:00"/>
    <n v="3"/>
    <s v="Mar-2024"/>
    <s v="Q1-2024"/>
    <s v="Asia"/>
    <s v="India"/>
    <s v="Bengaluru"/>
    <s v="Education"/>
    <s v="Direct"/>
    <s v="G. Dubois"/>
    <x v="3"/>
    <x v="440"/>
    <n v="382.21"/>
    <s v="High"/>
    <n v="571.89"/>
    <n v="0.14799999999999999"/>
    <n v="26"/>
    <x v="441"/>
    <n v="9937.4599999999991"/>
    <n v="38644.755760000007"/>
    <n v="0.79545066348781124"/>
  </r>
  <r>
    <s v="ORD-2023-842820"/>
    <d v="2023-09-20T00:00:00"/>
    <d v="2023-09-28T00:00:00"/>
    <n v="8"/>
    <s v="Sept-2023"/>
    <s v="Q3-2023"/>
    <s v="Asia"/>
    <s v="India"/>
    <s v="Not Provided"/>
    <s v="Corporate"/>
    <s v="Not Provided"/>
    <s v="B. Chen"/>
    <x v="6"/>
    <x v="441"/>
    <n v="1362.06"/>
    <s v="High"/>
    <n v="3398.37"/>
    <n v="0.157"/>
    <n v="11"/>
    <x v="442"/>
    <n v="14982.66"/>
    <n v="5304.8094000000019"/>
    <n v="0.26148206537775487"/>
  </r>
  <r>
    <s v="ORD-2024-745424"/>
    <d v="2024-08-22T00:00:00"/>
    <d v="2024-09-04T00:00:00"/>
    <n v="13"/>
    <s v="Aug-2024"/>
    <s v="Q3-2024"/>
    <s v="Europe"/>
    <s v="Germany"/>
    <s v="Frankfurt"/>
    <s v="Non-Profit"/>
    <s v="Retail"/>
    <s v="L. Okafor"/>
    <x v="1"/>
    <x v="442"/>
    <n v="90.04"/>
    <s v="Medium"/>
    <n v="194.62"/>
    <n v="4.2999999999999997E-2"/>
    <n v="32"/>
    <x v="443"/>
    <n v="2881.28"/>
    <n v="27807.336640000001"/>
    <n v="0.90611241836673417"/>
  </r>
  <r>
    <s v="ORD-2024-510520"/>
    <d v="2024-09-25T00:00:00"/>
    <d v="2024-10-03T00:00:00"/>
    <n v="8"/>
    <s v="Sept-2024"/>
    <s v="Q3-2024"/>
    <s v="Americas"/>
    <s v="Canada"/>
    <s v="Toronto"/>
    <s v="Consumer"/>
    <s v="Online"/>
    <s v="E. Garcia"/>
    <x v="1"/>
    <x v="443"/>
    <n v="558.19000000000005"/>
    <s v="High"/>
    <n v="1031.6400000000001"/>
    <n v="0"/>
    <n v="21"/>
    <x v="444"/>
    <n v="11721.990000000002"/>
    <n v="7467.3899999999994"/>
    <n v="0.3891418065617544"/>
  </r>
  <r>
    <s v="ORD-2023-769774"/>
    <d v="2023-06-13T00:00:00"/>
    <d v="2023-06-24T00:00:00"/>
    <n v="11"/>
    <s v="Jun-2023"/>
    <s v="Q2-2023"/>
    <s v="Americas"/>
    <s v="Canada"/>
    <s v="Toronto"/>
    <s v="Corporate"/>
    <s v="Online"/>
    <s v="C. Otieno"/>
    <x v="1"/>
    <x v="444"/>
    <n v="247.07"/>
    <s v="High"/>
    <n v="495.19"/>
    <n v="2.8000000000000001E-2"/>
    <n v="4"/>
    <x v="445"/>
    <n v="988.28"/>
    <n v="6179.2868799999997"/>
    <n v="0.86211778466167588"/>
  </r>
  <r>
    <s v="ORD-2023-580751"/>
    <d v="2023-12-24T00:00:00"/>
    <d v="2024-01-13T00:00:00"/>
    <n v="20"/>
    <s v="Dec-2023"/>
    <s v="Q4-2023"/>
    <s v="Asia"/>
    <s v="Japan"/>
    <s v="Nagoya"/>
    <s v="Education"/>
    <s v="Direct"/>
    <s v="B. Chen"/>
    <x v="4"/>
    <x v="445"/>
    <n v="625.37"/>
    <s v="High"/>
    <n v="1319.04"/>
    <n v="7.3999999999999996E-2"/>
    <n v="8"/>
    <x v="446"/>
    <n v="5002.96"/>
    <n v="5246.7488000000003"/>
    <n v="0.51189247444766428"/>
  </r>
  <r>
    <s v="ORD-2025-473192"/>
    <d v="2025-03-30T00:00:00"/>
    <d v="2025-04-29T00:00:00"/>
    <n v="30"/>
    <s v="Mar-2025"/>
    <s v="Q1-2025"/>
    <s v="Africa"/>
    <s v="South Africa"/>
    <s v="Durban"/>
    <s v="Consumer"/>
    <s v="Marketplace"/>
    <s v="J. Njeri"/>
    <x v="5"/>
    <x v="446"/>
    <n v="194.6"/>
    <s v="High"/>
    <n v="314.87"/>
    <n v="0.29299999999999998"/>
    <n v="25"/>
    <x v="447"/>
    <n v="4865"/>
    <n v="23212.267750000003"/>
    <n v="0.82672815448718295"/>
  </r>
  <r>
    <s v="ORD-2024-886939"/>
    <d v="2024-06-03T00:00:00"/>
    <d v="2024-06-24T00:00:00"/>
    <n v="21"/>
    <s v="Jun-2024"/>
    <s v="Q2-2024"/>
    <s v="Americas"/>
    <s v="Canada"/>
    <s v="Toronto"/>
    <s v="Small Business"/>
    <s v="Direct"/>
    <s v="G. Dubois"/>
    <x v="5"/>
    <x v="447"/>
    <n v="1205.5"/>
    <s v="High"/>
    <n v="2210.17"/>
    <n v="0.104"/>
    <n v="23"/>
    <x v="448"/>
    <n v="27726.5"/>
    <n v="-28.31760000000213"/>
    <n v="-1.0223631136172362E-3"/>
  </r>
  <r>
    <s v="ORD-2024-566589"/>
    <d v="2024-06-11T00:00:00"/>
    <d v="2024-07-09T00:00:00"/>
    <n v="28"/>
    <s v="Jun-2024"/>
    <s v="Q2-2024"/>
    <s v="Africa"/>
    <s v="Nigeria"/>
    <s v="Port Harcourt"/>
    <s v="Corporate"/>
    <s v="Marketplace"/>
    <s v="I. Johnson"/>
    <x v="3"/>
    <x v="448"/>
    <n v="895.54"/>
    <s v="High"/>
    <n v="1045"/>
    <n v="0.216"/>
    <n v="15"/>
    <x v="449"/>
    <n v="13433.099999999999"/>
    <n v="1740.7104000000018"/>
    <n v="0.11471808030499721"/>
  </r>
  <r>
    <s v="ORD-2023-109927"/>
    <d v="2023-07-22T00:00:00"/>
    <d v="2023-07-21T00:00:00"/>
    <n v="1"/>
    <s v="Jul-2023"/>
    <s v="Q3-2023"/>
    <s v="Asia"/>
    <s v="India"/>
    <s v="Delhi"/>
    <s v="Small Business"/>
    <s v="Distributor"/>
    <s v="E. Garcia"/>
    <x v="1"/>
    <x v="449"/>
    <n v="946.99"/>
    <s v="High"/>
    <n v="2132.19"/>
    <n v="0.16500000000000001"/>
    <n v="7"/>
    <x v="450"/>
    <n v="6628.93"/>
    <n v="-5333.7948999999999"/>
    <n v="-4.1183308984522151"/>
  </r>
  <r>
    <s v="ORD-2023-780206"/>
    <d v="2023-01-19T00:00:00"/>
    <d v="2023-02-03T00:00:00"/>
    <n v="15"/>
    <s v="Jan-2023"/>
    <s v="Q1-2023"/>
    <s v="Europe"/>
    <s v="United Kingdom"/>
    <s v="London"/>
    <s v="Enterprise"/>
    <s v="Distributor"/>
    <s v="G. Dubois"/>
    <x v="6"/>
    <x v="450"/>
    <n v="873.06"/>
    <s v="High"/>
    <n v="2101.5500000000002"/>
    <n v="6.6000000000000003E-2"/>
    <n v="10"/>
    <x v="451"/>
    <n v="8730.5999999999985"/>
    <n v="-5365.0243999999984"/>
    <n v="-1.5940882148064062"/>
  </r>
  <r>
    <s v="ORD-2024-851993"/>
    <d v="2024-05-01T00:00:00"/>
    <d v="2024-05-16T00:00:00"/>
    <n v="15"/>
    <s v="May-2024"/>
    <s v="Q2-2024"/>
    <s v="Asia"/>
    <s v="India"/>
    <s v="Bengaluru"/>
    <s v="Small Business"/>
    <s v="Retail"/>
    <s v="L. Okafor"/>
    <x v="0"/>
    <x v="451"/>
    <n v="901.19"/>
    <s v="High"/>
    <n v="2125.44"/>
    <n v="7.0999999999999994E-2"/>
    <n v="12"/>
    <x v="452"/>
    <n v="10814.28"/>
    <n v="17566.409879999999"/>
    <n v="0.61895640853956568"/>
  </r>
  <r>
    <s v="ORD-2025-417942"/>
    <d v="2025-06-09T00:00:00"/>
    <d v="2025-06-24T00:00:00"/>
    <n v="15"/>
    <s v="Jun-2025"/>
    <s v="Q2-2025"/>
    <s v="Asia"/>
    <s v="Japan"/>
    <s v="Nagoya"/>
    <s v="Corporate"/>
    <s v="Direct"/>
    <s v="B. Chen"/>
    <x v="3"/>
    <x v="452"/>
    <n v="400.39"/>
    <s v="High"/>
    <n v="712.75"/>
    <n v="0.115"/>
    <n v="19"/>
    <x v="453"/>
    <n v="7607.41"/>
    <n v="4154.1780500000004"/>
    <n v="0.35319873747831187"/>
  </r>
  <r>
    <s v="ORD-2023-172095"/>
    <d v="2023-05-24T00:00:00"/>
    <d v="2023-06-21T00:00:00"/>
    <n v="28"/>
    <s v="May-2023"/>
    <s v="Q2-2023"/>
    <s v="Americas"/>
    <s v="USA"/>
    <s v="Austin"/>
    <s v="Small Business"/>
    <s v="Marketplace"/>
    <s v="G. Dubois"/>
    <x v="5"/>
    <x v="453"/>
    <n v="813.97"/>
    <s v="High"/>
    <n v="1568.83"/>
    <n v="1.7000000000000001E-2"/>
    <n v="15"/>
    <x v="454"/>
    <n v="12209.550000000001"/>
    <n v="28172.434049999996"/>
    <n v="0.69764858544636066"/>
  </r>
  <r>
    <s v="ORD-2024-257550"/>
    <d v="2024-12-27T00:00:00"/>
    <d v="2024-12-29T00:00:00"/>
    <n v="2"/>
    <s v="Dec-2024"/>
    <s v="Q4-2024"/>
    <s v="Americas"/>
    <s v="Canada"/>
    <s v="Vancouver"/>
    <s v="Enterprise"/>
    <s v="Marketplace"/>
    <s v="C. Otieno"/>
    <x v="6"/>
    <x v="454"/>
    <n v="1146.72"/>
    <s v="High"/>
    <n v="2074.34"/>
    <n v="0.111"/>
    <n v="8"/>
    <x v="455"/>
    <n v="9173.76"/>
    <n v="-8499.6846399999995"/>
    <n v="-12.60939821327989"/>
  </r>
  <r>
    <s v="ORD-2023-581799"/>
    <d v="2023-12-05T00:00:00"/>
    <d v="2023-12-12T00:00:00"/>
    <n v="7"/>
    <s v="Dec-2023"/>
    <s v="Q4-2023"/>
    <s v="Americas"/>
    <s v="Brazil"/>
    <s v="Brasília"/>
    <s v="Corporate"/>
    <s v="Direct"/>
    <s v="F. Müller"/>
    <x v="3"/>
    <x v="455"/>
    <n v="307.43"/>
    <s v="High"/>
    <n v="495.19"/>
    <n v="0"/>
    <n v="42"/>
    <x v="456"/>
    <n v="12912.06"/>
    <n v="103736.64"/>
    <n v="0.88930815345563219"/>
  </r>
  <r>
    <s v="ORD-2023-880296"/>
    <d v="2023-05-02T00:00:00"/>
    <d v="2023-05-19T00:00:00"/>
    <n v="17"/>
    <s v="May-2023"/>
    <s v="Q2-2023"/>
    <s v="Asia"/>
    <s v="China"/>
    <s v="Shanghai"/>
    <s v="Non-Profit"/>
    <s v="Direct"/>
    <s v="J. Njeri"/>
    <x v="5"/>
    <x v="456"/>
    <n v="714.28"/>
    <s v="High"/>
    <n v="757.59"/>
    <n v="0.13600000000000001"/>
    <n v="12"/>
    <x v="457"/>
    <n v="8571.36"/>
    <n v="-3468.4377600000007"/>
    <n v="-0.67969637726637211"/>
  </r>
  <r>
    <s v="ORD-2023-191563"/>
    <d v="2023-11-30T00:00:00"/>
    <d v="2023-12-10T00:00:00"/>
    <n v="10"/>
    <s v="Nov-2023"/>
    <s v="Q4-2023"/>
    <s v="Europe"/>
    <s v="Germany"/>
    <s v="Munich"/>
    <s v="Small Business"/>
    <s v="Direct"/>
    <s v="F. Müller"/>
    <x v="4"/>
    <x v="457"/>
    <n v="174.74"/>
    <s v="High"/>
    <n v="415.96"/>
    <n v="0.125"/>
    <n v="21"/>
    <x v="458"/>
    <n v="3669.54"/>
    <n v="31640.778749999998"/>
    <n v="0.89607740371927391"/>
  </r>
  <r>
    <s v="ORD-2024-202166"/>
    <d v="2024-05-05T00:00:00"/>
    <d v="2024-05-18T00:00:00"/>
    <n v="13"/>
    <s v="May-2024"/>
    <s v="Q2-2024"/>
    <s v="Europe"/>
    <s v="France"/>
    <s v="Marseille"/>
    <s v="Corporate"/>
    <s v="Marketplace"/>
    <s v="A. Patel"/>
    <x v="0"/>
    <x v="458"/>
    <n v="1264.04"/>
    <s v="High"/>
    <n v="1870.89"/>
    <n v="0"/>
    <n v="13"/>
    <x v="459"/>
    <n v="16432.52"/>
    <n v="-12658.23"/>
    <n v="-3.3538042916681019"/>
  </r>
  <r>
    <s v="ORD-2023-539967"/>
    <d v="2023-07-09T00:00:00"/>
    <d v="2023-07-19T00:00:00"/>
    <n v="10"/>
    <s v="Jul-2023"/>
    <s v="Q3-2023"/>
    <s v="Asia"/>
    <s v="Japan"/>
    <s v="Tokyo"/>
    <s v="Enterprise"/>
    <s v="Distributor"/>
    <s v="N. Brown"/>
    <x v="0"/>
    <x v="459"/>
    <n v="141.26"/>
    <s v="High"/>
    <n v="206.88"/>
    <n v="0.107"/>
    <n v="9"/>
    <x v="460"/>
    <n v="1271.3399999999999"/>
    <n v="3574.3280399999994"/>
    <n v="0.737633698902742"/>
  </r>
  <r>
    <s v="ORD-2023-704111"/>
    <d v="2023-05-17T00:00:00"/>
    <d v="2023-06-15T00:00:00"/>
    <n v="29"/>
    <s v="May-2023"/>
    <s v="Q2-2023"/>
    <s v="Africa"/>
    <s v="South Africa"/>
    <s v="Durban"/>
    <s v="Enterprise"/>
    <s v="Retail"/>
    <s v="K. Singh"/>
    <x v="6"/>
    <x v="460"/>
    <n v="40.89"/>
    <s v="Medium"/>
    <n v="62.82"/>
    <n v="0.129"/>
    <n v="17"/>
    <x v="461"/>
    <n v="695.13"/>
    <n v="30066.412499999999"/>
    <n v="0.97740262862306071"/>
  </r>
  <r>
    <s v="ORD-2024-356812"/>
    <d v="2024-03-07T00:00:00"/>
    <d v="2024-04-03T00:00:00"/>
    <n v="27"/>
    <s v="Mar-2024"/>
    <s v="Q1-2024"/>
    <s v="Europe"/>
    <s v="Germany"/>
    <s v="Frankfurt"/>
    <s v="Corporate"/>
    <s v="Direct"/>
    <s v="M. Rossi"/>
    <x v="1"/>
    <x v="461"/>
    <n v="738.16"/>
    <s v="High"/>
    <n v="956.49"/>
    <n v="0.152"/>
    <n v="5"/>
    <x v="462"/>
    <n v="3690.7999999999997"/>
    <n v="-2957.7887999999998"/>
    <n v="-4.0351208821911593"/>
  </r>
  <r>
    <s v="ORD-2025-306251"/>
    <d v="2025-04-10T00:00:00"/>
    <d v="2025-04-19T00:00:00"/>
    <n v="9"/>
    <s v="Apr-2025"/>
    <s v="Q2-2025"/>
    <s v="Africa"/>
    <s v="South Africa"/>
    <s v="Durban"/>
    <s v="Enterprise"/>
    <s v="Not Provided"/>
    <s v="G. Dubois"/>
    <x v="2"/>
    <x v="462"/>
    <n v="113.74"/>
    <s v="Medium"/>
    <n v="165.7"/>
    <n v="0.124"/>
    <n v="13"/>
    <x v="463"/>
    <n v="1478.62"/>
    <n v="30165.671119999995"/>
    <n v="0.95327372022988777"/>
  </r>
  <r>
    <s v="ORD-2025-496178"/>
    <d v="2025-07-27T00:00:00"/>
    <d v="2025-08-15T00:00:00"/>
    <n v="19"/>
    <s v="Jul-2025"/>
    <s v="Q3-2025"/>
    <s v="Asia"/>
    <s v="Japan"/>
    <s v="Tokyo"/>
    <s v="Small Business"/>
    <s v="Marketplace"/>
    <s v="J. Njeri"/>
    <x v="0"/>
    <x v="463"/>
    <n v="275.43"/>
    <s v="High"/>
    <n v="608.36"/>
    <n v="0.25700000000000001"/>
    <n v="4"/>
    <x v="464"/>
    <n v="1101.72"/>
    <n v="-181.97515999999996"/>
    <n v="-0.19785396132257718"/>
  </r>
  <r>
    <s v="ORD-2024-508213"/>
    <d v="2024-11-22T00:00:00"/>
    <d v="2024-12-15T00:00:00"/>
    <n v="23"/>
    <s v="Nov-2024"/>
    <s v="Q4-2024"/>
    <s v="Africa"/>
    <s v="Kenya"/>
    <s v="Mombasa"/>
    <s v="Non-Profit"/>
    <s v="Distributor"/>
    <s v="C. Otieno"/>
    <x v="0"/>
    <x v="464"/>
    <n v="1335.76"/>
    <s v="High"/>
    <n v="2665.91"/>
    <n v="0.21099999999999999"/>
    <n v="40"/>
    <x v="465"/>
    <n v="53430.400000000001"/>
    <n v="-32398.500400000001"/>
    <n v="-1.5404457522229709"/>
  </r>
  <r>
    <s v="ORD-2024-787018"/>
    <d v="2024-06-23T00:00:00"/>
    <d v="2024-06-28T00:00:00"/>
    <n v="5"/>
    <s v="Jun-2024"/>
    <s v="Q2-2024"/>
    <s v="Africa"/>
    <s v="Nigeria"/>
    <s v="Port Harcourt"/>
    <s v="Non-Profit"/>
    <s v="Direct"/>
    <s v="M. Rossi"/>
    <x v="6"/>
    <x v="465"/>
    <n v="242.31"/>
    <s v="High"/>
    <n v="587.95000000000005"/>
    <n v="0.22900000000000001"/>
    <n v="6"/>
    <x v="466"/>
    <n v="1453.8600000000001"/>
    <n v="1989.1330199999998"/>
    <n v="0.57773367777550699"/>
  </r>
  <r>
    <s v="ORD-2023-728177"/>
    <d v="2023-12-18T00:00:00"/>
    <d v="2024-01-14T00:00:00"/>
    <n v="27"/>
    <s v="Dec-2023"/>
    <s v="Q4-2023"/>
    <s v="Asia"/>
    <s v="India"/>
    <s v="Mumbai"/>
    <s v="Consumer"/>
    <s v="Distributor"/>
    <s v="D. Smith"/>
    <x v="2"/>
    <x v="466"/>
    <n v="1408.3"/>
    <s v="High"/>
    <n v="2193.13"/>
    <n v="7.0999999999999994E-2"/>
    <n v="7"/>
    <x v="467"/>
    <n v="9858.1"/>
    <n v="-9775.5769300000011"/>
    <n v="-118.45871621111527"/>
  </r>
  <r>
    <s v="ORD-2025-795385"/>
    <d v="2025-06-01T00:00:00"/>
    <d v="2025-06-05T00:00:00"/>
    <n v="4"/>
    <s v="Jun-2025"/>
    <s v="Q2-2025"/>
    <s v="Europe"/>
    <s v="Germany"/>
    <s v="Munich"/>
    <s v="Enterprise"/>
    <s v="Direct"/>
    <s v="M. Rossi"/>
    <x v="0"/>
    <x v="467"/>
    <n v="1171.42"/>
    <s v="High"/>
    <n v="2187.8000000000002"/>
    <n v="0.23"/>
    <n v="15"/>
    <x v="468"/>
    <n v="17571.300000000003"/>
    <n v="-10045.782000000003"/>
    <n v="-1.3348957506978261"/>
  </r>
  <r>
    <s v="ORD-2025-947929"/>
    <d v="2025-03-23T00:00:00"/>
    <d v="2025-04-02T00:00:00"/>
    <n v="10"/>
    <s v="Mar-2025"/>
    <s v="Q1-2025"/>
    <s v="Europe"/>
    <s v="Germany"/>
    <s v="Berlin"/>
    <s v="Enterprise"/>
    <s v="Online"/>
    <s v="E. Garcia"/>
    <x v="1"/>
    <x v="468"/>
    <n v="663.61"/>
    <s v="High"/>
    <n v="1002.11"/>
    <n v="4.5999999999999999E-2"/>
    <n v="17"/>
    <x v="469"/>
    <n v="11281.37"/>
    <n v="950.5699599999989"/>
    <n v="7.7712117874064429E-2"/>
  </r>
  <r>
    <s v="ORD-2023-931633"/>
    <d v="2023-05-14T00:00:00"/>
    <d v="2023-05-22T00:00:00"/>
    <n v="8"/>
    <s v="May-2023"/>
    <s v="Q2-2023"/>
    <s v="Africa"/>
    <s v="Kenya"/>
    <s v="Mombasa"/>
    <s v="Small Business"/>
    <s v="Distributor"/>
    <s v="F. Müller"/>
    <x v="1"/>
    <x v="469"/>
    <n v="432.01"/>
    <s v="High"/>
    <n v="913.78"/>
    <n v="4.9000000000000002E-2"/>
    <n v="12"/>
    <x v="470"/>
    <n v="5184.12"/>
    <n v="28835.166120000005"/>
    <n v="0.84761232255981278"/>
  </r>
  <r>
    <s v="ORD-2023-243704"/>
    <d v="2023-08-29T00:00:00"/>
    <d v="2023-09-19T00:00:00"/>
    <n v="21"/>
    <s v="Aug-2023"/>
    <s v="Q3-2023"/>
    <s v="Europe"/>
    <s v="France"/>
    <s v="Lyon"/>
    <s v="Small Business"/>
    <s v="Direct"/>
    <s v="B. Chen"/>
    <x v="1"/>
    <x v="470"/>
    <n v="784.46"/>
    <s v="High"/>
    <n v="1843.51"/>
    <n v="0.13800000000000001"/>
    <n v="23"/>
    <x v="471"/>
    <n v="18042.580000000002"/>
    <n v="1310.966419999997"/>
    <n v="6.7737787770268371E-2"/>
  </r>
  <r>
    <s v="ORD-2025-779659"/>
    <d v="2025-07-03T00:00:00"/>
    <d v="2025-07-23T00:00:00"/>
    <n v="20"/>
    <s v="Jul-2025"/>
    <s v="Q3-2025"/>
    <s v="Asia"/>
    <s v="China"/>
    <s v="Beijing"/>
    <s v="Small Business"/>
    <s v="Online"/>
    <s v="M. Rossi"/>
    <x v="0"/>
    <x v="471"/>
    <n v="647.36"/>
    <s v="High"/>
    <n v="1383.6"/>
    <n v="7.3999999999999996E-2"/>
    <n v="12"/>
    <x v="472"/>
    <n v="7768.32"/>
    <n v="4964.9208000000017"/>
    <n v="0.38991807961410746"/>
  </r>
  <r>
    <s v="ORD-2024-647571"/>
    <d v="2024-02-06T00:00:00"/>
    <d v="2024-02-28T00:00:00"/>
    <n v="22"/>
    <s v="Feb-2024"/>
    <s v="Q1-2024"/>
    <s v="Africa"/>
    <s v="Kenya"/>
    <s v="Kisumu"/>
    <s v="Non-Profit"/>
    <s v="Online"/>
    <s v="K. Singh"/>
    <x v="5"/>
    <x v="472"/>
    <n v="834.93"/>
    <s v="High"/>
    <n v="1588.53"/>
    <n v="0.126"/>
    <n v="6"/>
    <x v="473"/>
    <n v="5009.58"/>
    <n v="3540.1851600000009"/>
    <n v="0.4140681169305942"/>
  </r>
  <r>
    <s v="ORD-2025-683043"/>
    <d v="2025-08-13T00:00:00"/>
    <d v="2025-09-03T00:00:00"/>
    <n v="21"/>
    <s v="Aug-2025"/>
    <s v="Q3-2025"/>
    <s v="Europe"/>
    <s v="France"/>
    <s v="Paris"/>
    <s v="Education"/>
    <s v="Retail"/>
    <s v="I. Johnson"/>
    <x v="3"/>
    <x v="473"/>
    <n v="603.47"/>
    <s v="High"/>
    <n v="1344.05"/>
    <n v="0.20499999999999999"/>
    <n v="18"/>
    <x v="474"/>
    <n v="10862.460000000001"/>
    <n v="2928.5162999999993"/>
    <n v="0.21235018002315031"/>
  </r>
  <r>
    <s v="ORD-2023-588455"/>
    <d v="2023-05-23T00:00:00"/>
    <d v="2023-05-25T00:00:00"/>
    <n v="2"/>
    <s v="May-2023"/>
    <s v="Q2-2023"/>
    <s v="Americas"/>
    <s v="Brazil"/>
    <s v="Rio de Janeiro"/>
    <s v="Enterprise"/>
    <s v="Retail"/>
    <s v="M. Rossi"/>
    <x v="1"/>
    <x v="474"/>
    <n v="690.49"/>
    <s v="High"/>
    <n v="1290.29"/>
    <n v="4.2000000000000003E-2"/>
    <n v="22"/>
    <x v="475"/>
    <n v="15190.78"/>
    <n v="3603.3214800000005"/>
    <n v="0.19172619046643566"/>
  </r>
  <r>
    <s v="ORD-2024-641220"/>
    <d v="2024-05-10T00:00:00"/>
    <d v="2024-05-16T00:00:00"/>
    <n v="6"/>
    <s v="May-2024"/>
    <s v="Q2-2024"/>
    <s v="Europe"/>
    <s v="United Kingdom"/>
    <s v="Birmingham"/>
    <s v="Non-Profit"/>
    <s v="Direct"/>
    <s v="G. Dubois"/>
    <x v="4"/>
    <x v="475"/>
    <n v="210.76"/>
    <s v="High"/>
    <n v="221.58"/>
    <n v="8.8999999999999996E-2"/>
    <n v="5"/>
    <x v="476"/>
    <n v="1053.8"/>
    <n v="6543.1201000000001"/>
    <n v="0.86128589137063583"/>
  </r>
  <r>
    <s v="ORD-2023-799597"/>
    <d v="2023-03-14T00:00:00"/>
    <d v="2023-03-18T00:00:00"/>
    <n v="4"/>
    <s v="Mar-2023"/>
    <s v="Q1-2023"/>
    <s v="Europe"/>
    <s v="Germany"/>
    <s v="Frankfurt"/>
    <s v="Enterprise"/>
    <s v="Direct"/>
    <s v="A. Patel"/>
    <x v="0"/>
    <x v="476"/>
    <n v="472.33"/>
    <s v="High"/>
    <n v="360.34"/>
    <n v="0.16500000000000001"/>
    <n v="14"/>
    <x v="477"/>
    <n v="6612.62"/>
    <n v="15849.831900000001"/>
    <n v="0.70561450595693875"/>
  </r>
  <r>
    <s v="ORD-2023-569862"/>
    <d v="2023-07-16T00:00:00"/>
    <d v="2023-08-13T00:00:00"/>
    <n v="28"/>
    <s v="Jul-2023"/>
    <s v="Q3-2023"/>
    <s v="Europe"/>
    <s v="United Kingdom"/>
    <s v="Manchester"/>
    <s v="Non-Profit"/>
    <s v="Online"/>
    <s v="J. Njeri"/>
    <x v="4"/>
    <x v="477"/>
    <n v="1039.03"/>
    <s v="High"/>
    <n v="2545.81"/>
    <n v="0.216"/>
    <n v="21"/>
    <x v="478"/>
    <n v="21819.63"/>
    <n v="-1775.8624799999998"/>
    <n v="-8.8599235559283701E-2"/>
  </r>
  <r>
    <s v="ORD-2023-609394"/>
    <d v="2023-04-16T00:00:00"/>
    <d v="2023-04-19T00:00:00"/>
    <n v="3"/>
    <s v="Apr-2023"/>
    <s v="Q2-2023"/>
    <s v="Europe"/>
    <s v="Germany"/>
    <s v="Munich"/>
    <s v="Corporate"/>
    <s v="Direct"/>
    <s v="B. Chen"/>
    <x v="6"/>
    <x v="478"/>
    <n v="553.61"/>
    <s v="High"/>
    <n v="699.47"/>
    <n v="0.02"/>
    <n v="33"/>
    <x v="479"/>
    <n v="18269.13"/>
    <n v="13109.4018"/>
    <n v="0.41778251078018885"/>
  </r>
  <r>
    <s v="ORD-2024-105586"/>
    <d v="2024-01-02T00:00:00"/>
    <d v="2024-01-15T00:00:00"/>
    <n v="13"/>
    <s v="Jan-2024"/>
    <s v="Q1-2024"/>
    <s v="Asia"/>
    <s v="Japan"/>
    <s v="Nagoya"/>
    <s v="Small Business"/>
    <s v="Marketplace"/>
    <s v="G. Dubois"/>
    <x v="2"/>
    <x v="479"/>
    <n v="1219.06"/>
    <s v="High"/>
    <n v="2738.69"/>
    <n v="7.5999999999999998E-2"/>
    <n v="16"/>
    <x v="480"/>
    <n v="19504.96"/>
    <n v="4514.1612800000039"/>
    <n v="0.18794031752355611"/>
  </r>
  <r>
    <s v="ORD-2024-207792"/>
    <d v="2024-09-03T00:00:00"/>
    <d v="2024-09-07T00:00:00"/>
    <n v="4"/>
    <s v="Sept-2024"/>
    <s v="Q3-2024"/>
    <s v="Asia"/>
    <s v="Japan"/>
    <s v="Tokyo"/>
    <s v="Small Business"/>
    <s v="Distributor"/>
    <s v="N. Brown"/>
    <x v="1"/>
    <x v="480"/>
    <n v="43.23"/>
    <s v="Medium"/>
    <n v="94.78"/>
    <n v="9.0999999999999998E-2"/>
    <n v="55"/>
    <x v="481"/>
    <n v="2377.6499999999996"/>
    <n v="127914.81945000002"/>
    <n v="0.98175143958790023"/>
  </r>
  <r>
    <s v="ORD-2025-417336"/>
    <d v="2025-08-30T00:00:00"/>
    <d v="2025-09-03T00:00:00"/>
    <n v="4"/>
    <s v="Aug-2025"/>
    <s v="Q3-2025"/>
    <s v="Europe"/>
    <s v="France"/>
    <s v="Marseille"/>
    <s v="Small Business"/>
    <s v="Marketplace"/>
    <s v="J. Njeri"/>
    <x v="4"/>
    <x v="481"/>
    <n v="1286.56"/>
    <s v="High"/>
    <n v="2777.35"/>
    <n v="0.13200000000000001"/>
    <n v="15"/>
    <x v="482"/>
    <n v="19298.399999999998"/>
    <n v="-13638.345599999997"/>
    <n v="-2.4095785369130014"/>
  </r>
  <r>
    <s v="ORD-2025-252117"/>
    <d v="2025-04-28T00:00:00"/>
    <d v="2025-05-19T00:00:00"/>
    <n v="21"/>
    <s v="Apr-2025"/>
    <s v="Q2-2025"/>
    <s v="Europe"/>
    <s v="Germany"/>
    <s v="Berlin"/>
    <s v="Corporate"/>
    <s v="Distributor"/>
    <s v="B. Chen"/>
    <x v="3"/>
    <x v="482"/>
    <n v="350.76"/>
    <s v="High"/>
    <n v="492.18"/>
    <n v="5.2999999999999999E-2"/>
    <n v="11"/>
    <x v="483"/>
    <n v="3858.3599999999997"/>
    <n v="15521.53097"/>
    <n v="0.80090909665215726"/>
  </r>
  <r>
    <s v="ORD-2023-867175"/>
    <d v="2023-08-10T00:00:00"/>
    <d v="2023-08-15T00:00:00"/>
    <n v="5"/>
    <s v="Aug-2023"/>
    <s v="Q3-2023"/>
    <s v="Americas"/>
    <s v="Brazil"/>
    <s v="São Paulo"/>
    <s v="Education"/>
    <s v="Direct"/>
    <s v="G. Dubois"/>
    <x v="2"/>
    <x v="483"/>
    <n v="1307.52"/>
    <s v="High"/>
    <n v="1921.65"/>
    <n v="0.123"/>
    <n v="13"/>
    <x v="484"/>
    <n v="16997.759999999998"/>
    <n v="-7492.8603099999982"/>
    <n v="-0.78831555875157244"/>
  </r>
  <r>
    <s v="ORD-2024-382152"/>
    <d v="2024-12-08T00:00:00"/>
    <d v="2024-12-08T00:00:00"/>
    <n v="0"/>
    <s v="Dec-2024"/>
    <s v="Q4-2024"/>
    <s v="Europe"/>
    <s v="France"/>
    <s v="Lyon"/>
    <s v="Enterprise"/>
    <s v="Retail"/>
    <s v="H. Kim"/>
    <x v="0"/>
    <x v="484"/>
    <n v="257.44"/>
    <s v="High"/>
    <n v="290.33"/>
    <n v="9.1999999999999998E-2"/>
    <n v="23"/>
    <x v="485"/>
    <n v="5921.12"/>
    <n v="1043.2763200000009"/>
    <n v="0.14980140015926044"/>
  </r>
  <r>
    <s v="ORD-2023-597666"/>
    <d v="2023-10-25T00:00:00"/>
    <d v="2023-11-24T00:00:00"/>
    <n v="30"/>
    <s v="Oct-2023"/>
    <s v="Q4-2023"/>
    <s v="Europe"/>
    <s v="France"/>
    <s v="Paris"/>
    <s v="Enterprise"/>
    <s v="Distributor"/>
    <s v="C. Otieno"/>
    <x v="3"/>
    <x v="485"/>
    <n v="287.85000000000002"/>
    <s v="High"/>
    <n v="602.91999999999996"/>
    <n v="0.222"/>
    <n v="11"/>
    <x v="486"/>
    <n v="3166.3500000000004"/>
    <n v="12107.1126"/>
    <n v="0.79268944554851628"/>
  </r>
  <r>
    <s v="ORD-2024-371409"/>
    <d v="2024-11-17T00:00:00"/>
    <d v="2024-11-28T00:00:00"/>
    <n v="11"/>
    <s v="Nov-2024"/>
    <s v="Q4-2024"/>
    <s v="Americas"/>
    <s v="Canada"/>
    <s v="Not Provided"/>
    <s v="Consumer"/>
    <s v="Distributor"/>
    <s v="A. Patel"/>
    <x v="1"/>
    <x v="486"/>
    <n v="1008.16"/>
    <s v="High"/>
    <n v="2077.5"/>
    <n v="7.3999999999999996E-2"/>
    <n v="15"/>
    <x v="487"/>
    <n v="15122.4"/>
    <n v="-228.29190000000017"/>
    <n v="-1.5327665038230801E-2"/>
  </r>
  <r>
    <s v="ORD-2024-973420"/>
    <d v="2024-05-12T00:00:00"/>
    <d v="2024-05-24T00:00:00"/>
    <n v="12"/>
    <s v="May-2024"/>
    <s v="Q2-2024"/>
    <s v="Europe"/>
    <s v="United Kingdom"/>
    <s v="Manchester"/>
    <s v="Education"/>
    <s v="Marketplace"/>
    <s v="K. Singh"/>
    <x v="1"/>
    <x v="487"/>
    <n v="111.02"/>
    <s v="Medium"/>
    <n v="172.88"/>
    <n v="0.19700000000000001"/>
    <n v="29"/>
    <x v="488"/>
    <n v="3219.58"/>
    <n v="67294.620349999997"/>
    <n v="0.95434139529315387"/>
  </r>
  <r>
    <s v="ORD-2025-254721"/>
    <d v="2025-05-15T00:00:00"/>
    <d v="2025-06-05T00:00:00"/>
    <n v="21"/>
    <s v="May-2025"/>
    <s v="Q2-2025"/>
    <s v="Asia"/>
    <s v="Japan"/>
    <s v="Osaka"/>
    <s v="Enterprise"/>
    <s v="Direct"/>
    <s v="H. Kim"/>
    <x v="3"/>
    <x v="488"/>
    <n v="1466.5"/>
    <s v="High"/>
    <n v="2778.74"/>
    <n v="0.13500000000000001"/>
    <n v="4"/>
    <x v="489"/>
    <n v="5866"/>
    <n v="-2450.1496000000002"/>
    <n v="-0.71728832152602473"/>
  </r>
  <r>
    <s v="ORD-2024-247032"/>
    <d v="2024-04-21T00:00:00"/>
    <d v="2024-05-19T00:00:00"/>
    <n v="28"/>
    <s v="Apr-2024"/>
    <s v="Q2-2024"/>
    <s v="Africa"/>
    <s v="Nigeria"/>
    <s v="Lagos"/>
    <s v="Corporate"/>
    <s v="Distributor"/>
    <s v="A. Patel"/>
    <x v="6"/>
    <x v="489"/>
    <n v="187.22"/>
    <s v="High"/>
    <n v="309.47000000000003"/>
    <n v="0"/>
    <n v="5"/>
    <x v="490"/>
    <n v="936.1"/>
    <n v="3941.0499999999997"/>
    <n v="0.8080641358170243"/>
  </r>
  <r>
    <s v="ORD-2024-792353"/>
    <d v="2024-08-19T00:00:00"/>
    <d v="2024-09-07T00:00:00"/>
    <n v="19"/>
    <s v="Aug-2024"/>
    <s v="Q3-2024"/>
    <s v="Europe"/>
    <s v="France"/>
    <s v="Lyon"/>
    <s v="Corporate"/>
    <s v="Direct"/>
    <s v="J. Njeri"/>
    <x v="0"/>
    <x v="490"/>
    <n v="297.58999999999997"/>
    <s v="High"/>
    <n v="666.41"/>
    <n v="0"/>
    <n v="10"/>
    <x v="491"/>
    <n v="2975.8999999999996"/>
    <n v="-1561.5999999999995"/>
    <n v="-1.1041504631266346"/>
  </r>
  <r>
    <s v="ORD-2025-703623"/>
    <d v="2025-07-23T00:00:00"/>
    <d v="2025-08-19T00:00:00"/>
    <n v="27"/>
    <s v="Jul-2025"/>
    <s v="Q3-2025"/>
    <s v="Asia"/>
    <s v="Japan"/>
    <s v="Nagoya"/>
    <s v="Consumer"/>
    <s v="Marketplace"/>
    <s v="B. Chen"/>
    <x v="6"/>
    <x v="491"/>
    <n v="896.09"/>
    <s v="High"/>
    <n v="744.27"/>
    <n v="8.3000000000000004E-2"/>
    <n v="11"/>
    <x v="492"/>
    <n v="9856.99"/>
    <n v="6538.6215400000019"/>
    <n v="0.3988031507118765"/>
  </r>
  <r>
    <s v="ORD-2024-516704"/>
    <d v="2024-03-01T00:00:00"/>
    <d v="2024-02-29T00:00:00"/>
    <n v="1"/>
    <s v="Mar-2024"/>
    <s v="Q1-2024"/>
    <s v="Americas"/>
    <s v="Brazil"/>
    <s v="São Paulo"/>
    <s v="Non-Profit"/>
    <s v="Direct"/>
    <s v="I. Johnson"/>
    <x v="3"/>
    <x v="492"/>
    <n v="5.34"/>
    <s v="Low"/>
    <n v="12.69"/>
    <n v="0.13200000000000001"/>
    <n v="10"/>
    <x v="493"/>
    <n v="53.4"/>
    <n v="2550.0792000000001"/>
    <n v="0.97948898535467455"/>
  </r>
  <r>
    <s v="ORD-2024-578646"/>
    <d v="2024-05-27T00:00:00"/>
    <d v="2024-06-17T00:00:00"/>
    <n v="21"/>
    <s v="May-2024"/>
    <s v="Q2-2024"/>
    <s v="Asia"/>
    <s v="India"/>
    <s v="Delhi"/>
    <s v="Small Business"/>
    <s v="Online"/>
    <s v="H. Kim"/>
    <x v="6"/>
    <x v="493"/>
    <n v="465.02"/>
    <s v="High"/>
    <n v="651.55999999999995"/>
    <n v="4.2000000000000003E-2"/>
    <n v="19"/>
    <x v="494"/>
    <n v="8835.3799999999992"/>
    <n v="18539.699919999999"/>
    <n v="0.67724733495499501"/>
  </r>
  <r>
    <s v="ORD-2024-433936"/>
    <d v="2024-08-04T00:00:00"/>
    <d v="2024-08-17T00:00:00"/>
    <n v="13"/>
    <s v="Aug-2024"/>
    <s v="Q3-2024"/>
    <s v="Americas"/>
    <s v="USA"/>
    <s v="Austin"/>
    <s v="Consumer"/>
    <s v="Retail"/>
    <s v="D. Smith"/>
    <x v="5"/>
    <x v="494"/>
    <n v="352.79"/>
    <s v="High"/>
    <n v="754.22"/>
    <n v="0.113"/>
    <n v="7"/>
    <x v="495"/>
    <n v="2469.5300000000002"/>
    <n v="16785.261990000003"/>
    <n v="0.87174465445887173"/>
  </r>
  <r>
    <s v="ORD-2023-434071"/>
    <d v="2023-06-20T00:00:00"/>
    <d v="2023-07-04T00:00:00"/>
    <n v="14"/>
    <s v="Jun-2023"/>
    <s v="Q2-2023"/>
    <s v="Americas"/>
    <s v="Brazil"/>
    <s v="Brasília"/>
    <s v="Non-Profit"/>
    <s v="Direct"/>
    <s v="C. Otieno"/>
    <x v="2"/>
    <x v="495"/>
    <n v="1292.8599999999999"/>
    <s v="High"/>
    <n v="2981.01"/>
    <n v="0.14199999999999999"/>
    <n v="12"/>
    <x v="496"/>
    <n v="15514.32"/>
    <n v="-5430.2116800000003"/>
    <n v="-0.5384920022358507"/>
  </r>
  <r>
    <s v="ORD-2024-728474"/>
    <d v="2024-09-09T00:00:00"/>
    <d v="2024-09-13T00:00:00"/>
    <n v="4"/>
    <s v="Sept-2024"/>
    <s v="Q3-2024"/>
    <s v="Europe"/>
    <s v="United Kingdom"/>
    <s v="London"/>
    <s v="Consumer"/>
    <s v="Marketplace"/>
    <s v="F. Müller"/>
    <x v="2"/>
    <x v="496"/>
    <n v="1133.08"/>
    <s v="High"/>
    <n v="976.17"/>
    <n v="4.2000000000000003E-2"/>
    <n v="27"/>
    <x v="497"/>
    <n v="30593.159999999996"/>
    <n v="90.641160000002856"/>
    <n v="2.9540394792469337E-3"/>
  </r>
  <r>
    <s v="ORD-2023-406606"/>
    <d v="2023-10-25T00:00:00"/>
    <d v="2023-10-28T00:00:00"/>
    <n v="3"/>
    <s v="Oct-2023"/>
    <s v="Q4-2023"/>
    <s v="Americas"/>
    <s v="Brazil"/>
    <s v="Brasília"/>
    <s v="Corporate"/>
    <s v="Distributor"/>
    <s v="L. Okafor"/>
    <x v="6"/>
    <x v="497"/>
    <n v="509.31"/>
    <s v="High"/>
    <n v="1145.9000000000001"/>
    <n v="5.7000000000000002E-2"/>
    <n v="8"/>
    <x v="498"/>
    <n v="4074.48"/>
    <n v="10548.281519999999"/>
    <n v="0.7213604287789821"/>
  </r>
  <r>
    <s v="ORD-2025-823055"/>
    <d v="2025-09-08T00:00:00"/>
    <d v="2025-10-05T00:00:00"/>
    <n v="27"/>
    <s v="Sept-2025"/>
    <s v="Q3-2025"/>
    <s v="Americas"/>
    <s v="Brazil"/>
    <s v="Rio de Janeiro"/>
    <s v="Education"/>
    <s v="Online"/>
    <s v="C. Otieno"/>
    <x v="5"/>
    <x v="498"/>
    <n v="660.78"/>
    <s v="High"/>
    <n v="1630.39"/>
    <n v="0.218"/>
    <n v="13"/>
    <x v="499"/>
    <n v="8590.14"/>
    <n v="-188.24597999999787"/>
    <n v="-2.2405183825443903E-2"/>
  </r>
  <r>
    <s v="ORD-2023-573656"/>
    <d v="2023-05-02T00:00:00"/>
    <d v="2023-05-16T00:00:00"/>
    <n v="14"/>
    <s v="May-2023"/>
    <s v="Q2-2023"/>
    <s v="Asia"/>
    <s v="India"/>
    <s v="Bengaluru"/>
    <s v="Non-Profit"/>
    <s v="Retail"/>
    <s v="L. Okafor"/>
    <x v="5"/>
    <x v="499"/>
    <n v="475.37"/>
    <s v="High"/>
    <n v="963.73"/>
    <n v="4.1000000000000002E-2"/>
    <n v="22"/>
    <x v="500"/>
    <n v="10458.14"/>
    <n v="-7964.9893399999992"/>
    <n v="-3.194748503485946"/>
  </r>
  <r>
    <s v="ORD-2024-567435"/>
    <d v="2024-04-26T00:00:00"/>
    <d v="2024-04-24T00:00:00"/>
    <n v="2"/>
    <s v="Apr-2024"/>
    <s v="Q2-2024"/>
    <s v="Europe"/>
    <s v="United Kingdom"/>
    <s v="London"/>
    <s v="Non-Profit"/>
    <s v="Distributor"/>
    <s v="N. Brown"/>
    <x v="3"/>
    <x v="500"/>
    <n v="1232.77"/>
    <s v="High"/>
    <n v="891.73"/>
    <n v="0.16700000000000001"/>
    <n v="10"/>
    <x v="501"/>
    <n v="12327.7"/>
    <n v="-450.20290000000205"/>
    <n v="-3.7903852655960836E-2"/>
  </r>
  <r>
    <s v="ORD-2023-744942"/>
    <d v="2023-02-23T00:00:00"/>
    <d v="2023-03-18T00:00:00"/>
    <n v="23"/>
    <s v="Feb-2023"/>
    <s v="Q1-2023"/>
    <s v="Asia"/>
    <s v="China"/>
    <s v="Beijing"/>
    <s v="Education"/>
    <s v="Distributor"/>
    <s v="K. Singh"/>
    <x v="1"/>
    <x v="501"/>
    <n v="770.11"/>
    <s v="High"/>
    <n v="1667.82"/>
    <n v="6.9000000000000006E-2"/>
    <n v="7"/>
    <x v="502"/>
    <n v="5390.77"/>
    <n v="5002.4112599999989"/>
    <n v="0.48131665703288229"/>
  </r>
  <r>
    <s v="ORD-2025-331237"/>
    <d v="2025-03-24T00:00:00"/>
    <d v="2025-03-25T00:00:00"/>
    <n v="1"/>
    <s v="Mar-2025"/>
    <s v="Q1-2025"/>
    <s v="Asia"/>
    <s v="China"/>
    <s v="Beijing"/>
    <s v="Non-Profit"/>
    <s v="Online"/>
    <s v="G. Dubois"/>
    <x v="2"/>
    <x v="502"/>
    <n v="1133.03"/>
    <s v="High"/>
    <n v="1921.51"/>
    <n v="0.10100000000000001"/>
    <n v="5"/>
    <x v="503"/>
    <n v="5665.15"/>
    <n v="9357.6344499999996"/>
    <n v="0.62289614026912299"/>
  </r>
  <r>
    <s v="ORD-2025-680118"/>
    <d v="2025-03-10T00:00:00"/>
    <d v="2025-03-27T00:00:00"/>
    <n v="17"/>
    <s v="Mar-2025"/>
    <s v="Q1-2025"/>
    <s v="Americas"/>
    <s v="Brazil"/>
    <s v="Rio de Janeiro"/>
    <s v="Enterprise"/>
    <s v="Direct"/>
    <s v="F. Müller"/>
    <x v="2"/>
    <x v="503"/>
    <n v="996.73"/>
    <s v="High"/>
    <n v="1217.43"/>
    <n v="7.0000000000000007E-2"/>
    <n v="9"/>
    <x v="504"/>
    <n v="8970.57"/>
    <n v="-16.595100000000457"/>
    <n v="-1.8533779897015859E-3"/>
  </r>
  <r>
    <s v="ORD-2024-310809"/>
    <d v="2024-04-05T00:00:00"/>
    <d v="2024-04-09T00:00:00"/>
    <n v="4"/>
    <s v="Apr-2024"/>
    <s v="Q2-2024"/>
    <s v="Africa"/>
    <s v="Nigeria"/>
    <s v="Lagos"/>
    <s v="Non-Profit"/>
    <s v="Direct"/>
    <s v="K. Singh"/>
    <x v="0"/>
    <x v="504"/>
    <n v="395.07"/>
    <s v="High"/>
    <n v="970.27"/>
    <n v="0.123"/>
    <n v="38"/>
    <x v="505"/>
    <n v="15012.66"/>
    <n v="-10319.69268"/>
    <n v="-2.1989696446469185"/>
  </r>
  <r>
    <s v="ORD-2025-474368"/>
    <d v="2025-04-27T00:00:00"/>
    <d v="2025-05-17T00:00:00"/>
    <n v="20"/>
    <s v="Apr-2025"/>
    <s v="Q2-2025"/>
    <s v="Americas"/>
    <s v="USA"/>
    <s v="Austin"/>
    <s v="Corporate"/>
    <s v="Direct"/>
    <s v="N. Brown"/>
    <x v="3"/>
    <x v="505"/>
    <n v="932.26"/>
    <s v="High"/>
    <n v="1624.67"/>
    <n v="0.23499999999999999"/>
    <n v="28"/>
    <x v="506"/>
    <n v="26103.279999999999"/>
    <n v="-24667.283199999998"/>
    <n v="-17.177812095402995"/>
  </r>
  <r>
    <s v="ORD-2024-732543"/>
    <d v="2024-10-24T00:00:00"/>
    <d v="2024-10-28T00:00:00"/>
    <n v="4"/>
    <s v="Oct-2024"/>
    <s v="Q4-2024"/>
    <s v="Asia"/>
    <s v="China"/>
    <s v="Shanghai"/>
    <s v="Small Business"/>
    <s v="Distributor"/>
    <s v="I. Johnson"/>
    <x v="2"/>
    <x v="506"/>
    <n v="1331.77"/>
    <s v="High"/>
    <n v="2606.11"/>
    <n v="0.02"/>
    <n v="6"/>
    <x v="507"/>
    <n v="7990.62"/>
    <n v="-483.80039999999917"/>
    <n v="-6.444811861470591E-2"/>
  </r>
  <r>
    <s v="ORD-2023-867166"/>
    <d v="2023-04-13T00:00:00"/>
    <d v="2023-04-20T00:00:00"/>
    <n v="7"/>
    <s v="Apr-2023"/>
    <s v="Q2-2023"/>
    <s v="Europe"/>
    <s v="France"/>
    <s v="Lyon"/>
    <s v="Small Business"/>
    <s v="Online"/>
    <s v="A. Patel"/>
    <x v="4"/>
    <x v="507"/>
    <n v="227.02"/>
    <s v="High"/>
    <n v="434.72"/>
    <n v="9.8000000000000004E-2"/>
    <n v="10"/>
    <x v="508"/>
    <n v="2270.2000000000003"/>
    <n v="23178.467200000003"/>
    <n v="0.91079297072186161"/>
  </r>
  <r>
    <s v="ORD-2024-776337"/>
    <d v="2024-11-12T00:00:00"/>
    <d v="2024-11-21T00:00:00"/>
    <n v="9"/>
    <s v="Nov-2024"/>
    <s v="Q4-2024"/>
    <s v="Asia"/>
    <s v="India"/>
    <s v="Mumbai"/>
    <s v="Corporate"/>
    <s v="Direct"/>
    <s v="H. Kim"/>
    <x v="4"/>
    <x v="508"/>
    <n v="903.41"/>
    <s v="High"/>
    <n v="1860.41"/>
    <n v="0.108"/>
    <n v="5"/>
    <x v="509"/>
    <n v="4517.05"/>
    <n v="2436.9374000000007"/>
    <n v="0.35043741954436103"/>
  </r>
  <r>
    <s v="ORD-2023-913592"/>
    <d v="2023-05-10T00:00:00"/>
    <d v="2023-05-14T00:00:00"/>
    <n v="4"/>
    <s v="May-2023"/>
    <s v="Q2-2023"/>
    <s v="Asia"/>
    <s v="India"/>
    <s v="Delhi"/>
    <s v="Non-Profit"/>
    <s v="Distributor"/>
    <s v="C. Otieno"/>
    <x v="5"/>
    <x v="509"/>
    <n v="622.6"/>
    <s v="High"/>
    <n v="833.69"/>
    <n v="0.20899999999999999"/>
    <n v="14"/>
    <x v="510"/>
    <n v="8716.4"/>
    <n v="-1444.5471599999992"/>
    <n v="-0.19864911897749557"/>
  </r>
  <r>
    <s v="ORD-2024-961501"/>
    <d v="2024-03-02T00:00:00"/>
    <d v="2024-03-23T00:00:00"/>
    <n v="21"/>
    <s v="Mar-2024"/>
    <s v="Q1-2024"/>
    <s v="Americas"/>
    <s v="USA"/>
    <s v="Chicago"/>
    <s v="Small Business"/>
    <s v="Online"/>
    <s v="F. Müller"/>
    <x v="0"/>
    <x v="510"/>
    <n v="225.01"/>
    <s v="High"/>
    <n v="333.48"/>
    <n v="0.11899999999999999"/>
    <n v="12"/>
    <x v="511"/>
    <n v="2700.12"/>
    <n v="25398.564480000001"/>
    <n v="0.90390582157246957"/>
  </r>
  <r>
    <s v="ORD-2024-964950"/>
    <d v="2024-10-10T00:00:00"/>
    <d v="2024-10-11T00:00:00"/>
    <n v="1"/>
    <s v="Oct-2024"/>
    <s v="Q4-2024"/>
    <s v="Europe"/>
    <s v="United Kingdom"/>
    <s v="Manchester"/>
    <s v="Non-Profit"/>
    <s v="Distributor"/>
    <s v="L. Okafor"/>
    <x v="0"/>
    <x v="511"/>
    <n v="1389.46"/>
    <s v="High"/>
    <n v="1784.7"/>
    <n v="0.14599999999999999"/>
    <n v="33"/>
    <x v="512"/>
    <n v="45852.18"/>
    <n v="-5700.1573200000057"/>
    <n v="-0.14196438783242904"/>
  </r>
  <r>
    <s v="ORD-2023-349264"/>
    <d v="2023-06-01T00:00:00"/>
    <d v="2023-06-08T00:00:00"/>
    <n v="7"/>
    <s v="Jun-2023"/>
    <s v="Q2-2023"/>
    <s v="Europe"/>
    <s v="Germany"/>
    <s v="Frankfurt"/>
    <s v="Consumer"/>
    <s v="Online"/>
    <s v="A. Patel"/>
    <x v="3"/>
    <x v="512"/>
    <n v="804.17"/>
    <s v="High"/>
    <n v="1072.29"/>
    <n v="3.2000000000000001E-2"/>
    <n v="5"/>
    <x v="513"/>
    <n v="4020.85"/>
    <n v="7201.8515999999981"/>
    <n v="0.64172174015568584"/>
  </r>
  <r>
    <s v="ORD-2025-137394"/>
    <d v="2025-01-04T00:00:00"/>
    <d v="2025-01-05T00:00:00"/>
    <n v="1"/>
    <s v="Jan-2025"/>
    <s v="Q1-2025"/>
    <s v="Asia"/>
    <s v="India"/>
    <s v="Delhi"/>
    <s v="Education"/>
    <s v="Retail"/>
    <s v="I. Johnson"/>
    <x v="0"/>
    <x v="513"/>
    <n v="1428.33"/>
    <s v="High"/>
    <n v="3028.05"/>
    <n v="0"/>
    <n v="11"/>
    <x v="514"/>
    <n v="15711.63"/>
    <n v="-11677.93"/>
    <n v="-2.8950913553313335"/>
  </r>
  <r>
    <s v="ORD-2025-635337"/>
    <d v="2025-08-05T00:00:00"/>
    <d v="2025-08-28T00:00:00"/>
    <n v="23"/>
    <s v="Aug-2025"/>
    <s v="Q3-2025"/>
    <s v="Asia"/>
    <s v="India"/>
    <s v="Mumbai"/>
    <s v="Non-Profit"/>
    <s v="Distributor"/>
    <s v="N. Brown"/>
    <x v="4"/>
    <x v="514"/>
    <n v="638.54"/>
    <s v="High"/>
    <n v="987.24"/>
    <n v="0"/>
    <n v="11"/>
    <x v="515"/>
    <n v="7023.94"/>
    <n v="23747.57"/>
    <n v="0.77173885844406076"/>
  </r>
  <r>
    <s v="ORD-2023-568013"/>
    <d v="2023-09-30T00:00:00"/>
    <d v="2023-10-30T00:00:00"/>
    <n v="0"/>
    <s v="Sept-2023"/>
    <s v="Q3-2023"/>
    <s v="Asia"/>
    <s v="Japan"/>
    <s v="Tokyo"/>
    <s v="Enterprise"/>
    <s v="Online"/>
    <s v="D. Smith"/>
    <x v="1"/>
    <x v="515"/>
    <n v="649.13"/>
    <s v="High"/>
    <n v="975.43"/>
    <n v="0.157"/>
    <n v="27"/>
    <x v="516"/>
    <n v="17526.509999999998"/>
    <n v="32767.561259999991"/>
    <n v="0.65151936280133227"/>
  </r>
  <r>
    <s v="ORD-2025-828263"/>
    <d v="2025-05-17T00:00:00"/>
    <d v="2025-05-30T00:00:00"/>
    <n v="13"/>
    <s v="May-2025"/>
    <s v="Q2-2025"/>
    <s v="Africa"/>
    <s v="Nigeria"/>
    <s v="Lagos"/>
    <s v="Consumer"/>
    <s v="Distributor"/>
    <s v="F. Müller"/>
    <x v="6"/>
    <x v="516"/>
    <n v="66.400000000000006"/>
    <s v="Medium"/>
    <n v="141.43"/>
    <n v="0.107"/>
    <n v="8"/>
    <x v="517"/>
    <n v="531.20000000000005"/>
    <n v="5462.9017599999997"/>
    <n v="0.91137954921873066"/>
  </r>
  <r>
    <s v="ORD-2024-402240"/>
    <d v="2024-05-01T00:00:00"/>
    <d v="2024-05-26T00:00:00"/>
    <n v="25"/>
    <s v="May-2024"/>
    <s v="Q2-2024"/>
    <s v="Europe"/>
    <s v="Germany"/>
    <s v="Berlin"/>
    <s v="Non-Profit"/>
    <s v="Retail"/>
    <s v="B. Chen"/>
    <x v="2"/>
    <x v="517"/>
    <n v="930.71"/>
    <s v="High"/>
    <n v="1625.42"/>
    <n v="0.13800000000000001"/>
    <n v="7"/>
    <x v="518"/>
    <n v="6514.97"/>
    <n v="358.66110000000026"/>
    <n v="5.2179276830844216E-2"/>
  </r>
  <r>
    <s v="ORD-2023-125739"/>
    <d v="2023-05-01T00:00:00"/>
    <d v="2023-05-18T00:00:00"/>
    <n v="17"/>
    <s v="May-2023"/>
    <s v="Q2-2023"/>
    <s v="Africa"/>
    <s v="Nigeria"/>
    <s v="Port Harcourt"/>
    <s v="Corporate"/>
    <s v="Direct"/>
    <s v="F. Müller"/>
    <x v="0"/>
    <x v="518"/>
    <n v="327.97"/>
    <s v="High"/>
    <n v="299.94"/>
    <n v="4.9000000000000002E-2"/>
    <n v="3"/>
    <x v="519"/>
    <n v="983.91000000000008"/>
    <n v="3900.5115900000001"/>
    <n v="0.79856161433435968"/>
  </r>
  <r>
    <s v="ORD-2024-892879"/>
    <d v="2024-07-09T00:00:00"/>
    <d v="2024-08-08T00:00:00"/>
    <n v="30"/>
    <s v="Jul-2024"/>
    <s v="Q3-2024"/>
    <s v="Europe"/>
    <s v="France"/>
    <s v="Marseille"/>
    <s v="Corporate"/>
    <s v="Direct"/>
    <s v="J. Njeri"/>
    <x v="0"/>
    <x v="519"/>
    <n v="1062.3800000000001"/>
    <s v="High"/>
    <n v="1503.96"/>
    <n v="0.18"/>
    <n v="6"/>
    <x v="520"/>
    <n v="6374.2800000000007"/>
    <n v="-1187.1732000000002"/>
    <n v="-0.22887001285572142"/>
  </r>
  <r>
    <s v="ORD-2023-472050"/>
    <d v="2023-05-10T00:00:00"/>
    <d v="2023-05-27T00:00:00"/>
    <n v="17"/>
    <s v="May-2023"/>
    <s v="Q2-2023"/>
    <s v="Asia"/>
    <s v="India"/>
    <s v="Mumbai"/>
    <s v="Consumer"/>
    <s v="Retail"/>
    <s v="M. Rossi"/>
    <x v="4"/>
    <x v="520"/>
    <n v="1286.1600000000001"/>
    <s v="High"/>
    <n v="3101.11"/>
    <n v="0.1"/>
    <n v="23"/>
    <x v="521"/>
    <n v="29581.68"/>
    <n v="21158.574000000001"/>
    <n v="0.41699779429562966"/>
  </r>
  <r>
    <s v="ORD-2024-468615"/>
    <d v="2024-07-09T00:00:00"/>
    <d v="2024-07-12T00:00:00"/>
    <n v="3"/>
    <s v="Jul-2024"/>
    <s v="Q3-2024"/>
    <s v="Asia"/>
    <s v="China"/>
    <s v="Shanghai"/>
    <s v="Small Business"/>
    <s v="Retail"/>
    <s v="D. Smith"/>
    <x v="6"/>
    <x v="521"/>
    <n v="748.39"/>
    <s v="High"/>
    <n v="979.42"/>
    <n v="0"/>
    <n v="23"/>
    <x v="522"/>
    <n v="17212.97"/>
    <n v="11564.86"/>
    <n v="0.401866992751017"/>
  </r>
  <r>
    <s v="ORD-2024-833375"/>
    <d v="2024-04-24T00:00:00"/>
    <d v="2024-05-10T00:00:00"/>
    <n v="16"/>
    <s v="Apr-2024"/>
    <s v="Q2-2024"/>
    <s v="Africa"/>
    <s v="Kenya"/>
    <s v="Kisumu"/>
    <s v="Non-Profit"/>
    <s v="Online"/>
    <s v="N. Brown"/>
    <x v="5"/>
    <x v="522"/>
    <n v="513.30999999999995"/>
    <s v="High"/>
    <n v="1186.26"/>
    <n v="9.4E-2"/>
    <n v="15"/>
    <x v="523"/>
    <n v="7699.65"/>
    <n v="7314.5820000000003"/>
    <n v="0.48717656687335059"/>
  </r>
  <r>
    <s v="ORD-2024-206311"/>
    <d v="2024-01-13T00:00:00"/>
    <d v="2024-01-15T00:00:00"/>
    <n v="2"/>
    <s v="Jan-2024"/>
    <s v="Q1-2024"/>
    <s v="Americas"/>
    <s v="USA"/>
    <s v="San Francisco"/>
    <s v="Non-Profit"/>
    <s v="Direct"/>
    <s v="E. Garcia"/>
    <x v="0"/>
    <x v="523"/>
    <n v="1061.3699999999999"/>
    <s v="High"/>
    <n v="1938.33"/>
    <n v="0.17"/>
    <n v="4"/>
    <x v="524"/>
    <n v="4245.4799999999996"/>
    <n v="3667.4411999999993"/>
    <n v="0.46347500591816837"/>
  </r>
  <r>
    <s v="ORD-2024-364080"/>
    <d v="2024-04-16T00:00:00"/>
    <d v="2024-04-27T00:00:00"/>
    <n v="11"/>
    <s v="Apr-2024"/>
    <s v="Q2-2024"/>
    <s v="Africa"/>
    <s v="Kenya"/>
    <s v="Nakuru"/>
    <s v="Enterprise"/>
    <s v="Online"/>
    <s v="D. Smith"/>
    <x v="1"/>
    <x v="524"/>
    <n v="401.3"/>
    <s v="High"/>
    <n v="826.47"/>
    <n v="0.22500000000000001"/>
    <n v="13"/>
    <x v="525"/>
    <n v="5216.9000000000005"/>
    <n v="-3070.3205000000003"/>
    <n v="-1.4303316043034977"/>
  </r>
  <r>
    <s v="ORD-2025-460466"/>
    <d v="2025-02-07T00:00:00"/>
    <d v="2025-02-16T00:00:00"/>
    <n v="9"/>
    <s v="Feb-2025"/>
    <s v="Q1-2025"/>
    <s v="Africa"/>
    <s v="Nigeria"/>
    <s v="Lagos"/>
    <s v="Small Business"/>
    <s v="Distributor"/>
    <s v="C. Otieno"/>
    <x v="1"/>
    <x v="525"/>
    <n v="90.68"/>
    <s v="Medium"/>
    <n v="118.17"/>
    <n v="0.13500000000000001"/>
    <n v="21"/>
    <x v="526"/>
    <n v="1904.2800000000002"/>
    <n v="34982.295600000005"/>
    <n v="0.94837471440422894"/>
  </r>
  <r>
    <s v="ORD-2023-700699"/>
    <d v="2023-01-12T00:00:00"/>
    <d v="2023-01-26T00:00:00"/>
    <n v="14"/>
    <s v="Jan-2023"/>
    <s v="Q1-2023"/>
    <s v="Asia"/>
    <s v="China"/>
    <s v="Shenzhen"/>
    <s v="Non-Profit"/>
    <s v="Retail"/>
    <s v="M. Rossi"/>
    <x v="1"/>
    <x v="526"/>
    <n v="1083.0899999999999"/>
    <s v="High"/>
    <n v="1425.87"/>
    <n v="0"/>
    <n v="8"/>
    <x v="527"/>
    <n v="8664.7199999999993"/>
    <n v="-1011.119999999999"/>
    <n v="-0.13211037942928805"/>
  </r>
  <r>
    <s v="ORD-2024-713332"/>
    <d v="2024-06-05T00:00:00"/>
    <d v="2024-06-23T00:00:00"/>
    <n v="18"/>
    <s v="Jun-2024"/>
    <s v="Q2-2024"/>
    <s v="Africa"/>
    <s v="Kenya"/>
    <s v="Nairobi"/>
    <s v="Consumer"/>
    <s v="Distributor"/>
    <s v="D. Smith"/>
    <x v="4"/>
    <x v="527"/>
    <n v="1208.74"/>
    <s v="High"/>
    <n v="1594.78"/>
    <n v="5.8999999999999997E-2"/>
    <n v="39"/>
    <x v="528"/>
    <n v="47140.86"/>
    <n v="5987.548320000009"/>
    <n v="0.11269956148387032"/>
  </r>
  <r>
    <s v="ORD-2023-640022"/>
    <d v="2023-08-24T00:00:00"/>
    <d v="2023-09-20T00:00:00"/>
    <n v="27"/>
    <s v="Aug-2023"/>
    <s v="Q3-2023"/>
    <s v="Africa"/>
    <s v="South Africa"/>
    <s v="Durban"/>
    <s v="Small Business"/>
    <s v="Marketplace"/>
    <s v="M. Rossi"/>
    <x v="1"/>
    <x v="528"/>
    <n v="1399.64"/>
    <s v="High"/>
    <n v="3342.11"/>
    <n v="0"/>
    <n v="10"/>
    <x v="529"/>
    <n v="13996.400000000001"/>
    <n v="15499.799999999996"/>
    <n v="0.52548463869922213"/>
  </r>
  <r>
    <s v="ORD-2024-532184"/>
    <d v="2024-01-25T00:00:00"/>
    <d v="2024-02-08T00:00:00"/>
    <n v="14"/>
    <s v="Jan-2024"/>
    <s v="Q1-2024"/>
    <s v="Asia"/>
    <s v="Japan"/>
    <s v="Osaka"/>
    <s v="Consumer"/>
    <s v="Marketplace"/>
    <s v="I. Johnson"/>
    <x v="2"/>
    <x v="529"/>
    <n v="937.16"/>
    <s v="High"/>
    <n v="1069.77"/>
    <n v="3.7999999999999999E-2"/>
    <n v="9"/>
    <x v="530"/>
    <n v="8434.44"/>
    <n v="13908.135059999999"/>
    <n v="0.62249472241450754"/>
  </r>
  <r>
    <s v="ORD-2025-926547"/>
    <d v="2025-03-11T00:00:00"/>
    <d v="2025-03-26T00:00:00"/>
    <n v="15"/>
    <s v="Mar-2025"/>
    <s v="Q1-2025"/>
    <s v="Europe"/>
    <s v="Germany"/>
    <s v="Berlin"/>
    <s v="Small Business"/>
    <s v="Online"/>
    <s v="I. Johnson"/>
    <x v="3"/>
    <x v="530"/>
    <n v="116.97"/>
    <s v="Medium"/>
    <n v="140.82"/>
    <n v="0.122"/>
    <n v="5"/>
    <x v="531"/>
    <n v="584.85"/>
    <n v="8102.5649000000012"/>
    <n v="0.93267847723032082"/>
  </r>
  <r>
    <s v="ORD-2025-778145"/>
    <d v="2025-04-22T00:00:00"/>
    <d v="2025-05-12T00:00:00"/>
    <n v="20"/>
    <s v="Apr-2025"/>
    <s v="Q2-2025"/>
    <s v="Europe"/>
    <s v="France"/>
    <s v="Lyon"/>
    <s v="Enterprise"/>
    <s v="Marketplace"/>
    <s v="K. Singh"/>
    <x v="5"/>
    <x v="531"/>
    <n v="59.51"/>
    <s v="Medium"/>
    <n v="67.040000000000006"/>
    <n v="0.114"/>
    <n v="9"/>
    <x v="532"/>
    <n v="535.59"/>
    <n v="11277.492300000002"/>
    <n v="0.95466128260191674"/>
  </r>
  <r>
    <s v="ORD-2023-525643"/>
    <d v="2023-08-17T00:00:00"/>
    <d v="2023-09-03T00:00:00"/>
    <n v="17"/>
    <s v="Aug-2023"/>
    <s v="Q3-2023"/>
    <s v="Africa"/>
    <s v="South Africa"/>
    <s v="Durban"/>
    <s v="Enterprise"/>
    <s v="Retail"/>
    <s v="A. Patel"/>
    <x v="3"/>
    <x v="532"/>
    <n v="676.37"/>
    <s v="High"/>
    <n v="1276.67"/>
    <n v="6.6000000000000003E-2"/>
    <n v="10"/>
    <x v="533"/>
    <n v="6763.7"/>
    <n v="8730.612799999999"/>
    <n v="0.56347208893317291"/>
  </r>
  <r>
    <s v="ORD-2025-312803"/>
    <d v="2025-06-24T00:00:00"/>
    <d v="2025-07-14T00:00:00"/>
    <n v="20"/>
    <s v="Jun-2025"/>
    <s v="Q2-2025"/>
    <s v="Africa"/>
    <s v="South Africa"/>
    <s v="Johannesburg"/>
    <s v="Enterprise"/>
    <s v="Marketplace"/>
    <s v="J. Njeri"/>
    <x v="4"/>
    <x v="533"/>
    <n v="1151.06"/>
    <s v="High"/>
    <n v="2821.36"/>
    <n v="0.248"/>
    <n v="20"/>
    <x v="534"/>
    <n v="23021.199999999997"/>
    <n v="-13962.006399999997"/>
    <n v="-1.5411974858336173"/>
  </r>
  <r>
    <s v="ORD-2025-149156"/>
    <d v="2025-01-10T00:00:00"/>
    <d v="2025-02-06T00:00:00"/>
    <n v="27"/>
    <s v="Jan-2025"/>
    <s v="Q1-2025"/>
    <s v="Americas"/>
    <s v="Brazil"/>
    <s v="Brasília"/>
    <s v="Non-Profit"/>
    <s v="Retail"/>
    <s v="B. Chen"/>
    <x v="4"/>
    <x v="534"/>
    <n v="725.62"/>
    <s v="High"/>
    <n v="1559.19"/>
    <n v="0.19"/>
    <n v="12"/>
    <x v="535"/>
    <n v="8707.44"/>
    <n v="-3578.7791999999999"/>
    <n v="-0.69779994028850567"/>
  </r>
  <r>
    <s v="ORD-2023-215819"/>
    <d v="2023-07-01T00:00:00"/>
    <d v="2023-07-11T00:00:00"/>
    <n v="10"/>
    <s v="Jul-2023"/>
    <s v="Q3-2023"/>
    <s v="Europe"/>
    <s v="France"/>
    <s v="Paris"/>
    <s v="Corporate"/>
    <s v="Direct"/>
    <s v="F. Müller"/>
    <x v="2"/>
    <x v="535"/>
    <n v="479.5"/>
    <s v="High"/>
    <n v="656.66"/>
    <n v="0.14899999999999999"/>
    <n v="14"/>
    <x v="536"/>
    <n v="6713"/>
    <n v="15231.3966"/>
    <n v="0.69409047228029042"/>
  </r>
  <r>
    <s v="ORD-2024-353078"/>
    <d v="2024-08-16T00:00:00"/>
    <d v="2024-08-26T00:00:00"/>
    <n v="10"/>
    <s v="Aug-2024"/>
    <s v="Q3-2024"/>
    <s v="Americas"/>
    <s v="USA"/>
    <s v="Chicago"/>
    <s v="Corporate"/>
    <s v="Distributor"/>
    <s v="L. Okafor"/>
    <x v="4"/>
    <x v="387"/>
    <n v="1291.7"/>
    <s v="High"/>
    <n v="2657.84"/>
    <n v="8.6999999999999994E-2"/>
    <n v="21"/>
    <x v="537"/>
    <n v="27125.7"/>
    <n v="4423.0880400000024"/>
    <n v="0.14019835038962727"/>
  </r>
  <r>
    <s v="ORD-2023-621393"/>
    <d v="2023-07-07T00:00:00"/>
    <d v="2023-07-13T00:00:00"/>
    <n v="6"/>
    <s v="Jul-2023"/>
    <s v="Q3-2023"/>
    <s v="Africa"/>
    <s v="South Africa"/>
    <s v="Cape Town"/>
    <s v="Small Business"/>
    <s v="Marketplace"/>
    <s v="B. Chen"/>
    <x v="6"/>
    <x v="536"/>
    <n v="612.59"/>
    <s v="High"/>
    <n v="1424.74"/>
    <n v="4.3999999999999997E-2"/>
    <n v="15"/>
    <x v="538"/>
    <n v="9188.85"/>
    <n v="1239.4848000000002"/>
    <n v="0.11885740377265219"/>
  </r>
  <r>
    <s v="ORD-2023-974506"/>
    <d v="2023-12-28T00:00:00"/>
    <d v="2024-01-01T00:00:00"/>
    <n v="4"/>
    <s v="Dec-2023"/>
    <s v="Q4-2023"/>
    <s v="Africa"/>
    <s v="South Africa"/>
    <s v="Cape Town"/>
    <s v="Education"/>
    <s v="Distributor"/>
    <s v="A. Patel"/>
    <x v="1"/>
    <x v="537"/>
    <n v="1141.8"/>
    <s v="High"/>
    <n v="2318.7399999999998"/>
    <n v="0.107"/>
    <n v="32"/>
    <x v="539"/>
    <n v="36537.599999999999"/>
    <n v="-1280.8169599999965"/>
    <n v="-3.6328242385213268E-2"/>
  </r>
  <r>
    <s v="ORD-2023-811823"/>
    <d v="2023-01-26T00:00:00"/>
    <d v="2023-02-15T00:00:00"/>
    <n v="20"/>
    <s v="Jan-2023"/>
    <s v="Q1-2023"/>
    <s v="Europe"/>
    <s v="Germany"/>
    <s v="Berlin"/>
    <s v="Small Business"/>
    <s v="Online"/>
    <s v="O. Wang"/>
    <x v="2"/>
    <x v="538"/>
    <n v="492.62"/>
    <s v="High"/>
    <n v="366.7"/>
    <n v="8.8999999999999996E-2"/>
    <n v="10"/>
    <x v="540"/>
    <n v="4926.2"/>
    <n v="9137.4536000000007"/>
    <n v="0.6497211791393952"/>
  </r>
  <r>
    <s v="ORD-2023-286720"/>
    <d v="2023-07-08T00:00:00"/>
    <d v="2023-07-09T00:00:00"/>
    <n v="1"/>
    <s v="Jul-2023"/>
    <s v="Q3-2023"/>
    <s v="Africa"/>
    <s v="Kenya"/>
    <s v="Nairobi"/>
    <s v="Consumer"/>
    <s v="Online"/>
    <s v="D. Smith"/>
    <x v="4"/>
    <x v="539"/>
    <n v="1258.72"/>
    <s v="High"/>
    <n v="2797.41"/>
    <n v="0"/>
    <n v="7"/>
    <x v="541"/>
    <n v="8811.0400000000009"/>
    <n v="5995.2899999999991"/>
    <n v="0.40491397935882822"/>
  </r>
  <r>
    <s v="ORD-2024-626925"/>
    <d v="2024-06-07T00:00:00"/>
    <d v="2024-06-09T00:00:00"/>
    <n v="2"/>
    <s v="Jun-2024"/>
    <s v="Q2-2024"/>
    <s v="Asia"/>
    <s v="China"/>
    <s v="Shanghai"/>
    <s v="Corporate"/>
    <s v="Retail"/>
    <s v="O. Wang"/>
    <x v="5"/>
    <x v="540"/>
    <n v="1370.28"/>
    <s v="High"/>
    <n v="2209.66"/>
    <n v="0.13300000000000001"/>
    <n v="16"/>
    <x v="542"/>
    <n v="21924.48"/>
    <n v="3561.0196800000012"/>
    <n v="0.13972728511164123"/>
  </r>
  <r>
    <s v="ORD-2023-960380"/>
    <d v="2023-02-11T00:00:00"/>
    <d v="2023-02-12T00:00:00"/>
    <n v="1"/>
    <s v="Feb-2023"/>
    <s v="Q1-2023"/>
    <s v="Africa"/>
    <s v="Nigeria"/>
    <s v="Port Harcourt"/>
    <s v="Non-Profit"/>
    <s v="Direct"/>
    <s v="D. Smith"/>
    <x v="6"/>
    <x v="541"/>
    <n v="944.61"/>
    <s v="High"/>
    <n v="839.04"/>
    <n v="5.8999999999999997E-2"/>
    <n v="6"/>
    <x v="543"/>
    <n v="5667.66"/>
    <n v="10473.858779999999"/>
    <n v="0.64887690698458544"/>
  </r>
  <r>
    <s v="ORD-2023-453699"/>
    <d v="2023-07-01T00:00:00"/>
    <d v="2023-07-08T00:00:00"/>
    <n v="7"/>
    <s v="Jul-2023"/>
    <s v="Q3-2023"/>
    <s v="Europe"/>
    <s v="Germany"/>
    <s v="Frankfurt"/>
    <s v="Small Business"/>
    <s v="Distributor"/>
    <s v="N. Brown"/>
    <x v="4"/>
    <x v="542"/>
    <n v="460.21"/>
    <s v="High"/>
    <n v="1139.1500000000001"/>
    <n v="0.115"/>
    <n v="14"/>
    <x v="544"/>
    <n v="6442.94"/>
    <n v="-2850.8311999999996"/>
    <n v="-0.79363720831618456"/>
  </r>
  <r>
    <s v="ORD-2025-960931"/>
    <d v="2025-08-20T00:00:00"/>
    <d v="2025-08-26T00:00:00"/>
    <n v="6"/>
    <s v="Aug-2025"/>
    <s v="Q3-2025"/>
    <s v="Americas"/>
    <s v="USA"/>
    <s v="New York"/>
    <s v="Corporate"/>
    <s v="Retail"/>
    <s v="M. Rossi"/>
    <x v="2"/>
    <x v="543"/>
    <n v="1304.95"/>
    <s v="High"/>
    <n v="1712.03"/>
    <n v="0.21199999999999999"/>
    <n v="8"/>
    <x v="545"/>
    <n v="10439.6"/>
    <n v="-4153.2511999999997"/>
    <n v="-0.66067781666839731"/>
  </r>
  <r>
    <s v="ORD-2024-419248"/>
    <d v="2024-03-04T00:00:00"/>
    <d v="2024-03-16T00:00:00"/>
    <n v="12"/>
    <s v="Mar-2024"/>
    <s v="Q1-2024"/>
    <s v="Africa"/>
    <s v="South Africa"/>
    <s v="Johannesburg"/>
    <s v="Enterprise"/>
    <s v="Distributor"/>
    <s v="M. Rossi"/>
    <x v="5"/>
    <x v="544"/>
    <n v="441.08"/>
    <s v="High"/>
    <n v="1054.29"/>
    <n v="0.23699999999999999"/>
    <n v="6"/>
    <x v="546"/>
    <n v="2646.48"/>
    <n v="-2429.9863799999998"/>
    <n v="-11.224286332317782"/>
  </r>
  <r>
    <s v="ORD-2023-488227"/>
    <d v="2023-09-08T00:00:00"/>
    <d v="2023-10-02T00:00:00"/>
    <n v="24"/>
    <s v="Sept-2023"/>
    <s v="Q3-2023"/>
    <s v="Americas"/>
    <s v="Canada"/>
    <s v="Toronto"/>
    <s v="Education"/>
    <s v="Direct"/>
    <s v="A. Patel"/>
    <x v="6"/>
    <x v="545"/>
    <n v="1299.03"/>
    <s v="High"/>
    <n v="2451.2199999999998"/>
    <n v="0.20799999999999999"/>
    <n v="8"/>
    <x v="547"/>
    <n v="10392.24"/>
    <n v="-5613.3753599999991"/>
    <n v="-1.1746253101657214"/>
  </r>
  <r>
    <s v="ORD-2023-472078"/>
    <d v="2023-02-28T00:00:00"/>
    <d v="2023-03-06T00:00:00"/>
    <n v="6"/>
    <s v="Feb-2023"/>
    <s v="Q1-2023"/>
    <s v="Europe"/>
    <s v="Germany"/>
    <s v="Frankfurt"/>
    <s v="Small Business"/>
    <s v="Marketplace"/>
    <s v="D. Smith"/>
    <x v="1"/>
    <x v="546"/>
    <n v="880.02"/>
    <s v="High"/>
    <n v="1251.21"/>
    <n v="0.123"/>
    <n v="29"/>
    <x v="548"/>
    <n v="25520.579999999998"/>
    <n v="-2593.2391599999974"/>
    <n v="-0.1131068438375428"/>
  </r>
  <r>
    <s v="ORD-2024-202877"/>
    <d v="2024-07-13T00:00:00"/>
    <d v="2024-08-03T00:00:00"/>
    <n v="21"/>
    <s v="Jul-2024"/>
    <s v="Q3-2024"/>
    <s v="Americas"/>
    <s v="Brazil"/>
    <s v="Rio de Janeiro"/>
    <s v="Corporate"/>
    <s v="Marketplace"/>
    <s v="M. Rossi"/>
    <x v="5"/>
    <x v="547"/>
    <n v="702.98"/>
    <s v="High"/>
    <n v="1104.8"/>
    <n v="0.17499999999999999"/>
    <n v="12"/>
    <x v="549"/>
    <n v="8435.76"/>
    <n v="-7316.268"/>
    <n v="-6.5353463892551265"/>
  </r>
  <r>
    <s v="ORD-2024-140633"/>
    <d v="2024-12-07T00:00:00"/>
    <d v="2024-12-26T00:00:00"/>
    <n v="19"/>
    <s v="Dec-2024"/>
    <s v="Q4-2024"/>
    <s v="Europe"/>
    <s v="United Kingdom"/>
    <s v="London"/>
    <s v="Enterprise"/>
    <s v="Online"/>
    <s v="D. Smith"/>
    <x v="2"/>
    <x v="548"/>
    <n v="1035.24"/>
    <s v="High"/>
    <n v="2383.41"/>
    <n v="0.17"/>
    <n v="15"/>
    <x v="550"/>
    <n v="15528.6"/>
    <n v="-4714.2810000000009"/>
    <n v="-0.43592953009801183"/>
  </r>
  <r>
    <s v="ORD-2025-419532"/>
    <d v="2025-08-06T00:00:00"/>
    <d v="2025-08-23T00:00:00"/>
    <n v="17"/>
    <s v="Aug-2025"/>
    <s v="Q3-2025"/>
    <s v="Americas"/>
    <s v="Brazil"/>
    <s v="Brasília"/>
    <s v="Consumer"/>
    <s v="Distributor"/>
    <s v="A. Patel"/>
    <x v="5"/>
    <x v="549"/>
    <n v="86.64"/>
    <s v="High"/>
    <n v="213.06"/>
    <n v="0.21199999999999999"/>
    <n v="11"/>
    <x v="551"/>
    <n v="953.04"/>
    <n v="2062.5571999999997"/>
    <n v="0.68396309692819712"/>
  </r>
  <r>
    <s v="ORD-2023-139236"/>
    <d v="2023-03-03T00:00:00"/>
    <d v="2023-03-20T00:00:00"/>
    <n v="17"/>
    <s v="Mar-2023"/>
    <s v="Q1-2023"/>
    <s v="Asia"/>
    <s v="Japan"/>
    <s v="Nagoya"/>
    <s v="Small Business"/>
    <s v="Online"/>
    <s v="D. Smith"/>
    <x v="2"/>
    <x v="550"/>
    <n v="1171.17"/>
    <s v="High"/>
    <n v="2030.64"/>
    <n v="0.157"/>
    <n v="11"/>
    <x v="552"/>
    <n v="12882.87"/>
    <n v="-2572.4067600000017"/>
    <n v="-0.24949478021707217"/>
  </r>
  <r>
    <s v="ORD-2025-337268"/>
    <d v="2025-02-16T00:00:00"/>
    <d v="2025-03-17T00:00:00"/>
    <n v="1"/>
    <s v="Feb-2025"/>
    <s v="Q1-2025"/>
    <s v="Europe"/>
    <s v="Germany"/>
    <s v="Munich"/>
    <s v="Consumer"/>
    <s v="Retail"/>
    <s v="L. Okafor"/>
    <x v="6"/>
    <x v="551"/>
    <n v="730.42"/>
    <s v="High"/>
    <n v="956.7"/>
    <n v="4.2000000000000003E-2"/>
    <n v="22"/>
    <x v="553"/>
    <n v="16069.24"/>
    <n v="-9162.2132799999999"/>
    <n v="-1.3265061293986133"/>
  </r>
  <r>
    <s v="ORD-2025-332931"/>
    <d v="2025-02-15T00:00:00"/>
    <d v="2025-03-01T00:00:00"/>
    <n v="14"/>
    <s v="Feb-2025"/>
    <s v="Q1-2025"/>
    <s v="Africa"/>
    <s v="Kenya"/>
    <s v="Mombasa"/>
    <s v="Education"/>
    <s v="Direct"/>
    <s v="L. Okafor"/>
    <x v="6"/>
    <x v="552"/>
    <n v="1162.8599999999999"/>
    <s v="High"/>
    <n v="1447.68"/>
    <n v="8.6999999999999994E-2"/>
    <n v="12"/>
    <x v="554"/>
    <n v="13954.32"/>
    <n v="-8628.2797199999986"/>
    <n v="-1.6200177367040112"/>
  </r>
  <r>
    <s v="ORD-2024-536442"/>
    <d v="2024-08-31T00:00:00"/>
    <d v="2024-09-26T00:00:00"/>
    <n v="26"/>
    <s v="Aug-2024"/>
    <s v="Q3-2024"/>
    <s v="Asia"/>
    <s v="Japan"/>
    <s v="Tokyo"/>
    <s v="Education"/>
    <s v="Online"/>
    <s v="I. Johnson"/>
    <x v="3"/>
    <x v="553"/>
    <n v="1189.03"/>
    <s v="High"/>
    <n v="2949.62"/>
    <n v="0.125"/>
    <n v="13"/>
    <x v="555"/>
    <n v="15457.39"/>
    <n v="8050.1850000000013"/>
    <n v="0.34245067813247437"/>
  </r>
  <r>
    <s v="ORD-2023-957692"/>
    <d v="2023-05-07T00:00:00"/>
    <d v="2023-05-20T00:00:00"/>
    <n v="13"/>
    <s v="May-2023"/>
    <s v="Q2-2023"/>
    <s v="Asia"/>
    <s v="India"/>
    <s v="Mumbai"/>
    <s v="Enterprise"/>
    <s v="Retail"/>
    <s v="D. Smith"/>
    <x v="6"/>
    <x v="554"/>
    <n v="1443.28"/>
    <s v="High"/>
    <n v="2580.5700000000002"/>
    <n v="0"/>
    <n v="18"/>
    <x v="556"/>
    <n v="25979.040000000001"/>
    <n v="-24427.440000000002"/>
    <n v="-15.74338747099768"/>
  </r>
  <r>
    <s v="ORD-2025-874124"/>
    <d v="2025-05-14T00:00:00"/>
    <d v="2025-05-12T00:00:00"/>
    <n v="2"/>
    <s v="May-2025"/>
    <s v="Q2-2025"/>
    <s v="Americas"/>
    <s v="Canada"/>
    <s v="Vancouver"/>
    <s v="Non-Profit"/>
    <s v="Distributor"/>
    <s v="F. Müller"/>
    <x v="1"/>
    <x v="555"/>
    <n v="883.5"/>
    <s v="High"/>
    <n v="1978.91"/>
    <n v="5.3999999999999999E-2"/>
    <n v="27"/>
    <x v="557"/>
    <n v="23854.5"/>
    <n v="35090.050499999998"/>
    <n v="0.59530610043416987"/>
  </r>
  <r>
    <s v="ORD-2024-687073"/>
    <d v="2024-03-11T00:00:00"/>
    <d v="2024-03-29T00:00:00"/>
    <n v="18"/>
    <s v="Mar-2024"/>
    <s v="Q1-2024"/>
    <s v="Americas"/>
    <s v="USA"/>
    <s v="New York"/>
    <s v="Corporate"/>
    <s v="Retail"/>
    <s v="M. Rossi"/>
    <x v="5"/>
    <x v="556"/>
    <n v="710.98"/>
    <s v="High"/>
    <n v="1481.45"/>
    <n v="0.21099999999999999"/>
    <n v="9"/>
    <x v="558"/>
    <n v="6398.82"/>
    <n v="1503.2438099999999"/>
    <n v="0.19023432942893434"/>
  </r>
  <r>
    <s v="ORD-2024-555229"/>
    <d v="2024-05-18T00:00:00"/>
    <d v="2024-05-22T00:00:00"/>
    <n v="4"/>
    <s v="May-2024"/>
    <s v="Q2-2024"/>
    <s v="Africa"/>
    <s v="Kenya"/>
    <s v="Nairobi"/>
    <s v="Corporate"/>
    <s v="Direct"/>
    <s v="H. Kim"/>
    <x v="6"/>
    <x v="557"/>
    <n v="857.42"/>
    <s v="High"/>
    <n v="1658.92"/>
    <n v="0.122"/>
    <n v="9"/>
    <x v="559"/>
    <n v="7716.78"/>
    <n v="1180.7929799999993"/>
    <n v="0.13270955828675871"/>
  </r>
  <r>
    <s v="ORD-2024-872291"/>
    <d v="2024-01-08T00:00:00"/>
    <d v="2024-01-12T00:00:00"/>
    <n v="4"/>
    <s v="Jan-2024"/>
    <s v="Q1-2024"/>
    <s v="Asia"/>
    <s v="India"/>
    <s v="Bengaluru"/>
    <s v="Corporate"/>
    <s v="Direct"/>
    <s v="E. Garcia"/>
    <x v="1"/>
    <x v="558"/>
    <n v="802.32"/>
    <s v="High"/>
    <n v="602.34"/>
    <n v="0.12"/>
    <n v="25"/>
    <x v="560"/>
    <n v="20058"/>
    <n v="-17338.36"/>
    <n v="-6.3752408406995045"/>
  </r>
  <r>
    <s v="ORD-2024-250862"/>
    <d v="2024-10-25T00:00:00"/>
    <d v="2024-11-05T00:00:00"/>
    <n v="11"/>
    <s v="Oct-2024"/>
    <s v="Q4-2024"/>
    <s v="Americas"/>
    <s v="USA"/>
    <s v="New York"/>
    <s v="Corporate"/>
    <s v="Distributor"/>
    <s v="N. Brown"/>
    <x v="0"/>
    <x v="559"/>
    <n v="446.66"/>
    <s v="High"/>
    <n v="527.64"/>
    <n v="0.14499999999999999"/>
    <n v="15"/>
    <x v="561"/>
    <n v="6699.9000000000005"/>
    <n v="15509.793749999997"/>
    <n v="0.6983344266059498"/>
  </r>
  <r>
    <s v="ORD-2024-331226"/>
    <d v="2024-11-30T00:00:00"/>
    <d v="2024-12-19T00:00:00"/>
    <n v="19"/>
    <s v="Nov-2024"/>
    <s v="Q4-2024"/>
    <s v="Africa"/>
    <s v="Kenya"/>
    <s v="Kisumu"/>
    <s v="Corporate"/>
    <s v="Online"/>
    <s v="L. Okafor"/>
    <x v="3"/>
    <x v="560"/>
    <n v="1195.98"/>
    <s v="High"/>
    <n v="1841.9"/>
    <n v="5.5E-2"/>
    <n v="19"/>
    <x v="562"/>
    <n v="22723.62"/>
    <n v="32254.769550000001"/>
    <n v="0.58668087250293055"/>
  </r>
  <r>
    <s v="ORD-2023-356427"/>
    <d v="2023-04-13T00:00:00"/>
    <d v="2023-05-02T00:00:00"/>
    <n v="19"/>
    <s v="Apr-2023"/>
    <s v="Q2-2023"/>
    <s v="Americas"/>
    <s v="Canada"/>
    <s v="Montreal"/>
    <s v="Consumer"/>
    <s v="Distributor"/>
    <s v="E. Garcia"/>
    <x v="5"/>
    <x v="561"/>
    <n v="671.05"/>
    <s v="High"/>
    <n v="1645.48"/>
    <n v="0.13700000000000001"/>
    <n v="6"/>
    <x v="563"/>
    <n v="4026.2999999999997"/>
    <n v="7367.4229799999994"/>
    <n v="0.64662121353419111"/>
  </r>
  <r>
    <s v="ORD-2025-659650"/>
    <d v="2025-02-04T00:00:00"/>
    <d v="2025-02-08T00:00:00"/>
    <n v="4"/>
    <s v="Feb-2025"/>
    <s v="Q1-2025"/>
    <s v="Europe"/>
    <s v="United Kingdom"/>
    <s v="Manchester"/>
    <s v="Enterprise"/>
    <s v="Marketplace"/>
    <s v="L. Okafor"/>
    <x v="2"/>
    <x v="562"/>
    <n v="586.21"/>
    <s v="High"/>
    <n v="727.22"/>
    <n v="6.8000000000000005E-2"/>
    <n v="15"/>
    <x v="564"/>
    <n v="8793.1500000000015"/>
    <n v="-384.31980000000112"/>
    <n v="-4.5704312117041096E-2"/>
  </r>
  <r>
    <s v="ORD-2024-207669"/>
    <d v="2024-01-24T00:00:00"/>
    <d v="2024-02-04T00:00:00"/>
    <n v="11"/>
    <s v="Jan-2024"/>
    <s v="Q1-2024"/>
    <s v="Europe"/>
    <s v="United Kingdom"/>
    <s v="Manchester"/>
    <s v="Consumer"/>
    <s v="Retail"/>
    <s v="B. Chen"/>
    <x v="4"/>
    <x v="563"/>
    <n v="525.34"/>
    <s v="High"/>
    <n v="1233.79"/>
    <n v="0.14299999999999999"/>
    <n v="4"/>
    <x v="565"/>
    <n v="2101.36"/>
    <n v="1147.5955599999998"/>
    <n v="0.35321983905498533"/>
  </r>
  <r>
    <s v="ORD-2024-979401"/>
    <d v="2024-02-08T00:00:00"/>
    <d v="2024-02-09T00:00:00"/>
    <n v="1"/>
    <s v="Feb-2024"/>
    <s v="Q1-2024"/>
    <s v="Africa"/>
    <s v="Kenya"/>
    <s v="Mombasa"/>
    <s v="Corporate"/>
    <s v="Direct"/>
    <s v="F. Müller"/>
    <x v="0"/>
    <x v="564"/>
    <n v="1233.52"/>
    <s v="High"/>
    <n v="1543.76"/>
    <n v="0.126"/>
    <n v="13"/>
    <x v="566"/>
    <n v="16035.76"/>
    <n v="10454.51576"/>
    <n v="0.39465484824382968"/>
  </r>
  <r>
    <s v="ORD-2025-929414"/>
    <d v="2025-06-26T00:00:00"/>
    <d v="2025-07-11T00:00:00"/>
    <n v="15"/>
    <s v="Jun-2025"/>
    <s v="Q2-2025"/>
    <s v="Africa"/>
    <s v="Nigeria"/>
    <s v="Port Harcourt"/>
    <s v="Small Business"/>
    <s v="Online"/>
    <s v="A. Patel"/>
    <x v="4"/>
    <x v="565"/>
    <n v="1170.1500000000001"/>
    <s v="High"/>
    <n v="2115.19"/>
    <n v="9.1999999999999998E-2"/>
    <n v="23"/>
    <x v="567"/>
    <n v="26913.45"/>
    <n v="2684.1901600000019"/>
    <n v="9.0689330145569333E-2"/>
  </r>
  <r>
    <s v="ORD-2024-766980"/>
    <d v="2024-11-04T00:00:00"/>
    <d v="2024-11-07T00:00:00"/>
    <n v="3"/>
    <s v="Nov-2024"/>
    <s v="Q4-2024"/>
    <s v="Europe"/>
    <s v="France"/>
    <s v="Lyon"/>
    <s v="Corporate"/>
    <s v="Online"/>
    <s v="O. Wang"/>
    <x v="5"/>
    <x v="566"/>
    <n v="740.68"/>
    <s v="High"/>
    <n v="1837.19"/>
    <n v="0.19700000000000001"/>
    <n v="17"/>
    <x v="568"/>
    <n v="12591.56"/>
    <n v="-3042.6854999999996"/>
    <n v="-0.31864336472324561"/>
  </r>
  <r>
    <s v="ORD-2024-437164"/>
    <d v="2024-02-20T00:00:00"/>
    <d v="2024-02-20T00:00:00"/>
    <n v="0"/>
    <s v="Feb-2024"/>
    <s v="Q1-2024"/>
    <s v="Americas"/>
    <s v="USA"/>
    <s v="New York"/>
    <s v="Enterprise"/>
    <s v="Online"/>
    <s v="C. Otieno"/>
    <x v="2"/>
    <x v="567"/>
    <n v="1407.05"/>
    <s v="High"/>
    <n v="2858.93"/>
    <n v="0"/>
    <n v="12"/>
    <x v="569"/>
    <n v="16884.599999999999"/>
    <n v="4561.8000000000029"/>
    <n v="0.2127070277529097"/>
  </r>
  <r>
    <s v="ORD-2025-169093"/>
    <d v="2025-04-13T00:00:00"/>
    <d v="2025-04-14T00:00:00"/>
    <n v="1"/>
    <s v="Apr-2025"/>
    <s v="Q2-2025"/>
    <s v="Asia"/>
    <s v="Japan"/>
    <s v="Osaka"/>
    <s v="Enterprise"/>
    <s v="Online"/>
    <s v="G. Dubois"/>
    <x v="0"/>
    <x v="568"/>
    <n v="138.9"/>
    <s v="High"/>
    <n v="289.92"/>
    <n v="2.9000000000000001E-2"/>
    <n v="12"/>
    <x v="570"/>
    <n v="1666.8000000000002"/>
    <n v="18127.035"/>
    <n v="0.91579196249741401"/>
  </r>
  <r>
    <s v="ORD-2023-868460"/>
    <d v="2023-06-01T00:00:00"/>
    <d v="2023-06-01T00:00:00"/>
    <n v="0"/>
    <s v="Jun-2023"/>
    <s v="Q2-2023"/>
    <s v="Asia"/>
    <s v="India"/>
    <s v="Bengaluru"/>
    <s v="Corporate"/>
    <s v="Retail"/>
    <s v="E. Garcia"/>
    <x v="6"/>
    <x v="569"/>
    <n v="669.37"/>
    <s v="High"/>
    <n v="997.2"/>
    <n v="8.2000000000000003E-2"/>
    <n v="5"/>
    <x v="571"/>
    <n v="3346.85"/>
    <n v="-20.476999999999862"/>
    <n v="-6.1559542480653434E-3"/>
  </r>
  <r>
    <s v="ORD-2025-177994"/>
    <d v="2025-03-24T00:00:00"/>
    <d v="2025-04-04T00:00:00"/>
    <n v="11"/>
    <s v="Mar-2025"/>
    <s v="Q1-2025"/>
    <s v="Asia"/>
    <s v="India"/>
    <s v="Mumbai"/>
    <s v="Education"/>
    <s v="Marketplace"/>
    <s v="J. Njeri"/>
    <x v="3"/>
    <x v="570"/>
    <n v="23.83"/>
    <s v="Low"/>
    <n v="47.29"/>
    <n v="6.4000000000000001E-2"/>
    <n v="19"/>
    <x v="572"/>
    <n v="452.77"/>
    <n v="23661.266959999997"/>
    <n v="0.98122379920247083"/>
  </r>
  <r>
    <s v="ORD-2024-355095"/>
    <d v="2024-01-02T00:00:00"/>
    <d v="2024-01-02T00:00:00"/>
    <n v="0"/>
    <s v="Jan-2024"/>
    <s v="Q1-2024"/>
    <s v="Americas"/>
    <s v="Canada"/>
    <s v="Vancouver"/>
    <s v="Education"/>
    <s v="Direct"/>
    <s v="A. Patel"/>
    <x v="4"/>
    <x v="571"/>
    <n v="444.41"/>
    <s v="High"/>
    <n v="754.24"/>
    <n v="0.20699999999999999"/>
    <n v="32"/>
    <x v="573"/>
    <n v="14221.12"/>
    <n v="-7240.9436800000003"/>
    <n v="-1.0373582769324659"/>
  </r>
  <r>
    <s v="ORD-2023-126505"/>
    <d v="2023-12-19T00:00:00"/>
    <d v="2024-01-01T00:00:00"/>
    <n v="13"/>
    <s v="Dec-2023"/>
    <s v="Q4-2023"/>
    <s v="Americas"/>
    <s v="Canada"/>
    <s v="Toronto"/>
    <s v="Enterprise"/>
    <s v="Retail"/>
    <s v="K. Singh"/>
    <x v="5"/>
    <x v="572"/>
    <n v="856.1"/>
    <s v="High"/>
    <n v="901.48"/>
    <n v="5.6000000000000001E-2"/>
    <n v="17"/>
    <x v="574"/>
    <n v="14553.7"/>
    <n v="14371.857119999997"/>
    <n v="0.49685670911634278"/>
  </r>
  <r>
    <s v="ORD-2023-340056"/>
    <d v="2023-04-26T00:00:00"/>
    <d v="2023-04-26T00:00:00"/>
    <n v="0"/>
    <s v="Apr-2023"/>
    <s v="Q2-2023"/>
    <s v="Europe"/>
    <s v="France"/>
    <s v="Marseille"/>
    <s v="Consumer"/>
    <s v="Direct"/>
    <s v="M. Rossi"/>
    <x v="0"/>
    <x v="573"/>
    <n v="81.489999999999995"/>
    <s v="Medium"/>
    <n v="113.08"/>
    <n v="0.121"/>
    <n v="5"/>
    <x v="575"/>
    <n v="407.45"/>
    <n v="5173.2330999999995"/>
    <n v="0.92698922467036338"/>
  </r>
  <r>
    <s v="ORD-2025-281413"/>
    <d v="2025-08-03T00:00:00"/>
    <d v="2025-08-16T00:00:00"/>
    <n v="13"/>
    <s v="Aug-2025"/>
    <s v="Q3-2025"/>
    <s v="Americas"/>
    <s v="Canada"/>
    <s v="Montreal"/>
    <s v="Enterprise"/>
    <s v="Distributor"/>
    <s v="O. Wang"/>
    <x v="2"/>
    <x v="574"/>
    <n v="698.66"/>
    <s v="High"/>
    <n v="868.62"/>
    <n v="7.1999999999999995E-2"/>
    <n v="15"/>
    <x v="576"/>
    <n v="10479.9"/>
    <n v="-2519.0519999999997"/>
    <n v="-0.31643010895321699"/>
  </r>
  <r>
    <s v="ORD-2023-713614"/>
    <d v="2023-08-02T00:00:00"/>
    <d v="2023-08-19T00:00:00"/>
    <n v="17"/>
    <s v="Aug-2023"/>
    <s v="Q3-2023"/>
    <s v="Americas"/>
    <s v="Canada"/>
    <s v="Vancouver"/>
    <s v="Corporate"/>
    <s v="Online"/>
    <s v="F. Müller"/>
    <x v="2"/>
    <x v="575"/>
    <n v="175.38"/>
    <s v="High"/>
    <n v="347.9"/>
    <n v="7.1999999999999995E-2"/>
    <n v="43"/>
    <x v="577"/>
    <n v="7541.34"/>
    <n v="102395.77616000001"/>
    <n v="0.93140314878712571"/>
  </r>
  <r>
    <s v="ORD-2023-173313"/>
    <d v="2023-06-15T00:00:00"/>
    <d v="2023-07-12T00:00:00"/>
    <n v="27"/>
    <s v="Jun-2023"/>
    <s v="Q2-2023"/>
    <s v="Europe"/>
    <s v="United Kingdom"/>
    <s v="Manchester"/>
    <s v="Consumer"/>
    <s v="Direct"/>
    <s v="I. Johnson"/>
    <x v="6"/>
    <x v="576"/>
    <n v="751.28"/>
    <s v="High"/>
    <n v="1111.8800000000001"/>
    <n v="0.13500000000000001"/>
    <n v="7"/>
    <x v="578"/>
    <n v="5258.96"/>
    <n v="569.0380499999992"/>
    <n v="9.7638682291597417E-2"/>
  </r>
  <r>
    <s v="ORD-2024-496601"/>
    <d v="2024-11-11T00:00:00"/>
    <d v="2024-11-24T00:00:00"/>
    <n v="13"/>
    <s v="Nov-2024"/>
    <s v="Q4-2024"/>
    <s v="Europe"/>
    <s v="United Kingdom"/>
    <s v="London"/>
    <s v="Corporate"/>
    <s v="Retail"/>
    <s v="E. Garcia"/>
    <x v="2"/>
    <x v="577"/>
    <n v="164.53"/>
    <s v="High"/>
    <n v="327.72"/>
    <n v="6.7000000000000004E-2"/>
    <n v="14"/>
    <x v="579"/>
    <n v="2303.42"/>
    <n v="6425.5227399999985"/>
    <n v="0.73611695383855846"/>
  </r>
  <r>
    <s v="ORD-2025-155182"/>
    <d v="2025-07-11T00:00:00"/>
    <d v="2025-08-03T00:00:00"/>
    <n v="23"/>
    <s v="Jul-2025"/>
    <s v="Q3-2025"/>
    <s v="Africa"/>
    <s v="Kenya"/>
    <s v="Nakuru"/>
    <s v="Small Business"/>
    <s v="Retail"/>
    <s v="C. Otieno"/>
    <x v="3"/>
    <x v="578"/>
    <n v="389.93"/>
    <s v="High"/>
    <n v="486.13"/>
    <n v="0.13200000000000001"/>
    <n v="17"/>
    <x v="580"/>
    <n v="6628.81"/>
    <n v="14093.483479999999"/>
    <n v="0.6801121455789747"/>
  </r>
  <r>
    <s v="ORD-2023-244375"/>
    <d v="2023-06-03T00:00:00"/>
    <d v="2023-07-01T00:00:00"/>
    <n v="28"/>
    <s v="Jun-2023"/>
    <s v="Q2-2023"/>
    <s v="Americas"/>
    <s v="Brazil"/>
    <s v="Brasília"/>
    <s v="Small Business"/>
    <s v="Marketplace"/>
    <s v="A. Patel"/>
    <x v="0"/>
    <x v="579"/>
    <n v="860.4"/>
    <s v="High"/>
    <n v="2066.6"/>
    <n v="0.01"/>
    <n v="3"/>
    <x v="581"/>
    <n v="2581.1999999999998"/>
    <n v="8080.7732999999998"/>
    <n v="0.7579059778737206"/>
  </r>
  <r>
    <s v="ORD-2023-856322"/>
    <d v="2023-01-29T00:00:00"/>
    <d v="2023-02-06T00:00:00"/>
    <n v="8"/>
    <s v="Jan-2023"/>
    <s v="Q1-2023"/>
    <s v="Americas"/>
    <s v="Brazil"/>
    <s v="Brasília"/>
    <s v="Corporate"/>
    <s v="Marketplace"/>
    <s v="D. Smith"/>
    <x v="5"/>
    <x v="580"/>
    <n v="41.84"/>
    <s v="Medium"/>
    <n v="86.2"/>
    <n v="0.22600000000000001"/>
    <n v="27"/>
    <x v="582"/>
    <n v="1129.68"/>
    <n v="3750.2119799999991"/>
    <n v="0.76850307247989524"/>
  </r>
  <r>
    <s v="ORD-2024-594527"/>
    <d v="2024-09-06T00:00:00"/>
    <d v="2024-09-04T00:00:00"/>
    <n v="2"/>
    <s v="Sept-2024"/>
    <s v="Q3-2024"/>
    <s v="Asia"/>
    <s v="Japan"/>
    <s v="Osaka"/>
    <s v="Corporate"/>
    <s v="Direct"/>
    <s v="A. Patel"/>
    <x v="4"/>
    <x v="581"/>
    <n v="1368.17"/>
    <s v="High"/>
    <n v="2307.75"/>
    <n v="0.16300000000000001"/>
    <n v="21"/>
    <x v="583"/>
    <n v="28731.57"/>
    <n v="-26547.62775"/>
    <n v="-12.155828639699607"/>
  </r>
  <r>
    <s v="ORD-2024-689872"/>
    <d v="2024-08-03T00:00:00"/>
    <d v="2024-08-09T00:00:00"/>
    <n v="6"/>
    <s v="Aug-2024"/>
    <s v="Q3-2024"/>
    <s v="Africa"/>
    <s v="Kenya"/>
    <s v="Mombasa"/>
    <s v="Consumer"/>
    <s v="Marketplace"/>
    <s v="H. Kim"/>
    <x v="4"/>
    <x v="582"/>
    <n v="643.21"/>
    <s v="High"/>
    <n v="1112.81"/>
    <n v="0.14099999999999999"/>
    <n v="4"/>
    <x v="584"/>
    <n v="2572.84"/>
    <n v="2345.3473199999989"/>
    <n v="0.47687230424562183"/>
  </r>
  <r>
    <s v="ORD-2025-246692"/>
    <d v="2025-04-17T00:00:00"/>
    <d v="2025-04-17T00:00:00"/>
    <n v="0"/>
    <s v="Apr-2025"/>
    <s v="Q2-2025"/>
    <s v="Americas"/>
    <s v="Brazil"/>
    <s v="São Paulo"/>
    <s v="Corporate"/>
    <s v="Distributor"/>
    <s v="L. Okafor"/>
    <x v="3"/>
    <x v="583"/>
    <n v="719.41"/>
    <s v="High"/>
    <n v="1125.99"/>
    <n v="4.1000000000000002E-2"/>
    <n v="21"/>
    <x v="585"/>
    <n v="15107.609999999999"/>
    <n v="17024.567279999996"/>
    <n v="0.52982924660373332"/>
  </r>
  <r>
    <s v="ORD-2023-378676"/>
    <d v="2023-05-03T00:00:00"/>
    <d v="2023-05-16T00:00:00"/>
    <n v="13"/>
    <s v="May-2023"/>
    <s v="Q2-2023"/>
    <s v="Americas"/>
    <s v="USA"/>
    <s v="New York"/>
    <s v="Corporate"/>
    <s v="Marketplace"/>
    <s v="L. Okafor"/>
    <x v="3"/>
    <x v="584"/>
    <n v="64.5"/>
    <s v="Medium"/>
    <n v="123.62"/>
    <n v="0"/>
    <n v="3"/>
    <x v="586"/>
    <n v="193.5"/>
    <n v="2891.88"/>
    <n v="0.93728487252785719"/>
  </r>
  <r>
    <s v="ORD-2024-243988"/>
    <d v="2024-03-13T00:00:00"/>
    <d v="2024-04-06T00:00:00"/>
    <n v="24"/>
    <s v="Mar-2024"/>
    <s v="Q1-2024"/>
    <s v="Africa"/>
    <s v="Nigeria"/>
    <s v="Abuja"/>
    <s v="Consumer"/>
    <s v="Distributor"/>
    <s v="L. Okafor"/>
    <x v="0"/>
    <x v="585"/>
    <n v="1232.78"/>
    <s v="High"/>
    <n v="1731.75"/>
    <n v="9.2999999999999999E-2"/>
    <n v="16"/>
    <x v="587"/>
    <n v="19724.48"/>
    <n v="27154.359200000003"/>
    <n v="0.5792455543566446"/>
  </r>
  <r>
    <s v="ORD-2024-572312"/>
    <d v="2024-06-16T00:00:00"/>
    <d v="2024-06-21T00:00:00"/>
    <n v="5"/>
    <s v="Jun-2024"/>
    <s v="Q2-2024"/>
    <s v="Asia"/>
    <s v="Japan"/>
    <s v="Tokyo"/>
    <s v="Small Business"/>
    <s v="Distributor"/>
    <s v="F. Müller"/>
    <x v="3"/>
    <x v="586"/>
    <n v="1367.13"/>
    <s v="High"/>
    <n v="3062.01"/>
    <n v="0.10299999999999999"/>
    <n v="25"/>
    <x v="588"/>
    <n v="34178.25"/>
    <n v="28378.754249999998"/>
    <n v="0.45364631171576603"/>
  </r>
  <r>
    <s v="ORD-2025-281062"/>
    <d v="2025-02-15T00:00:00"/>
    <d v="2025-02-27T00:00:00"/>
    <n v="12"/>
    <s v="Feb-2025"/>
    <s v="Q1-2025"/>
    <s v="Europe"/>
    <s v="France"/>
    <s v="Lyon"/>
    <s v="Non-Profit"/>
    <s v="Direct"/>
    <s v="K. Singh"/>
    <x v="6"/>
    <x v="587"/>
    <n v="1027.26"/>
    <s v="High"/>
    <n v="2200.41"/>
    <n v="8.7999999999999995E-2"/>
    <n v="6"/>
    <x v="589"/>
    <n v="6163.5599999999995"/>
    <n v="4220.8732800000016"/>
    <n v="0.40646159171047236"/>
  </r>
  <r>
    <s v="ORD-2023-727290"/>
    <d v="2023-04-03T00:00:00"/>
    <d v="2023-04-16T00:00:00"/>
    <n v="13"/>
    <s v="Apr-2023"/>
    <s v="Q2-2023"/>
    <s v="Europe"/>
    <s v="France"/>
    <s v="Marseille"/>
    <s v="Non-Profit"/>
    <s v="Marketplace"/>
    <s v="M. Rossi"/>
    <x v="6"/>
    <x v="588"/>
    <n v="790.54"/>
    <s v="High"/>
    <n v="601.49"/>
    <n v="0"/>
    <n v="15"/>
    <x v="590"/>
    <n v="11858.099999999999"/>
    <n v="1678.9500000000025"/>
    <n v="0.12402628342216379"/>
  </r>
  <r>
    <s v="ORD-2025-993993"/>
    <d v="2025-08-30T00:00:00"/>
    <d v="2025-09-22T00:00:00"/>
    <n v="23"/>
    <s v="Aug-2025"/>
    <s v="Q3-2025"/>
    <s v="Europe"/>
    <s v="France"/>
    <s v="Marseille"/>
    <s v="Corporate"/>
    <s v="Direct"/>
    <s v="E. Garcia"/>
    <x v="0"/>
    <x v="589"/>
    <n v="663.9"/>
    <s v="High"/>
    <n v="947.77"/>
    <n v="0.17399999999999999"/>
    <n v="15"/>
    <x v="591"/>
    <n v="9958.5"/>
    <n v="-10375.547399999999"/>
    <n v="24.878580708092169"/>
  </r>
  <r>
    <s v="ORD-2023-619493"/>
    <d v="2023-02-27T00:00:00"/>
    <d v="2023-02-26T00:00:00"/>
    <n v="1"/>
    <s v="Feb-2023"/>
    <s v="Q1-2023"/>
    <s v="Americas"/>
    <s v="USA"/>
    <s v="San Francisco"/>
    <s v="Non-Profit"/>
    <s v="Online"/>
    <s v="L. Okafor"/>
    <x v="2"/>
    <x v="590"/>
    <n v="1015.91"/>
    <s v="High"/>
    <n v="2331.48"/>
    <n v="0.14599999999999999"/>
    <n v="26"/>
    <x v="592"/>
    <n v="26413.66"/>
    <n v="-2285.01728"/>
    <n v="-9.4701442866737429E-2"/>
  </r>
  <r>
    <s v="ORD-2024-947056"/>
    <d v="2024-07-31T00:00:00"/>
    <d v="2024-08-15T00:00:00"/>
    <n v="15"/>
    <s v="Jul-2024"/>
    <s v="Q3-2024"/>
    <s v="Asia"/>
    <s v="Japan"/>
    <s v="Tokyo"/>
    <s v="Corporate"/>
    <s v="Marketplace"/>
    <s v="F. Müller"/>
    <x v="5"/>
    <x v="591"/>
    <n v="1252.52"/>
    <s v="High"/>
    <n v="1417.24"/>
    <n v="0.192"/>
    <n v="5"/>
    <x v="593"/>
    <n v="6262.6"/>
    <n v="-2179.17"/>
    <n v="-0.53366165209150151"/>
  </r>
  <r>
    <s v="ORD-2025-856556"/>
    <d v="2025-06-15T00:00:00"/>
    <d v="2025-07-12T00:00:00"/>
    <n v="27"/>
    <s v="Jun-2025"/>
    <s v="Q2-2025"/>
    <s v="Europe"/>
    <s v="France"/>
    <s v="Marseille"/>
    <s v="Consumer"/>
    <s v="Direct"/>
    <s v="C. Otieno"/>
    <x v="6"/>
    <x v="592"/>
    <n v="318.83"/>
    <s v="High"/>
    <n v="699.5"/>
    <n v="0.08"/>
    <n v="13"/>
    <x v="594"/>
    <n v="4144.79"/>
    <n v="776.51080000000002"/>
    <n v="0.15778568137919957"/>
  </r>
  <r>
    <s v="ORD-2024-442776"/>
    <d v="2024-06-30T00:00:00"/>
    <d v="2024-07-21T00:00:00"/>
    <n v="21"/>
    <s v="Jun-2024"/>
    <s v="Q2-2024"/>
    <s v="Africa"/>
    <s v="Kenya"/>
    <s v="Kisumu"/>
    <s v="Small Business"/>
    <s v="Retail"/>
    <s v="K. Singh"/>
    <x v="4"/>
    <x v="593"/>
    <n v="753.43"/>
    <s v="High"/>
    <n v="1787.2"/>
    <n v="7.2999999999999995E-2"/>
    <n v="9"/>
    <x v="595"/>
    <n v="6780.87"/>
    <n v="-3332.3743799999997"/>
    <n v="-0.9663269863744236"/>
  </r>
  <r>
    <s v="ORD-2025-705398"/>
    <d v="2025-02-17T00:00:00"/>
    <d v="2025-02-15T00:00:00"/>
    <n v="2"/>
    <s v="Feb-2025"/>
    <s v="Q1-2025"/>
    <s v="Americas"/>
    <s v="Canada"/>
    <s v="Toronto"/>
    <s v="Small Business"/>
    <s v="Retail"/>
    <s v="D. Smith"/>
    <x v="0"/>
    <x v="594"/>
    <n v="1133.47"/>
    <s v="High"/>
    <n v="1698.75"/>
    <n v="4.2999999999999997E-2"/>
    <n v="5"/>
    <x v="596"/>
    <n v="5667.35"/>
    <n v="1791.9386500000001"/>
    <n v="0.24022916045754578"/>
  </r>
  <r>
    <s v="ORD-2023-689428"/>
    <d v="2023-01-07T00:00:00"/>
    <d v="2023-01-30T00:00:00"/>
    <n v="23"/>
    <s v="Jan-2023"/>
    <s v="Q1-2023"/>
    <s v="Africa"/>
    <s v="South Africa"/>
    <s v="Cape Town"/>
    <s v="Consumer"/>
    <s v="Online"/>
    <s v="A. Patel"/>
    <x v="1"/>
    <x v="595"/>
    <n v="299.02"/>
    <s v="High"/>
    <n v="724.7"/>
    <n v="0.14000000000000001"/>
    <n v="5"/>
    <x v="597"/>
    <n v="1495.1"/>
    <n v="2207.8880000000004"/>
    <n v="0.59624497837962209"/>
  </r>
  <r>
    <s v="ORD-2025-683247"/>
    <d v="2025-03-10T00:00:00"/>
    <d v="2025-04-04T00:00:00"/>
    <n v="25"/>
    <s v="Mar-2025"/>
    <s v="Q1-2025"/>
    <s v="Asia"/>
    <s v="Japan"/>
    <s v="Osaka"/>
    <s v="Corporate"/>
    <s v="Direct"/>
    <s v="H. Kim"/>
    <x v="1"/>
    <x v="596"/>
    <n v="783.72"/>
    <s v="High"/>
    <n v="1355.94"/>
    <n v="0.187"/>
    <n v="4"/>
    <x v="598"/>
    <n v="3134.88"/>
    <n v="4332.5249999999996"/>
    <n v="0.58019151231251009"/>
  </r>
  <r>
    <s v="ORD-2024-585443"/>
    <d v="2024-08-17T00:00:00"/>
    <d v="2024-08-15T00:00:00"/>
    <n v="2"/>
    <s v="Aug-2024"/>
    <s v="Q3-2024"/>
    <s v="Americas"/>
    <s v="Brazil"/>
    <s v="Rio de Janeiro"/>
    <s v="Consumer"/>
    <s v="Direct"/>
    <s v="M. Rossi"/>
    <x v="5"/>
    <x v="597"/>
    <n v="165.3"/>
    <s v="High"/>
    <n v="275.07"/>
    <n v="0.13300000000000001"/>
    <n v="25"/>
    <x v="599"/>
    <n v="4132.5"/>
    <n v="53015.805"/>
    <n v="0.92768814403156841"/>
  </r>
  <r>
    <s v="ORD-2024-907733"/>
    <d v="2024-03-09T00:00:00"/>
    <d v="2024-03-22T00:00:00"/>
    <n v="13"/>
    <s v="Mar-2024"/>
    <s v="Q1-2024"/>
    <s v="Europe"/>
    <s v="United Kingdom"/>
    <s v="Manchester"/>
    <s v="Consumer"/>
    <s v="Online"/>
    <s v="E. Garcia"/>
    <x v="4"/>
    <x v="598"/>
    <n v="985.45"/>
    <s v="High"/>
    <n v="1802.44"/>
    <n v="8.9999999999999993E-3"/>
    <n v="19"/>
    <x v="600"/>
    <n v="18723.55"/>
    <n v="-307.09339000000182"/>
    <n v="-1.6674944399089911E-2"/>
  </r>
  <r>
    <s v="ORD-2024-550400"/>
    <d v="2024-08-19T00:00:00"/>
    <d v="2024-09-02T00:00:00"/>
    <n v="14"/>
    <s v="Aug-2024"/>
    <s v="Q3-2024"/>
    <s v="Americas"/>
    <s v="Canada"/>
    <s v="Toronto"/>
    <s v="Consumer"/>
    <s v="Distributor"/>
    <s v="C. Otieno"/>
    <x v="1"/>
    <x v="599"/>
    <n v="1337.01"/>
    <s v="High"/>
    <n v="1269.78"/>
    <n v="0.16"/>
    <n v="7"/>
    <x v="601"/>
    <n v="9359.07"/>
    <n v="-6150.2363999999998"/>
    <n v="-1.916657940754547"/>
  </r>
  <r>
    <s v="ORD-2025-189846"/>
    <d v="2025-08-11T00:00:00"/>
    <d v="2025-08-28T00:00:00"/>
    <n v="17"/>
    <s v="Aug-2025"/>
    <s v="Q3-2025"/>
    <s v="Europe"/>
    <s v="France"/>
    <s v="Paris"/>
    <s v="Education"/>
    <s v="Online"/>
    <s v="F. Müller"/>
    <x v="2"/>
    <x v="600"/>
    <n v="416.16"/>
    <s v="High"/>
    <n v="571.9"/>
    <n v="7.0999999999999994E-2"/>
    <n v="2"/>
    <x v="602"/>
    <n v="832.32"/>
    <n v="1834.9133200000001"/>
    <n v="0.6879463098488886"/>
  </r>
  <r>
    <s v="ORD-2025-752192"/>
    <d v="2025-05-16T00:00:00"/>
    <d v="2025-05-18T00:00:00"/>
    <n v="2"/>
    <s v="May-2025"/>
    <s v="Q2-2025"/>
    <s v="Asia"/>
    <s v="Japan"/>
    <s v="Tokyo"/>
    <s v="Enterprise"/>
    <s v="Retail"/>
    <s v="J. Njeri"/>
    <x v="1"/>
    <x v="601"/>
    <n v="1144.3800000000001"/>
    <s v="High"/>
    <n v="2755.04"/>
    <n v="0.15"/>
    <n v="17"/>
    <x v="603"/>
    <n v="19454.460000000003"/>
    <n v="15186.524999999998"/>
    <n v="0.4383976090749151"/>
  </r>
  <r>
    <s v="ORD-2023-294716"/>
    <d v="2023-04-10T00:00:00"/>
    <d v="2023-04-25T00:00:00"/>
    <n v="15"/>
    <s v="Apr-2023"/>
    <s v="Q2-2023"/>
    <s v="Europe"/>
    <s v="United Kingdom"/>
    <s v="London"/>
    <s v="Small Business"/>
    <s v="Retail"/>
    <s v="D. Smith"/>
    <x v="1"/>
    <x v="602"/>
    <n v="405.66"/>
    <s v="High"/>
    <n v="962.51"/>
    <n v="0.19"/>
    <n v="7"/>
    <x v="604"/>
    <n v="2839.6200000000003"/>
    <n v="7671.7661999999982"/>
    <n v="0.72985294746377016"/>
  </r>
  <r>
    <s v="ORD-2023-552115"/>
    <d v="2023-09-17T00:00:00"/>
    <d v="2023-10-02T00:00:00"/>
    <n v="15"/>
    <s v="Sept-2023"/>
    <s v="Q3-2023"/>
    <s v="Americas"/>
    <s v="Brazil"/>
    <s v="Rio de Janeiro"/>
    <s v="Small Business"/>
    <s v="Retail"/>
    <s v="B. Chen"/>
    <x v="4"/>
    <x v="603"/>
    <n v="689.33"/>
    <s v="High"/>
    <n v="668.27"/>
    <n v="0.186"/>
    <n v="13"/>
    <x v="605"/>
    <n v="8961.2900000000009"/>
    <n v="-8474.7296400000014"/>
    <n v="-17.417632706453933"/>
  </r>
  <r>
    <s v="ORD-2023-107265"/>
    <d v="2023-04-22T00:00:00"/>
    <d v="2023-05-14T00:00:00"/>
    <n v="22"/>
    <s v="Apr-2023"/>
    <s v="Q2-2023"/>
    <s v="Asia"/>
    <s v="Japan"/>
    <s v="Nagoya"/>
    <s v="Enterprise"/>
    <s v="Retail"/>
    <s v="A. Patel"/>
    <x v="6"/>
    <x v="604"/>
    <n v="1209.22"/>
    <s v="High"/>
    <n v="1404.33"/>
    <n v="0.10299999999999999"/>
    <n v="11"/>
    <x v="606"/>
    <n v="13301.42"/>
    <n v="-13301.42"/>
    <n v="0"/>
  </r>
  <r>
    <s v="ORD-2025-262434"/>
    <d v="2025-06-19T00:00:00"/>
    <d v="2025-06-21T00:00:00"/>
    <n v="2"/>
    <s v="Jun-2025"/>
    <s v="Q2-2025"/>
    <s v="Africa"/>
    <s v="South Africa"/>
    <s v="Johannesburg"/>
    <s v="Small Business"/>
    <s v="Not Provided"/>
    <s v="H. Kim"/>
    <x v="3"/>
    <x v="605"/>
    <n v="1466.27"/>
    <s v="High"/>
    <n v="3589.89"/>
    <n v="9.7000000000000003E-2"/>
    <n v="9"/>
    <x v="606"/>
    <n v="13196.43"/>
    <n v="-13196.43"/>
    <n v="0"/>
  </r>
  <r>
    <s v="ORD-2024-266562"/>
    <d v="2024-11-27T00:00:00"/>
    <d v="2024-12-24T00:00:00"/>
    <n v="27"/>
    <s v="Nov-2024"/>
    <s v="Q4-2024"/>
    <s v="Africa"/>
    <s v="Kenya"/>
    <s v="Mombasa"/>
    <s v="Corporate"/>
    <s v="Distributor"/>
    <s v="B. Chen"/>
    <x v="1"/>
    <x v="606"/>
    <n v="143.33000000000001"/>
    <s v="High"/>
    <n v="233.51"/>
    <n v="0.16300000000000001"/>
    <n v="14"/>
    <x v="606"/>
    <n v="2006.6200000000001"/>
    <n v="-2006.6200000000001"/>
    <n v="0"/>
  </r>
  <r>
    <s v="ORD-2024-838925"/>
    <d v="2024-01-28T00:00:00"/>
    <d v="2024-01-27T00:00:00"/>
    <n v="1"/>
    <s v="Jan-2024"/>
    <s v="Q1-2024"/>
    <s v="Africa"/>
    <s v="South Africa"/>
    <s v="Cape Town"/>
    <s v="Enterprise"/>
    <s v="Direct"/>
    <s v="O. Wang"/>
    <x v="0"/>
    <x v="607"/>
    <n v="109.75"/>
    <s v="Medium"/>
    <n v="124.25"/>
    <n v="0.12"/>
    <n v="19"/>
    <x v="606"/>
    <n v="2085.25"/>
    <n v="-2085.25"/>
    <n v="0"/>
  </r>
  <r>
    <s v="ORD-2023-664790"/>
    <d v="2023-04-16T00:00:00"/>
    <d v="2023-04-23T00:00:00"/>
    <n v="7"/>
    <s v="Apr-2023"/>
    <s v="Q2-2023"/>
    <s v="Americas"/>
    <s v="USA"/>
    <s v="Austin"/>
    <s v="Corporate"/>
    <s v="Distributor"/>
    <s v="O. Wang"/>
    <x v="1"/>
    <x v="608"/>
    <n v="1099.1500000000001"/>
    <s v="High"/>
    <n v="1431.37"/>
    <n v="0.104"/>
    <n v="8"/>
    <x v="606"/>
    <n v="8793.2000000000007"/>
    <n v="-8793.2000000000007"/>
    <n v="0"/>
  </r>
  <r>
    <s v="ORD-2024-331408"/>
    <d v="2024-02-01T00:00:00"/>
    <d v="2024-02-01T00:00:00"/>
    <n v="0"/>
    <s v="Feb-2024"/>
    <s v="Q1-2024"/>
    <s v="Americas"/>
    <s v="USA"/>
    <s v="Austin"/>
    <s v="Consumer"/>
    <s v="Distributor"/>
    <s v="H. Kim"/>
    <x v="1"/>
    <x v="609"/>
    <n v="714.43"/>
    <s v="High"/>
    <n v="1595.52"/>
    <n v="0.19400000000000001"/>
    <n v="14"/>
    <x v="606"/>
    <n v="10002.019999999999"/>
    <n v="-10002.019999999999"/>
    <n v="0"/>
  </r>
  <r>
    <s v="ORD-2024-741404"/>
    <d v="2024-10-19T00:00:00"/>
    <d v="2024-11-06T00:00:00"/>
    <n v="18"/>
    <s v="Oct-2024"/>
    <s v="Q4-2024"/>
    <s v="Americas"/>
    <s v="USA"/>
    <s v="Chicago"/>
    <s v="Education"/>
    <s v="Not Provided"/>
    <s v="C. Otieno"/>
    <x v="5"/>
    <x v="610"/>
    <n v="942.02"/>
    <s v="High"/>
    <n v="1028.46"/>
    <n v="0"/>
    <n v="9"/>
    <x v="606"/>
    <n v="8478.18"/>
    <n v="-8478.18"/>
    <n v="0"/>
  </r>
  <r>
    <s v="ORD-2024-341535"/>
    <d v="2024-06-25T00:00:00"/>
    <d v="2024-06-30T00:00:00"/>
    <n v="5"/>
    <s v="Jun-2024"/>
    <s v="Q2-2024"/>
    <s v="Africa"/>
    <s v="Kenya"/>
    <s v="Kisumu"/>
    <s v="Education"/>
    <s v="Direct"/>
    <s v="M. Rossi"/>
    <x v="2"/>
    <x v="611"/>
    <n v="1323.55"/>
    <s v="High"/>
    <n v="3230.35"/>
    <n v="2.1999999999999999E-2"/>
    <n v="26"/>
    <x v="606"/>
    <n v="34412.299999999996"/>
    <n v="-34412.299999999996"/>
    <n v="0"/>
  </r>
  <r>
    <s v="ORD-2023-451931"/>
    <d v="2023-07-30T00:00:00"/>
    <d v="2023-08-19T00:00:00"/>
    <n v="20"/>
    <s v="Jul-2023"/>
    <s v="Q3-2023"/>
    <s v="Europe"/>
    <s v="France"/>
    <s v="Paris"/>
    <s v="Enterprise"/>
    <s v="Marketplace"/>
    <s v="G. Dubois"/>
    <x v="2"/>
    <x v="612"/>
    <n v="1418.51"/>
    <s v="High"/>
    <n v="2789.61"/>
    <n v="0.17100000000000001"/>
    <n v="8"/>
    <x v="606"/>
    <n v="11348.08"/>
    <n v="-11348.08"/>
    <n v="0"/>
  </r>
  <r>
    <s v="ORD-2025-532859"/>
    <d v="2025-03-11T00:00:00"/>
    <d v="2025-03-27T00:00:00"/>
    <n v="16"/>
    <s v="Mar-2025"/>
    <s v="Q1-2025"/>
    <s v="Asia"/>
    <s v="Japan"/>
    <s v="Tokyo"/>
    <s v="Enterprise"/>
    <s v="Distributor"/>
    <s v="B. Chen"/>
    <x v="1"/>
    <x v="613"/>
    <n v="1317.58"/>
    <s v="High"/>
    <n v="1897.74"/>
    <n v="8.1000000000000003E-2"/>
    <n v="6"/>
    <x v="606"/>
    <n v="7905.48"/>
    <n v="-7905.48"/>
    <n v="0"/>
  </r>
  <r>
    <s v="ORD-2023-502205"/>
    <d v="2023-10-09T00:00:00"/>
    <d v="2023-10-11T00:00:00"/>
    <n v="2"/>
    <s v="Oct-2023"/>
    <s v="Q4-2023"/>
    <s v="Africa"/>
    <s v="Nigeria"/>
    <s v="Port Harcourt"/>
    <s v="Education"/>
    <s v="Marketplace"/>
    <s v="K. Singh"/>
    <x v="2"/>
    <x v="614"/>
    <n v="391.16"/>
    <s v="High"/>
    <n v="902.47"/>
    <n v="4.0000000000000001E-3"/>
    <n v="12"/>
    <x v="606"/>
    <n v="4693.92"/>
    <n v="-4693.92"/>
    <n v="0"/>
  </r>
  <r>
    <s v="ORD-2024-930679"/>
    <d v="2024-12-17T00:00:00"/>
    <d v="2025-01-16T00:00:00"/>
    <n v="30"/>
    <s v="Dec-2024"/>
    <s v="Q4-2024"/>
    <s v="Europe"/>
    <s v="United Kingdom"/>
    <s v="Manchester"/>
    <s v="Corporate"/>
    <s v="Retail"/>
    <s v="D. Smith"/>
    <x v="5"/>
    <x v="615"/>
    <n v="722.87"/>
    <s v="Low"/>
    <n v="-33.659999999999997"/>
    <n v="0.10199999999999999"/>
    <n v="28"/>
    <x v="606"/>
    <n v="20240.36"/>
    <n v="-20240.36"/>
    <n v="0"/>
  </r>
  <r>
    <s v="ORD-2025-150713"/>
    <d v="2025-07-11T00:00:00"/>
    <d v="2025-07-16T00:00:00"/>
    <n v="5"/>
    <s v="Jul-2025"/>
    <s v="Q3-2025"/>
    <s v="Europe"/>
    <s v="United Kingdom"/>
    <s v="London"/>
    <s v="Enterprise"/>
    <s v="Online"/>
    <s v="K. Singh"/>
    <x v="1"/>
    <x v="616"/>
    <n v="930.03"/>
    <s v="High"/>
    <n v="1086.68"/>
    <n v="0.109"/>
    <n v="26"/>
    <x v="606"/>
    <n v="24180.78"/>
    <n v="-24180.78"/>
    <n v="0"/>
  </r>
  <r>
    <s v="ORD-2024-756884"/>
    <d v="2024-10-13T00:00:00"/>
    <d v="2024-10-24T00:00:00"/>
    <n v="11"/>
    <s v="Oct-2024"/>
    <s v="Q4-2024"/>
    <s v="Europe"/>
    <s v="France"/>
    <s v="Paris"/>
    <s v="Education"/>
    <s v="Distributor"/>
    <s v="F. Müller"/>
    <x v="0"/>
    <x v="617"/>
    <n v="816.7"/>
    <s v="High"/>
    <n v="1010.75"/>
    <n v="4.7E-2"/>
    <n v="43"/>
    <x v="606"/>
    <n v="35118.1"/>
    <n v="-35118.1"/>
    <n v="0"/>
  </r>
  <r>
    <s v="ORD-2023-755337"/>
    <d v="2023-09-08T00:00:00"/>
    <d v="2023-09-14T00:00:00"/>
    <n v="6"/>
    <s v="Sept-2023"/>
    <s v="Q3-2023"/>
    <s v="Africa"/>
    <s v="Kenya"/>
    <s v="Nakuru"/>
    <s v="Education"/>
    <s v="Direct"/>
    <s v="I. Johnson"/>
    <x v="6"/>
    <x v="618"/>
    <n v="251.03"/>
    <s v="High"/>
    <n v="411.48"/>
    <n v="0.16500000000000001"/>
    <n v="3"/>
    <x v="606"/>
    <n v="753.09"/>
    <n v="-753.09"/>
    <n v="0"/>
  </r>
  <r>
    <s v="ORD-2025-907040"/>
    <d v="2025-04-17T00:00:00"/>
    <d v="2025-05-03T00:00:00"/>
    <n v="16"/>
    <s v="Apr-2025"/>
    <s v="Q2-2025"/>
    <s v="Americas"/>
    <s v="Brazil"/>
    <s v="Rio de Janeiro"/>
    <s v="Consumer"/>
    <s v="Marketplace"/>
    <s v="J. Njeri"/>
    <x v="2"/>
    <x v="619"/>
    <n v="168.68"/>
    <s v="High"/>
    <n v="413.34"/>
    <n v="0.186"/>
    <n v="7"/>
    <x v="606"/>
    <n v="1180.76"/>
    <n v="-1180.76"/>
    <n v="0"/>
  </r>
  <r>
    <s v="ORD-2024-817997"/>
    <d v="2024-07-28T00:00:00"/>
    <d v="2024-08-23T00:00:00"/>
    <n v="26"/>
    <s v="Jul-2024"/>
    <s v="Q3-2024"/>
    <s v="Asia"/>
    <s v="India"/>
    <s v="Hyderabad"/>
    <s v="Corporate"/>
    <s v="Retail"/>
    <s v="J. Njeri"/>
    <x v="2"/>
    <x v="620"/>
    <n v="1339.24"/>
    <s v="High"/>
    <n v="1558.89"/>
    <n v="0.192"/>
    <n v="24"/>
    <x v="606"/>
    <n v="32141.760000000002"/>
    <n v="-32141.760000000002"/>
    <n v="0"/>
  </r>
  <r>
    <s v="ORD-2025-649633"/>
    <d v="2025-07-19T00:00:00"/>
    <d v="2025-07-31T00:00:00"/>
    <n v="12"/>
    <s v="Jul-2025"/>
    <s v="Q3-2025"/>
    <s v="Africa"/>
    <s v="Kenya"/>
    <s v="Nairobi"/>
    <s v="Small Business"/>
    <s v="Marketplace"/>
    <s v="O. Wang"/>
    <x v="6"/>
    <x v="621"/>
    <n v="619.64"/>
    <s v="High"/>
    <n v="861.16"/>
    <n v="0.113"/>
    <n v="14"/>
    <x v="606"/>
    <n v="8674.9599999999991"/>
    <n v="-8674.9599999999991"/>
    <n v="0"/>
  </r>
  <r>
    <s v="ORD-2023-885216"/>
    <d v="2023-08-03T00:00:00"/>
    <d v="2023-08-02T00:00:00"/>
    <n v="1"/>
    <s v="Aug-2023"/>
    <s v="Q3-2023"/>
    <s v="Asia"/>
    <s v="China"/>
    <s v="Shanghai"/>
    <s v="Non-Profit"/>
    <s v="Direct"/>
    <s v="J. Njeri"/>
    <x v="2"/>
    <x v="622"/>
    <n v="1021.97"/>
    <s v="High"/>
    <n v="2296.25"/>
    <n v="0.161"/>
    <n v="26"/>
    <x v="606"/>
    <n v="26571.22"/>
    <n v="-26571.22"/>
    <n v="0"/>
  </r>
  <r>
    <s v="ORD-2023-561823"/>
    <d v="2023-11-19T00:00:00"/>
    <d v="2023-12-12T00:00:00"/>
    <n v="23"/>
    <s v="Nov-2023"/>
    <s v="Q4-2023"/>
    <s v="Asia"/>
    <s v="India"/>
    <s v="Delhi"/>
    <s v="Small Business"/>
    <s v="Direct"/>
    <s v="C. Otieno"/>
    <x v="2"/>
    <x v="623"/>
    <n v="1349.04"/>
    <s v="High"/>
    <n v="2636.6"/>
    <n v="0.114"/>
    <n v="14"/>
    <x v="606"/>
    <n v="18886.559999999998"/>
    <n v="-18886.559999999998"/>
    <n v="0"/>
  </r>
  <r>
    <s v="ORD-2023-249805"/>
    <d v="2023-12-22T00:00:00"/>
    <d v="2024-01-16T00:00:00"/>
    <n v="25"/>
    <s v="Dec-2023"/>
    <s v="Q4-2023"/>
    <s v="Asia"/>
    <s v="India"/>
    <s v="Hyderabad"/>
    <s v="Small Business"/>
    <s v="Retail"/>
    <s v="A. Patel"/>
    <x v="0"/>
    <x v="624"/>
    <n v="1346.81"/>
    <s v="High"/>
    <n v="978.09"/>
    <n v="0.159"/>
    <n v="17"/>
    <x v="606"/>
    <n v="22895.77"/>
    <n v="-22895.77"/>
    <n v="0"/>
  </r>
  <r>
    <s v="ORD-2023-548934"/>
    <d v="2023-08-03T00:00:00"/>
    <d v="2023-08-30T00:00:00"/>
    <n v="27"/>
    <s v="Aug-2023"/>
    <s v="Q3-2023"/>
    <s v="Asia"/>
    <s v="China"/>
    <s v="Shanghai"/>
    <s v="Consumer"/>
    <s v="Distributor"/>
    <s v="N. Brown"/>
    <x v="5"/>
    <x v="625"/>
    <n v="226.04"/>
    <s v="High"/>
    <n v="545.72"/>
    <n v="0.151"/>
    <n v="11"/>
    <x v="606"/>
    <n v="2486.44"/>
    <n v="-2486.44"/>
    <n v="0"/>
  </r>
  <r>
    <s v="ORD-2023-921939"/>
    <d v="2023-06-23T00:00:00"/>
    <d v="2023-07-18T00:00:00"/>
    <n v="25"/>
    <s v="Jun-2023"/>
    <s v="Q2-2023"/>
    <s v="Americas"/>
    <s v="Canada"/>
    <s v="Vancouver"/>
    <s v="Enterprise"/>
    <s v="Online"/>
    <s v="N. Brown"/>
    <x v="3"/>
    <x v="626"/>
    <n v="807.02"/>
    <s v="High"/>
    <n v="1435.54"/>
    <n v="0"/>
    <n v="23"/>
    <x v="606"/>
    <n v="18561.46"/>
    <n v="-18561.46"/>
    <n v="0"/>
  </r>
  <r>
    <s v="ORD-2023-961864"/>
    <d v="2023-12-07T00:00:00"/>
    <d v="2024-01-02T00:00:00"/>
    <n v="26"/>
    <s v="Dec-2023"/>
    <s v="Q4-2023"/>
    <s v="Europe"/>
    <s v="Germany"/>
    <s v="Frankfurt"/>
    <s v="Enterprise"/>
    <s v="Distributor"/>
    <s v="E. Garcia"/>
    <x v="0"/>
    <x v="627"/>
    <n v="1071.99"/>
    <s v="High"/>
    <n v="2397.3000000000002"/>
    <n v="6.2E-2"/>
    <n v="18"/>
    <x v="606"/>
    <n v="19295.82"/>
    <n v="-19295.82"/>
    <n v="0"/>
  </r>
  <r>
    <s v="ORD-2023-455933"/>
    <d v="2023-11-19T00:00:00"/>
    <d v="2023-12-19T00:00:00"/>
    <n v="0"/>
    <s v="Nov-2023"/>
    <s v="Q4-2023"/>
    <s v="Asia"/>
    <s v="Japan"/>
    <s v="Nagoya"/>
    <s v="Consumer"/>
    <s v="Retail"/>
    <s v="Not Provided"/>
    <x v="3"/>
    <x v="628"/>
    <n v="807.11"/>
    <s v="High"/>
    <n v="1853.86"/>
    <n v="0.13900000000000001"/>
    <n v="8"/>
    <x v="606"/>
    <n v="6456.88"/>
    <n v="-6456.88"/>
    <n v="0"/>
  </r>
  <r>
    <s v="ORD-2025-728935"/>
    <d v="2025-02-28T00:00:00"/>
    <d v="2025-03-10T00:00:00"/>
    <n v="10"/>
    <s v="Feb-2025"/>
    <s v="Q1-2025"/>
    <s v="Asia"/>
    <s v="Japan"/>
    <s v="Osaka"/>
    <s v="Education"/>
    <s v="Distributor"/>
    <s v="N. Brown"/>
    <x v="4"/>
    <x v="629"/>
    <n v="51.86"/>
    <s v="Low"/>
    <n v="45.98"/>
    <n v="0.17299999999999999"/>
    <n v="7"/>
    <x v="606"/>
    <n v="363.02"/>
    <n v="-363.02"/>
    <n v="0"/>
  </r>
  <r>
    <m/>
    <m/>
    <m/>
    <m/>
    <m/>
    <m/>
    <m/>
    <m/>
    <m/>
    <m/>
    <m/>
    <m/>
    <x v="7"/>
    <x v="630"/>
    <m/>
    <m/>
    <m/>
    <m/>
    <m/>
    <x v="607"/>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d v="2024-03-11T00:00:00"/>
    <d v="2024-04-06T00:00:00"/>
    <n v="26"/>
    <x v="0"/>
    <s v="Corporate"/>
    <s v="Retail"/>
    <x v="0"/>
    <s v="Components"/>
    <n v="279.24"/>
    <s v="High"/>
    <n v="608.9"/>
    <n v="0.112"/>
    <n v="9"/>
    <n v="1403.9546399999999"/>
    <n v="2513.16"/>
    <x v="0"/>
    <x v="0"/>
  </r>
  <r>
    <x v="1"/>
    <d v="2024-10-23T00:00:00"/>
    <d v="2024-10-22T00:00:00"/>
    <n v="1"/>
    <x v="1"/>
    <s v="Education"/>
    <s v="Online"/>
    <x v="1"/>
    <s v="Printers"/>
    <n v="1084.3900000000001"/>
    <s v="High"/>
    <n v="759.33"/>
    <n v="0.23699999999999999"/>
    <n v="31"/>
    <n v="17934.41419"/>
    <n v="33616.090000000004"/>
    <x v="1"/>
    <x v="0"/>
  </r>
  <r>
    <x v="2"/>
    <d v="2023-02-28T00:00:00"/>
    <d v="2023-03-25T00:00:00"/>
    <n v="25"/>
    <x v="2"/>
    <s v="Corporate"/>
    <s v="Retail"/>
    <x v="2"/>
    <s v="Networking"/>
    <n v="1460.76"/>
    <s v="Low"/>
    <n v="-30.66"/>
    <n v="0.13100000000000001"/>
    <n v="12"/>
    <n v="4534.0944"/>
    <n v="17529.12"/>
    <x v="2"/>
    <x v="0"/>
  </r>
  <r>
    <x v="3"/>
    <d v="2025-03-29T00:00:00"/>
    <d v="2025-04-02T00:00:00"/>
    <n v="4"/>
    <x v="3"/>
    <s v="Non-Profit"/>
    <s v="Marketplace"/>
    <x v="3"/>
    <s v="Phones"/>
    <n v="259.93"/>
    <s v="High"/>
    <n v="255.94"/>
    <n v="7.1999999999999995E-2"/>
    <n v="22"/>
    <n v="34016.730880000003"/>
    <n v="5718.46"/>
    <x v="3"/>
    <x v="0"/>
  </r>
  <r>
    <x v="4"/>
    <d v="2023-12-06T00:00:00"/>
    <d v="2023-12-31T00:00:00"/>
    <n v="25"/>
    <x v="4"/>
    <s v="Consumer"/>
    <s v="Retail"/>
    <x v="4"/>
    <s v="Printers"/>
    <n v="663.03"/>
    <s v="High"/>
    <n v="813.51"/>
    <n v="0.10199999999999999"/>
    <n v="15"/>
    <n v="8510.0765999999985"/>
    <n v="9945.4499999999989"/>
    <x v="4"/>
    <x v="0"/>
  </r>
  <r>
    <x v="5"/>
    <d v="2023-01-02T00:00:00"/>
    <d v="2023-01-05T00:00:00"/>
    <n v="3"/>
    <x v="5"/>
    <s v="Corporate"/>
    <s v="Distributor"/>
    <x v="5"/>
    <s v="Laptops"/>
    <n v="315.87"/>
    <s v="High"/>
    <n v="591.67999999999995"/>
    <n v="0"/>
    <n v="7"/>
    <n v="12558.49"/>
    <n v="2211.09"/>
    <x v="5"/>
    <x v="0"/>
  </r>
  <r>
    <x v="6"/>
    <d v="2024-12-27T00:00:00"/>
    <d v="2025-01-14T00:00:00"/>
    <n v="18"/>
    <x v="6"/>
    <s v="Small Business"/>
    <s v="Marketplace"/>
    <x v="6"/>
    <s v="Monitors"/>
    <n v="586.07000000000005"/>
    <s v="High"/>
    <n v="845.97"/>
    <n v="0.14699999999999999"/>
    <n v="4"/>
    <n v="8983.864239999999"/>
    <n v="2344.2800000000002"/>
    <x v="6"/>
    <x v="0"/>
  </r>
  <r>
    <x v="7"/>
    <d v="2023-01-15T00:00:00"/>
    <d v="2023-01-13T00:00:00"/>
    <n v="2"/>
    <x v="5"/>
    <s v="Education"/>
    <s v="Online"/>
    <x v="7"/>
    <s v="Printers"/>
    <n v="28.38"/>
    <s v="Low"/>
    <n v="47.22"/>
    <n v="0.19400000000000001"/>
    <n v="18"/>
    <n v="19177.399799999999"/>
    <n v="510.84"/>
    <x v="7"/>
    <x v="0"/>
  </r>
  <r>
    <x v="8"/>
    <d v="2024-05-04T00:00:00"/>
    <d v="2024-05-29T00:00:00"/>
    <n v="25"/>
    <x v="7"/>
    <s v="Non-Profit"/>
    <s v="Marketplace"/>
    <x v="7"/>
    <s v="Monitors"/>
    <n v="1295.3399999999999"/>
    <s v="High"/>
    <n v="2530.81"/>
    <n v="3.1E-2"/>
    <n v="6"/>
    <n v="17656.36218"/>
    <n v="7772.0399999999991"/>
    <x v="8"/>
    <x v="0"/>
  </r>
  <r>
    <x v="9"/>
    <d v="2025-05-21T00:00:00"/>
    <d v="2025-06-09T00:00:00"/>
    <n v="19"/>
    <x v="8"/>
    <s v="Non-Profit"/>
    <s v="Online"/>
    <x v="8"/>
    <s v="Components"/>
    <n v="1331.38"/>
    <s v="High"/>
    <n v="2309.56"/>
    <n v="0.14899999999999999"/>
    <n v="31"/>
    <n v="5259.5799699999998"/>
    <n v="41272.780000000006"/>
    <x v="9"/>
    <x v="0"/>
  </r>
  <r>
    <x v="10"/>
    <d v="2024-01-28T00:00:00"/>
    <d v="2024-02-09T00:00:00"/>
    <n v="12"/>
    <x v="9"/>
    <s v="Corporate"/>
    <s v="Online"/>
    <x v="3"/>
    <s v="Accessories"/>
    <n v="644.16999999999996"/>
    <s v="High"/>
    <n v="700.12"/>
    <n v="6.0000000000000001E-3"/>
    <n v="23"/>
    <n v="21204.733619999999"/>
    <n v="14815.91"/>
    <x v="10"/>
    <x v="0"/>
  </r>
  <r>
    <x v="11"/>
    <d v="2025-01-03T00:00:00"/>
    <d v="2025-01-23T00:00:00"/>
    <n v="20"/>
    <x v="10"/>
    <s v="Corporate"/>
    <s v="Distributor"/>
    <x v="9"/>
    <s v="Phones"/>
    <n v="908.6"/>
    <s v="High"/>
    <n v="691.37"/>
    <n v="0.25"/>
    <n v="20"/>
    <n v="26031.15"/>
    <n v="18172"/>
    <x v="11"/>
    <x v="0"/>
  </r>
  <r>
    <x v="12"/>
    <d v="2025-03-06T00:00:00"/>
    <d v="2025-03-31T00:00:00"/>
    <n v="25"/>
    <x v="3"/>
    <s v="Non-Profit"/>
    <s v="Online"/>
    <x v="1"/>
    <s v="Components"/>
    <n v="331.57"/>
    <s v="High"/>
    <n v="548.4"/>
    <n v="9.4E-2"/>
    <n v="10"/>
    <n v="12644.498400000002"/>
    <n v="3315.7"/>
    <x v="12"/>
    <x v="0"/>
  </r>
  <r>
    <x v="13"/>
    <d v="2024-01-20T00:00:00"/>
    <d v="2024-02-13T00:00:00"/>
    <n v="24"/>
    <x v="9"/>
    <s v="Corporate"/>
    <s v="Retail"/>
    <x v="10"/>
    <s v="Printers"/>
    <n v="643.53"/>
    <s v="High"/>
    <n v="1439.01"/>
    <n v="0"/>
    <n v="15"/>
    <n v="6816.3"/>
    <n v="9652.9499999999989"/>
    <x v="13"/>
    <x v="0"/>
  </r>
  <r>
    <x v="14"/>
    <d v="2025-09-01T00:00:00"/>
    <d v="2025-09-30T00:00:00"/>
    <n v="29"/>
    <x v="11"/>
    <s v="Education"/>
    <s v="Retail"/>
    <x v="11"/>
    <s v="Accessories"/>
    <n v="780.59"/>
    <s v="High"/>
    <n v="631.57000000000005"/>
    <n v="0"/>
    <n v="12"/>
    <n v="18971.64"/>
    <n v="9367.08"/>
    <x v="14"/>
    <x v="0"/>
  </r>
  <r>
    <x v="15"/>
    <d v="2023-04-23T00:00:00"/>
    <d v="2023-04-22T00:00:00"/>
    <n v="1"/>
    <x v="12"/>
    <s v="Small Business"/>
    <s v="Direct"/>
    <x v="6"/>
    <s v="Laptops"/>
    <n v="756.51"/>
    <s v="High"/>
    <n v="850.8"/>
    <n v="7.3999999999999996E-2"/>
    <n v="9"/>
    <n v="14666.089860000002"/>
    <n v="6808.59"/>
    <x v="15"/>
    <x v="0"/>
  </r>
  <r>
    <x v="16"/>
    <d v="2024-12-10T00:00:00"/>
    <d v="2025-01-08T00:00:00"/>
    <n v="29"/>
    <x v="6"/>
    <s v="Small Business"/>
    <s v="Retail"/>
    <x v="11"/>
    <s v="Printers"/>
    <n v="891.08"/>
    <s v="High"/>
    <n v="1040.0999999999999"/>
    <n v="0.109"/>
    <n v="28"/>
    <n v="79945.865999999995"/>
    <n v="24950.240000000002"/>
    <x v="16"/>
    <x v="0"/>
  </r>
  <r>
    <x v="17"/>
    <d v="2025-09-08T00:00:00"/>
    <d v="2025-09-16T00:00:00"/>
    <n v="8"/>
    <x v="11"/>
    <s v="Corporate"/>
    <s v="Distributor"/>
    <x v="0"/>
    <s v="Phones"/>
    <n v="1225.57"/>
    <s v="High"/>
    <n v="2705.57"/>
    <n v="0.183"/>
    <n v="16"/>
    <n v="14842.34096"/>
    <n v="19609.12"/>
    <x v="17"/>
    <x v="0"/>
  </r>
  <r>
    <x v="18"/>
    <d v="2025-07-20T00:00:00"/>
    <d v="2025-08-05T00:00:00"/>
    <n v="16"/>
    <x v="13"/>
    <s v="Enterprise"/>
    <s v="Marketplace"/>
    <x v="3"/>
    <s v="Accessories"/>
    <n v="1068.17"/>
    <s v="High"/>
    <n v="2375.37"/>
    <n v="0.109"/>
    <n v="18"/>
    <n v="15979.62168"/>
    <n v="19227.060000000001"/>
    <x v="18"/>
    <x v="0"/>
  </r>
  <r>
    <x v="19"/>
    <d v="2025-05-21T00:00:00"/>
    <d v="2025-05-19T00:00:00"/>
    <n v="2"/>
    <x v="8"/>
    <s v="Enterprise"/>
    <s v="Online"/>
    <x v="12"/>
    <s v="Laptops"/>
    <n v="1015.16"/>
    <s v="High"/>
    <n v="2148.14"/>
    <n v="3.7999999999999999E-2"/>
    <n v="19"/>
    <n v="25535.279900000001"/>
    <n v="19288.04"/>
    <x v="19"/>
    <x v="0"/>
  </r>
  <r>
    <x v="20"/>
    <d v="2024-07-25T00:00:00"/>
    <d v="2024-07-24T00:00:00"/>
    <n v="1"/>
    <x v="14"/>
    <s v="Non-Profit"/>
    <s v="Direct"/>
    <x v="1"/>
    <s v="Laptops"/>
    <n v="1494.4"/>
    <s v="High"/>
    <n v="3661.07"/>
    <n v="7.1999999999999995E-2"/>
    <n v="7"/>
    <n v="3565.5894400000002"/>
    <n v="10460.800000000001"/>
    <x v="20"/>
    <x v="0"/>
  </r>
  <r>
    <x v="21"/>
    <d v="2023-05-11T00:00:00"/>
    <d v="2023-05-28T00:00:00"/>
    <n v="17"/>
    <x v="15"/>
    <s v="Enterprise"/>
    <s v="Marketplace"/>
    <x v="6"/>
    <s v="Networking"/>
    <n v="1331.19"/>
    <s v="High"/>
    <n v="2903.09"/>
    <n v="0.14299999999999999"/>
    <n v="8"/>
    <n v="24160.543999999998"/>
    <n v="10649.52"/>
    <x v="21"/>
    <x v="0"/>
  </r>
  <r>
    <x v="22"/>
    <d v="2025-06-14T00:00:00"/>
    <d v="2025-06-29T00:00:00"/>
    <n v="15"/>
    <x v="16"/>
    <s v="Consumer"/>
    <s v="Marketplace"/>
    <x v="12"/>
    <s v="Accessories"/>
    <n v="730.99"/>
    <s v="High"/>
    <n v="1242.8399999999999"/>
    <n v="0.12"/>
    <n v="10"/>
    <n v="16065.367999999999"/>
    <n v="7309.9"/>
    <x v="22"/>
    <x v="0"/>
  </r>
  <r>
    <x v="23"/>
    <d v="2024-05-18T00:00:00"/>
    <d v="2024-05-23T00:00:00"/>
    <n v="5"/>
    <x v="7"/>
    <s v="Enterprise"/>
    <s v="Retail"/>
    <x v="10"/>
    <s v="Laptops"/>
    <n v="1274.5899999999999"/>
    <s v="High"/>
    <n v="2553.69"/>
    <n v="0.01"/>
    <n v="8"/>
    <n v="14187.650399999999"/>
    <n v="10196.719999999999"/>
    <x v="23"/>
    <x v="0"/>
  </r>
  <r>
    <x v="24"/>
    <d v="2023-02-07T00:00:00"/>
    <d v="2023-02-12T00:00:00"/>
    <n v="5"/>
    <x v="2"/>
    <s v="Education"/>
    <s v="Online"/>
    <x v="13"/>
    <s v="Components"/>
    <n v="948.55"/>
    <s v="High"/>
    <n v="2089.16"/>
    <n v="7.0000000000000001E-3"/>
    <n v="12"/>
    <n v="31336.100999999999"/>
    <n v="11382.599999999999"/>
    <x v="24"/>
    <x v="0"/>
  </r>
  <r>
    <x v="25"/>
    <d v="2024-06-30T00:00:00"/>
    <d v="2024-07-14T00:00:00"/>
    <n v="14"/>
    <x v="17"/>
    <s v="Education"/>
    <s v="Retail"/>
    <x v="0"/>
    <s v="Accessories"/>
    <n v="1491.85"/>
    <s v="High"/>
    <n v="2583.02"/>
    <n v="0.16800000000000001"/>
    <n v="4"/>
    <n v="353.76639999999998"/>
    <n v="5967.4"/>
    <x v="25"/>
    <x v="0"/>
  </r>
  <r>
    <x v="26"/>
    <d v="2024-11-30T00:00:00"/>
    <d v="2024-12-30T00:00:00"/>
    <n v="0"/>
    <x v="18"/>
    <s v="Consumer"/>
    <s v="Marketplace"/>
    <x v="9"/>
    <s v="Printers"/>
    <n v="117.64"/>
    <s v="Medium"/>
    <n v="175.67"/>
    <n v="0"/>
    <n v="10"/>
    <n v="3857.2000000000003"/>
    <n v="1176.4000000000001"/>
    <x v="26"/>
    <x v="0"/>
  </r>
  <r>
    <x v="27"/>
    <d v="2024-07-19T00:00:00"/>
    <d v="2024-07-19T00:00:00"/>
    <n v="0"/>
    <x v="14"/>
    <s v="Small Business"/>
    <s v="Retail"/>
    <x v="8"/>
    <s v="Phones"/>
    <n v="857.24"/>
    <s v="High"/>
    <n v="758.23"/>
    <n v="0.125"/>
    <n v="6"/>
    <n v="1243.5675000000001"/>
    <n v="5143.4400000000005"/>
    <x v="27"/>
    <x v="0"/>
  </r>
  <r>
    <x v="28"/>
    <d v="2023-04-14T00:00:00"/>
    <d v="2023-05-14T00:00:00"/>
    <n v="0"/>
    <x v="12"/>
    <s v="Consumer"/>
    <s v="Marketplace"/>
    <x v="12"/>
    <s v="Phones"/>
    <n v="209.25"/>
    <s v="High"/>
    <n v="434.8"/>
    <n v="0"/>
    <n v="9"/>
    <n v="377.09999999999997"/>
    <n v="1883.25"/>
    <x v="28"/>
    <x v="0"/>
  </r>
  <r>
    <x v="29"/>
    <d v="2025-04-07T00:00:00"/>
    <d v="2025-04-11T00:00:00"/>
    <n v="4"/>
    <x v="19"/>
    <s v="Education"/>
    <s v="Retail"/>
    <x v="6"/>
    <s v="Networking"/>
    <n v="754.77"/>
    <s v="High"/>
    <n v="1666.18"/>
    <n v="0.13900000000000001"/>
    <n v="14"/>
    <n v="11781.338519999999"/>
    <n v="10566.779999999999"/>
    <x v="29"/>
    <x v="0"/>
  </r>
  <r>
    <x v="30"/>
    <d v="2024-12-27T00:00:00"/>
    <d v="2025-01-15T00:00:00"/>
    <n v="19"/>
    <x v="6"/>
    <s v="Non-Profit"/>
    <s v="Distributor"/>
    <x v="3"/>
    <s v="Components"/>
    <n v="495.59"/>
    <s v="High"/>
    <n v="631.78"/>
    <n v="8.6999999999999994E-2"/>
    <n v="17"/>
    <n v="43367.691729999999"/>
    <n v="8425.0299999999988"/>
    <x v="30"/>
    <x v="0"/>
  </r>
  <r>
    <x v="31"/>
    <d v="2023-02-23T00:00:00"/>
    <d v="2023-03-25T00:00:00"/>
    <n v="2"/>
    <x v="2"/>
    <s v="Enterprise"/>
    <s v="Online"/>
    <x v="14"/>
    <s v="Phones"/>
    <n v="1242.6600000000001"/>
    <s v="High"/>
    <n v="1794.07"/>
    <n v="8.8999999999999996E-2"/>
    <n v="16"/>
    <n v="10231.623200000002"/>
    <n v="19882.560000000001"/>
    <x v="31"/>
    <x v="0"/>
  </r>
  <r>
    <x v="32"/>
    <d v="2025-07-24T00:00:00"/>
    <d v="2025-08-06T00:00:00"/>
    <n v="13"/>
    <x v="13"/>
    <s v="Education"/>
    <s v="Marketplace"/>
    <x v="14"/>
    <s v="Networking"/>
    <n v="1463.9"/>
    <s v="High"/>
    <n v="2633.02"/>
    <n v="8.4000000000000005E-2"/>
    <n v="4"/>
    <n v="-19.309279999999998"/>
    <n v="5855.6"/>
    <x v="32"/>
    <x v="0"/>
  </r>
  <r>
    <x v="33"/>
    <d v="2024-04-18T00:00:00"/>
    <d v="2024-05-08T00:00:00"/>
    <n v="20"/>
    <x v="20"/>
    <s v="Non-Profit"/>
    <s v="Not Provided"/>
    <x v="14"/>
    <s v="Laptops"/>
    <n v="645.33000000000004"/>
    <s v="High"/>
    <n v="1321.85"/>
    <n v="0"/>
    <n v="10"/>
    <n v="14370.599999999999"/>
    <n v="6453.3"/>
    <x v="33"/>
    <x v="0"/>
  </r>
  <r>
    <x v="34"/>
    <d v="2024-08-23T00:00:00"/>
    <d v="2024-08-21T00:00:00"/>
    <n v="2"/>
    <x v="21"/>
    <s v="Education"/>
    <s v="Retail"/>
    <x v="6"/>
    <s v="Components"/>
    <n v="1432.52"/>
    <s v="High"/>
    <n v="3036.87"/>
    <n v="0"/>
    <n v="9"/>
    <n v="17207.010000000002"/>
    <n v="12892.68"/>
    <x v="34"/>
    <x v="0"/>
  </r>
  <r>
    <x v="35"/>
    <d v="2023-03-27T00:00:00"/>
    <d v="2023-04-22T00:00:00"/>
    <n v="26"/>
    <x v="22"/>
    <s v="Non-Profit"/>
    <s v="Marketplace"/>
    <x v="1"/>
    <s v="Printers"/>
    <n v="178.53"/>
    <s v="Medium"/>
    <n v="199.37"/>
    <n v="0.10100000000000001"/>
    <n v="37"/>
    <n v="86276.904139999999"/>
    <n v="6605.61"/>
    <x v="35"/>
    <x v="0"/>
  </r>
  <r>
    <x v="36"/>
    <d v="2024-03-07T00:00:00"/>
    <d v="2024-03-25T00:00:00"/>
    <n v="18"/>
    <x v="0"/>
    <s v="Corporate"/>
    <s v="Online"/>
    <x v="5"/>
    <s v="Components"/>
    <n v="712.84"/>
    <s v="High"/>
    <n v="927.51"/>
    <n v="0.24299999999999999"/>
    <n v="27"/>
    <n v="25427.751119999997"/>
    <n v="19246.68"/>
    <x v="36"/>
    <x v="0"/>
  </r>
  <r>
    <x v="37"/>
    <d v="2025-06-24T00:00:00"/>
    <d v="2025-07-10T00:00:00"/>
    <n v="16"/>
    <x v="16"/>
    <s v="Enterprise"/>
    <s v="Direct"/>
    <x v="13"/>
    <s v="Components"/>
    <n v="757.19"/>
    <s v="High"/>
    <n v="1735.41"/>
    <n v="0.13600000000000001"/>
    <n v="8"/>
    <n v="13219.269119999999"/>
    <n v="6057.52"/>
    <x v="37"/>
    <x v="0"/>
  </r>
  <r>
    <x v="38"/>
    <d v="2024-04-19T00:00:00"/>
    <d v="2024-05-06T00:00:00"/>
    <n v="17"/>
    <x v="20"/>
    <s v="Non-Profit"/>
    <s v="Online"/>
    <x v="8"/>
    <s v="Printers"/>
    <n v="865.33"/>
    <s v="High"/>
    <n v="1395.64"/>
    <n v="0.17499999999999999"/>
    <n v="13"/>
    <n v="8106.7057499999992"/>
    <n v="11249.29"/>
    <x v="38"/>
    <x v="0"/>
  </r>
  <r>
    <x v="39"/>
    <d v="2023-06-17T00:00:00"/>
    <d v="2023-06-24T00:00:00"/>
    <n v="7"/>
    <x v="23"/>
    <s v="Corporate"/>
    <s v="Retail"/>
    <x v="2"/>
    <s v="Printers"/>
    <n v="313.99"/>
    <s v="High"/>
    <n v="454.42"/>
    <n v="0.129"/>
    <n v="9"/>
    <n v="8980.9071300000014"/>
    <n v="2825.91"/>
    <x v="39"/>
    <x v="0"/>
  </r>
  <r>
    <x v="40"/>
    <d v="2024-08-27T00:00:00"/>
    <d v="2024-09-19T00:00:00"/>
    <n v="23"/>
    <x v="21"/>
    <s v="Small Business"/>
    <s v="Direct"/>
    <x v="14"/>
    <s v="Monitors"/>
    <n v="1024.01"/>
    <s v="High"/>
    <n v="1580.97"/>
    <n v="3.6999999999999998E-2"/>
    <n v="27"/>
    <n v="32087.834099999996"/>
    <n v="27648.27"/>
    <x v="40"/>
    <x v="0"/>
  </r>
  <r>
    <x v="41"/>
    <d v="2024-01-11T00:00:00"/>
    <d v="2024-02-02T00:00:00"/>
    <n v="22"/>
    <x v="9"/>
    <s v="Consumer"/>
    <s v="Online"/>
    <x v="11"/>
    <s v="Networking"/>
    <n v="1206.2"/>
    <s v="High"/>
    <n v="1759.79"/>
    <n v="0"/>
    <n v="6"/>
    <n v="7368.0599999999995"/>
    <n v="7237.2000000000007"/>
    <x v="41"/>
    <x v="0"/>
  </r>
  <r>
    <x v="42"/>
    <d v="2024-10-25T00:00:00"/>
    <d v="2024-11-14T00:00:00"/>
    <n v="20"/>
    <x v="1"/>
    <s v="Corporate"/>
    <s v="Direct"/>
    <x v="10"/>
    <s v="Printers"/>
    <n v="1396.48"/>
    <s v="High"/>
    <n v="3204.5"/>
    <n v="0.318"/>
    <n v="14"/>
    <n v="5778.7360400000007"/>
    <n v="19550.72"/>
    <x v="42"/>
    <x v="0"/>
  </r>
  <r>
    <x v="43"/>
    <d v="2025-05-29T00:00:00"/>
    <d v="2025-06-20T00:00:00"/>
    <n v="22"/>
    <x v="8"/>
    <s v="Corporate"/>
    <s v="Direct"/>
    <x v="8"/>
    <s v="Printers"/>
    <n v="483.47"/>
    <s v="High"/>
    <n v="1135.43"/>
    <n v="0.14599999999999999"/>
    <n v="11"/>
    <n v="17662.129100000002"/>
    <n v="5318.17"/>
    <x v="43"/>
    <x v="0"/>
  </r>
  <r>
    <x v="44"/>
    <d v="2024-05-20T00:00:00"/>
    <d v="2024-06-02T00:00:00"/>
    <n v="13"/>
    <x v="7"/>
    <s v="Enterprise"/>
    <s v="Marketplace"/>
    <x v="11"/>
    <s v="Components"/>
    <n v="675.43"/>
    <s v="High"/>
    <n v="996.36"/>
    <n v="0.182"/>
    <n v="22"/>
    <n v="22844.122400000004"/>
    <n v="14859.46"/>
    <x v="44"/>
    <x v="0"/>
  </r>
  <r>
    <x v="45"/>
    <d v="2023-04-19T00:00:00"/>
    <d v="2023-04-30T00:00:00"/>
    <n v="11"/>
    <x v="12"/>
    <s v="Small Business"/>
    <s v="Retail"/>
    <x v="8"/>
    <s v="Networking"/>
    <n v="826.55"/>
    <s v="High"/>
    <n v="1397.05"/>
    <n v="0.16900000000000001"/>
    <n v="28"/>
    <n v="14447.799239999997"/>
    <n v="23143.399999999998"/>
    <x v="45"/>
    <x v="0"/>
  </r>
  <r>
    <x v="46"/>
    <d v="2023-06-23T00:00:00"/>
    <d v="2023-07-03T00:00:00"/>
    <n v="10"/>
    <x v="23"/>
    <s v="Consumer"/>
    <s v="Online"/>
    <x v="1"/>
    <s v="Printers"/>
    <n v="337.75"/>
    <s v="High"/>
    <n v="548.89"/>
    <n v="0"/>
    <n v="13"/>
    <n v="18926.830000000002"/>
    <n v="4390.75"/>
    <x v="46"/>
    <x v="0"/>
  </r>
  <r>
    <x v="47"/>
    <d v="2024-05-14T00:00:00"/>
    <d v="2024-05-28T00:00:00"/>
    <n v="14"/>
    <x v="7"/>
    <s v="Consumer"/>
    <s v="Retail"/>
    <x v="5"/>
    <s v="Networking"/>
    <n v="1421.14"/>
    <s v="High"/>
    <n v="3524"/>
    <n v="0"/>
    <n v="31"/>
    <n v="16939.329999999998"/>
    <n v="44055.340000000004"/>
    <x v="47"/>
    <x v="0"/>
  </r>
  <r>
    <x v="48"/>
    <d v="2024-10-14T00:00:00"/>
    <d v="2024-11-08T00:00:00"/>
    <n v="25"/>
    <x v="1"/>
    <s v="Enterprise"/>
    <s v="Online"/>
    <x v="7"/>
    <s v="Networking"/>
    <n v="859.35"/>
    <s v="High"/>
    <n v="1825.61"/>
    <n v="0.187"/>
    <n v="24"/>
    <n v="26300.615040000001"/>
    <n v="20624.400000000001"/>
    <x v="48"/>
    <x v="0"/>
  </r>
  <r>
    <x v="49"/>
    <d v="2023-07-10T00:00:00"/>
    <d v="2023-08-01T00:00:00"/>
    <n v="22"/>
    <x v="24"/>
    <s v="Consumer"/>
    <s v="Marketplace"/>
    <x v="5"/>
    <s v="Printers"/>
    <n v="1303.56"/>
    <s v="High"/>
    <n v="1791.37"/>
    <n v="0.126"/>
    <n v="22"/>
    <n v="21312.892040000002"/>
    <n v="28678.32"/>
    <x v="49"/>
    <x v="0"/>
  </r>
  <r>
    <x v="50"/>
    <d v="2024-11-06T00:00:00"/>
    <d v="2024-11-22T00:00:00"/>
    <n v="16"/>
    <x v="18"/>
    <s v="Non-Profit"/>
    <s v="Distributor"/>
    <x v="14"/>
    <s v="Accessories"/>
    <n v="1454.11"/>
    <s v="High"/>
    <n v="2629.75"/>
    <n v="0.29199999999999998"/>
    <n v="8"/>
    <n v="17808.182399999998"/>
    <n v="11632.88"/>
    <x v="50"/>
    <x v="0"/>
  </r>
  <r>
    <x v="51"/>
    <d v="2024-10-17T00:00:00"/>
    <d v="2024-11-06T00:00:00"/>
    <n v="20"/>
    <x v="1"/>
    <s v="Enterprise"/>
    <s v="Distributor"/>
    <x v="7"/>
    <s v="Monitors"/>
    <n v="72.94"/>
    <s v="Medium"/>
    <n v="106.3"/>
    <n v="0.29499999999999998"/>
    <n v="8"/>
    <n v="11819.917200000002"/>
    <n v="583.52"/>
    <x v="51"/>
    <x v="0"/>
  </r>
  <r>
    <x v="52"/>
    <d v="2023-03-31T00:00:00"/>
    <d v="2023-04-05T00:00:00"/>
    <n v="5"/>
    <x v="22"/>
    <s v="Education"/>
    <s v="Marketplace"/>
    <x v="5"/>
    <s v="Laptops"/>
    <n v="533.26"/>
    <s v="High"/>
    <n v="385.72"/>
    <n v="0"/>
    <n v="15"/>
    <n v="10554.3"/>
    <n v="7998.9"/>
    <x v="52"/>
    <x v="0"/>
  </r>
  <r>
    <x v="53"/>
    <d v="2025-01-21T00:00:00"/>
    <d v="2025-02-16T00:00:00"/>
    <n v="26"/>
    <x v="10"/>
    <s v="Corporate"/>
    <s v="Distributor"/>
    <x v="7"/>
    <s v="Laptops"/>
    <n v="204.11"/>
    <s v="High"/>
    <n v="236.87"/>
    <n v="0.182"/>
    <n v="13"/>
    <n v="21238.118460000002"/>
    <n v="2653.4300000000003"/>
    <x v="53"/>
    <x v="0"/>
  </r>
  <r>
    <x v="54"/>
    <d v="2023-08-30T00:00:00"/>
    <d v="2023-09-01T00:00:00"/>
    <n v="2"/>
    <x v="25"/>
    <s v="Corporate"/>
    <s v="Direct"/>
    <x v="13"/>
    <s v="Networking"/>
    <n v="44.42"/>
    <s v="Low"/>
    <n v="41.9"/>
    <n v="0.14399999999999999"/>
    <n v="6"/>
    <n v="14195.647199999998"/>
    <n v="266.52"/>
    <x v="54"/>
    <x v="0"/>
  </r>
  <r>
    <x v="55"/>
    <d v="2025-04-06T00:00:00"/>
    <d v="2025-04-30T00:00:00"/>
    <n v="24"/>
    <x v="19"/>
    <s v="Education"/>
    <s v="Online"/>
    <x v="11"/>
    <s v="Monitors"/>
    <n v="855.78"/>
    <s v="High"/>
    <n v="977.38"/>
    <n v="0.14699999999999999"/>
    <n v="38"/>
    <n v="48735.421419999999"/>
    <n v="32519.64"/>
    <x v="55"/>
    <x v="0"/>
  </r>
  <r>
    <x v="56"/>
    <d v="2025-02-09T00:00:00"/>
    <d v="2025-03-01T00:00:00"/>
    <n v="20"/>
    <x v="26"/>
    <s v="Corporate"/>
    <s v="Distributor"/>
    <x v="5"/>
    <s v="Laptops"/>
    <n v="1154.6400000000001"/>
    <s v="High"/>
    <n v="2794.13"/>
    <n v="3.5000000000000003E-2"/>
    <n v="11"/>
    <n v="4119.0446000000002"/>
    <n v="12701.04"/>
    <x v="56"/>
    <x v="0"/>
  </r>
  <r>
    <x v="57"/>
    <d v="2024-12-17T00:00:00"/>
    <d v="2024-12-18T00:00:00"/>
    <n v="1"/>
    <x v="6"/>
    <s v="Education"/>
    <s v="Retail"/>
    <x v="4"/>
    <s v="Accessories"/>
    <n v="346.82"/>
    <s v="High"/>
    <n v="701.95"/>
    <n v="0.14699999999999999"/>
    <n v="8"/>
    <n v="304.14567999999997"/>
    <n v="2774.56"/>
    <x v="57"/>
    <x v="0"/>
  </r>
  <r>
    <x v="58"/>
    <d v="2025-06-09T00:00:00"/>
    <d v="2025-06-18T00:00:00"/>
    <n v="9"/>
    <x v="16"/>
    <s v="Small Business"/>
    <s v="Marketplace"/>
    <x v="10"/>
    <s v="Accessories"/>
    <n v="1225.5"/>
    <s v="Low"/>
    <n v="-5.27"/>
    <n v="7.4999999999999997E-2"/>
    <n v="56"/>
    <n v="93667.868000000002"/>
    <n v="68628"/>
    <x v="58"/>
    <x v="0"/>
  </r>
  <r>
    <x v="59"/>
    <d v="2025-05-02T00:00:00"/>
    <d v="2025-05-13T00:00:00"/>
    <n v="11"/>
    <x v="8"/>
    <s v="Small Business"/>
    <s v="Online"/>
    <x v="8"/>
    <s v="Accessories"/>
    <n v="1057.5999999999999"/>
    <s v="High"/>
    <n v="1437.06"/>
    <n v="0.20499999999999999"/>
    <n v="4"/>
    <n v="4086.5861999999997"/>
    <n v="4230.3999999999996"/>
    <x v="59"/>
    <x v="0"/>
  </r>
  <r>
    <x v="60"/>
    <d v="2024-03-10T00:00:00"/>
    <d v="2024-04-09T00:00:00"/>
    <n v="30"/>
    <x v="0"/>
    <s v="Corporate"/>
    <s v="Direct"/>
    <x v="2"/>
    <s v="Components"/>
    <n v="1176.56"/>
    <s v="High"/>
    <n v="1911.89"/>
    <n v="0.11899999999999999"/>
    <n v="20"/>
    <n v="29568.826800000003"/>
    <n v="23531.199999999997"/>
    <x v="60"/>
    <x v="0"/>
  </r>
  <r>
    <x v="61"/>
    <d v="2025-09-10T00:00:00"/>
    <d v="2025-09-12T00:00:00"/>
    <n v="2"/>
    <x v="11"/>
    <s v="Consumer"/>
    <s v="Online"/>
    <x v="7"/>
    <s v="Components"/>
    <n v="1470.15"/>
    <s v="High"/>
    <n v="2593.7800000000002"/>
    <n v="0.11"/>
    <n v="12"/>
    <n v="7255.4580000000005"/>
    <n v="17641.800000000003"/>
    <x v="61"/>
    <x v="0"/>
  </r>
  <r>
    <x v="62"/>
    <d v="2025-04-27T00:00:00"/>
    <d v="2025-05-25T00:00:00"/>
    <n v="28"/>
    <x v="19"/>
    <s v="Small Business"/>
    <s v="Marketplace"/>
    <x v="2"/>
    <s v="Phones"/>
    <n v="603.45000000000005"/>
    <s v="High"/>
    <n v="1244.08"/>
    <n v="0.2"/>
    <n v="11"/>
    <n v="9767.2960000000003"/>
    <n v="6637.9500000000007"/>
    <x v="62"/>
    <x v="0"/>
  </r>
  <r>
    <x v="63"/>
    <d v="2024-11-02T00:00:00"/>
    <d v="2024-11-18T00:00:00"/>
    <n v="16"/>
    <x v="18"/>
    <s v="Small Business"/>
    <s v="Distributor"/>
    <x v="7"/>
    <s v="Monitors"/>
    <n v="1233.58"/>
    <s v="High"/>
    <n v="1912.51"/>
    <n v="0.255"/>
    <n v="51"/>
    <n v="3175.2421499999996"/>
    <n v="62912.579999999994"/>
    <x v="63"/>
    <x v="0"/>
  </r>
  <r>
    <x v="64"/>
    <d v="2023-02-15T00:00:00"/>
    <d v="2023-02-26T00:00:00"/>
    <n v="11"/>
    <x v="2"/>
    <s v="Non-Profit"/>
    <s v="Retail"/>
    <x v="11"/>
    <s v="Laptops"/>
    <n v="498.5"/>
    <s v="High"/>
    <n v="755.87"/>
    <n v="0.13"/>
    <n v="40"/>
    <n v="44693.64"/>
    <n v="19940"/>
    <x v="64"/>
    <x v="0"/>
  </r>
  <r>
    <x v="65"/>
    <d v="2023-12-03T00:00:00"/>
    <d v="2023-12-26T00:00:00"/>
    <n v="23"/>
    <x v="4"/>
    <s v="Education"/>
    <s v="Retail"/>
    <x v="7"/>
    <s v="Phones"/>
    <n v="1303.1099999999999"/>
    <s v="High"/>
    <n v="1145.67"/>
    <n v="0.184"/>
    <n v="13"/>
    <n v="9671.5257600000004"/>
    <n v="16940.43"/>
    <x v="65"/>
    <x v="0"/>
  </r>
  <r>
    <x v="66"/>
    <d v="2023-03-19T00:00:00"/>
    <d v="2023-04-09T00:00:00"/>
    <n v="21"/>
    <x v="22"/>
    <s v="Consumer"/>
    <s v="Retail"/>
    <x v="4"/>
    <s v="Accessories"/>
    <n v="1082.17"/>
    <s v="High"/>
    <n v="1234.0999999999999"/>
    <n v="0.189"/>
    <n v="16"/>
    <n v="18232.188319999997"/>
    <n v="17314.72"/>
    <x v="66"/>
    <x v="0"/>
  </r>
  <r>
    <x v="67"/>
    <d v="2024-05-22T00:00:00"/>
    <d v="2024-06-06T00:00:00"/>
    <n v="15"/>
    <x v="7"/>
    <s v="Corporate"/>
    <s v="Distributor"/>
    <x v="0"/>
    <s v="Monitors"/>
    <n v="673.88"/>
    <s v="High"/>
    <n v="1228.01"/>
    <n v="0.105"/>
    <n v="13"/>
    <n v="11273.616900000001"/>
    <n v="8760.44"/>
    <x v="67"/>
    <x v="0"/>
  </r>
  <r>
    <x v="68"/>
    <d v="2023-08-19T00:00:00"/>
    <d v="2023-09-07T00:00:00"/>
    <n v="19"/>
    <x v="25"/>
    <s v="Enterprise"/>
    <s v="Retail"/>
    <x v="14"/>
    <s v="Monitors"/>
    <n v="494.61"/>
    <s v="High"/>
    <n v="605.23"/>
    <n v="0.20399999999999999"/>
    <n v="18"/>
    <n v="15600.46968"/>
    <n v="8902.98"/>
    <x v="68"/>
    <x v="0"/>
  </r>
  <r>
    <x v="69"/>
    <d v="2023-04-21T00:00:00"/>
    <d v="2023-05-10T00:00:00"/>
    <n v="19"/>
    <x v="12"/>
    <s v="Corporate"/>
    <s v="Retail"/>
    <x v="8"/>
    <s v="Components"/>
    <n v="882.33"/>
    <s v="High"/>
    <n v="1880.15"/>
    <n v="0.05"/>
    <n v="5"/>
    <n v="11803.702499999998"/>
    <n v="4411.6500000000005"/>
    <x v="69"/>
    <x v="0"/>
  </r>
  <r>
    <x v="70"/>
    <d v="2024-03-18T00:00:00"/>
    <d v="2024-03-21T00:00:00"/>
    <n v="3"/>
    <x v="0"/>
    <s v="Small Business"/>
    <s v="Online"/>
    <x v="12"/>
    <s v="Accessories"/>
    <n v="910.63"/>
    <s v="High"/>
    <n v="1269.4000000000001"/>
    <n v="6.8000000000000005E-2"/>
    <n v="9"/>
    <n v="240.65172000000001"/>
    <n v="8195.67"/>
    <x v="70"/>
    <x v="0"/>
  </r>
  <r>
    <x v="71"/>
    <d v="2025-04-09T00:00:00"/>
    <d v="2025-05-06T00:00:00"/>
    <n v="27"/>
    <x v="19"/>
    <s v="Enterprise"/>
    <s v="Marketplace"/>
    <x v="9"/>
    <s v="Laptops"/>
    <n v="264.19"/>
    <s v="High"/>
    <n v="620.92999999999995"/>
    <n v="0.14199999999999999"/>
    <n v="12"/>
    <n v="19527.59952"/>
    <n v="3170.2799999999997"/>
    <x v="71"/>
    <x v="0"/>
  </r>
  <r>
    <x v="72"/>
    <d v="2024-04-12T00:00:00"/>
    <d v="2024-05-07T00:00:00"/>
    <n v="25"/>
    <x v="20"/>
    <s v="Education"/>
    <s v="Distributor"/>
    <x v="8"/>
    <s v="Laptops"/>
    <n v="1376.51"/>
    <s v="High"/>
    <n v="1455.91"/>
    <n v="0.185"/>
    <n v="17"/>
    <n v="5807.6003499999997"/>
    <n v="23400.67"/>
    <x v="72"/>
    <x v="0"/>
  </r>
  <r>
    <x v="73"/>
    <d v="2024-12-15T00:00:00"/>
    <d v="2024-12-20T00:00:00"/>
    <n v="5"/>
    <x v="6"/>
    <s v="Small Business"/>
    <s v="Direct"/>
    <x v="1"/>
    <s v="Networking"/>
    <n v="717.55"/>
    <s v="High"/>
    <n v="546.42999999999995"/>
    <n v="4.7E-2"/>
    <n v="18"/>
    <n v="34328.070179999995"/>
    <n v="12915.9"/>
    <x v="73"/>
    <x v="0"/>
  </r>
  <r>
    <x v="74"/>
    <d v="2023-05-20T00:00:00"/>
    <d v="2023-05-18T00:00:00"/>
    <n v="2"/>
    <x v="15"/>
    <s v="Corporate"/>
    <s v="Distributor"/>
    <x v="8"/>
    <s v="Components"/>
    <n v="917.88"/>
    <s v="High"/>
    <n v="1347.92"/>
    <n v="0.34300000000000003"/>
    <n v="5"/>
    <n v="10198.97235"/>
    <n v="4589.3999999999996"/>
    <x v="74"/>
    <x v="0"/>
  </r>
  <r>
    <x v="75"/>
    <d v="2023-09-18T00:00:00"/>
    <d v="2023-10-08T00:00:00"/>
    <n v="20"/>
    <x v="27"/>
    <s v="Small Business"/>
    <s v="Direct"/>
    <x v="5"/>
    <s v="Components"/>
    <n v="825.64"/>
    <s v="High"/>
    <n v="1108.43"/>
    <n v="0.114"/>
    <n v="7"/>
    <n v="2073.2045600000001"/>
    <n v="5779.48"/>
    <x v="75"/>
    <x v="0"/>
  </r>
  <r>
    <x v="76"/>
    <d v="2024-08-28T00:00:00"/>
    <d v="2024-09-25T00:00:00"/>
    <n v="28"/>
    <x v="21"/>
    <s v="Non-Profit"/>
    <s v="Online"/>
    <x v="15"/>
    <s v="Accessories"/>
    <n v="1394.65"/>
    <s v="High"/>
    <n v="3144.1"/>
    <n v="0.13400000000000001"/>
    <n v="13"/>
    <n v="21984.960139999999"/>
    <n v="18130.45"/>
    <x v="76"/>
    <x v="0"/>
  </r>
  <r>
    <x v="77"/>
    <d v="2024-06-30T00:00:00"/>
    <d v="2024-06-28T00:00:00"/>
    <n v="2"/>
    <x v="17"/>
    <s v="Small Business"/>
    <s v="Direct"/>
    <x v="4"/>
    <s v="Accessories"/>
    <n v="1112.98"/>
    <s v="High"/>
    <n v="2095.73"/>
    <n v="7.1999999999999995E-2"/>
    <n v="17"/>
    <n v="3822.3670400000005"/>
    <n v="18920.66"/>
    <x v="77"/>
    <x v="0"/>
  </r>
  <r>
    <x v="78"/>
    <d v="2023-06-14T00:00:00"/>
    <d v="2023-06-16T00:00:00"/>
    <n v="2"/>
    <x v="23"/>
    <s v="Non-Profit"/>
    <s v="Direct"/>
    <x v="11"/>
    <s v="Components"/>
    <n v="357.36"/>
    <s v="High"/>
    <n v="703.62"/>
    <n v="0.25700000000000001"/>
    <n v="20"/>
    <n v="44117.408199999998"/>
    <n v="7147.2000000000007"/>
    <x v="78"/>
    <x v="0"/>
  </r>
  <r>
    <x v="79"/>
    <d v="2024-11-21T00:00:00"/>
    <d v="2024-12-21T00:00:00"/>
    <n v="0"/>
    <x v="18"/>
    <s v="Small Business"/>
    <s v="Direct"/>
    <x v="2"/>
    <s v="Monitors"/>
    <n v="1122.68"/>
    <s v="High"/>
    <n v="1997.19"/>
    <n v="0.186"/>
    <n v="3"/>
    <n v="3404.8806"/>
    <n v="3368.04"/>
    <x v="79"/>
    <x v="0"/>
  </r>
  <r>
    <x v="80"/>
    <d v="2023-02-08T00:00:00"/>
    <d v="2023-02-11T00:00:00"/>
    <n v="3"/>
    <x v="2"/>
    <s v="Corporate"/>
    <s v="Direct"/>
    <x v="12"/>
    <s v="Networking"/>
    <n v="1410.05"/>
    <s v="High"/>
    <n v="2763.95"/>
    <n v="0.161"/>
    <n v="26"/>
    <n v="336.15374000000003"/>
    <n v="36661.299999999996"/>
    <x v="80"/>
    <x v="0"/>
  </r>
  <r>
    <x v="81"/>
    <d v="2023-08-19T00:00:00"/>
    <d v="2023-09-12T00:00:00"/>
    <n v="24"/>
    <x v="25"/>
    <s v="Enterprise"/>
    <s v="Retail"/>
    <x v="2"/>
    <s v="Printers"/>
    <n v="1183.95"/>
    <s v="High"/>
    <n v="1503.53"/>
    <n v="0.24099999999999999"/>
    <n v="16"/>
    <n v="27333.836640000001"/>
    <n v="18943.2"/>
    <x v="81"/>
    <x v="0"/>
  </r>
  <r>
    <x v="82"/>
    <d v="2025-05-14T00:00:00"/>
    <d v="2025-05-24T00:00:00"/>
    <n v="10"/>
    <x v="8"/>
    <s v="Small Business"/>
    <s v="Marketplace"/>
    <x v="11"/>
    <s v="Components"/>
    <n v="170.39"/>
    <s v="High"/>
    <n v="388.04"/>
    <n v="8.4000000000000005E-2"/>
    <n v="15"/>
    <n v="2281.3896"/>
    <n v="2555.85"/>
    <x v="82"/>
    <x v="0"/>
  </r>
  <r>
    <x v="83"/>
    <d v="2025-04-23T00:00:00"/>
    <d v="2025-04-22T00:00:00"/>
    <n v="1"/>
    <x v="19"/>
    <s v="Non-Profit"/>
    <s v="Distributor"/>
    <x v="14"/>
    <s v="Monitors"/>
    <n v="23.24"/>
    <s v="Low"/>
    <n v="44.57"/>
    <n v="0.215"/>
    <n v="15"/>
    <n v="4198.3762500000003"/>
    <n v="348.59999999999997"/>
    <x v="83"/>
    <x v="0"/>
  </r>
  <r>
    <x v="84"/>
    <d v="2025-03-25T00:00:00"/>
    <d v="2025-04-17T00:00:00"/>
    <n v="23"/>
    <x v="3"/>
    <s v="Consumer"/>
    <s v="Retail"/>
    <x v="10"/>
    <s v="Networking"/>
    <n v="1421.19"/>
    <s v="High"/>
    <n v="1808.26"/>
    <n v="0.104"/>
    <n v="13"/>
    <n v="11939.7824"/>
    <n v="18475.47"/>
    <x v="84"/>
    <x v="0"/>
  </r>
  <r>
    <x v="85"/>
    <d v="2023-12-22T00:00:00"/>
    <d v="2023-12-23T00:00:00"/>
    <n v="1"/>
    <x v="4"/>
    <s v="Non-Profit"/>
    <s v="Marketplace"/>
    <x v="14"/>
    <s v="Components"/>
    <n v="1186.18"/>
    <s v="High"/>
    <n v="1285.0899999999999"/>
    <n v="7.0000000000000007E-2"/>
    <n v="11"/>
    <n v="18364.589100000001"/>
    <n v="13047.980000000001"/>
    <x v="85"/>
    <x v="0"/>
  </r>
  <r>
    <x v="86"/>
    <d v="2024-04-06T00:00:00"/>
    <d v="2024-04-25T00:00:00"/>
    <n v="19"/>
    <x v="20"/>
    <s v="Corporate"/>
    <s v="Retail"/>
    <x v="11"/>
    <s v="Components"/>
    <n v="1366.48"/>
    <s v="High"/>
    <n v="1678.14"/>
    <n v="0.154"/>
    <n v="10"/>
    <n v="36.970199999999998"/>
    <n v="13664.8"/>
    <x v="86"/>
    <x v="0"/>
  </r>
  <r>
    <x v="87"/>
    <d v="2025-08-07T00:00:00"/>
    <d v="2025-08-19T00:00:00"/>
    <n v="12"/>
    <x v="28"/>
    <s v="Corporate"/>
    <s v="Not Provided"/>
    <x v="12"/>
    <s v="Components"/>
    <n v="601.51"/>
    <s v="High"/>
    <n v="679.35"/>
    <n v="0.188"/>
    <n v="3"/>
    <n v="532.26600000000008"/>
    <n v="1804.53"/>
    <x v="87"/>
    <x v="0"/>
  </r>
  <r>
    <x v="88"/>
    <d v="2024-01-21T00:00:00"/>
    <d v="2024-01-25T00:00:00"/>
    <n v="4"/>
    <x v="9"/>
    <s v="Consumer"/>
    <s v="Direct"/>
    <x v="0"/>
    <s v="Monitors"/>
    <n v="523.70000000000005"/>
    <s v="High"/>
    <n v="1109.92"/>
    <n v="0.03"/>
    <n v="11"/>
    <n v="2666.1129000000001"/>
    <n v="5760.7000000000007"/>
    <x v="88"/>
    <x v="0"/>
  </r>
  <r>
    <x v="89"/>
    <d v="2023-06-29T00:00:00"/>
    <d v="2023-07-02T00:00:00"/>
    <n v="3"/>
    <x v="23"/>
    <s v="Education"/>
    <s v="Marketplace"/>
    <x v="9"/>
    <s v="Monitors"/>
    <n v="55.65"/>
    <s v="Medium"/>
    <n v="83.57"/>
    <n v="6.6000000000000003E-2"/>
    <n v="8"/>
    <n v="25677.677439999999"/>
    <n v="445.2"/>
    <x v="89"/>
    <x v="0"/>
  </r>
  <r>
    <x v="90"/>
    <d v="2025-04-28T00:00:00"/>
    <d v="2025-05-15T00:00:00"/>
    <n v="17"/>
    <x v="19"/>
    <s v="Education"/>
    <s v="Direct"/>
    <x v="13"/>
    <s v="Networking"/>
    <n v="691.19"/>
    <s v="High"/>
    <n v="1284.3"/>
    <n v="7.3999999999999996E-2"/>
    <n v="7"/>
    <n v="346.46290000000005"/>
    <n v="4838.33"/>
    <x v="90"/>
    <x v="0"/>
  </r>
  <r>
    <x v="91"/>
    <d v="2025-06-09T00:00:00"/>
    <d v="2025-06-25T00:00:00"/>
    <n v="16"/>
    <x v="16"/>
    <s v="Enterprise"/>
    <s v="Distributor"/>
    <x v="12"/>
    <s v="Phones"/>
    <n v="527.33000000000004"/>
    <s v="High"/>
    <n v="911.72"/>
    <n v="0.14399999999999999"/>
    <n v="25"/>
    <n v="74251.58"/>
    <n v="13183.250000000002"/>
    <x v="91"/>
    <x v="0"/>
  </r>
  <r>
    <x v="92"/>
    <d v="2023-06-24T00:00:00"/>
    <d v="2023-06-23T00:00:00"/>
    <n v="1"/>
    <x v="23"/>
    <s v="Non-Profit"/>
    <s v="Retail"/>
    <x v="6"/>
    <s v="Printers"/>
    <n v="804.01"/>
    <s v="High"/>
    <n v="1405.07"/>
    <n v="9.6000000000000002E-2"/>
    <n v="8"/>
    <n v="4491.2166399999996"/>
    <n v="6432.08"/>
    <x v="92"/>
    <x v="0"/>
  </r>
  <r>
    <x v="93"/>
    <d v="2024-10-04T00:00:00"/>
    <d v="2024-11-02T00:00:00"/>
    <n v="29"/>
    <x v="1"/>
    <s v="Corporate"/>
    <s v="Distributor"/>
    <x v="9"/>
    <s v="Accessories"/>
    <n v="412.09"/>
    <s v="High"/>
    <n v="968.94"/>
    <n v="9.9000000000000005E-2"/>
    <n v="23"/>
    <n v="1834.19273"/>
    <n v="9478.07"/>
    <x v="93"/>
    <x v="0"/>
  </r>
  <r>
    <x v="94"/>
    <d v="2025-09-10T00:00:00"/>
    <d v="2025-09-30T00:00:00"/>
    <n v="20"/>
    <x v="11"/>
    <s v="Corporate"/>
    <s v="Direct"/>
    <x v="4"/>
    <s v="Phones"/>
    <n v="1009.48"/>
    <s v="High"/>
    <n v="1088.81"/>
    <n v="0.16"/>
    <n v="6"/>
    <n v="9873.8135999999995"/>
    <n v="6056.88"/>
    <x v="94"/>
    <x v="0"/>
  </r>
  <r>
    <x v="95"/>
    <d v="2023-04-06T00:00:00"/>
    <d v="2023-04-27T00:00:00"/>
    <n v="21"/>
    <x v="12"/>
    <s v="Enterprise"/>
    <s v="Distributor"/>
    <x v="2"/>
    <s v="Printers"/>
    <n v="1084.79"/>
    <s v="High"/>
    <n v="2484.9899999999998"/>
    <n v="3.4000000000000002E-2"/>
    <n v="18"/>
    <n v="47694.762360000001"/>
    <n v="19526.22"/>
    <x v="95"/>
    <x v="0"/>
  </r>
  <r>
    <x v="96"/>
    <d v="2025-08-01T00:00:00"/>
    <d v="2025-08-16T00:00:00"/>
    <n v="15"/>
    <x v="28"/>
    <s v="Enterprise"/>
    <s v="Direct"/>
    <x v="7"/>
    <s v="Monitors"/>
    <n v="24.44"/>
    <s v="Low"/>
    <n v="28.69"/>
    <n v="0.14599999999999999"/>
    <n v="6"/>
    <n v="8605.3480799999998"/>
    <n v="146.64000000000001"/>
    <x v="96"/>
    <x v="0"/>
  </r>
  <r>
    <x v="97"/>
    <d v="2024-05-28T00:00:00"/>
    <d v="2024-05-26T00:00:00"/>
    <n v="2"/>
    <x v="7"/>
    <s v="Enterprise"/>
    <s v="Online"/>
    <x v="9"/>
    <s v="Accessories"/>
    <n v="1227.08"/>
    <s v="High"/>
    <n v="1896.62"/>
    <n v="0"/>
    <n v="18"/>
    <n v="25810.2"/>
    <n v="22087.439999999999"/>
    <x v="97"/>
    <x v="0"/>
  </r>
  <r>
    <x v="98"/>
    <d v="2025-07-22T00:00:00"/>
    <d v="2025-08-18T00:00:00"/>
    <n v="27"/>
    <x v="13"/>
    <s v="Non-Profit"/>
    <s v="Marketplace"/>
    <x v="12"/>
    <s v="Networking"/>
    <n v="547.32000000000005"/>
    <s v="High"/>
    <n v="419.17"/>
    <n v="9.1999999999999998E-2"/>
    <n v="14"/>
    <n v="3615.67416"/>
    <n v="7662.4800000000005"/>
    <x v="98"/>
    <x v="0"/>
  </r>
  <r>
    <x v="99"/>
    <d v="2023-02-28T00:00:00"/>
    <d v="2023-03-20T00:00:00"/>
    <n v="20"/>
    <x v="2"/>
    <s v="Small Business"/>
    <s v="Direct"/>
    <x v="10"/>
    <s v="Laptops"/>
    <n v="1200.78"/>
    <s v="High"/>
    <n v="2001.17"/>
    <n v="0.29199999999999998"/>
    <n v="18"/>
    <n v="8854.276319999999"/>
    <n v="21614.04"/>
    <x v="99"/>
    <x v="0"/>
  </r>
  <r>
    <x v="100"/>
    <d v="2025-01-27T00:00:00"/>
    <d v="2025-02-15T00:00:00"/>
    <n v="19"/>
    <x v="10"/>
    <s v="Non-Profit"/>
    <s v="Direct"/>
    <x v="4"/>
    <s v="Phones"/>
    <n v="1253.22"/>
    <s v="High"/>
    <n v="3104.71"/>
    <n v="0"/>
    <n v="17"/>
    <n v="31422.63"/>
    <n v="21304.74"/>
    <x v="100"/>
    <x v="0"/>
  </r>
  <r>
    <x v="101"/>
    <d v="2024-01-13T00:00:00"/>
    <d v="2024-01-22T00:00:00"/>
    <n v="9"/>
    <x v="9"/>
    <s v="Enterprise"/>
    <s v="Marketplace"/>
    <x v="1"/>
    <s v="Components"/>
    <n v="313.60000000000002"/>
    <s v="High"/>
    <n v="334.28"/>
    <n v="0.14000000000000001"/>
    <n v="22"/>
    <n v="854.99479999999994"/>
    <n v="6899.2000000000007"/>
    <x v="101"/>
    <x v="0"/>
  </r>
  <r>
    <x v="102"/>
    <d v="2025-03-31T00:00:00"/>
    <d v="2025-04-04T00:00:00"/>
    <n v="4"/>
    <x v="3"/>
    <s v="Corporate"/>
    <s v="Direct"/>
    <x v="0"/>
    <s v="Laptops"/>
    <n v="862.08"/>
    <s v="High"/>
    <n v="1952.83"/>
    <n v="0"/>
    <n v="7"/>
    <n v="2527.7000000000003"/>
    <n v="6034.56"/>
    <x v="102"/>
    <x v="0"/>
  </r>
  <r>
    <x v="103"/>
    <d v="2024-12-05T00:00:00"/>
    <d v="2024-12-28T00:00:00"/>
    <n v="23"/>
    <x v="6"/>
    <s v="Corporate"/>
    <s v="Direct"/>
    <x v="9"/>
    <s v="Accessories"/>
    <n v="107.03"/>
    <s v="High"/>
    <n v="242.29"/>
    <n v="0.18"/>
    <n v="30"/>
    <n v="24706.764000000003"/>
    <n v="3210.9"/>
    <x v="103"/>
    <x v="0"/>
  </r>
  <r>
    <x v="104"/>
    <d v="2024-09-14T00:00:00"/>
    <d v="2024-10-05T00:00:00"/>
    <n v="21"/>
    <x v="29"/>
    <s v="Small Business"/>
    <s v="Online"/>
    <x v="10"/>
    <s v="Laptops"/>
    <n v="1405.56"/>
    <s v="High"/>
    <n v="2968.87"/>
    <n v="0.16900000000000001"/>
    <n v="5"/>
    <n v="4270.2181499999997"/>
    <n v="7027.7999999999993"/>
    <x v="104"/>
    <x v="0"/>
  </r>
  <r>
    <x v="105"/>
    <d v="2024-05-21T00:00:00"/>
    <d v="2024-05-27T00:00:00"/>
    <n v="6"/>
    <x v="7"/>
    <s v="Non-Profit"/>
    <s v="Online"/>
    <x v="12"/>
    <s v="Components"/>
    <n v="1157.51"/>
    <s v="High"/>
    <n v="1394.3"/>
    <n v="0.27800000000000002"/>
    <n v="12"/>
    <n v="4055.5317599999998"/>
    <n v="13890.119999999999"/>
    <x v="105"/>
    <x v="0"/>
  </r>
  <r>
    <x v="106"/>
    <d v="2023-05-11T00:00:00"/>
    <d v="2023-06-07T00:00:00"/>
    <n v="27"/>
    <x v="15"/>
    <s v="Corporate"/>
    <s v="Online"/>
    <x v="1"/>
    <s v="Phones"/>
    <n v="12.85"/>
    <s v="Low"/>
    <n v="15.41"/>
    <n v="0.13700000000000001"/>
    <n v="39"/>
    <n v="22483.549139999999"/>
    <n v="501.15"/>
    <x v="106"/>
    <x v="0"/>
  </r>
  <r>
    <x v="107"/>
    <d v="2024-08-14T00:00:00"/>
    <d v="2024-09-04T00:00:00"/>
    <n v="21"/>
    <x v="21"/>
    <s v="Non-Profit"/>
    <s v="Online"/>
    <x v="1"/>
    <s v="Phones"/>
    <n v="1138.8"/>
    <s v="High"/>
    <n v="2250.81"/>
    <n v="0.123"/>
    <n v="12"/>
    <n v="5654.22948"/>
    <n v="13665.599999999999"/>
    <x v="107"/>
    <x v="0"/>
  </r>
  <r>
    <x v="108"/>
    <d v="2024-10-16T00:00:00"/>
    <d v="2024-11-08T00:00:00"/>
    <n v="23"/>
    <x v="1"/>
    <s v="Small Business"/>
    <s v="Retail"/>
    <x v="1"/>
    <s v="Networking"/>
    <n v="82.14"/>
    <s v="Medium"/>
    <n v="166.04"/>
    <n v="0"/>
    <n v="10"/>
    <n v="5727.1"/>
    <n v="821.4"/>
    <x v="108"/>
    <x v="0"/>
  </r>
  <r>
    <x v="109"/>
    <d v="2024-06-02T00:00:00"/>
    <d v="2024-06-08T00:00:00"/>
    <n v="6"/>
    <x v="17"/>
    <s v="Consumer"/>
    <s v="Marketplace"/>
    <x v="8"/>
    <s v="Accessories"/>
    <n v="292.94"/>
    <s v="High"/>
    <n v="356.55"/>
    <n v="0.22900000000000001"/>
    <n v="2"/>
    <n v="3583.4075399999997"/>
    <n v="585.88"/>
    <x v="109"/>
    <x v="0"/>
  </r>
  <r>
    <x v="110"/>
    <d v="2024-06-09T00:00:00"/>
    <d v="2024-07-07T00:00:00"/>
    <n v="28"/>
    <x v="17"/>
    <s v="Corporate"/>
    <s v="Online"/>
    <x v="1"/>
    <s v="Components"/>
    <n v="550.22"/>
    <s v="High"/>
    <n v="1025.05"/>
    <n v="0"/>
    <n v="27"/>
    <n v="44038.080000000002"/>
    <n v="14855.94"/>
    <x v="110"/>
    <x v="0"/>
  </r>
  <r>
    <x v="111"/>
    <d v="2024-06-10T00:00:00"/>
    <d v="2024-06-11T00:00:00"/>
    <n v="1"/>
    <x v="17"/>
    <s v="Small Business"/>
    <s v="Marketplace"/>
    <x v="12"/>
    <s v="Laptops"/>
    <n v="1187.1300000000001"/>
    <s v="High"/>
    <n v="1795.17"/>
    <n v="1.2E-2"/>
    <n v="17"/>
    <n v="6606.0347600000005"/>
    <n v="20181.210000000003"/>
    <x v="111"/>
    <x v="0"/>
  </r>
  <r>
    <x v="112"/>
    <d v="2024-06-29T00:00:00"/>
    <d v="2024-07-26T00:00:00"/>
    <n v="27"/>
    <x v="17"/>
    <s v="Enterprise"/>
    <s v="Distributor"/>
    <x v="5"/>
    <s v="Networking"/>
    <n v="5.36"/>
    <s v="Low"/>
    <n v="4.37"/>
    <n v="0.11799999999999999"/>
    <n v="9"/>
    <n v="14734.198080000002"/>
    <n v="48.24"/>
    <x v="112"/>
    <x v="0"/>
  </r>
  <r>
    <x v="113"/>
    <d v="2025-01-17T00:00:00"/>
    <d v="2025-01-24T00:00:00"/>
    <n v="7"/>
    <x v="10"/>
    <s v="Enterprise"/>
    <s v="Online"/>
    <x v="3"/>
    <s v="Accessories"/>
    <n v="142.09"/>
    <s v="High"/>
    <n v="218.5"/>
    <n v="0.11899999999999999"/>
    <n v="11"/>
    <n v="822.7659000000001"/>
    <n v="1562.99"/>
    <x v="113"/>
    <x v="0"/>
  </r>
  <r>
    <x v="114"/>
    <d v="2023-11-20T00:00:00"/>
    <d v="2023-12-05T00:00:00"/>
    <n v="15"/>
    <x v="30"/>
    <s v="Enterprise"/>
    <s v="Retail"/>
    <x v="4"/>
    <s v="Networking"/>
    <n v="354.24"/>
    <s v="High"/>
    <n v="249.87"/>
    <n v="0"/>
    <n v="6"/>
    <n v="13513.439999999999"/>
    <n v="2125.44"/>
    <x v="114"/>
    <x v="0"/>
  </r>
  <r>
    <x v="115"/>
    <d v="2023-03-02T00:00:00"/>
    <d v="2023-03-05T00:00:00"/>
    <n v="3"/>
    <x v="22"/>
    <s v="Enterprise"/>
    <s v="Direct"/>
    <x v="3"/>
    <s v="Monitors"/>
    <n v="1473.58"/>
    <s v="High"/>
    <n v="3436.52"/>
    <n v="0.108"/>
    <n v="8"/>
    <n v="6576.6803200000004"/>
    <n v="11788.64"/>
    <x v="115"/>
    <x v="0"/>
  </r>
  <r>
    <x v="116"/>
    <d v="2025-06-03T00:00:00"/>
    <d v="2025-06-10T00:00:00"/>
    <n v="7"/>
    <x v="16"/>
    <s v="Consumer"/>
    <s v="Distributor"/>
    <x v="7"/>
    <s v="Printers"/>
    <n v="75.180000000000007"/>
    <s v="Medium"/>
    <n v="53.45"/>
    <n v="0.157"/>
    <n v="17"/>
    <n v="23548.41258"/>
    <n v="1278.0600000000002"/>
    <x v="116"/>
    <x v="0"/>
  </r>
  <r>
    <x v="117"/>
    <d v="2024-12-27T00:00:00"/>
    <d v="2025-01-02T00:00:00"/>
    <n v="6"/>
    <x v="6"/>
    <s v="Education"/>
    <s v="Direct"/>
    <x v="9"/>
    <s v="Laptops"/>
    <n v="1391.99"/>
    <s v="High"/>
    <n v="3469.7"/>
    <n v="0.184"/>
    <n v="23"/>
    <n v="27535.846560000005"/>
    <n v="32015.77"/>
    <x v="117"/>
    <x v="0"/>
  </r>
  <r>
    <x v="118"/>
    <d v="2023-06-09T00:00:00"/>
    <d v="2023-06-19T00:00:00"/>
    <n v="10"/>
    <x v="23"/>
    <s v="Enterprise"/>
    <s v="Retail"/>
    <x v="9"/>
    <s v="Monitors"/>
    <n v="339.61"/>
    <s v="High"/>
    <n v="621.02"/>
    <n v="7.0999999999999994E-2"/>
    <n v="10"/>
    <n v="9278.4804000000004"/>
    <n v="3396.1000000000004"/>
    <x v="118"/>
    <x v="0"/>
  </r>
  <r>
    <x v="119"/>
    <d v="2025-07-09T00:00:00"/>
    <d v="2025-07-18T00:00:00"/>
    <n v="9"/>
    <x v="13"/>
    <s v="Education"/>
    <s v="Distributor"/>
    <x v="2"/>
    <s v="Laptops"/>
    <n v="57.96"/>
    <s v="Medium"/>
    <n v="88.51"/>
    <n v="4.2999999999999997E-2"/>
    <n v="7"/>
    <n v="4225.1932799999995"/>
    <n v="405.72"/>
    <x v="119"/>
    <x v="0"/>
  </r>
  <r>
    <x v="120"/>
    <d v="2025-06-19T00:00:00"/>
    <d v="2025-07-12T00:00:00"/>
    <n v="23"/>
    <x v="16"/>
    <s v="Non-Profit"/>
    <s v="Direct"/>
    <x v="15"/>
    <s v="Networking"/>
    <n v="801.24"/>
    <s v="High"/>
    <n v="1959.09"/>
    <n v="0.123"/>
    <n v="23"/>
    <n v="14696.792309999999"/>
    <n v="18428.52"/>
    <x v="120"/>
    <x v="0"/>
  </r>
  <r>
    <x v="121"/>
    <d v="2023-11-19T00:00:00"/>
    <d v="2023-12-13T00:00:00"/>
    <n v="24"/>
    <x v="30"/>
    <s v="Non-Profit"/>
    <s v="Direct"/>
    <x v="10"/>
    <s v="Monitors"/>
    <n v="1297.42"/>
    <s v="High"/>
    <n v="2742.97"/>
    <n v="6.9000000000000006E-2"/>
    <n v="9"/>
    <n v="7972.7022900000002"/>
    <n v="11676.78"/>
    <x v="121"/>
    <x v="0"/>
  </r>
  <r>
    <x v="122"/>
    <d v="2023-12-29T00:00:00"/>
    <d v="2024-01-20T00:00:00"/>
    <n v="22"/>
    <x v="4"/>
    <s v="Corporate"/>
    <s v="Direct"/>
    <x v="4"/>
    <s v="Phones"/>
    <n v="1395.49"/>
    <s v="High"/>
    <n v="1679.42"/>
    <n v="0.20300000000000001"/>
    <n v="12"/>
    <n v="7009.2643199999993"/>
    <n v="16745.88"/>
    <x v="122"/>
    <x v="0"/>
  </r>
  <r>
    <x v="123"/>
    <d v="2024-11-02T00:00:00"/>
    <d v="2024-11-29T00:00:00"/>
    <n v="27"/>
    <x v="18"/>
    <s v="Small Business"/>
    <s v="Direct"/>
    <x v="2"/>
    <s v="Networking"/>
    <n v="1363.51"/>
    <s v="High"/>
    <n v="1433.9"/>
    <n v="5.7000000000000002E-2"/>
    <n v="8"/>
    <n v="18192.506879999997"/>
    <n v="10908.08"/>
    <x v="123"/>
    <x v="0"/>
  </r>
  <r>
    <x v="124"/>
    <d v="2023-08-21T00:00:00"/>
    <d v="2023-09-04T00:00:00"/>
    <n v="14"/>
    <x v="25"/>
    <s v="Education"/>
    <s v="Distributor"/>
    <x v="9"/>
    <s v="Components"/>
    <n v="178.19"/>
    <s v="High"/>
    <n v="284.43"/>
    <n v="8.8999999999999996E-2"/>
    <n v="8"/>
    <n v="4141.6975199999997"/>
    <n v="1425.52"/>
    <x v="124"/>
    <x v="0"/>
  </r>
  <r>
    <x v="125"/>
    <d v="2023-08-12T00:00:00"/>
    <d v="2023-09-06T00:00:00"/>
    <n v="25"/>
    <x v="25"/>
    <s v="Small Business"/>
    <s v="Retail"/>
    <x v="5"/>
    <s v="Components"/>
    <n v="950.77"/>
    <s v="High"/>
    <n v="694.78"/>
    <n v="8.4000000000000005E-2"/>
    <n v="14"/>
    <n v="16093.478800000001"/>
    <n v="13310.779999999999"/>
    <x v="125"/>
    <x v="0"/>
  </r>
  <r>
    <x v="126"/>
    <d v="2024-06-07T00:00:00"/>
    <d v="2024-06-26T00:00:00"/>
    <n v="19"/>
    <x v="17"/>
    <s v="Non-Profit"/>
    <s v="Marketplace"/>
    <x v="12"/>
    <s v="Components"/>
    <n v="1064.32"/>
    <s v="High"/>
    <n v="1848.39"/>
    <n v="7.2999999999999995E-2"/>
    <n v="38"/>
    <n v="29785.344300000001"/>
    <n v="40444.159999999996"/>
    <x v="126"/>
    <x v="0"/>
  </r>
  <r>
    <x v="127"/>
    <d v="2025-08-05T00:00:00"/>
    <d v="2025-08-14T00:00:00"/>
    <n v="9"/>
    <x v="28"/>
    <s v="Non-Profit"/>
    <s v="Direct"/>
    <x v="6"/>
    <s v="Components"/>
    <n v="41.76"/>
    <s v="Low"/>
    <n v="45.19"/>
    <n v="0.17899999999999999"/>
    <n v="23"/>
    <n v="40507.245110000003"/>
    <n v="960.4799999999999"/>
    <x v="127"/>
    <x v="0"/>
  </r>
  <r>
    <x v="128"/>
    <d v="2024-05-30T00:00:00"/>
    <d v="2024-06-13T00:00:00"/>
    <n v="14"/>
    <x v="7"/>
    <s v="Small Business"/>
    <s v="Retail"/>
    <x v="9"/>
    <s v="Phones"/>
    <n v="157.78"/>
    <s v="High"/>
    <n v="361.1"/>
    <n v="0.187"/>
    <n v="9"/>
    <n v="9877.5109800000009"/>
    <n v="1420.02"/>
    <x v="128"/>
    <x v="0"/>
  </r>
  <r>
    <x v="129"/>
    <d v="2023-01-22T00:00:00"/>
    <d v="2023-01-30T00:00:00"/>
    <n v="8"/>
    <x v="5"/>
    <s v="Small Business"/>
    <s v="Online"/>
    <x v="8"/>
    <s v="Networking"/>
    <n v="413.52"/>
    <s v="High"/>
    <n v="1004.34"/>
    <n v="0.111"/>
    <n v="18"/>
    <n v="8440.7349599999998"/>
    <n v="7443.36"/>
    <x v="129"/>
    <x v="0"/>
  </r>
  <r>
    <x v="130"/>
    <d v="2025-02-12T00:00:00"/>
    <d v="2025-02-28T00:00:00"/>
    <n v="16"/>
    <x v="26"/>
    <s v="Non-Profit"/>
    <s v="Direct"/>
    <x v="5"/>
    <s v="Monitors"/>
    <n v="414.95"/>
    <s v="High"/>
    <n v="1027.73"/>
    <n v="6.3E-2"/>
    <n v="8"/>
    <n v="10997.906320000002"/>
    <n v="3319.6"/>
    <x v="130"/>
    <x v="0"/>
  </r>
  <r>
    <x v="131"/>
    <d v="2025-03-03T00:00:00"/>
    <d v="2025-03-24T00:00:00"/>
    <n v="21"/>
    <x v="3"/>
    <s v="Enterprise"/>
    <s v="Direct"/>
    <x v="10"/>
    <s v="Accessories"/>
    <n v="555.95000000000005"/>
    <s v="High"/>
    <n v="468.09"/>
    <n v="0.14199999999999999"/>
    <n v="11"/>
    <n v="15583.45932"/>
    <n v="6115.4500000000007"/>
    <x v="131"/>
    <x v="0"/>
  </r>
  <r>
    <x v="132"/>
    <d v="2023-01-27T00:00:00"/>
    <d v="2023-01-31T00:00:00"/>
    <n v="4"/>
    <x v="5"/>
    <s v="Enterprise"/>
    <s v="Online"/>
    <x v="13"/>
    <s v="Laptops"/>
    <n v="941.2"/>
    <s v="High"/>
    <n v="668.02"/>
    <n v="0.22"/>
    <n v="16"/>
    <n v="24737.606400000001"/>
    <n v="15059.2"/>
    <x v="132"/>
    <x v="0"/>
  </r>
  <r>
    <x v="133"/>
    <d v="2025-01-09T00:00:00"/>
    <d v="2025-01-15T00:00:00"/>
    <n v="6"/>
    <x v="10"/>
    <s v="Education"/>
    <s v="Online"/>
    <x v="0"/>
    <s v="Phones"/>
    <n v="304.77999999999997"/>
    <s v="High"/>
    <n v="537.27"/>
    <n v="0.187"/>
    <n v="8"/>
    <n v="16599.638879999999"/>
    <n v="2438.2399999999998"/>
    <x v="133"/>
    <x v="0"/>
  </r>
  <r>
    <x v="134"/>
    <d v="2024-12-21T00:00:00"/>
    <d v="2024-12-26T00:00:00"/>
    <n v="5"/>
    <x v="6"/>
    <s v="Consumer"/>
    <s v="Marketplace"/>
    <x v="12"/>
    <s v="Printers"/>
    <n v="699.57"/>
    <s v="High"/>
    <n v="572.71"/>
    <n v="0.192"/>
    <n v="26"/>
    <n v="10987.39408"/>
    <n v="18188.82"/>
    <x v="134"/>
    <x v="0"/>
  </r>
  <r>
    <x v="135"/>
    <d v="2023-04-12T00:00:00"/>
    <d v="2023-04-17T00:00:00"/>
    <n v="5"/>
    <x v="12"/>
    <s v="Enterprise"/>
    <s v="Direct"/>
    <x v="6"/>
    <s v="Monitors"/>
    <n v="1087.81"/>
    <s v="High"/>
    <n v="2323.87"/>
    <n v="9.4E-2"/>
    <n v="13"/>
    <n v="14342.18838"/>
    <n v="14141.529999999999"/>
    <x v="135"/>
    <x v="0"/>
  </r>
  <r>
    <x v="136"/>
    <d v="2024-12-14T00:00:00"/>
    <d v="2025-01-12T00:00:00"/>
    <n v="29"/>
    <x v="6"/>
    <s v="Education"/>
    <s v="Online"/>
    <x v="1"/>
    <s v="Components"/>
    <n v="1412.15"/>
    <s v="High"/>
    <n v="1631.04"/>
    <n v="8.9999999999999993E-3"/>
    <n v="6"/>
    <n v="7989.2834400000002"/>
    <n v="8472.9000000000015"/>
    <x v="136"/>
    <x v="0"/>
  </r>
  <r>
    <x v="137"/>
    <d v="2023-03-31T00:00:00"/>
    <d v="2023-04-12T00:00:00"/>
    <n v="12"/>
    <x v="22"/>
    <s v="Small Business"/>
    <s v="Online"/>
    <x v="0"/>
    <s v="Phones"/>
    <n v="304.22000000000003"/>
    <s v="High"/>
    <n v="393.31"/>
    <n v="0.26500000000000001"/>
    <n v="15"/>
    <n v="3326.2424999999998"/>
    <n v="4563.3"/>
    <x v="137"/>
    <x v="0"/>
  </r>
  <r>
    <x v="138"/>
    <d v="2024-11-20T00:00:00"/>
    <d v="2024-12-15T00:00:00"/>
    <n v="25"/>
    <x v="18"/>
    <s v="Corporate"/>
    <s v="Online"/>
    <x v="3"/>
    <s v="Printers"/>
    <n v="1203.58"/>
    <s v="High"/>
    <n v="1856.16"/>
    <n v="0.129"/>
    <n v="22"/>
    <n v="28967.387020000002"/>
    <n v="26478.76"/>
    <x v="138"/>
    <x v="0"/>
  </r>
  <r>
    <x v="139"/>
    <d v="2024-02-14T00:00:00"/>
    <d v="2024-02-14T00:00:00"/>
    <n v="0"/>
    <x v="31"/>
    <s v="Corporate"/>
    <s v="Distributor"/>
    <x v="4"/>
    <s v="Accessories"/>
    <n v="65.930000000000007"/>
    <s v="Medium"/>
    <n v="84.9"/>
    <n v="0.25900000000000001"/>
    <n v="23"/>
    <n v="35027.455319999994"/>
    <n v="1516.39"/>
    <x v="139"/>
    <x v="0"/>
  </r>
  <r>
    <x v="140"/>
    <d v="2023-05-02T00:00:00"/>
    <d v="2023-05-18T00:00:00"/>
    <n v="16"/>
    <x v="15"/>
    <s v="Small Business"/>
    <s v="Marketplace"/>
    <x v="11"/>
    <s v="Monitors"/>
    <n v="1463.92"/>
    <s v="High"/>
    <n v="2252.2399999999998"/>
    <n v="0.11799999999999999"/>
    <n v="44"/>
    <n v="15179.749199999998"/>
    <n v="64412.480000000003"/>
    <x v="140"/>
    <x v="0"/>
  </r>
  <r>
    <x v="141"/>
    <d v="2024-12-23T00:00:00"/>
    <d v="2025-01-11T00:00:00"/>
    <n v="19"/>
    <x v="6"/>
    <s v="Education"/>
    <s v="Retail"/>
    <x v="11"/>
    <s v="Phones"/>
    <n v="501.81"/>
    <s v="High"/>
    <n v="921.62"/>
    <n v="0.01"/>
    <n v="9"/>
    <n v="16474.322700000001"/>
    <n v="4516.29"/>
    <x v="141"/>
    <x v="0"/>
  </r>
  <r>
    <x v="142"/>
    <d v="2023-07-26T00:00:00"/>
    <d v="2023-08-25T00:00:00"/>
    <n v="30"/>
    <x v="24"/>
    <s v="Consumer"/>
    <s v="Retail"/>
    <x v="12"/>
    <s v="Accessories"/>
    <n v="1261.48"/>
    <s v="High"/>
    <n v="1643.18"/>
    <n v="0.151"/>
    <n v="23"/>
    <n v="27251.100119999996"/>
    <n v="29014.04"/>
    <x v="142"/>
    <x v="0"/>
  </r>
  <r>
    <x v="143"/>
    <d v="2024-06-15T00:00:00"/>
    <d v="2024-07-06T00:00:00"/>
    <n v="21"/>
    <x v="17"/>
    <s v="Enterprise"/>
    <s v="Distributor"/>
    <x v="4"/>
    <s v="Printers"/>
    <n v="817.23"/>
    <s v="High"/>
    <n v="1467.17"/>
    <n v="0.245"/>
    <n v="9"/>
    <n v="3655.9817999999996"/>
    <n v="7355.07"/>
    <x v="143"/>
    <x v="0"/>
  </r>
  <r>
    <x v="144"/>
    <d v="2023-07-05T00:00:00"/>
    <d v="2023-07-14T00:00:00"/>
    <n v="9"/>
    <x v="24"/>
    <s v="Enterprise"/>
    <s v="Direct"/>
    <x v="5"/>
    <s v="Networking"/>
    <n v="578.85"/>
    <s v="High"/>
    <n v="998.76"/>
    <n v="8.2000000000000003E-2"/>
    <n v="28"/>
    <n v="31331.119680000003"/>
    <n v="16207.800000000001"/>
    <x v="144"/>
    <x v="0"/>
  </r>
  <r>
    <x v="145"/>
    <d v="2023-11-30T00:00:00"/>
    <d v="2023-11-29T00:00:00"/>
    <n v="1"/>
    <x v="30"/>
    <s v="Small Business"/>
    <s v="Marketplace"/>
    <x v="6"/>
    <s v="Laptops"/>
    <n v="275.56"/>
    <s v="High"/>
    <n v="630.72"/>
    <n v="0.107"/>
    <n v="23"/>
    <n v="42353.882679999995"/>
    <n v="6337.88"/>
    <x v="145"/>
    <x v="0"/>
  </r>
  <r>
    <x v="146"/>
    <d v="2025-09-11T00:00:00"/>
    <d v="2025-09-28T00:00:00"/>
    <n v="17"/>
    <x v="11"/>
    <s v="Non-Profit"/>
    <s v="Distributor"/>
    <x v="1"/>
    <s v="Laptops"/>
    <n v="891.46"/>
    <s v="High"/>
    <n v="728.61"/>
    <n v="0.185"/>
    <n v="6"/>
    <n v="49.780199999999994"/>
    <n v="5348.76"/>
    <x v="146"/>
    <x v="0"/>
  </r>
  <r>
    <x v="147"/>
    <d v="2024-04-04T00:00:00"/>
    <d v="2024-04-24T00:00:00"/>
    <n v="20"/>
    <x v="20"/>
    <s v="Non-Profit"/>
    <s v="Direct"/>
    <x v="7"/>
    <s v="Accessories"/>
    <n v="683.42"/>
    <s v="High"/>
    <n v="951.51"/>
    <n v="0"/>
    <n v="14"/>
    <n v="31944.079999999998"/>
    <n v="9567.8799999999992"/>
    <x v="147"/>
    <x v="0"/>
  </r>
  <r>
    <x v="148"/>
    <d v="2023-09-14T00:00:00"/>
    <d v="2023-09-16T00:00:00"/>
    <n v="2"/>
    <x v="27"/>
    <s v="Non-Profit"/>
    <s v="Direct"/>
    <x v="5"/>
    <s v="Printers"/>
    <n v="376.83"/>
    <s v="High"/>
    <n v="732.88"/>
    <n v="0.188"/>
    <n v="25"/>
    <n v="5066.2710000000006"/>
    <n v="9420.75"/>
    <x v="148"/>
    <x v="0"/>
  </r>
  <r>
    <x v="149"/>
    <d v="2024-09-23T00:00:00"/>
    <d v="2024-10-18T00:00:00"/>
    <n v="25"/>
    <x v="29"/>
    <s v="Small Business"/>
    <s v="Online"/>
    <x v="13"/>
    <s v="Phones"/>
    <n v="1297"/>
    <s v="High"/>
    <n v="2411.52"/>
    <n v="2.1000000000000001E-2"/>
    <n v="18"/>
    <n v="57712.049999999996"/>
    <n v="23346"/>
    <x v="149"/>
    <x v="0"/>
  </r>
  <r>
    <x v="150"/>
    <d v="2025-04-16T00:00:00"/>
    <d v="2025-05-16T00:00:00"/>
    <n v="0"/>
    <x v="19"/>
    <s v="Enterprise"/>
    <s v="Distributor"/>
    <x v="11"/>
    <s v="Printers"/>
    <n v="763.32"/>
    <s v="High"/>
    <n v="568.29"/>
    <n v="0.13100000000000001"/>
    <n v="16"/>
    <n v="26608.919040000001"/>
    <n v="12213.12"/>
    <x v="150"/>
    <x v="0"/>
  </r>
  <r>
    <x v="151"/>
    <d v="2023-07-03T00:00:00"/>
    <d v="2023-07-23T00:00:00"/>
    <n v="20"/>
    <x v="24"/>
    <s v="Small Business"/>
    <s v="Distributor"/>
    <x v="9"/>
    <s v="Laptops"/>
    <n v="1001.96"/>
    <s v="High"/>
    <n v="1254.95"/>
    <n v="4.4999999999999998E-2"/>
    <n v="18"/>
    <n v="517.24709999999993"/>
    <n v="18035.28"/>
    <x v="151"/>
    <x v="0"/>
  </r>
  <r>
    <x v="152"/>
    <d v="2023-12-07T00:00:00"/>
    <d v="2023-12-05T00:00:00"/>
    <n v="2"/>
    <x v="4"/>
    <s v="Non-Profit"/>
    <s v="Marketplace"/>
    <x v="10"/>
    <s v="Printers"/>
    <n v="1097.5899999999999"/>
    <s v="High"/>
    <n v="845.55"/>
    <n v="0.184"/>
    <n v="6"/>
    <n v="2454.4137600000004"/>
    <n v="6585.5399999999991"/>
    <x v="152"/>
    <x v="0"/>
  </r>
  <r>
    <x v="153"/>
    <d v="2024-02-18T00:00:00"/>
    <d v="2024-03-04T00:00:00"/>
    <n v="15"/>
    <x v="31"/>
    <s v="Education"/>
    <s v="Direct"/>
    <x v="11"/>
    <s v="Printers"/>
    <n v="928.68"/>
    <s v="High"/>
    <n v="2145.17"/>
    <n v="0.13600000000000001"/>
    <n v="16"/>
    <n v="5684.1523200000001"/>
    <n v="14858.88"/>
    <x v="153"/>
    <x v="0"/>
  </r>
  <r>
    <x v="154"/>
    <d v="2023-10-31T00:00:00"/>
    <d v="2023-11-02T00:00:00"/>
    <n v="2"/>
    <x v="32"/>
    <s v="Education"/>
    <s v="Retail"/>
    <x v="7"/>
    <s v="Accessories"/>
    <n v="867.89"/>
    <s v="High"/>
    <n v="1349.94"/>
    <n v="0.184"/>
    <n v="10"/>
    <n v="48.307200000000009"/>
    <n v="8678.9"/>
    <x v="154"/>
    <x v="0"/>
  </r>
  <r>
    <x v="155"/>
    <d v="2024-08-07T00:00:00"/>
    <d v="2024-08-17T00:00:00"/>
    <n v="10"/>
    <x v="21"/>
    <s v="Consumer"/>
    <s v="Online"/>
    <x v="11"/>
    <s v="Networking"/>
    <n v="436.58"/>
    <s v="High"/>
    <n v="527.48"/>
    <n v="0.111"/>
    <n v="19"/>
    <n v="37272.187330000001"/>
    <n v="8295.02"/>
    <x v="155"/>
    <x v="0"/>
  </r>
  <r>
    <x v="156"/>
    <d v="2024-02-01T00:00:00"/>
    <d v="2024-02-21T00:00:00"/>
    <n v="20"/>
    <x v="31"/>
    <s v="Small Business"/>
    <s v="Marketplace"/>
    <x v="8"/>
    <s v="Networking"/>
    <n v="656.2"/>
    <s v="High"/>
    <n v="1467.17"/>
    <n v="1.7999999999999999E-2"/>
    <n v="5"/>
    <n v="9391.848"/>
    <n v="3281"/>
    <x v="156"/>
    <x v="0"/>
  </r>
  <r>
    <x v="157"/>
    <d v="2024-08-27T00:00:00"/>
    <d v="2024-09-18T00:00:00"/>
    <n v="22"/>
    <x v="21"/>
    <s v="Consumer"/>
    <s v="Direct"/>
    <x v="5"/>
    <s v="Components"/>
    <n v="896.75"/>
    <s v="High"/>
    <n v="1651.14"/>
    <n v="2.5000000000000001E-2"/>
    <n v="15"/>
    <n v="20216.283749999999"/>
    <n v="13451.25"/>
    <x v="157"/>
    <x v="0"/>
  </r>
  <r>
    <x v="158"/>
    <d v="2025-02-15T00:00:00"/>
    <d v="2025-02-15T00:00:00"/>
    <n v="0"/>
    <x v="26"/>
    <s v="Small Business"/>
    <s v="Marketplace"/>
    <x v="4"/>
    <s v="Accessories"/>
    <n v="815.83"/>
    <s v="High"/>
    <n v="1982.18"/>
    <n v="0.127"/>
    <n v="6"/>
    <n v="7100.6851799999995"/>
    <n v="4894.9800000000005"/>
    <x v="158"/>
    <x v="0"/>
  </r>
  <r>
    <x v="159"/>
    <d v="2025-08-01T00:00:00"/>
    <d v="2025-08-21T00:00:00"/>
    <n v="20"/>
    <x v="28"/>
    <s v="Corporate"/>
    <s v="Direct"/>
    <x v="2"/>
    <s v="Phones"/>
    <n v="1220.4100000000001"/>
    <s v="High"/>
    <n v="2552.2199999999998"/>
    <n v="0.18099999999999999"/>
    <n v="14"/>
    <n v="10180.661399999999"/>
    <n v="17085.740000000002"/>
    <x v="159"/>
    <x v="0"/>
  </r>
  <r>
    <x v="160"/>
    <d v="2023-02-20T00:00:00"/>
    <d v="2023-03-04T00:00:00"/>
    <n v="12"/>
    <x v="2"/>
    <s v="Consumer"/>
    <s v="Distributor"/>
    <x v="12"/>
    <s v="Monitors"/>
    <n v="299.75"/>
    <s v="High"/>
    <n v="523.01"/>
    <n v="0.157"/>
    <n v="50"/>
    <n v="43022.083500000001"/>
    <n v="14987.5"/>
    <x v="160"/>
    <x v="0"/>
  </r>
  <r>
    <x v="161"/>
    <d v="2024-10-30T00:00:00"/>
    <d v="2024-11-24T00:00:00"/>
    <n v="25"/>
    <x v="1"/>
    <s v="Small Business"/>
    <s v="Online"/>
    <x v="6"/>
    <s v="Components"/>
    <n v="811.05"/>
    <s v="High"/>
    <n v="1217.71"/>
    <n v="7.1999999999999995E-2"/>
    <n v="5"/>
    <n v="6475.2592000000004"/>
    <n v="4055.25"/>
    <x v="161"/>
    <x v="0"/>
  </r>
  <r>
    <x v="162"/>
    <d v="2024-04-03T00:00:00"/>
    <d v="2024-04-07T00:00:00"/>
    <n v="4"/>
    <x v="20"/>
    <s v="Non-Profit"/>
    <s v="Direct"/>
    <x v="13"/>
    <s v="Phones"/>
    <n v="1023.27"/>
    <s v="High"/>
    <n v="1343.64"/>
    <n v="0.13300000000000001"/>
    <n v="7"/>
    <n v="13797.385980000001"/>
    <n v="7162.8899999999994"/>
    <x v="162"/>
    <x v="0"/>
  </r>
  <r>
    <x v="163"/>
    <d v="2023-03-25T00:00:00"/>
    <d v="2023-03-26T00:00:00"/>
    <n v="1"/>
    <x v="22"/>
    <s v="Small Business"/>
    <s v="Distributor"/>
    <x v="2"/>
    <s v="Monitors"/>
    <n v="135.12"/>
    <s v="High"/>
    <n v="301.7"/>
    <n v="0.14000000000000001"/>
    <n v="47"/>
    <n v="50207.703000000001"/>
    <n v="6350.64"/>
    <x v="163"/>
    <x v="0"/>
  </r>
  <r>
    <x v="164"/>
    <d v="2024-06-04T00:00:00"/>
    <d v="2024-06-16T00:00:00"/>
    <n v="12"/>
    <x v="17"/>
    <s v="Corporate"/>
    <s v="Retail"/>
    <x v="1"/>
    <s v="Printers"/>
    <n v="918.42"/>
    <s v="High"/>
    <n v="1511.71"/>
    <n v="0.02"/>
    <n v="8"/>
    <n v="10272.6736"/>
    <n v="7347.36"/>
    <x v="164"/>
    <x v="0"/>
  </r>
  <r>
    <x v="165"/>
    <d v="2023-02-19T00:00:00"/>
    <d v="2023-03-12T00:00:00"/>
    <n v="21"/>
    <x v="2"/>
    <s v="Small Business"/>
    <s v="Direct"/>
    <x v="4"/>
    <s v="Monitors"/>
    <n v="1234.81"/>
    <s v="High"/>
    <n v="2055.2399999999998"/>
    <n v="5.2999999999999999E-2"/>
    <n v="44"/>
    <n v="40303.373"/>
    <n v="54331.64"/>
    <x v="165"/>
    <x v="0"/>
  </r>
  <r>
    <x v="166"/>
    <d v="2023-04-18T00:00:00"/>
    <d v="2023-05-18T00:00:00"/>
    <n v="0"/>
    <x v="12"/>
    <s v="Non-Profit"/>
    <s v="Retail"/>
    <x v="10"/>
    <s v="Laptops"/>
    <n v="329.03"/>
    <s v="High"/>
    <n v="391.15"/>
    <n v="0.19700000000000001"/>
    <n v="46"/>
    <n v="32735.194359999998"/>
    <n v="15135.38"/>
    <x v="166"/>
    <x v="0"/>
  </r>
  <r>
    <x v="167"/>
    <d v="2024-05-23T00:00:00"/>
    <d v="2024-06-14T00:00:00"/>
    <n v="22"/>
    <x v="7"/>
    <s v="Small Business"/>
    <s v="Online"/>
    <x v="13"/>
    <s v="Monitors"/>
    <n v="1481.74"/>
    <s v="High"/>
    <n v="1848.97"/>
    <n v="0.254"/>
    <n v="9"/>
    <n v="5308.1555399999997"/>
    <n v="13335.66"/>
    <x v="167"/>
    <x v="0"/>
  </r>
  <r>
    <x v="168"/>
    <d v="2023-10-07T00:00:00"/>
    <d v="2023-10-23T00:00:00"/>
    <n v="16"/>
    <x v="32"/>
    <s v="Consumer"/>
    <s v="Retail"/>
    <x v="3"/>
    <s v="Monitors"/>
    <n v="906.81"/>
    <s v="High"/>
    <n v="1395.56"/>
    <n v="0.185"/>
    <n v="6"/>
    <n v="1766.9036999999998"/>
    <n v="5440.86"/>
    <x v="168"/>
    <x v="0"/>
  </r>
  <r>
    <x v="169"/>
    <d v="2024-10-09T00:00:00"/>
    <d v="2024-11-08T00:00:00"/>
    <n v="30"/>
    <x v="1"/>
    <s v="Small Business"/>
    <s v="Distributor"/>
    <x v="1"/>
    <s v="Components"/>
    <n v="343.85"/>
    <s v="High"/>
    <n v="538.04"/>
    <n v="0.13900000000000001"/>
    <n v="5"/>
    <n v="8403.5321999999996"/>
    <n v="1719.25"/>
    <x v="169"/>
    <x v="0"/>
  </r>
  <r>
    <x v="170"/>
    <d v="2024-07-15T00:00:00"/>
    <d v="2024-07-15T00:00:00"/>
    <n v="0"/>
    <x v="14"/>
    <s v="Small Business"/>
    <s v="Marketplace"/>
    <x v="3"/>
    <s v="Accessories"/>
    <n v="801.77"/>
    <s v="High"/>
    <n v="1218.92"/>
    <n v="0.254"/>
    <n v="16"/>
    <n v="18676.97536"/>
    <n v="12828.32"/>
    <x v="170"/>
    <x v="0"/>
  </r>
  <r>
    <x v="171"/>
    <d v="2023-09-21T00:00:00"/>
    <d v="2023-10-10T00:00:00"/>
    <n v="19"/>
    <x v="27"/>
    <s v="Education"/>
    <s v="Online"/>
    <x v="14"/>
    <s v="Components"/>
    <n v="845.63"/>
    <s v="High"/>
    <n v="2062.12"/>
    <n v="0.13400000000000001"/>
    <n v="5"/>
    <n v="3691.4982"/>
    <n v="4228.1499999999996"/>
    <x v="171"/>
    <x v="0"/>
  </r>
  <r>
    <x v="172"/>
    <d v="2023-02-24T00:00:00"/>
    <d v="2023-03-09T00:00:00"/>
    <n v="13"/>
    <x v="2"/>
    <s v="Enterprise"/>
    <s v="Online"/>
    <x v="12"/>
    <s v="Components"/>
    <n v="6.85"/>
    <s v="Low"/>
    <n v="10.18"/>
    <n v="4.7E-2"/>
    <n v="10"/>
    <n v="13964.213699999998"/>
    <n v="68.5"/>
    <x v="172"/>
    <x v="0"/>
  </r>
  <r>
    <x v="173"/>
    <d v="2025-05-21T00:00:00"/>
    <d v="2025-05-19T00:00:00"/>
    <n v="2"/>
    <x v="8"/>
    <s v="Non-Profit"/>
    <s v="Distributor"/>
    <x v="7"/>
    <s v="Laptops"/>
    <n v="1263.8399999999999"/>
    <s v="High"/>
    <n v="2281.7199999999998"/>
    <n v="7.8E-2"/>
    <n v="15"/>
    <n v="36583.530899999998"/>
    <n v="18957.599999999999"/>
    <x v="173"/>
    <x v="0"/>
  </r>
  <r>
    <x v="174"/>
    <d v="2024-05-23T00:00:00"/>
    <d v="2024-06-03T00:00:00"/>
    <n v="11"/>
    <x v="7"/>
    <s v="Small Business"/>
    <s v="Distributor"/>
    <x v="9"/>
    <s v="Printers"/>
    <n v="180.89"/>
    <s v="High"/>
    <n v="249.57"/>
    <n v="2.1999999999999999E-2"/>
    <n v="8"/>
    <n v="6897.4036800000003"/>
    <n v="1447.12"/>
    <x v="174"/>
    <x v="0"/>
  </r>
  <r>
    <x v="175"/>
    <d v="2025-04-14T00:00:00"/>
    <d v="2025-05-04T00:00:00"/>
    <n v="20"/>
    <x v="19"/>
    <s v="Enterprise"/>
    <s v="Marketplace"/>
    <x v="11"/>
    <s v="Monitors"/>
    <n v="1413.87"/>
    <s v="High"/>
    <n v="3275"/>
    <n v="0.255"/>
    <n v="38"/>
    <n v="17694.882399999999"/>
    <n v="53727.06"/>
    <x v="175"/>
    <x v="0"/>
  </r>
  <r>
    <x v="176"/>
    <d v="2023-08-27T00:00:00"/>
    <d v="2023-09-11T00:00:00"/>
    <n v="15"/>
    <x v="25"/>
    <s v="Consumer"/>
    <s v="Marketplace"/>
    <x v="13"/>
    <s v="Printers"/>
    <n v="943.79"/>
    <s v="High"/>
    <n v="1913.76"/>
    <n v="9.0999999999999998E-2"/>
    <n v="9"/>
    <n v="7960.4402400000008"/>
    <n v="8494.11"/>
    <x v="176"/>
    <x v="0"/>
  </r>
  <r>
    <x v="177"/>
    <d v="2024-02-03T00:00:00"/>
    <d v="2024-02-21T00:00:00"/>
    <n v="18"/>
    <x v="31"/>
    <s v="Corporate"/>
    <s v="Retail"/>
    <x v="10"/>
    <s v="Components"/>
    <n v="39.229999999999997"/>
    <s v="Low"/>
    <n v="30.09"/>
    <n v="0.17699999999999999"/>
    <n v="13"/>
    <n v="16533.592659999998"/>
    <n v="509.98999999999995"/>
    <x v="177"/>
    <x v="0"/>
  </r>
  <r>
    <x v="178"/>
    <d v="2023-04-05T00:00:00"/>
    <d v="2023-04-16T00:00:00"/>
    <n v="11"/>
    <x v="12"/>
    <s v="Non-Profit"/>
    <s v="Online"/>
    <x v="7"/>
    <s v="Monitors"/>
    <n v="213.1"/>
    <s v="High"/>
    <n v="501.31"/>
    <n v="5.6000000000000001E-2"/>
    <n v="15"/>
    <n v="31908.427200000002"/>
    <n v="3196.5"/>
    <x v="178"/>
    <x v="0"/>
  </r>
  <r>
    <x v="179"/>
    <d v="2025-08-21T00:00:00"/>
    <d v="2025-09-12T00:00:00"/>
    <n v="22"/>
    <x v="28"/>
    <s v="Education"/>
    <s v="Retail"/>
    <x v="5"/>
    <s v="Printers"/>
    <n v="352.66"/>
    <s v="High"/>
    <n v="411.18"/>
    <n v="0.17299999999999999"/>
    <n v="13"/>
    <n v="26302.966559999997"/>
    <n v="4584.58"/>
    <x v="179"/>
    <x v="0"/>
  </r>
  <r>
    <x v="180"/>
    <d v="2025-09-15T00:00:00"/>
    <d v="2025-09-18T00:00:00"/>
    <n v="3"/>
    <x v="11"/>
    <s v="Non-Profit"/>
    <s v="Direct"/>
    <x v="4"/>
    <s v="Accessories"/>
    <n v="5.5"/>
    <s v="Low"/>
    <n v="5.92"/>
    <n v="0.21199999999999999"/>
    <n v="4"/>
    <n v="593.52160000000003"/>
    <n v="22"/>
    <x v="180"/>
    <x v="0"/>
  </r>
  <r>
    <x v="181"/>
    <d v="2024-10-03T00:00:00"/>
    <d v="2024-10-11T00:00:00"/>
    <n v="8"/>
    <x v="1"/>
    <s v="Enterprise"/>
    <s v="Direct"/>
    <x v="5"/>
    <s v="Phones"/>
    <n v="1132.6099999999999"/>
    <s v="High"/>
    <n v="2206.63"/>
    <n v="6.3E-2"/>
    <n v="20"/>
    <n v="48027.621600000006"/>
    <n v="22652.199999999997"/>
    <x v="181"/>
    <x v="0"/>
  </r>
  <r>
    <x v="182"/>
    <d v="2025-02-02T00:00:00"/>
    <d v="2025-03-04T00:00:00"/>
    <n v="2"/>
    <x v="26"/>
    <s v="Education"/>
    <s v="Distributor"/>
    <x v="4"/>
    <s v="Accessories"/>
    <n v="766.59"/>
    <s v="High"/>
    <n v="1912.8"/>
    <n v="0.19600000000000001"/>
    <n v="5"/>
    <n v="7256.5421999999999"/>
    <n v="3832.9500000000003"/>
    <x v="182"/>
    <x v="0"/>
  </r>
  <r>
    <x v="183"/>
    <d v="2023-08-19T00:00:00"/>
    <d v="2023-08-23T00:00:00"/>
    <n v="4"/>
    <x v="25"/>
    <s v="Small Business"/>
    <s v="Online"/>
    <x v="1"/>
    <s v="Monitors"/>
    <n v="790.63"/>
    <s v="High"/>
    <n v="1382.31"/>
    <n v="0.10100000000000001"/>
    <n v="7"/>
    <n v="12999.63889"/>
    <n v="5534.41"/>
    <x v="183"/>
    <x v="0"/>
  </r>
  <r>
    <x v="184"/>
    <d v="2024-10-22T00:00:00"/>
    <d v="2024-10-29T00:00:00"/>
    <n v="7"/>
    <x v="1"/>
    <s v="Enterprise"/>
    <s v="Distributor"/>
    <x v="12"/>
    <s v="Monitors"/>
    <n v="1023.06"/>
    <s v="High"/>
    <n v="1355.61"/>
    <n v="0.153"/>
    <n v="23"/>
    <n v="46101.981310000003"/>
    <n v="23530.379999999997"/>
    <x v="184"/>
    <x v="0"/>
  </r>
  <r>
    <x v="185"/>
    <d v="2023-06-22T00:00:00"/>
    <d v="2023-07-21T00:00:00"/>
    <n v="29"/>
    <x v="23"/>
    <s v="Corporate"/>
    <s v="Retail"/>
    <x v="1"/>
    <s v="Accessories"/>
    <n v="734.34"/>
    <s v="High"/>
    <n v="887.9"/>
    <n v="2.5000000000000001E-2"/>
    <n v="12"/>
    <n v="1541.5919999999999"/>
    <n v="8812.08"/>
    <x v="185"/>
    <x v="0"/>
  </r>
  <r>
    <x v="186"/>
    <d v="2025-01-13T00:00:00"/>
    <d v="2025-02-08T00:00:00"/>
    <n v="26"/>
    <x v="10"/>
    <s v="Non-Profit"/>
    <s v="Not Provided"/>
    <x v="6"/>
    <s v="Monitors"/>
    <n v="594.74"/>
    <s v="High"/>
    <n v="1020.69"/>
    <n v="0.21099999999999999"/>
    <n v="6"/>
    <n v="6319.9846800000005"/>
    <n v="3568.44"/>
    <x v="186"/>
    <x v="0"/>
  </r>
  <r>
    <x v="129"/>
    <d v="2023-01-29T00:00:00"/>
    <d v="2023-02-28T00:00:00"/>
    <n v="30"/>
    <x v="5"/>
    <s v="Non-Profit"/>
    <s v="Retail"/>
    <x v="5"/>
    <s v="Accessories"/>
    <n v="1262.0999999999999"/>
    <s v="High"/>
    <n v="1395.53"/>
    <n v="0.23300000000000001"/>
    <n v="25"/>
    <n v="51608.553749999999"/>
    <n v="31552.499999999996"/>
    <x v="187"/>
    <x v="0"/>
  </r>
  <r>
    <x v="187"/>
    <d v="2023-07-19T00:00:00"/>
    <d v="2023-07-31T00:00:00"/>
    <n v="12"/>
    <x v="24"/>
    <s v="Corporate"/>
    <s v="Retail"/>
    <x v="0"/>
    <s v="Monitors"/>
    <n v="1334.64"/>
    <s v="High"/>
    <n v="2273.42"/>
    <n v="0.11799999999999999"/>
    <n v="14"/>
    <n v="9587.7280800000008"/>
    <n v="18684.960000000003"/>
    <x v="188"/>
    <x v="0"/>
  </r>
  <r>
    <x v="188"/>
    <d v="2024-05-19T00:00:00"/>
    <d v="2024-06-08T00:00:00"/>
    <n v="20"/>
    <x v="7"/>
    <s v="Small Business"/>
    <s v="Retail"/>
    <x v="6"/>
    <s v="Monitors"/>
    <n v="1075.9000000000001"/>
    <s v="High"/>
    <n v="1242.1500000000001"/>
    <n v="1.2E-2"/>
    <n v="7"/>
    <n v="2200.4637200000002"/>
    <n v="7531.3000000000011"/>
    <x v="189"/>
    <x v="0"/>
  </r>
  <r>
    <x v="189"/>
    <d v="2024-02-03T00:00:00"/>
    <d v="2024-02-19T00:00:00"/>
    <n v="16"/>
    <x v="31"/>
    <s v="Small Business"/>
    <s v="Online"/>
    <x v="10"/>
    <s v="Laptops"/>
    <n v="993.75"/>
    <s v="High"/>
    <n v="1310.29"/>
    <n v="0.215"/>
    <n v="19"/>
    <n v="18590.205150000002"/>
    <n v="18881.25"/>
    <x v="190"/>
    <x v="0"/>
  </r>
  <r>
    <x v="190"/>
    <d v="2023-08-08T00:00:00"/>
    <d v="2023-08-22T00:00:00"/>
    <n v="14"/>
    <x v="25"/>
    <s v="Non-Profit"/>
    <s v="Direct"/>
    <x v="13"/>
    <s v="Monitors"/>
    <n v="446.69"/>
    <s v="High"/>
    <n v="967.25"/>
    <n v="9.4E-2"/>
    <n v="10"/>
    <n v="3143.4576000000002"/>
    <n v="4466.8999999999996"/>
    <x v="191"/>
    <x v="0"/>
  </r>
  <r>
    <x v="191"/>
    <d v="2024-08-12T00:00:00"/>
    <d v="2024-09-03T00:00:00"/>
    <n v="22"/>
    <x v="21"/>
    <s v="Consumer"/>
    <s v="Distributor"/>
    <x v="2"/>
    <s v="Laptops"/>
    <n v="797.8"/>
    <s v="High"/>
    <n v="886.22"/>
    <n v="0.23599999999999999"/>
    <n v="36"/>
    <n v="13882.919040000001"/>
    <n v="28720.799999999999"/>
    <x v="192"/>
    <x v="0"/>
  </r>
  <r>
    <x v="192"/>
    <d v="2023-10-15T00:00:00"/>
    <d v="2023-11-13T00:00:00"/>
    <n v="29"/>
    <x v="32"/>
    <s v="Non-Profit"/>
    <s v="Distributor"/>
    <x v="1"/>
    <s v="Printers"/>
    <n v="986.44"/>
    <s v="High"/>
    <n v="790.61"/>
    <n v="7.1999999999999995E-2"/>
    <n v="6"/>
    <n v="5219.7772800000002"/>
    <n v="5918.64"/>
    <x v="193"/>
    <x v="0"/>
  </r>
  <r>
    <x v="193"/>
    <d v="2023-05-04T00:00:00"/>
    <d v="2023-05-26T00:00:00"/>
    <n v="22"/>
    <x v="15"/>
    <s v="Enterprise"/>
    <s v="Online"/>
    <x v="1"/>
    <s v="Networking"/>
    <n v="249.71"/>
    <s v="High"/>
    <n v="361.33"/>
    <n v="9.4E-2"/>
    <n v="12"/>
    <n v="14139.90576"/>
    <n v="2996.52"/>
    <x v="194"/>
    <x v="0"/>
  </r>
  <r>
    <x v="194"/>
    <d v="2024-09-22T00:00:00"/>
    <d v="2024-10-01T00:00:00"/>
    <n v="9"/>
    <x v="29"/>
    <s v="Non-Profit"/>
    <s v="Online"/>
    <x v="11"/>
    <s v="Monitors"/>
    <n v="1378.8"/>
    <s v="High"/>
    <n v="1952.04"/>
    <n v="0.159"/>
    <n v="19"/>
    <n v="3645.6088500000001"/>
    <n v="26197.200000000001"/>
    <x v="195"/>
    <x v="0"/>
  </r>
  <r>
    <x v="195"/>
    <d v="2024-10-23T00:00:00"/>
    <d v="2024-11-14T00:00:00"/>
    <n v="22"/>
    <x v="1"/>
    <s v="Non-Profit"/>
    <s v="Direct"/>
    <x v="5"/>
    <s v="Phones"/>
    <n v="1406.4"/>
    <s v="High"/>
    <n v="1564.76"/>
    <n v="0.185"/>
    <n v="17"/>
    <n v="6879.2846"/>
    <n v="23908.800000000003"/>
    <x v="196"/>
    <x v="0"/>
  </r>
  <r>
    <x v="196"/>
    <d v="2024-02-11T00:00:00"/>
    <d v="2024-03-03T00:00:00"/>
    <n v="21"/>
    <x v="31"/>
    <s v="Enterprise"/>
    <s v="Online"/>
    <x v="5"/>
    <s v="Phones"/>
    <n v="516.86"/>
    <s v="High"/>
    <n v="852.54"/>
    <n v="5.0999999999999997E-2"/>
    <n v="14"/>
    <n v="39076.783199999991"/>
    <n v="7236.04"/>
    <x v="197"/>
    <x v="0"/>
  </r>
  <r>
    <x v="197"/>
    <d v="2023-01-30T00:00:00"/>
    <d v="2023-02-21T00:00:00"/>
    <n v="22"/>
    <x v="5"/>
    <s v="Small Business"/>
    <s v="Marketplace"/>
    <x v="3"/>
    <s v="Networking"/>
    <n v="1142.8800000000001"/>
    <s v="High"/>
    <n v="1465.29"/>
    <n v="0.186"/>
    <n v="7"/>
    <n v="6200.5636000000013"/>
    <n v="8000.1600000000008"/>
    <x v="198"/>
    <x v="0"/>
  </r>
  <r>
    <x v="198"/>
    <d v="2023-04-14T00:00:00"/>
    <d v="2023-05-13T00:00:00"/>
    <n v="29"/>
    <x v="12"/>
    <s v="Consumer"/>
    <s v="Direct"/>
    <x v="1"/>
    <s v="Printers"/>
    <n v="1320.33"/>
    <s v="High"/>
    <n v="2645.23"/>
    <n v="0.155"/>
    <n v="25"/>
    <n v="53428.293749999997"/>
    <n v="33008.25"/>
    <x v="199"/>
    <x v="0"/>
  </r>
  <r>
    <x v="199"/>
    <d v="2023-01-13T00:00:00"/>
    <d v="2023-01-19T00:00:00"/>
    <n v="6"/>
    <x v="5"/>
    <s v="Corporate"/>
    <s v="Direct"/>
    <x v="10"/>
    <s v="Phones"/>
    <n v="833.57"/>
    <s v="High"/>
    <n v="881.57"/>
    <n v="5.7000000000000002E-2"/>
    <n v="18"/>
    <n v="45796.021740000004"/>
    <n v="15004.26"/>
    <x v="200"/>
    <x v="0"/>
  </r>
  <r>
    <x v="200"/>
    <d v="2024-01-12T00:00:00"/>
    <d v="2024-01-29T00:00:00"/>
    <n v="17"/>
    <x v="9"/>
    <s v="Education"/>
    <s v="Distributor"/>
    <x v="8"/>
    <s v="Printers"/>
    <n v="493.76"/>
    <s v="High"/>
    <n v="625.04"/>
    <n v="0.25800000000000001"/>
    <n v="10"/>
    <n v="11002.004999999999"/>
    <n v="4937.6000000000004"/>
    <x v="201"/>
    <x v="0"/>
  </r>
  <r>
    <x v="201"/>
    <d v="2023-08-15T00:00:00"/>
    <d v="2023-09-07T00:00:00"/>
    <n v="23"/>
    <x v="25"/>
    <s v="Enterprise"/>
    <s v="Online"/>
    <x v="11"/>
    <s v="Phones"/>
    <n v="590.33000000000004"/>
    <s v="High"/>
    <n v="973.04"/>
    <n v="0"/>
    <n v="26"/>
    <n v="37877.06"/>
    <n v="15348.580000000002"/>
    <x v="202"/>
    <x v="0"/>
  </r>
  <r>
    <x v="202"/>
    <d v="2023-01-20T00:00:00"/>
    <d v="2023-02-03T00:00:00"/>
    <n v="14"/>
    <x v="5"/>
    <s v="Corporate"/>
    <s v="Retail"/>
    <x v="12"/>
    <s v="Networking"/>
    <n v="884.36"/>
    <s v="High"/>
    <n v="1545.34"/>
    <n v="0.24299999999999999"/>
    <n v="41"/>
    <n v="28497.86303"/>
    <n v="36258.76"/>
    <x v="203"/>
    <x v="0"/>
  </r>
  <r>
    <x v="203"/>
    <d v="2025-02-04T00:00:00"/>
    <d v="2025-02-25T00:00:00"/>
    <n v="21"/>
    <x v="26"/>
    <s v="Corporate"/>
    <s v="Marketplace"/>
    <x v="14"/>
    <s v="Monitors"/>
    <n v="1016.32"/>
    <s v="High"/>
    <n v="2253.42"/>
    <n v="5.5E-2"/>
    <n v="12"/>
    <n v="554.97959999999989"/>
    <n v="12195.84"/>
    <x v="204"/>
    <x v="0"/>
  </r>
  <r>
    <x v="204"/>
    <d v="2023-04-19T00:00:00"/>
    <d v="2023-04-28T00:00:00"/>
    <n v="9"/>
    <x v="12"/>
    <s v="Education"/>
    <s v="Online"/>
    <x v="6"/>
    <s v="Monitors"/>
    <n v="1178.42"/>
    <s v="High"/>
    <n v="2446.56"/>
    <n v="2.9000000000000001E-2"/>
    <n v="11"/>
    <n v="9957.7894899999992"/>
    <n v="12962.62"/>
    <x v="205"/>
    <x v="0"/>
  </r>
  <r>
    <x v="205"/>
    <d v="2023-07-02T00:00:00"/>
    <d v="2023-08-01T00:00:00"/>
    <n v="30"/>
    <x v="24"/>
    <s v="Small Business"/>
    <s v="Retail"/>
    <x v="5"/>
    <s v="Components"/>
    <n v="137.46"/>
    <s v="Medium"/>
    <n v="188.3"/>
    <n v="3.7999999999999999E-2"/>
    <n v="37"/>
    <n v="11596.169260000001"/>
    <n v="5086.0200000000004"/>
    <x v="206"/>
    <x v="0"/>
  </r>
  <r>
    <x v="206"/>
    <d v="2025-01-21T00:00:00"/>
    <d v="2025-02-14T00:00:00"/>
    <n v="24"/>
    <x v="10"/>
    <s v="Small Business"/>
    <s v="Retail"/>
    <x v="1"/>
    <s v="Accessories"/>
    <n v="1030.44"/>
    <s v="High"/>
    <n v="2562.84"/>
    <n v="0.14799999999999999"/>
    <n v="13"/>
    <n v="4496.5237200000001"/>
    <n v="13395.720000000001"/>
    <x v="207"/>
    <x v="0"/>
  </r>
  <r>
    <x v="207"/>
    <d v="2024-09-10T00:00:00"/>
    <d v="2024-10-07T00:00:00"/>
    <n v="27"/>
    <x v="29"/>
    <s v="Consumer"/>
    <s v="Retail"/>
    <x v="4"/>
    <s v="Printers"/>
    <n v="1248.3900000000001"/>
    <s v="High"/>
    <n v="1805.11"/>
    <n v="0.20300000000000001"/>
    <n v="11"/>
    <n v="13931.376689999999"/>
    <n v="13732.29"/>
    <x v="208"/>
    <x v="0"/>
  </r>
  <r>
    <x v="208"/>
    <d v="2025-07-21T00:00:00"/>
    <d v="2025-08-07T00:00:00"/>
    <n v="17"/>
    <x v="13"/>
    <s v="Enterprise"/>
    <s v="Direct"/>
    <x v="12"/>
    <s v="Accessories"/>
    <n v="1204.95"/>
    <s v="High"/>
    <n v="2065.73"/>
    <n v="0.13600000000000001"/>
    <n v="10"/>
    <n v="12379.392"/>
    <n v="12049.5"/>
    <x v="209"/>
    <x v="0"/>
  </r>
  <r>
    <x v="209"/>
    <d v="2024-10-02T00:00:00"/>
    <d v="2024-10-23T00:00:00"/>
    <n v="21"/>
    <x v="1"/>
    <s v="Corporate"/>
    <s v="Marketplace"/>
    <x v="8"/>
    <s v="Components"/>
    <n v="1095.6099999999999"/>
    <s v="High"/>
    <n v="2366.5100000000002"/>
    <n v="0.152"/>
    <n v="9"/>
    <n v="13476.28032"/>
    <n v="9860.49"/>
    <x v="210"/>
    <x v="0"/>
  </r>
  <r>
    <x v="210"/>
    <d v="2025-07-14T00:00:00"/>
    <d v="2025-08-04T00:00:00"/>
    <n v="21"/>
    <x v="13"/>
    <s v="Consumer"/>
    <s v="Online"/>
    <x v="10"/>
    <s v="Monitors"/>
    <n v="90.3"/>
    <s v="Medium"/>
    <n v="131.76"/>
    <n v="0.10199999999999999"/>
    <n v="15"/>
    <n v="37144.063799999996"/>
    <n v="1354.5"/>
    <x v="211"/>
    <x v="0"/>
  </r>
  <r>
    <x v="211"/>
    <d v="2024-09-09T00:00:00"/>
    <d v="2024-10-01T00:00:00"/>
    <n v="22"/>
    <x v="29"/>
    <s v="Consumer"/>
    <s v="Direct"/>
    <x v="4"/>
    <s v="Printers"/>
    <n v="1166.18"/>
    <s v="High"/>
    <n v="1335.02"/>
    <n v="0.128"/>
    <n v="6"/>
    <n v="4571.46"/>
    <n v="6997.08"/>
    <x v="212"/>
    <x v="0"/>
  </r>
  <r>
    <x v="212"/>
    <d v="2025-01-29T00:00:00"/>
    <d v="2025-02-06T00:00:00"/>
    <n v="8"/>
    <x v="10"/>
    <s v="Education"/>
    <s v="Retail"/>
    <x v="5"/>
    <s v="Phones"/>
    <n v="1445.27"/>
    <s v="High"/>
    <n v="2691.45"/>
    <n v="0"/>
    <n v="9"/>
    <n v="2326.6799999999998"/>
    <n v="13007.43"/>
    <x v="213"/>
    <x v="0"/>
  </r>
  <r>
    <x v="213"/>
    <d v="2023-11-10T00:00:00"/>
    <d v="2023-11-28T00:00:00"/>
    <n v="18"/>
    <x v="30"/>
    <s v="Education"/>
    <s v="Marketplace"/>
    <x v="4"/>
    <s v="Accessories"/>
    <n v="388.51"/>
    <s v="High"/>
    <n v="776.46"/>
    <n v="0.157"/>
    <n v="12"/>
    <n v="6137.98416"/>
    <n v="4662.12"/>
    <x v="214"/>
    <x v="0"/>
  </r>
  <r>
    <x v="214"/>
    <d v="2024-02-29T00:00:00"/>
    <d v="2024-03-30T00:00:00"/>
    <n v="1"/>
    <x v="31"/>
    <s v="Small Business"/>
    <s v="Direct"/>
    <x v="2"/>
    <s v="Networking"/>
    <n v="231.11"/>
    <s v="High"/>
    <n v="318.17"/>
    <n v="0.20100000000000001"/>
    <n v="60"/>
    <n v="64128.8586"/>
    <n v="13866.6"/>
    <x v="215"/>
    <x v="0"/>
  </r>
  <r>
    <x v="215"/>
    <d v="2023-12-20T00:00:00"/>
    <d v="2024-01-14T00:00:00"/>
    <n v="25"/>
    <x v="4"/>
    <s v="Non-Profit"/>
    <s v="Marketplace"/>
    <x v="4"/>
    <s v="Monitors"/>
    <n v="1085.6099999999999"/>
    <s v="High"/>
    <n v="1246.4100000000001"/>
    <n v="0.113"/>
    <n v="7"/>
    <n v="11133.23372"/>
    <n v="7599.2699999999995"/>
    <x v="216"/>
    <x v="0"/>
  </r>
  <r>
    <x v="216"/>
    <d v="2023-01-22T00:00:00"/>
    <d v="2023-01-21T00:00:00"/>
    <n v="1"/>
    <x v="5"/>
    <s v="Corporate"/>
    <s v="Direct"/>
    <x v="9"/>
    <s v="Monitors"/>
    <n v="150.86000000000001"/>
    <s v="High"/>
    <n v="346.96"/>
    <n v="0.19600000000000001"/>
    <n v="8"/>
    <n v="789.46368000000007"/>
    <n v="1206.8800000000001"/>
    <x v="217"/>
    <x v="0"/>
  </r>
  <r>
    <x v="217"/>
    <d v="2024-10-11T00:00:00"/>
    <d v="2024-11-09T00:00:00"/>
    <n v="29"/>
    <x v="1"/>
    <s v="Non-Profit"/>
    <s v="Online"/>
    <x v="9"/>
    <s v="Printers"/>
    <n v="391.64"/>
    <s v="High"/>
    <n v="504.76"/>
    <n v="4.0000000000000001E-3"/>
    <n v="13"/>
    <n v="12014.83764"/>
    <n v="5091.32"/>
    <x v="218"/>
    <x v="0"/>
  </r>
  <r>
    <x v="218"/>
    <d v="2024-09-19T00:00:00"/>
    <d v="2024-10-14T00:00:00"/>
    <n v="25"/>
    <x v="29"/>
    <s v="Small Business"/>
    <s v="Retail"/>
    <x v="11"/>
    <s v="Printers"/>
    <n v="386.96"/>
    <s v="High"/>
    <n v="937.46"/>
    <n v="0.26600000000000001"/>
    <n v="41"/>
    <n v="4570.6767199999995"/>
    <n v="15865.359999999999"/>
    <x v="219"/>
    <x v="0"/>
  </r>
  <r>
    <x v="219"/>
    <d v="2025-08-25T00:00:00"/>
    <d v="2025-09-24T00:00:00"/>
    <n v="30"/>
    <x v="28"/>
    <s v="Consumer"/>
    <s v="Direct"/>
    <x v="5"/>
    <s v="Components"/>
    <n v="589.14"/>
    <s v="High"/>
    <n v="1300.58"/>
    <n v="5.5E-2"/>
    <n v="11"/>
    <n v="22977.108"/>
    <n v="6480.54"/>
    <x v="220"/>
    <x v="0"/>
  </r>
  <r>
    <x v="220"/>
    <d v="2023-09-25T00:00:00"/>
    <d v="2023-10-02T00:00:00"/>
    <n v="7"/>
    <x v="27"/>
    <s v="Education"/>
    <s v="Marketplace"/>
    <x v="2"/>
    <s v="Accessories"/>
    <n v="145.58000000000001"/>
    <s v="High"/>
    <n v="228.15"/>
    <n v="0.20399999999999999"/>
    <n v="5"/>
    <n v="158.16520000000003"/>
    <n v="727.90000000000009"/>
    <x v="221"/>
    <x v="0"/>
  </r>
  <r>
    <x v="221"/>
    <d v="2023-08-26T00:00:00"/>
    <d v="2023-09-10T00:00:00"/>
    <n v="15"/>
    <x v="25"/>
    <s v="Non-Profit"/>
    <s v="Direct"/>
    <x v="13"/>
    <s v="Components"/>
    <n v="241.14"/>
    <s v="High"/>
    <n v="496.52"/>
    <n v="9.2999999999999999E-2"/>
    <n v="10"/>
    <n v="9151.630000000001"/>
    <n v="2411.3999999999996"/>
    <x v="222"/>
    <x v="0"/>
  </r>
  <r>
    <x v="222"/>
    <d v="2025-07-16T00:00:00"/>
    <d v="2025-07-17T00:00:00"/>
    <n v="1"/>
    <x v="13"/>
    <s v="Small Business"/>
    <s v="Distributor"/>
    <x v="5"/>
    <s v="Networking"/>
    <n v="1198.9000000000001"/>
    <s v="High"/>
    <n v="2941.2"/>
    <n v="5.0999999999999997E-2"/>
    <n v="24"/>
    <n v="37663.304640000002"/>
    <n v="28773.600000000002"/>
    <x v="223"/>
    <x v="0"/>
  </r>
  <r>
    <x v="223"/>
    <d v="2023-04-19T00:00:00"/>
    <d v="2023-05-07T00:00:00"/>
    <n v="18"/>
    <x v="12"/>
    <s v="Enterprise"/>
    <s v="Retail"/>
    <x v="13"/>
    <s v="Laptops"/>
    <n v="1089.1500000000001"/>
    <s v="High"/>
    <n v="1088.2"/>
    <n v="5.0999999999999997E-2"/>
    <n v="15"/>
    <n v="14458.4895"/>
    <n v="16337.250000000002"/>
    <x v="224"/>
    <x v="0"/>
  </r>
  <r>
    <x v="224"/>
    <d v="2023-12-19T00:00:00"/>
    <d v="2023-12-20T00:00:00"/>
    <n v="1"/>
    <x v="4"/>
    <s v="Consumer"/>
    <s v="Distributor"/>
    <x v="1"/>
    <s v="Phones"/>
    <n v="1080.43"/>
    <s v="High"/>
    <n v="2529.15"/>
    <n v="0.14699999999999999"/>
    <n v="10"/>
    <n v="7783.1984999999995"/>
    <n v="10804.300000000001"/>
    <x v="225"/>
    <x v="0"/>
  </r>
  <r>
    <x v="225"/>
    <d v="2023-07-30T00:00:00"/>
    <d v="2023-08-07T00:00:00"/>
    <n v="8"/>
    <x v="24"/>
    <s v="Education"/>
    <s v="Marketplace"/>
    <x v="8"/>
    <s v="Networking"/>
    <n v="1352.44"/>
    <s v="High"/>
    <n v="2698.01"/>
    <n v="0.13100000000000001"/>
    <n v="13"/>
    <n v="9209.201430000001"/>
    <n v="17581.72"/>
    <x v="226"/>
    <x v="0"/>
  </r>
  <r>
    <x v="226"/>
    <d v="2023-10-04T00:00:00"/>
    <d v="2023-10-29T00:00:00"/>
    <n v="25"/>
    <x v="32"/>
    <s v="Small Business"/>
    <s v="Distributor"/>
    <x v="7"/>
    <s v="Accessories"/>
    <n v="1239.8399999999999"/>
    <s v="High"/>
    <n v="1482.75"/>
    <n v="6.7000000000000004E-2"/>
    <n v="4"/>
    <n v="6770.0719200000003"/>
    <n v="4959.3599999999997"/>
    <x v="227"/>
    <x v="0"/>
  </r>
  <r>
    <x v="227"/>
    <d v="2025-08-10T00:00:00"/>
    <d v="2025-08-30T00:00:00"/>
    <n v="20"/>
    <x v="28"/>
    <s v="Corporate"/>
    <s v="Marketplace"/>
    <x v="11"/>
    <s v="Printers"/>
    <n v="933.29"/>
    <s v="High"/>
    <n v="1456.81"/>
    <n v="0.123"/>
    <n v="13"/>
    <n v="8652.4469199999985"/>
    <n v="12132.77"/>
    <x v="228"/>
    <x v="0"/>
  </r>
  <r>
    <x v="228"/>
    <d v="2023-03-07T00:00:00"/>
    <d v="2023-04-01T00:00:00"/>
    <n v="25"/>
    <x v="22"/>
    <s v="Consumer"/>
    <s v="Marketplace"/>
    <x v="14"/>
    <s v="Printers"/>
    <n v="1024.0999999999999"/>
    <s v="High"/>
    <n v="918.19"/>
    <n v="0.189"/>
    <n v="10"/>
    <n v="13522.938400000001"/>
    <n v="10241"/>
    <x v="229"/>
    <x v="0"/>
  </r>
  <r>
    <x v="229"/>
    <d v="2023-05-23T00:00:00"/>
    <d v="2023-06-10T00:00:00"/>
    <n v="18"/>
    <x v="15"/>
    <s v="Corporate"/>
    <s v="Distributor"/>
    <x v="6"/>
    <s v="Components"/>
    <n v="54.62"/>
    <s v="Low"/>
    <n v="48.94"/>
    <n v="0.14799999999999999"/>
    <n v="16"/>
    <n v="34932.681600000004"/>
    <n v="873.92"/>
    <x v="230"/>
    <x v="0"/>
  </r>
  <r>
    <x v="230"/>
    <d v="2025-04-24T00:00:00"/>
    <d v="2025-05-06T00:00:00"/>
    <n v="12"/>
    <x v="19"/>
    <s v="Consumer"/>
    <s v="Online"/>
    <x v="0"/>
    <s v="Phones"/>
    <n v="394.13"/>
    <s v="High"/>
    <n v="932.29"/>
    <n v="0.109"/>
    <n v="7"/>
    <n v="4648.9350599999998"/>
    <n v="2758.91"/>
    <x v="231"/>
    <x v="0"/>
  </r>
  <r>
    <x v="231"/>
    <d v="2024-09-03T00:00:00"/>
    <d v="2024-09-08T00:00:00"/>
    <n v="5"/>
    <x v="29"/>
    <s v="Small Business"/>
    <s v="Direct"/>
    <x v="11"/>
    <s v="Printers"/>
    <n v="197.63"/>
    <s v="High"/>
    <n v="325.79000000000002"/>
    <n v="0.11600000000000001"/>
    <n v="10"/>
    <n v="6081.4780000000001"/>
    <n v="1976.3"/>
    <x v="232"/>
    <x v="0"/>
  </r>
  <r>
    <x v="232"/>
    <d v="2024-09-05T00:00:00"/>
    <d v="2024-09-25T00:00:00"/>
    <n v="20"/>
    <x v="29"/>
    <s v="Enterprise"/>
    <s v="Distributor"/>
    <x v="14"/>
    <s v="Monitors"/>
    <n v="195.54"/>
    <s v="High"/>
    <n v="405.97"/>
    <n v="0.187"/>
    <n v="16"/>
    <n v="7155.3105599999999"/>
    <n v="3128.64"/>
    <x v="233"/>
    <x v="0"/>
  </r>
  <r>
    <x v="233"/>
    <d v="2023-03-14T00:00:00"/>
    <d v="2023-03-30T00:00:00"/>
    <n v="16"/>
    <x v="22"/>
    <s v="Consumer"/>
    <s v="Distributor"/>
    <x v="11"/>
    <s v="Components"/>
    <n v="1309.77"/>
    <s v="High"/>
    <n v="1589.07"/>
    <n v="0.10199999999999999"/>
    <n v="10"/>
    <n v="18572.525799999999"/>
    <n v="13097.7"/>
    <x v="234"/>
    <x v="0"/>
  </r>
  <r>
    <x v="234"/>
    <d v="2024-01-11T00:00:00"/>
    <d v="2024-02-02T00:00:00"/>
    <n v="22"/>
    <x v="9"/>
    <s v="Small Business"/>
    <s v="Online"/>
    <x v="15"/>
    <s v="Printers"/>
    <n v="1237.68"/>
    <s v="High"/>
    <n v="1432.8"/>
    <n v="6.8000000000000005E-2"/>
    <n v="13"/>
    <n v="31218.691400000003"/>
    <n v="16089.84"/>
    <x v="235"/>
    <x v="0"/>
  </r>
  <r>
    <x v="235"/>
    <d v="2024-09-13T00:00:00"/>
    <d v="2024-10-02T00:00:00"/>
    <n v="19"/>
    <x v="29"/>
    <s v="Small Business"/>
    <s v="Retail"/>
    <x v="12"/>
    <s v="Phones"/>
    <n v="1338.99"/>
    <s v="High"/>
    <n v="1765.76"/>
    <n v="0.126"/>
    <n v="24"/>
    <n v="21901.880639999999"/>
    <n v="32135.760000000002"/>
    <x v="236"/>
    <x v="0"/>
  </r>
  <r>
    <x v="236"/>
    <d v="2025-07-17T00:00:00"/>
    <d v="2025-07-23T00:00:00"/>
    <n v="6"/>
    <x v="13"/>
    <s v="Consumer"/>
    <s v="Online"/>
    <x v="10"/>
    <s v="Components"/>
    <n v="1364.89"/>
    <s v="High"/>
    <n v="2757.54"/>
    <n v="0.17199999999999999"/>
    <n v="61"/>
    <n v="5002.3123200000009"/>
    <n v="83258.290000000008"/>
    <x v="237"/>
    <x v="0"/>
  </r>
  <r>
    <x v="237"/>
    <d v="2023-11-28T00:00:00"/>
    <d v="2023-12-07T00:00:00"/>
    <n v="9"/>
    <x v="30"/>
    <s v="Enterprise"/>
    <s v="Marketplace"/>
    <x v="4"/>
    <s v="Phones"/>
    <n v="699.33"/>
    <s v="High"/>
    <n v="873.75"/>
    <n v="0.23499999999999999"/>
    <n v="10"/>
    <n v="15275.5965"/>
    <n v="6993.3"/>
    <x v="238"/>
    <x v="0"/>
  </r>
  <r>
    <x v="238"/>
    <d v="2024-03-30T00:00:00"/>
    <d v="2024-04-24T00:00:00"/>
    <n v="25"/>
    <x v="0"/>
    <s v="Non-Profit"/>
    <s v="Online"/>
    <x v="3"/>
    <s v="Laptops"/>
    <n v="160.82"/>
    <s v="High"/>
    <n v="258.52"/>
    <n v="0.13"/>
    <n v="17"/>
    <n v="13631.647199999999"/>
    <n v="2733.94"/>
    <x v="239"/>
    <x v="0"/>
  </r>
  <r>
    <x v="239"/>
    <d v="2023-09-19T00:00:00"/>
    <d v="2023-10-08T00:00:00"/>
    <n v="19"/>
    <x v="27"/>
    <s v="Education"/>
    <s v="Direct"/>
    <x v="1"/>
    <s v="Printers"/>
    <n v="385.32"/>
    <s v="High"/>
    <n v="606.76"/>
    <n v="8.5999999999999993E-2"/>
    <n v="8"/>
    <n v="18307.712480000002"/>
    <n v="3082.56"/>
    <x v="240"/>
    <x v="0"/>
  </r>
  <r>
    <x v="240"/>
    <d v="2025-05-16T00:00:00"/>
    <d v="2025-05-27T00:00:00"/>
    <n v="11"/>
    <x v="8"/>
    <s v="Enterprise"/>
    <s v="Online"/>
    <x v="9"/>
    <s v="Phones"/>
    <n v="918.12"/>
    <s v="High"/>
    <n v="1337.69"/>
    <n v="9.5000000000000001E-2"/>
    <n v="8"/>
    <n v="17830.4548"/>
    <n v="7344.96"/>
    <x v="241"/>
    <x v="0"/>
  </r>
  <r>
    <x v="241"/>
    <d v="2025-08-02T00:00:00"/>
    <d v="2025-08-08T00:00:00"/>
    <n v="6"/>
    <x v="28"/>
    <s v="Consumer"/>
    <s v="Direct"/>
    <x v="13"/>
    <s v="Laptops"/>
    <n v="1225.94"/>
    <s v="High"/>
    <n v="1793.08"/>
    <n v="0.13600000000000001"/>
    <n v="22"/>
    <n v="9431.7695999999996"/>
    <n v="26970.68"/>
    <x v="242"/>
    <x v="0"/>
  </r>
  <r>
    <x v="242"/>
    <d v="2024-12-04T00:00:00"/>
    <d v="2024-12-12T00:00:00"/>
    <n v="8"/>
    <x v="6"/>
    <s v="Enterprise"/>
    <s v="Marketplace"/>
    <x v="5"/>
    <s v="Printers"/>
    <n v="72.06"/>
    <s v="Medium"/>
    <n v="122.74"/>
    <n v="0.23799999999999999"/>
    <n v="8"/>
    <n v="5532.6686399999999"/>
    <n v="576.48"/>
    <x v="243"/>
    <x v="0"/>
  </r>
  <r>
    <x v="243"/>
    <d v="2023-04-19T00:00:00"/>
    <d v="2023-04-28T00:00:00"/>
    <n v="9"/>
    <x v="12"/>
    <s v="Corporate"/>
    <s v="Distributor"/>
    <x v="12"/>
    <s v="Phones"/>
    <n v="1013.54"/>
    <s v="High"/>
    <n v="927.93"/>
    <n v="0.17499999999999999"/>
    <n v="16"/>
    <n v="4411.308"/>
    <n v="16216.64"/>
    <x v="244"/>
    <x v="0"/>
  </r>
  <r>
    <x v="244"/>
    <d v="2024-03-06T00:00:00"/>
    <d v="2024-03-26T00:00:00"/>
    <n v="20"/>
    <x v="0"/>
    <s v="Consumer"/>
    <s v="Marketplace"/>
    <x v="2"/>
    <s v="Phones"/>
    <n v="65.64"/>
    <s v="Medium"/>
    <n v="151.88"/>
    <n v="0.16700000000000001"/>
    <n v="23"/>
    <n v="10322.677609999999"/>
    <n v="1509.72"/>
    <x v="245"/>
    <x v="0"/>
  </r>
  <r>
    <x v="245"/>
    <d v="2024-02-16T00:00:00"/>
    <d v="2024-03-04T00:00:00"/>
    <n v="17"/>
    <x v="31"/>
    <s v="Non-Profit"/>
    <s v="Retail"/>
    <x v="14"/>
    <s v="Laptops"/>
    <n v="1350.98"/>
    <s v="High"/>
    <n v="2210.4"/>
    <n v="0.26300000000000001"/>
    <n v="6"/>
    <n v="6352.3798799999995"/>
    <n v="8105.88"/>
    <x v="246"/>
    <x v="0"/>
  </r>
  <r>
    <x v="246"/>
    <d v="2025-04-22T00:00:00"/>
    <d v="2025-05-02T00:00:00"/>
    <n v="10"/>
    <x v="19"/>
    <s v="Corporate"/>
    <s v="Marketplace"/>
    <x v="0"/>
    <s v="Monitors"/>
    <n v="20.149999999999999"/>
    <s v="Low"/>
    <n v="39.74"/>
    <n v="0.151"/>
    <n v="18"/>
    <n v="26996.417099999999"/>
    <n v="362.7"/>
    <x v="247"/>
    <x v="0"/>
  </r>
  <r>
    <x v="247"/>
    <d v="2024-11-08T00:00:00"/>
    <d v="2024-11-08T00:00:00"/>
    <n v="0"/>
    <x v="18"/>
    <s v="Enterprise"/>
    <s v="Marketplace"/>
    <x v="12"/>
    <s v="Networking"/>
    <n v="803.28"/>
    <s v="High"/>
    <n v="1009"/>
    <n v="0.11"/>
    <n v="4"/>
    <n v="2237.6023999999998"/>
    <n v="3213.12"/>
    <x v="248"/>
    <x v="0"/>
  </r>
  <r>
    <x v="248"/>
    <d v="2025-09-12T00:00:00"/>
    <d v="2025-09-30T00:00:00"/>
    <n v="18"/>
    <x v="11"/>
    <s v="Non-Profit"/>
    <s v="Marketplace"/>
    <x v="9"/>
    <s v="Monitors"/>
    <n v="1212.99"/>
    <s v="High"/>
    <n v="1653.64"/>
    <n v="0.107"/>
    <n v="8"/>
    <n v="11792.958000000001"/>
    <n v="9703.92"/>
    <x v="249"/>
    <x v="0"/>
  </r>
  <r>
    <x v="249"/>
    <d v="2024-09-02T00:00:00"/>
    <d v="2024-09-08T00:00:00"/>
    <n v="6"/>
    <x v="29"/>
    <s v="Consumer"/>
    <s v="Direct"/>
    <x v="10"/>
    <s v="Components"/>
    <n v="462.94"/>
    <s v="High"/>
    <n v="1015.7"/>
    <n v="0.14299999999999999"/>
    <n v="14"/>
    <n v="26961.185719999998"/>
    <n v="6481.16"/>
    <x v="250"/>
    <x v="0"/>
  </r>
  <r>
    <x v="250"/>
    <d v="2023-03-04T00:00:00"/>
    <d v="2023-03-24T00:00:00"/>
    <n v="20"/>
    <x v="22"/>
    <s v="Consumer"/>
    <s v="Distributor"/>
    <x v="2"/>
    <s v="Laptops"/>
    <n v="481.71"/>
    <s v="High"/>
    <n v="912.45"/>
    <n v="0.20300000000000001"/>
    <n v="24"/>
    <n v="17084.938320000001"/>
    <n v="11561.039999999999"/>
    <x v="251"/>
    <x v="0"/>
  </r>
  <r>
    <x v="251"/>
    <d v="2024-03-15T00:00:00"/>
    <d v="2024-04-09T00:00:00"/>
    <n v="25"/>
    <x v="0"/>
    <s v="Consumer"/>
    <s v="Online"/>
    <x v="9"/>
    <s v="Monitors"/>
    <n v="648.64"/>
    <s v="High"/>
    <n v="815.19"/>
    <n v="0.22500000000000001"/>
    <n v="28"/>
    <n v="50537.130000000005"/>
    <n v="18161.919999999998"/>
    <x v="252"/>
    <x v="0"/>
  </r>
  <r>
    <x v="252"/>
    <d v="2024-07-29T00:00:00"/>
    <d v="2024-07-31T00:00:00"/>
    <n v="2"/>
    <x v="14"/>
    <s v="Education"/>
    <s v="Marketplace"/>
    <x v="2"/>
    <s v="Printers"/>
    <n v="798.97"/>
    <s v="High"/>
    <n v="1814.06"/>
    <n v="0.122"/>
    <n v="16"/>
    <n v="29033.704000000002"/>
    <n v="12783.52"/>
    <x v="253"/>
    <x v="0"/>
  </r>
  <r>
    <x v="253"/>
    <d v="2024-10-27T00:00:00"/>
    <d v="2024-11-20T00:00:00"/>
    <n v="24"/>
    <x v="1"/>
    <s v="Non-Profit"/>
    <s v="Online"/>
    <x v="10"/>
    <s v="Monitors"/>
    <n v="317.25"/>
    <s v="High"/>
    <n v="758.92"/>
    <n v="5.2999999999999999E-2"/>
    <n v="9"/>
    <n v="18599.828130000002"/>
    <n v="2855.25"/>
    <x v="254"/>
    <x v="0"/>
  </r>
  <r>
    <x v="254"/>
    <d v="2024-04-29T00:00:00"/>
    <d v="2024-05-19T00:00:00"/>
    <n v="20"/>
    <x v="20"/>
    <s v="Enterprise"/>
    <s v="Marketplace"/>
    <x v="0"/>
    <s v="Laptops"/>
    <n v="668.97"/>
    <s v="High"/>
    <n v="1667.44"/>
    <n v="3.4000000000000002E-2"/>
    <n v="15"/>
    <n v="39508.723799999992"/>
    <n v="10034.550000000001"/>
    <x v="255"/>
    <x v="0"/>
  </r>
  <r>
    <x v="255"/>
    <d v="2023-10-05T00:00:00"/>
    <d v="2023-10-06T00:00:00"/>
    <n v="1"/>
    <x v="32"/>
    <s v="Non-Profit"/>
    <s v="Online"/>
    <x v="2"/>
    <s v="Components"/>
    <n v="1470.26"/>
    <s v="High"/>
    <n v="2562.5500000000002"/>
    <n v="0.17299999999999999"/>
    <n v="9"/>
    <n v="828.33146999999997"/>
    <n v="13232.34"/>
    <x v="256"/>
    <x v="0"/>
  </r>
  <r>
    <x v="256"/>
    <d v="2023-04-19T00:00:00"/>
    <d v="2023-05-07T00:00:00"/>
    <n v="18"/>
    <x v="12"/>
    <s v="Non-Profit"/>
    <s v="Direct"/>
    <x v="10"/>
    <s v="Networking"/>
    <n v="516.96"/>
    <s v="High"/>
    <n v="745.38"/>
    <n v="0.19700000000000001"/>
    <n v="4"/>
    <n v="3533.4890799999994"/>
    <n v="2067.84"/>
    <x v="257"/>
    <x v="0"/>
  </r>
  <r>
    <x v="257"/>
    <d v="2025-06-27T00:00:00"/>
    <d v="2025-07-05T00:00:00"/>
    <n v="8"/>
    <x v="16"/>
    <s v="Small Business"/>
    <s v="Direct"/>
    <x v="3"/>
    <s v="Monitors"/>
    <n v="314.93"/>
    <s v="High"/>
    <n v="687.95"/>
    <n v="0.20499999999999999"/>
    <n v="8"/>
    <n v="9725.3304000000007"/>
    <n v="2519.44"/>
    <x v="258"/>
    <x v="0"/>
  </r>
  <r>
    <x v="258"/>
    <d v="2023-10-11T00:00:00"/>
    <d v="2023-10-13T00:00:00"/>
    <n v="2"/>
    <x v="32"/>
    <s v="Consumer"/>
    <s v="Distributor"/>
    <x v="15"/>
    <s v="Accessories"/>
    <n v="715.94"/>
    <s v="High"/>
    <n v="550.07000000000005"/>
    <n v="0.14000000000000001"/>
    <n v="16"/>
    <n v="10026.7744"/>
    <n v="11455.04"/>
    <x v="259"/>
    <x v="0"/>
  </r>
  <r>
    <x v="259"/>
    <d v="2023-05-20T00:00:00"/>
    <d v="2023-06-07T00:00:00"/>
    <n v="18"/>
    <x v="15"/>
    <s v="Enterprise"/>
    <s v="Distributor"/>
    <x v="6"/>
    <s v="Components"/>
    <n v="1120.06"/>
    <s v="High"/>
    <n v="2068.21"/>
    <n v="7.8E-2"/>
    <n v="12"/>
    <n v="69.481920000000002"/>
    <n v="13440.72"/>
    <x v="260"/>
    <x v="0"/>
  </r>
  <r>
    <x v="260"/>
    <d v="2023-05-27T00:00:00"/>
    <d v="2023-06-19T00:00:00"/>
    <n v="23"/>
    <x v="15"/>
    <s v="Education"/>
    <s v="Retail"/>
    <x v="7"/>
    <s v="Accessories"/>
    <n v="1471.58"/>
    <s v="High"/>
    <n v="2576.65"/>
    <n v="4.0000000000000001E-3"/>
    <n v="7"/>
    <n v="17916.436439999998"/>
    <n v="10301.06"/>
    <x v="261"/>
    <x v="0"/>
  </r>
  <r>
    <x v="261"/>
    <d v="2023-08-04T00:00:00"/>
    <d v="2023-08-24T00:00:00"/>
    <n v="20"/>
    <x v="25"/>
    <s v="Non-Profit"/>
    <s v="Direct"/>
    <x v="15"/>
    <s v="Networking"/>
    <n v="582.88"/>
    <s v="High"/>
    <n v="1044.1400000000001"/>
    <n v="0.216"/>
    <n v="10"/>
    <n v="12481.436800000001"/>
    <n v="5828.8"/>
    <x v="262"/>
    <x v="0"/>
  </r>
  <r>
    <x v="262"/>
    <d v="2025-06-21T00:00:00"/>
    <d v="2025-06-27T00:00:00"/>
    <n v="6"/>
    <x v="16"/>
    <s v="Enterprise"/>
    <s v="Distributor"/>
    <x v="13"/>
    <s v="Phones"/>
    <n v="93.91"/>
    <s v="Medium"/>
    <n v="99.04"/>
    <n v="5.7000000000000002E-2"/>
    <n v="6"/>
    <n v="5632.3692599999995"/>
    <n v="563.46"/>
    <x v="263"/>
    <x v="0"/>
  </r>
  <r>
    <x v="263"/>
    <d v="2025-04-16T00:00:00"/>
    <d v="2025-04-26T00:00:00"/>
    <n v="10"/>
    <x v="19"/>
    <s v="Enterprise"/>
    <s v="Marketplace"/>
    <x v="9"/>
    <s v="Laptops"/>
    <n v="1457.44"/>
    <s v="High"/>
    <n v="1996.81"/>
    <n v="0.126"/>
    <n v="23"/>
    <n v="24932.711619999998"/>
    <n v="33521.120000000003"/>
    <x v="264"/>
    <x v="0"/>
  </r>
  <r>
    <x v="264"/>
    <d v="2025-09-02T00:00:00"/>
    <d v="2025-09-11T00:00:00"/>
    <n v="9"/>
    <x v="11"/>
    <s v="Corporate"/>
    <s v="Distributor"/>
    <x v="12"/>
    <s v="Printers"/>
    <n v="1207.6300000000001"/>
    <s v="High"/>
    <n v="921.68"/>
    <n v="0.19600000000000001"/>
    <n v="17"/>
    <n v="1617.8811600000001"/>
    <n v="20529.710000000003"/>
    <x v="265"/>
    <x v="0"/>
  </r>
  <r>
    <x v="265"/>
    <d v="2024-10-08T00:00:00"/>
    <d v="2024-10-08T00:00:00"/>
    <n v="0"/>
    <x v="1"/>
    <s v="Corporate"/>
    <s v="Online"/>
    <x v="6"/>
    <s v="Monitors"/>
    <n v="1108.1099999999999"/>
    <s v="High"/>
    <n v="2503.79"/>
    <n v="0.184"/>
    <n v="19"/>
    <n v="32644.137120000007"/>
    <n v="21054.089999999997"/>
    <x v="266"/>
    <x v="0"/>
  </r>
  <r>
    <x v="266"/>
    <d v="2023-05-07T00:00:00"/>
    <d v="2023-05-05T00:00:00"/>
    <n v="2"/>
    <x v="15"/>
    <s v="Non-Profit"/>
    <s v="Marketplace"/>
    <x v="8"/>
    <s v="Components"/>
    <n v="1269.6500000000001"/>
    <s v="High"/>
    <n v="2462.77"/>
    <n v="0.107"/>
    <n v="8"/>
    <n v="3736.3119999999999"/>
    <n v="10157.200000000001"/>
    <x v="267"/>
    <x v="0"/>
  </r>
  <r>
    <x v="267"/>
    <d v="2023-12-24T00:00:00"/>
    <d v="2024-01-01T00:00:00"/>
    <n v="8"/>
    <x v="4"/>
    <s v="Education"/>
    <s v="Direct"/>
    <x v="0"/>
    <s v="Phones"/>
    <n v="526.49"/>
    <s v="High"/>
    <n v="496.2"/>
    <n v="0"/>
    <n v="14"/>
    <n v="15054.199999999999"/>
    <n v="7370.8600000000006"/>
    <x v="268"/>
    <x v="0"/>
  </r>
  <r>
    <x v="268"/>
    <d v="2024-01-10T00:00:00"/>
    <d v="2024-01-23T00:00:00"/>
    <n v="13"/>
    <x v="9"/>
    <s v="Corporate"/>
    <s v="Direct"/>
    <x v="8"/>
    <s v="Printers"/>
    <n v="720"/>
    <s v="High"/>
    <n v="907.59"/>
    <n v="0.154"/>
    <n v="10"/>
    <n v="27872.062200000004"/>
    <n v="7200"/>
    <x v="269"/>
    <x v="0"/>
  </r>
  <r>
    <x v="269"/>
    <d v="2023-08-03T00:00:00"/>
    <d v="2023-08-14T00:00:00"/>
    <n v="11"/>
    <x v="25"/>
    <s v="Corporate"/>
    <s v="Direct"/>
    <x v="1"/>
    <s v="Accessories"/>
    <n v="232.73"/>
    <s v="High"/>
    <n v="334.19"/>
    <n v="0.13400000000000001"/>
    <n v="25"/>
    <n v="10046.682500000001"/>
    <n v="5818.25"/>
    <x v="270"/>
    <x v="0"/>
  </r>
  <r>
    <x v="270"/>
    <d v="2025-02-19T00:00:00"/>
    <d v="2025-03-09T00:00:00"/>
    <n v="18"/>
    <x v="26"/>
    <s v="Small Business"/>
    <s v="Direct"/>
    <x v="7"/>
    <s v="Monitors"/>
    <n v="325.87"/>
    <s v="High"/>
    <n v="538.79"/>
    <n v="0.17399999999999999"/>
    <n v="16"/>
    <n v="6753.7724800000005"/>
    <n v="5213.92"/>
    <x v="271"/>
    <x v="0"/>
  </r>
  <r>
    <x v="271"/>
    <d v="2024-03-31T00:00:00"/>
    <d v="2024-04-17T00:00:00"/>
    <n v="17"/>
    <x v="0"/>
    <s v="Education"/>
    <s v="Direct"/>
    <x v="10"/>
    <s v="Monitors"/>
    <n v="1025.51"/>
    <s v="High"/>
    <n v="1436.54"/>
    <n v="0.13900000000000001"/>
    <n v="28"/>
    <n v="101.73576"/>
    <n v="28714.28"/>
    <x v="272"/>
    <x v="0"/>
  </r>
  <r>
    <x v="272"/>
    <d v="2023-07-24T00:00:00"/>
    <d v="2023-08-13T00:00:00"/>
    <n v="20"/>
    <x v="24"/>
    <s v="Education"/>
    <s v="Direct"/>
    <x v="0"/>
    <s v="Monitors"/>
    <n v="1082.3800000000001"/>
    <s v="High"/>
    <n v="1766.55"/>
    <n v="0.16400000000000001"/>
    <n v="20"/>
    <n v="9651.4527999999991"/>
    <n v="21647.600000000002"/>
    <x v="273"/>
    <x v="0"/>
  </r>
  <r>
    <x v="273"/>
    <d v="2024-03-16T00:00:00"/>
    <d v="2024-04-13T00:00:00"/>
    <n v="28"/>
    <x v="0"/>
    <s v="Small Business"/>
    <s v="Online"/>
    <x v="11"/>
    <s v="Printers"/>
    <n v="287.61"/>
    <s v="High"/>
    <n v="628.54"/>
    <n v="0.13500000000000001"/>
    <n v="21"/>
    <n v="25903.83495"/>
    <n v="6039.81"/>
    <x v="274"/>
    <x v="0"/>
  </r>
  <r>
    <x v="274"/>
    <d v="2024-01-25T00:00:00"/>
    <d v="2024-01-27T00:00:00"/>
    <n v="2"/>
    <x v="9"/>
    <s v="Non-Profit"/>
    <s v="Marketplace"/>
    <x v="13"/>
    <s v="Laptops"/>
    <n v="1410.97"/>
    <s v="High"/>
    <n v="1650.75"/>
    <n v="0.13500000000000001"/>
    <n v="6"/>
    <n v="7059.0227999999997"/>
    <n v="8465.82"/>
    <x v="275"/>
    <x v="0"/>
  </r>
  <r>
    <x v="275"/>
    <d v="2024-03-27T00:00:00"/>
    <d v="2024-04-11T00:00:00"/>
    <n v="15"/>
    <x v="0"/>
    <s v="Small Business"/>
    <s v="Direct"/>
    <x v="7"/>
    <s v="Networking"/>
    <n v="1338.35"/>
    <s v="High"/>
    <n v="2247.14"/>
    <n v="0.115"/>
    <n v="40"/>
    <n v="73316.94"/>
    <n v="53534"/>
    <x v="276"/>
    <x v="0"/>
  </r>
  <r>
    <x v="276"/>
    <d v="2025-06-24T00:00:00"/>
    <d v="2025-07-14T00:00:00"/>
    <n v="20"/>
    <x v="16"/>
    <s v="Corporate"/>
    <s v="Direct"/>
    <x v="7"/>
    <s v="Accessories"/>
    <n v="385.08"/>
    <s v="High"/>
    <n v="893.19"/>
    <n v="0.151"/>
    <n v="8"/>
    <n v="6655.0732799999996"/>
    <n v="3080.64"/>
    <x v="277"/>
    <x v="0"/>
  </r>
  <r>
    <x v="277"/>
    <d v="2024-06-16T00:00:00"/>
    <d v="2024-07-03T00:00:00"/>
    <n v="17"/>
    <x v="17"/>
    <s v="Enterprise"/>
    <s v="Marketplace"/>
    <x v="9"/>
    <s v="Phones"/>
    <n v="1173.83"/>
    <s v="High"/>
    <n v="2328.9"/>
    <n v="0.12"/>
    <n v="17"/>
    <n v="8039.3543999999993"/>
    <n v="19955.11"/>
    <x v="278"/>
    <x v="0"/>
  </r>
  <r>
    <x v="278"/>
    <d v="2023-10-30T00:00:00"/>
    <d v="2023-11-14T00:00:00"/>
    <n v="15"/>
    <x v="32"/>
    <s v="Corporate"/>
    <s v="Online"/>
    <x v="9"/>
    <s v="Laptops"/>
    <n v="953.46"/>
    <s v="High"/>
    <n v="2066.75"/>
    <n v="0.13800000000000001"/>
    <n v="5"/>
    <n v="919.40919999999994"/>
    <n v="4767.3"/>
    <x v="279"/>
    <x v="0"/>
  </r>
  <r>
    <x v="279"/>
    <d v="2023-06-15T00:00:00"/>
    <d v="2023-06-23T00:00:00"/>
    <n v="8"/>
    <x v="23"/>
    <s v="Consumer"/>
    <s v="Distributor"/>
    <x v="7"/>
    <s v="Monitors"/>
    <n v="1097.0899999999999"/>
    <s v="High"/>
    <n v="2182.31"/>
    <n v="0.112"/>
    <n v="9"/>
    <n v="15941.402639999998"/>
    <n v="9873.81"/>
    <x v="280"/>
    <x v="0"/>
  </r>
  <r>
    <x v="280"/>
    <d v="2025-03-14T00:00:00"/>
    <d v="2025-03-29T00:00:00"/>
    <n v="15"/>
    <x v="3"/>
    <s v="Non-Profit"/>
    <s v="Direct"/>
    <x v="10"/>
    <s v="Networking"/>
    <n v="1106.96"/>
    <s v="High"/>
    <n v="2726.62"/>
    <n v="0.317"/>
    <n v="7"/>
    <n v="2643.1280400000001"/>
    <n v="7748.72"/>
    <x v="281"/>
    <x v="0"/>
  </r>
  <r>
    <x v="281"/>
    <d v="2023-08-15T00:00:00"/>
    <d v="2023-08-25T00:00:00"/>
    <n v="10"/>
    <x v="25"/>
    <s v="Small Business"/>
    <s v="Retail"/>
    <x v="13"/>
    <s v="Phones"/>
    <n v="91.85"/>
    <s v="Medium"/>
    <n v="111.29"/>
    <n v="0"/>
    <n v="6"/>
    <n v="1349.6999999999998"/>
    <n v="551.09999999999991"/>
    <x v="282"/>
    <x v="0"/>
  </r>
  <r>
    <x v="282"/>
    <d v="2025-05-17T00:00:00"/>
    <d v="2025-05-28T00:00:00"/>
    <n v="11"/>
    <x v="8"/>
    <s v="Corporate"/>
    <s v="Distributor"/>
    <x v="5"/>
    <s v="Laptops"/>
    <n v="623.4"/>
    <s v="High"/>
    <n v="1100.0899999999999"/>
    <n v="0.114"/>
    <n v="12"/>
    <n v="8208.8608800000002"/>
    <n v="7480.7999999999993"/>
    <x v="283"/>
    <x v="0"/>
  </r>
  <r>
    <x v="283"/>
    <d v="2024-01-13T00:00:00"/>
    <d v="2024-02-05T00:00:00"/>
    <n v="23"/>
    <x v="9"/>
    <s v="Education"/>
    <s v="Direct"/>
    <x v="5"/>
    <s v="Laptops"/>
    <n v="1017.93"/>
    <s v="High"/>
    <n v="1529.14"/>
    <n v="0.155"/>
    <n v="12"/>
    <n v="31932.989400000002"/>
    <n v="12215.16"/>
    <x v="284"/>
    <x v="0"/>
  </r>
  <r>
    <x v="284"/>
    <d v="2023-06-24T00:00:00"/>
    <d v="2023-07-21T00:00:00"/>
    <n v="27"/>
    <x v="23"/>
    <s v="Consumer"/>
    <s v="Marketplace"/>
    <x v="1"/>
    <s v="Phones"/>
    <n v="554.76"/>
    <s v="High"/>
    <n v="728.69"/>
    <n v="0.22"/>
    <n v="7"/>
    <n v="314.11380000000003"/>
    <n v="3883.3199999999997"/>
    <x v="285"/>
    <x v="0"/>
  </r>
  <r>
    <x v="285"/>
    <d v="2025-04-04T00:00:00"/>
    <d v="2025-04-13T00:00:00"/>
    <n v="9"/>
    <x v="19"/>
    <s v="Consumer"/>
    <s v="Marketplace"/>
    <x v="9"/>
    <s v="Phones"/>
    <n v="7.02"/>
    <s v="Low"/>
    <n v="6.28"/>
    <n v="0.13400000000000001"/>
    <n v="14"/>
    <n v="9999.9964400000008"/>
    <n v="98.28"/>
    <x v="286"/>
    <x v="0"/>
  </r>
  <r>
    <x v="286"/>
    <d v="2024-09-07T00:00:00"/>
    <d v="2024-09-07T00:00:00"/>
    <n v="0"/>
    <x v="29"/>
    <s v="Education"/>
    <s v="Distributor"/>
    <x v="5"/>
    <s v="Networking"/>
    <n v="1066.6500000000001"/>
    <s v="High"/>
    <n v="2569.77"/>
    <n v="0.13400000000000001"/>
    <n v="9"/>
    <n v="11640.572819999999"/>
    <n v="9599.85"/>
    <x v="287"/>
    <x v="0"/>
  </r>
  <r>
    <x v="287"/>
    <d v="2024-01-28T00:00:00"/>
    <d v="2024-01-30T00:00:00"/>
    <n v="2"/>
    <x v="9"/>
    <s v="Consumer"/>
    <s v="Direct"/>
    <x v="9"/>
    <s v="Accessories"/>
    <n v="798.45"/>
    <s v="High"/>
    <n v="1592.02"/>
    <n v="6.6000000000000003E-2"/>
    <n v="18"/>
    <n v="12473.159039999999"/>
    <n v="14372.1"/>
    <x v="288"/>
    <x v="0"/>
  </r>
  <r>
    <x v="288"/>
    <d v="2023-07-18T00:00:00"/>
    <d v="2023-08-10T00:00:00"/>
    <n v="23"/>
    <x v="24"/>
    <s v="Small Business"/>
    <s v="Retail"/>
    <x v="4"/>
    <s v="Components"/>
    <n v="1271.56"/>
    <s v="High"/>
    <n v="995.47"/>
    <n v="0.192"/>
    <n v="13"/>
    <n v="7796.3839200000002"/>
    <n v="16530.28"/>
    <x v="289"/>
    <x v="0"/>
  </r>
  <r>
    <x v="289"/>
    <d v="2025-08-28T00:00:00"/>
    <d v="2025-08-26T00:00:00"/>
    <n v="2"/>
    <x v="28"/>
    <s v="Small Business"/>
    <s v="Retail"/>
    <x v="8"/>
    <s v="Accessories"/>
    <n v="521.05999999999995"/>
    <s v="High"/>
    <n v="1240.31"/>
    <n v="0.14599999999999999"/>
    <n v="18"/>
    <n v="7371.4888800000008"/>
    <n v="9379.0799999999981"/>
    <x v="290"/>
    <x v="0"/>
  </r>
  <r>
    <x v="290"/>
    <d v="2025-03-30T00:00:00"/>
    <d v="2025-04-07T00:00:00"/>
    <n v="8"/>
    <x v="3"/>
    <s v="Non-Profit"/>
    <s v="Direct"/>
    <x v="4"/>
    <s v="Printers"/>
    <n v="71.62"/>
    <s v="Medium"/>
    <n v="118.37"/>
    <n v="0.156"/>
    <n v="11"/>
    <n v="10911.020999999999"/>
    <n v="787.82"/>
    <x v="291"/>
    <x v="0"/>
  </r>
  <r>
    <x v="291"/>
    <d v="2023-10-21T00:00:00"/>
    <d v="2023-11-09T00:00:00"/>
    <n v="19"/>
    <x v="32"/>
    <s v="Non-Profit"/>
    <s v="Direct"/>
    <x v="8"/>
    <s v="Accessories"/>
    <n v="1142.48"/>
    <s v="High"/>
    <n v="2105.5300000000002"/>
    <n v="0.20699999999999999"/>
    <n v="14"/>
    <n v="2525.1498999999999"/>
    <n v="15994.720000000001"/>
    <x v="292"/>
    <x v="0"/>
  </r>
  <r>
    <x v="292"/>
    <d v="2023-08-23T00:00:00"/>
    <d v="2023-09-22T00:00:00"/>
    <n v="30"/>
    <x v="25"/>
    <s v="Consumer"/>
    <s v="Distributor"/>
    <x v="7"/>
    <s v="Accessories"/>
    <n v="209.81"/>
    <s v="High"/>
    <n v="523"/>
    <n v="5.8999999999999997E-2"/>
    <n v="15"/>
    <n v="16636.221300000001"/>
    <n v="3147.15"/>
    <x v="293"/>
    <x v="0"/>
  </r>
  <r>
    <x v="293"/>
    <d v="2025-04-11T00:00:00"/>
    <d v="2025-05-04T00:00:00"/>
    <n v="23"/>
    <x v="19"/>
    <s v="Small Business"/>
    <s v="Online"/>
    <x v="12"/>
    <s v="Components"/>
    <n v="786.2"/>
    <s v="High"/>
    <n v="1075.3"/>
    <n v="0.08"/>
    <n v="9"/>
    <n v="20054.987999999998"/>
    <n v="7075.8"/>
    <x v="294"/>
    <x v="0"/>
  </r>
  <r>
    <x v="294"/>
    <d v="2025-06-01T00:00:00"/>
    <d v="2025-06-27T00:00:00"/>
    <n v="26"/>
    <x v="16"/>
    <s v="Consumer"/>
    <s v="Distributor"/>
    <x v="6"/>
    <s v="Laptops"/>
    <n v="1362.31"/>
    <s v="High"/>
    <n v="3294.57"/>
    <n v="0.113"/>
    <n v="7"/>
    <n v="2693.96092"/>
    <n v="9536.17"/>
    <x v="295"/>
    <x v="0"/>
  </r>
  <r>
    <x v="295"/>
    <d v="2024-03-02T00:00:00"/>
    <d v="2024-03-16T00:00:00"/>
    <n v="14"/>
    <x v="0"/>
    <s v="Non-Profit"/>
    <s v="Direct"/>
    <x v="7"/>
    <s v="Printers"/>
    <n v="248.24"/>
    <s v="High"/>
    <n v="464.05"/>
    <n v="0.16900000000000001"/>
    <n v="11"/>
    <n v="28786.197329999999"/>
    <n v="2730.6400000000003"/>
    <x v="296"/>
    <x v="0"/>
  </r>
  <r>
    <x v="296"/>
    <d v="2023-06-20T00:00:00"/>
    <d v="2023-07-08T00:00:00"/>
    <n v="18"/>
    <x v="23"/>
    <s v="Non-Profit"/>
    <s v="Direct"/>
    <x v="9"/>
    <s v="Monitors"/>
    <n v="337"/>
    <s v="High"/>
    <n v="511.03"/>
    <n v="0.108"/>
    <n v="7"/>
    <n v="409.91860000000008"/>
    <n v="2359"/>
    <x v="297"/>
    <x v="0"/>
  </r>
  <r>
    <x v="297"/>
    <d v="2024-03-26T00:00:00"/>
    <d v="2024-04-05T00:00:00"/>
    <n v="10"/>
    <x v="0"/>
    <s v="Consumer"/>
    <s v="Direct"/>
    <x v="1"/>
    <s v="Monitors"/>
    <n v="5.66"/>
    <s v="Low"/>
    <n v="4.22"/>
    <n v="0.11899999999999999"/>
    <n v="18"/>
    <n v="39520.356119999997"/>
    <n v="101.88"/>
    <x v="298"/>
    <x v="0"/>
  </r>
  <r>
    <x v="298"/>
    <d v="2025-01-22T00:00:00"/>
    <d v="2025-01-22T00:00:00"/>
    <n v="0"/>
    <x v="10"/>
    <s v="Small Business"/>
    <s v="Online"/>
    <x v="5"/>
    <s v="Accessories"/>
    <n v="591.72"/>
    <s v="High"/>
    <n v="577.24"/>
    <n v="0"/>
    <n v="22"/>
    <n v="20500.48"/>
    <n v="13017.84"/>
    <x v="299"/>
    <x v="0"/>
  </r>
  <r>
    <x v="299"/>
    <d v="2025-05-10T00:00:00"/>
    <d v="2025-05-27T00:00:00"/>
    <n v="17"/>
    <x v="8"/>
    <s v="Education"/>
    <s v="Direct"/>
    <x v="0"/>
    <s v="Components"/>
    <n v="862.89"/>
    <s v="High"/>
    <n v="1426.03"/>
    <n v="5.6000000000000001E-2"/>
    <n v="19"/>
    <n v="11111.531359999999"/>
    <n v="16394.91"/>
    <x v="300"/>
    <x v="0"/>
  </r>
  <r>
    <x v="300"/>
    <d v="2023-10-05T00:00:00"/>
    <d v="2023-10-31T00:00:00"/>
    <n v="26"/>
    <x v="32"/>
    <s v="Consumer"/>
    <s v="Not Provided"/>
    <x v="1"/>
    <s v="Printers"/>
    <n v="649.91"/>
    <s v="High"/>
    <n v="1360.12"/>
    <n v="0.19400000000000001"/>
    <n v="9"/>
    <n v="10311.923699999999"/>
    <n v="5849.19"/>
    <x v="301"/>
    <x v="0"/>
  </r>
  <r>
    <x v="301"/>
    <d v="2023-07-18T00:00:00"/>
    <d v="2023-07-22T00:00:00"/>
    <n v="4"/>
    <x v="24"/>
    <s v="Consumer"/>
    <s v="Direct"/>
    <x v="9"/>
    <s v="Networking"/>
    <n v="1269.55"/>
    <s v="High"/>
    <n v="2071.1"/>
    <n v="0.129"/>
    <n v="22"/>
    <n v="18252.954719999998"/>
    <n v="27930.1"/>
    <x v="302"/>
    <x v="0"/>
  </r>
  <r>
    <x v="302"/>
    <d v="2025-06-22T00:00:00"/>
    <d v="2025-07-08T00:00:00"/>
    <n v="16"/>
    <x v="16"/>
    <s v="Education"/>
    <s v="Direct"/>
    <x v="8"/>
    <s v="Phones"/>
    <n v="892.73"/>
    <s v="High"/>
    <n v="979.84"/>
    <n v="0.17399999999999999"/>
    <n v="10"/>
    <n v="26053.196400000001"/>
    <n v="8927.2999999999993"/>
    <x v="303"/>
    <x v="0"/>
  </r>
  <r>
    <x v="303"/>
    <d v="2024-06-19T00:00:00"/>
    <d v="2024-06-20T00:00:00"/>
    <n v="1"/>
    <x v="17"/>
    <s v="Small Business"/>
    <s v="Direct"/>
    <x v="1"/>
    <s v="Laptops"/>
    <n v="231.63"/>
    <s v="High"/>
    <n v="537.39"/>
    <n v="0.08"/>
    <n v="12"/>
    <n v="2496.5855999999999"/>
    <n v="2779.56"/>
    <x v="304"/>
    <x v="0"/>
  </r>
  <r>
    <x v="304"/>
    <d v="2025-04-09T00:00:00"/>
    <d v="2025-04-12T00:00:00"/>
    <n v="3"/>
    <x v="19"/>
    <s v="Small Business"/>
    <s v="Distributor"/>
    <x v="10"/>
    <s v="Monitors"/>
    <n v="86.68"/>
    <s v="High"/>
    <n v="213.32"/>
    <n v="3.7999999999999999E-2"/>
    <n v="8"/>
    <n v="6818.0403199999992"/>
    <n v="693.44"/>
    <x v="305"/>
    <x v="0"/>
  </r>
  <r>
    <x v="305"/>
    <d v="2025-03-25T00:00:00"/>
    <d v="2025-03-26T00:00:00"/>
    <n v="1"/>
    <x v="3"/>
    <s v="Education"/>
    <s v="Distributor"/>
    <x v="3"/>
    <s v="Accessories"/>
    <n v="1450.43"/>
    <s v="High"/>
    <n v="1994.67"/>
    <n v="0.1"/>
    <n v="24"/>
    <n v="52560.144000000008"/>
    <n v="34810.32"/>
    <x v="306"/>
    <x v="0"/>
  </r>
  <r>
    <x v="306"/>
    <d v="2025-05-18T00:00:00"/>
    <d v="2025-06-09T00:00:00"/>
    <n v="22"/>
    <x v="8"/>
    <s v="Consumer"/>
    <s v="Retail"/>
    <x v="10"/>
    <s v="Networking"/>
    <n v="382.96"/>
    <s v="High"/>
    <n v="552.84"/>
    <n v="0.17599999999999999"/>
    <n v="8"/>
    <n v="7609.4092799999999"/>
    <n v="3063.68"/>
    <x v="307"/>
    <x v="0"/>
  </r>
  <r>
    <x v="307"/>
    <d v="2025-01-22T00:00:00"/>
    <d v="2025-02-04T00:00:00"/>
    <n v="13"/>
    <x v="10"/>
    <s v="Small Business"/>
    <s v="Distributor"/>
    <x v="4"/>
    <s v="Printers"/>
    <n v="122.29"/>
    <s v="High"/>
    <n v="224.95"/>
    <n v="0.153"/>
    <n v="28"/>
    <n v="26941.13884"/>
    <n v="3424.1200000000003"/>
    <x v="308"/>
    <x v="0"/>
  </r>
  <r>
    <x v="308"/>
    <d v="2023-01-10T00:00:00"/>
    <d v="2023-01-29T00:00:00"/>
    <n v="19"/>
    <x v="5"/>
    <s v="Non-Profit"/>
    <s v="Direct"/>
    <x v="14"/>
    <s v="Laptops"/>
    <n v="401.66"/>
    <s v="High"/>
    <n v="772.09"/>
    <n v="8.8999999999999996E-2"/>
    <n v="14"/>
    <n v="35096.967360000002"/>
    <n v="5623.2400000000007"/>
    <x v="309"/>
    <x v="0"/>
  </r>
  <r>
    <x v="309"/>
    <d v="2024-12-29T00:00:00"/>
    <d v="2025-01-12T00:00:00"/>
    <n v="14"/>
    <x v="6"/>
    <s v="Corporate"/>
    <s v="Direct"/>
    <x v="5"/>
    <s v="Monitors"/>
    <n v="1399.72"/>
    <s v="High"/>
    <n v="3149.21"/>
    <n v="0.185"/>
    <n v="12"/>
    <n v="13444.761599999998"/>
    <n v="16796.64"/>
    <x v="310"/>
    <x v="0"/>
  </r>
  <r>
    <x v="310"/>
    <d v="2024-05-23T00:00:00"/>
    <d v="2024-06-06T00:00:00"/>
    <n v="14"/>
    <x v="7"/>
    <s v="Non-Profit"/>
    <s v="Online"/>
    <x v="2"/>
    <s v="Networking"/>
    <n v="51.13"/>
    <s v="Medium"/>
    <n v="57.53"/>
    <n v="4.4999999999999998E-2"/>
    <n v="16"/>
    <n v="20144.693599999999"/>
    <n v="818.08"/>
    <x v="311"/>
    <x v="0"/>
  </r>
  <r>
    <x v="311"/>
    <d v="2023-06-24T00:00:00"/>
    <d v="2023-06-22T00:00:00"/>
    <n v="2"/>
    <x v="23"/>
    <s v="Non-Profit"/>
    <s v="Retail"/>
    <x v="12"/>
    <s v="Accessories"/>
    <n v="471.42"/>
    <s v="High"/>
    <n v="824.81"/>
    <n v="8.7999999999999995E-2"/>
    <n v="15"/>
    <n v="6043.0032000000001"/>
    <n v="7071.3"/>
    <x v="312"/>
    <x v="0"/>
  </r>
  <r>
    <x v="312"/>
    <d v="2024-11-04T00:00:00"/>
    <d v="2024-11-05T00:00:00"/>
    <n v="1"/>
    <x v="18"/>
    <s v="Corporate"/>
    <s v="Retail"/>
    <x v="12"/>
    <s v="Printers"/>
    <n v="840.68"/>
    <s v="High"/>
    <n v="1493.53"/>
    <n v="0"/>
    <n v="27"/>
    <n v="35911.89"/>
    <n v="22698.359999999997"/>
    <x v="313"/>
    <x v="0"/>
  </r>
  <r>
    <x v="313"/>
    <d v="2024-06-08T00:00:00"/>
    <d v="2024-06-24T00:00:00"/>
    <n v="16"/>
    <x v="17"/>
    <s v="Education"/>
    <s v="Distributor"/>
    <x v="10"/>
    <s v="Monitors"/>
    <n v="597.85"/>
    <s v="High"/>
    <n v="741.92"/>
    <n v="3.1E-2"/>
    <n v="7"/>
    <n v="11089.255379999999"/>
    <n v="4184.95"/>
    <x v="314"/>
    <x v="0"/>
  </r>
  <r>
    <x v="314"/>
    <d v="2025-06-01T00:00:00"/>
    <d v="2025-06-06T00:00:00"/>
    <n v="5"/>
    <x v="16"/>
    <s v="Consumer"/>
    <s v="Distributor"/>
    <x v="3"/>
    <s v="Components"/>
    <n v="379.45"/>
    <s v="High"/>
    <n v="742.23"/>
    <n v="0.09"/>
    <n v="13"/>
    <n v="835.19799999999998"/>
    <n v="4932.8499999999995"/>
    <x v="315"/>
    <x v="0"/>
  </r>
  <r>
    <x v="315"/>
    <d v="2023-05-06T00:00:00"/>
    <d v="2023-05-14T00:00:00"/>
    <n v="8"/>
    <x v="15"/>
    <s v="Enterprise"/>
    <s v="Marketplace"/>
    <x v="5"/>
    <s v="Phones"/>
    <n v="291.18"/>
    <s v="High"/>
    <n v="479.54"/>
    <n v="0.14099999999999999"/>
    <n v="22"/>
    <n v="34451.80992"/>
    <n v="6405.96"/>
    <x v="316"/>
    <x v="0"/>
  </r>
  <r>
    <x v="316"/>
    <d v="2023-11-14T00:00:00"/>
    <d v="2023-11-30T00:00:00"/>
    <n v="16"/>
    <x v="30"/>
    <s v="Enterprise"/>
    <s v="Direct"/>
    <x v="11"/>
    <s v="Networking"/>
    <n v="1017.92"/>
    <s v="High"/>
    <n v="1175.25"/>
    <n v="7.4999999999999997E-2"/>
    <n v="15"/>
    <n v="27971.861250000002"/>
    <n v="15268.8"/>
    <x v="317"/>
    <x v="0"/>
  </r>
  <r>
    <x v="317"/>
    <d v="2025-04-01T00:00:00"/>
    <d v="2025-04-27T00:00:00"/>
    <n v="26"/>
    <x v="19"/>
    <s v="Corporate"/>
    <s v="Direct"/>
    <x v="2"/>
    <s v="Monitors"/>
    <n v="156.55000000000001"/>
    <s v="High"/>
    <n v="227.45"/>
    <n v="1.4E-2"/>
    <n v="13"/>
    <n v="3129.2583399999999"/>
    <n v="2035.15"/>
    <x v="318"/>
    <x v="0"/>
  </r>
  <r>
    <x v="318"/>
    <d v="2023-03-23T00:00:00"/>
    <d v="2023-04-15T00:00:00"/>
    <n v="23"/>
    <x v="22"/>
    <s v="Small Business"/>
    <s v="Retail"/>
    <x v="0"/>
    <s v="Accessories"/>
    <n v="875.36"/>
    <s v="High"/>
    <n v="1178.6199999999999"/>
    <n v="0.151"/>
    <n v="53"/>
    <n v="125232.05063999999"/>
    <n v="46394.080000000002"/>
    <x v="319"/>
    <x v="0"/>
  </r>
  <r>
    <x v="319"/>
    <d v="2024-05-28T00:00:00"/>
    <d v="2024-06-18T00:00:00"/>
    <n v="21"/>
    <x v="7"/>
    <s v="Small Business"/>
    <s v="Online"/>
    <x v="6"/>
    <s v="Phones"/>
    <n v="986.85"/>
    <s v="High"/>
    <n v="2422.1"/>
    <n v="7.5999999999999998E-2"/>
    <n v="10"/>
    <n v="18944.864399999999"/>
    <n v="9868.5"/>
    <x v="320"/>
    <x v="0"/>
  </r>
  <r>
    <x v="320"/>
    <d v="2024-01-02T00:00:00"/>
    <d v="2024-01-01T00:00:00"/>
    <n v="1"/>
    <x v="9"/>
    <s v="Education"/>
    <s v="Marketplace"/>
    <x v="5"/>
    <s v="Networking"/>
    <n v="404.77"/>
    <s v="High"/>
    <n v="433.88"/>
    <n v="0.215"/>
    <n v="22"/>
    <n v="2540.7624000000005"/>
    <n v="8904.9399999999987"/>
    <x v="321"/>
    <x v="0"/>
  </r>
  <r>
    <x v="321"/>
    <d v="2023-02-28T00:00:00"/>
    <d v="2023-02-27T00:00:00"/>
    <n v="1"/>
    <x v="2"/>
    <s v="Corporate"/>
    <s v="Retail"/>
    <x v="11"/>
    <s v="Networking"/>
    <n v="1299.81"/>
    <s v="High"/>
    <n v="3149.13"/>
    <n v="0.10299999999999999"/>
    <n v="14"/>
    <n v="24902.262840000003"/>
    <n v="18197.34"/>
    <x v="322"/>
    <x v="0"/>
  </r>
  <r>
    <x v="322"/>
    <d v="2024-02-18T00:00:00"/>
    <d v="2024-03-11T00:00:00"/>
    <n v="22"/>
    <x v="31"/>
    <s v="Consumer"/>
    <s v="Online"/>
    <x v="8"/>
    <s v="Components"/>
    <n v="80.48"/>
    <s v="Medium"/>
    <n v="65.650000000000006"/>
    <n v="0.17599999999999999"/>
    <n v="13"/>
    <n v="24630.101600000002"/>
    <n v="1046.24"/>
    <x v="323"/>
    <x v="0"/>
  </r>
  <r>
    <x v="323"/>
    <d v="2024-09-09T00:00:00"/>
    <d v="2024-10-08T00:00:00"/>
    <n v="29"/>
    <x v="29"/>
    <s v="Education"/>
    <s v="Direct"/>
    <x v="1"/>
    <s v="Components"/>
    <n v="1010.33"/>
    <s v="High"/>
    <n v="2492.14"/>
    <n v="5.0999999999999997E-2"/>
    <n v="11"/>
    <n v="4829.1857899999995"/>
    <n v="11113.630000000001"/>
    <x v="324"/>
    <x v="0"/>
  </r>
  <r>
    <x v="324"/>
    <d v="2023-05-07T00:00:00"/>
    <d v="2023-05-29T00:00:00"/>
    <n v="22"/>
    <x v="15"/>
    <s v="Education"/>
    <s v="Distributor"/>
    <x v="11"/>
    <s v="Accessories"/>
    <n v="653.86"/>
    <s v="High"/>
    <n v="931.84"/>
    <n v="0.121"/>
    <n v="12"/>
    <n v="11533.077720000001"/>
    <n v="7846.32"/>
    <x v="325"/>
    <x v="0"/>
  </r>
  <r>
    <x v="325"/>
    <d v="2024-01-12T00:00:00"/>
    <d v="2024-01-29T00:00:00"/>
    <n v="17"/>
    <x v="9"/>
    <s v="Small Business"/>
    <s v="Direct"/>
    <x v="5"/>
    <s v="Components"/>
    <n v="310.02"/>
    <s v="High"/>
    <n v="619.51"/>
    <n v="4.2000000000000003E-2"/>
    <n v="4"/>
    <n v="5572.5710399999998"/>
    <n v="1240.08"/>
    <x v="326"/>
    <x v="0"/>
  </r>
  <r>
    <x v="326"/>
    <d v="2023-06-10T00:00:00"/>
    <d v="2023-06-18T00:00:00"/>
    <n v="8"/>
    <x v="23"/>
    <s v="Enterprise"/>
    <s v="Direct"/>
    <x v="10"/>
    <s v="Phones"/>
    <n v="894.23"/>
    <s v="High"/>
    <n v="1421.55"/>
    <n v="0.109"/>
    <n v="3"/>
    <n v="5667.829200000001"/>
    <n v="2682.69"/>
    <x v="327"/>
    <x v="0"/>
  </r>
  <r>
    <x v="327"/>
    <d v="2025-05-19T00:00:00"/>
    <d v="2025-05-17T00:00:00"/>
    <n v="2"/>
    <x v="8"/>
    <s v="Small Business"/>
    <s v="Distributor"/>
    <x v="4"/>
    <s v="Monitors"/>
    <n v="383.77"/>
    <s v="High"/>
    <n v="952.56"/>
    <n v="0.34599999999999997"/>
    <n v="10"/>
    <n v="841.56720000000018"/>
    <n v="3837.7"/>
    <x v="328"/>
    <x v="0"/>
  </r>
  <r>
    <x v="328"/>
    <d v="2023-10-22T00:00:00"/>
    <d v="2023-11-16T00:00:00"/>
    <n v="25"/>
    <x v="32"/>
    <s v="Small Business"/>
    <s v="Marketplace"/>
    <x v="2"/>
    <s v="Laptops"/>
    <n v="1373.31"/>
    <s v="High"/>
    <n v="3154.14"/>
    <n v="0.2"/>
    <n v="11"/>
    <n v="11668.448000000002"/>
    <n v="15106.41"/>
    <x v="329"/>
    <x v="0"/>
  </r>
  <r>
    <x v="329"/>
    <d v="2025-01-11T00:00:00"/>
    <d v="2025-01-23T00:00:00"/>
    <n v="12"/>
    <x v="10"/>
    <s v="Consumer"/>
    <s v="Distributor"/>
    <x v="10"/>
    <s v="Phones"/>
    <n v="100.69"/>
    <s v="High"/>
    <n v="226.14"/>
    <n v="6.5000000000000002E-2"/>
    <n v="12"/>
    <n v="27369.282600000002"/>
    <n v="1208.28"/>
    <x v="330"/>
    <x v="0"/>
  </r>
  <r>
    <x v="330"/>
    <d v="2025-09-14T00:00:00"/>
    <d v="2025-09-26T00:00:00"/>
    <n v="12"/>
    <x v="11"/>
    <s v="Small Business"/>
    <s v="Direct"/>
    <x v="13"/>
    <s v="Networking"/>
    <n v="425.15"/>
    <s v="High"/>
    <n v="885.92"/>
    <n v="0.23899999999999999"/>
    <n v="13"/>
    <n v="21779.835220000001"/>
    <n v="5526.95"/>
    <x v="331"/>
    <x v="0"/>
  </r>
  <r>
    <x v="331"/>
    <d v="2023-08-30T00:00:00"/>
    <d v="2023-09-03T00:00:00"/>
    <n v="4"/>
    <x v="25"/>
    <s v="Small Business"/>
    <s v="Marketplace"/>
    <x v="4"/>
    <s v="Accessories"/>
    <n v="1082.25"/>
    <s v="High"/>
    <n v="2433.34"/>
    <n v="0.27"/>
    <n v="4"/>
    <n v="2377.9312"/>
    <n v="4329"/>
    <x v="332"/>
    <x v="0"/>
  </r>
  <r>
    <x v="332"/>
    <d v="2023-11-15T00:00:00"/>
    <d v="2023-12-06T00:00:00"/>
    <n v="21"/>
    <x v="30"/>
    <s v="Education"/>
    <s v="Direct"/>
    <x v="10"/>
    <s v="Accessories"/>
    <n v="1184.99"/>
    <s v="High"/>
    <n v="1154.3399999999999"/>
    <n v="2.8000000000000001E-2"/>
    <n v="5"/>
    <n v="6720.9426000000003"/>
    <n v="5924.95"/>
    <x v="333"/>
    <x v="0"/>
  </r>
  <r>
    <x v="333"/>
    <d v="2025-04-27T00:00:00"/>
    <d v="2025-05-27T00:00:00"/>
    <n v="0"/>
    <x v="19"/>
    <s v="Enterprise"/>
    <s v="Marketplace"/>
    <x v="10"/>
    <s v="Phones"/>
    <n v="481.32"/>
    <s v="High"/>
    <n v="1135.99"/>
    <n v="0.14499999999999999"/>
    <n v="5"/>
    <n v="7038.4882499999994"/>
    <n v="2406.6"/>
    <x v="334"/>
    <x v="0"/>
  </r>
  <r>
    <x v="334"/>
    <d v="2024-04-09T00:00:00"/>
    <d v="2024-04-18T00:00:00"/>
    <n v="9"/>
    <x v="20"/>
    <s v="Consumer"/>
    <s v="Online"/>
    <x v="6"/>
    <s v="Printers"/>
    <n v="1288.8499999999999"/>
    <s v="High"/>
    <n v="2751.84"/>
    <n v="0.158"/>
    <n v="7"/>
    <n v="2362.5509599999996"/>
    <n v="9021.9499999999989"/>
    <x v="335"/>
    <x v="0"/>
  </r>
  <r>
    <x v="335"/>
    <d v="2024-07-11T00:00:00"/>
    <d v="2024-07-31T00:00:00"/>
    <n v="20"/>
    <x v="14"/>
    <s v="Consumer"/>
    <s v="Online"/>
    <x v="3"/>
    <s v="Phones"/>
    <n v="647.26"/>
    <s v="High"/>
    <n v="1374.72"/>
    <n v="6.6000000000000003E-2"/>
    <n v="22"/>
    <n v="36586.946879999996"/>
    <n v="14239.72"/>
    <x v="336"/>
    <x v="0"/>
  </r>
  <r>
    <x v="336"/>
    <d v="2024-02-18T00:00:00"/>
    <d v="2024-03-03T00:00:00"/>
    <n v="14"/>
    <x v="31"/>
    <s v="Enterprise"/>
    <s v="Distributor"/>
    <x v="8"/>
    <s v="Printers"/>
    <n v="624.23"/>
    <s v="High"/>
    <n v="1318.37"/>
    <n v="0.21"/>
    <n v="37"/>
    <n v="32691.708900000005"/>
    <n v="23096.510000000002"/>
    <x v="337"/>
    <x v="0"/>
  </r>
  <r>
    <x v="337"/>
    <d v="2023-07-25T00:00:00"/>
    <d v="2023-08-10T00:00:00"/>
    <n v="16"/>
    <x v="24"/>
    <s v="Corporate"/>
    <s v="Distributor"/>
    <x v="2"/>
    <s v="Accessories"/>
    <n v="506.83"/>
    <s v="High"/>
    <n v="441.74"/>
    <n v="0.24"/>
    <n v="9"/>
    <n v="5274.4607999999998"/>
    <n v="4561.47"/>
    <x v="338"/>
    <x v="0"/>
  </r>
  <r>
    <x v="338"/>
    <d v="2023-07-14T00:00:00"/>
    <d v="2023-07-21T00:00:00"/>
    <n v="7"/>
    <x v="24"/>
    <s v="Enterprise"/>
    <s v="Marketplace"/>
    <x v="15"/>
    <s v="Monitors"/>
    <n v="620.74"/>
    <s v="High"/>
    <n v="1330.07"/>
    <n v="0.29899999999999999"/>
    <n v="28"/>
    <n v="23750.665119999998"/>
    <n v="17380.72"/>
    <x v="339"/>
    <x v="0"/>
  </r>
  <r>
    <x v="339"/>
    <d v="2023-07-24T00:00:00"/>
    <d v="2023-08-19T00:00:00"/>
    <n v="26"/>
    <x v="24"/>
    <s v="Enterprise"/>
    <s v="Distributor"/>
    <x v="12"/>
    <s v="Accessories"/>
    <n v="661.45"/>
    <s v="High"/>
    <n v="1634.86"/>
    <n v="0.56499999999999995"/>
    <n v="24"/>
    <n v="31570.873200000005"/>
    <n v="15874.800000000001"/>
    <x v="340"/>
    <x v="0"/>
  </r>
  <r>
    <x v="340"/>
    <d v="2023-04-13T00:00:00"/>
    <d v="2023-04-11T00:00:00"/>
    <n v="2"/>
    <x v="12"/>
    <s v="Education"/>
    <s v="Marketplace"/>
    <x v="3"/>
    <s v="Networking"/>
    <n v="32.1"/>
    <s v="Medium"/>
    <n v="70.599999999999994"/>
    <n v="0.28199999999999997"/>
    <n v="22"/>
    <n v="36385.454160000001"/>
    <n v="706.2"/>
    <x v="341"/>
    <x v="0"/>
  </r>
  <r>
    <x v="341"/>
    <d v="2024-10-29T00:00:00"/>
    <d v="2024-11-04T00:00:00"/>
    <n v="6"/>
    <x v="1"/>
    <s v="Corporate"/>
    <s v="Distributor"/>
    <x v="12"/>
    <s v="Printers"/>
    <n v="805.81"/>
    <s v="High"/>
    <n v="1823.04"/>
    <n v="0"/>
    <n v="11"/>
    <n v="33921.800000000003"/>
    <n v="8863.91"/>
    <x v="342"/>
    <x v="0"/>
  </r>
  <r>
    <x v="342"/>
    <d v="2024-02-17T00:00:00"/>
    <d v="2024-03-04T00:00:00"/>
    <n v="16"/>
    <x v="31"/>
    <s v="Small Business"/>
    <s v="Marketplace"/>
    <x v="9"/>
    <s v="Phones"/>
    <n v="1231.8"/>
    <s v="High"/>
    <n v="2015.99"/>
    <n v="0.26100000000000001"/>
    <n v="6"/>
    <n v="1430.8961399999998"/>
    <n v="7390.7999999999993"/>
    <x v="343"/>
    <x v="0"/>
  </r>
  <r>
    <x v="343"/>
    <d v="2024-07-13T00:00:00"/>
    <d v="2024-07-12T00:00:00"/>
    <n v="1"/>
    <x v="14"/>
    <s v="Small Business"/>
    <s v="Marketplace"/>
    <x v="9"/>
    <s v="Networking"/>
    <n v="105.13"/>
    <s v="High"/>
    <n v="244.13"/>
    <n v="7.0999999999999994E-2"/>
    <n v="14"/>
    <n v="9511.1577400000006"/>
    <n v="1471.82"/>
    <x v="344"/>
    <x v="0"/>
  </r>
  <r>
    <x v="344"/>
    <d v="2023-12-01T00:00:00"/>
    <d v="2023-12-18T00:00:00"/>
    <n v="17"/>
    <x v="4"/>
    <s v="Small Business"/>
    <s v="Direct"/>
    <x v="13"/>
    <s v="Laptops"/>
    <n v="1495.79"/>
    <s v="High"/>
    <n v="2783.12"/>
    <n v="0.02"/>
    <n v="5"/>
    <n v="7516.3549999999996"/>
    <n v="7478.95"/>
    <x v="345"/>
    <x v="0"/>
  </r>
  <r>
    <x v="345"/>
    <d v="2024-07-25T00:00:00"/>
    <d v="2024-08-02T00:00:00"/>
    <n v="8"/>
    <x v="14"/>
    <s v="Consumer"/>
    <s v="Direct"/>
    <x v="1"/>
    <s v="Accessories"/>
    <n v="986.81"/>
    <s v="High"/>
    <n v="2050.31"/>
    <n v="0.10299999999999999"/>
    <n v="43"/>
    <n v="60620.497860000003"/>
    <n v="42432.829999999994"/>
    <x v="346"/>
    <x v="0"/>
  </r>
  <r>
    <x v="346"/>
    <d v="2023-05-04T00:00:00"/>
    <d v="2023-05-16T00:00:00"/>
    <n v="12"/>
    <x v="15"/>
    <s v="Small Business"/>
    <s v="Marketplace"/>
    <x v="1"/>
    <s v="Phones"/>
    <n v="77.739999999999995"/>
    <s v="Medium"/>
    <n v="147.12"/>
    <n v="0"/>
    <n v="15"/>
    <n v="3760.95"/>
    <n v="1166.0999999999999"/>
    <x v="347"/>
    <x v="0"/>
  </r>
  <r>
    <x v="347"/>
    <d v="2023-12-21T00:00:00"/>
    <d v="2024-01-06T00:00:00"/>
    <n v="16"/>
    <x v="4"/>
    <s v="Corporate"/>
    <s v="Marketplace"/>
    <x v="11"/>
    <s v="Components"/>
    <n v="932.61"/>
    <s v="High"/>
    <n v="1982.98"/>
    <n v="0.14399999999999999"/>
    <n v="16"/>
    <n v="47563.605759999999"/>
    <n v="14921.76"/>
    <x v="348"/>
    <x v="0"/>
  </r>
  <r>
    <x v="348"/>
    <d v="2025-06-17T00:00:00"/>
    <d v="2025-07-05T00:00:00"/>
    <n v="18"/>
    <x v="16"/>
    <s v="Consumer"/>
    <s v="Marketplace"/>
    <x v="4"/>
    <s v="Laptops"/>
    <n v="982.93"/>
    <s v="High"/>
    <n v="2299.3000000000002"/>
    <n v="0.113"/>
    <n v="6"/>
    <n v="6418.5448799999995"/>
    <n v="5897.58"/>
    <x v="349"/>
    <x v="0"/>
  </r>
  <r>
    <x v="349"/>
    <d v="2023-02-23T00:00:00"/>
    <d v="2023-03-08T00:00:00"/>
    <n v="13"/>
    <x v="2"/>
    <s v="Small Business"/>
    <s v="Direct"/>
    <x v="0"/>
    <s v="Printers"/>
    <n v="307.37"/>
    <s v="High"/>
    <n v="462.61"/>
    <n v="0.188"/>
    <n v="11"/>
    <n v="19625.658360000001"/>
    <n v="3381.07"/>
    <x v="350"/>
    <x v="0"/>
  </r>
  <r>
    <x v="350"/>
    <d v="2023-12-02T00:00:00"/>
    <d v="2023-12-16T00:00:00"/>
    <n v="14"/>
    <x v="4"/>
    <s v="Education"/>
    <s v="Direct"/>
    <x v="13"/>
    <s v="Monitors"/>
    <n v="879.08"/>
    <s v="High"/>
    <n v="1093.3900000000001"/>
    <n v="0.113"/>
    <n v="17"/>
    <n v="24437.027399999999"/>
    <n v="14944.36"/>
    <x v="351"/>
    <x v="0"/>
  </r>
  <r>
    <x v="351"/>
    <d v="2023-07-14T00:00:00"/>
    <d v="2023-07-14T00:00:00"/>
    <n v="0"/>
    <x v="24"/>
    <s v="Education"/>
    <s v="Retail"/>
    <x v="2"/>
    <s v="Accessories"/>
    <n v="956.38"/>
    <s v="High"/>
    <n v="1454.22"/>
    <n v="3.9E-2"/>
    <n v="19"/>
    <n v="18891.856940000001"/>
    <n v="18171.22"/>
    <x v="352"/>
    <x v="0"/>
  </r>
  <r>
    <x v="352"/>
    <d v="2024-08-08T00:00:00"/>
    <d v="2024-08-20T00:00:00"/>
    <n v="12"/>
    <x v="21"/>
    <s v="Small Business"/>
    <s v="Retail"/>
    <x v="10"/>
    <s v="Networking"/>
    <n v="1233.3599999999999"/>
    <s v="High"/>
    <n v="2120.4"/>
    <n v="0.17899999999999999"/>
    <n v="20"/>
    <n v="31286.9964"/>
    <n v="24667.199999999997"/>
    <x v="353"/>
    <x v="0"/>
  </r>
  <r>
    <x v="353"/>
    <d v="2024-11-07T00:00:00"/>
    <d v="2024-11-26T00:00:00"/>
    <n v="19"/>
    <x v="18"/>
    <s v="Non-Profit"/>
    <s v="Distributor"/>
    <x v="1"/>
    <s v="Printers"/>
    <n v="55.35"/>
    <s v="Medium"/>
    <n v="128.68"/>
    <n v="0.128"/>
    <n v="10"/>
    <n v="4722.4031999999997"/>
    <n v="553.5"/>
    <x v="354"/>
    <x v="0"/>
  </r>
  <r>
    <x v="354"/>
    <d v="2024-01-01T00:00:00"/>
    <d v="2024-01-27T00:00:00"/>
    <n v="26"/>
    <x v="9"/>
    <s v="Education"/>
    <s v="Distributor"/>
    <x v="14"/>
    <s v="Accessories"/>
    <n v="657.45"/>
    <s v="High"/>
    <n v="1325.96"/>
    <n v="0.16700000000000001"/>
    <n v="21"/>
    <n v="19532.683799999999"/>
    <n v="13806.45"/>
    <x v="355"/>
    <x v="0"/>
  </r>
  <r>
    <x v="355"/>
    <d v="2025-08-14T00:00:00"/>
    <d v="2025-09-11T00:00:00"/>
    <n v="28"/>
    <x v="28"/>
    <s v="Non-Profit"/>
    <s v="Direct"/>
    <x v="9"/>
    <s v="Printers"/>
    <n v="1203.02"/>
    <s v="High"/>
    <n v="2439.33"/>
    <n v="0"/>
    <n v="18"/>
    <n v="26190"/>
    <n v="21654.36"/>
    <x v="356"/>
    <x v="0"/>
  </r>
  <r>
    <x v="356"/>
    <d v="2024-04-03T00:00:00"/>
    <d v="2024-04-21T00:00:00"/>
    <n v="18"/>
    <x v="20"/>
    <s v="Small Business"/>
    <s v="Distributor"/>
    <x v="5"/>
    <s v="Networking"/>
    <n v="1176.69"/>
    <s v="High"/>
    <n v="2201.54"/>
    <n v="0.17"/>
    <n v="27"/>
    <n v="28646.702999999998"/>
    <n v="31770.63"/>
    <x v="357"/>
    <x v="0"/>
  </r>
  <r>
    <x v="357"/>
    <d v="2024-11-25T00:00:00"/>
    <d v="2024-12-07T00:00:00"/>
    <n v="12"/>
    <x v="18"/>
    <s v="Corporate"/>
    <s v="Distributor"/>
    <x v="8"/>
    <s v="Accessories"/>
    <n v="769.9"/>
    <s v="High"/>
    <n v="814.36"/>
    <n v="0"/>
    <n v="5"/>
    <n v="4499.1500000000005"/>
    <n v="3849.5"/>
    <x v="358"/>
    <x v="0"/>
  </r>
  <r>
    <x v="358"/>
    <d v="2024-01-18T00:00:00"/>
    <d v="2024-02-03T00:00:00"/>
    <n v="16"/>
    <x v="9"/>
    <s v="Non-Profit"/>
    <s v="Distributor"/>
    <x v="4"/>
    <s v="Printers"/>
    <n v="666.23"/>
    <s v="High"/>
    <n v="1382.91"/>
    <n v="0.17599999999999999"/>
    <n v="13"/>
    <n v="9412.9557600000007"/>
    <n v="8660.99"/>
    <x v="359"/>
    <x v="0"/>
  </r>
  <r>
    <x v="359"/>
    <d v="2024-06-23T00:00:00"/>
    <d v="2024-06-25T00:00:00"/>
    <n v="2"/>
    <x v="17"/>
    <s v="Small Business"/>
    <s v="Marketplace"/>
    <x v="4"/>
    <s v="Accessories"/>
    <n v="951.44"/>
    <s v="High"/>
    <n v="1646.43"/>
    <n v="0.11"/>
    <n v="24"/>
    <n v="12696.811199999998"/>
    <n v="22834.560000000001"/>
    <x v="360"/>
    <x v="0"/>
  </r>
  <r>
    <x v="360"/>
    <d v="2025-06-25T00:00:00"/>
    <d v="2025-07-10T00:00:00"/>
    <n v="15"/>
    <x v="16"/>
    <s v="Non-Profit"/>
    <s v="Marketplace"/>
    <x v="14"/>
    <s v="Phones"/>
    <n v="546.83000000000004"/>
    <s v="High"/>
    <n v="400.84"/>
    <n v="7.8E-2"/>
    <n v="13"/>
    <n v="19391.5501"/>
    <n v="7108.7900000000009"/>
    <x v="361"/>
    <x v="0"/>
  </r>
  <r>
    <x v="361"/>
    <d v="2023-07-01T00:00:00"/>
    <d v="2023-07-08T00:00:00"/>
    <n v="7"/>
    <x v="24"/>
    <s v="Corporate"/>
    <s v="Retail"/>
    <x v="8"/>
    <s v="Laptops"/>
    <n v="834.26"/>
    <s v="High"/>
    <n v="1780.56"/>
    <n v="1.4E-2"/>
    <n v="47"/>
    <n v="45086.595219999996"/>
    <n v="39210.22"/>
    <x v="362"/>
    <x v="0"/>
  </r>
  <r>
    <x v="362"/>
    <d v="2024-03-09T00:00:00"/>
    <d v="2024-03-26T00:00:00"/>
    <n v="17"/>
    <x v="0"/>
    <s v="Enterprise"/>
    <s v="Online"/>
    <x v="11"/>
    <s v="Monitors"/>
    <n v="1029.67"/>
    <s v="High"/>
    <n v="1118.43"/>
    <n v="0.27200000000000002"/>
    <n v="9"/>
    <n v="278.85311999999999"/>
    <n v="9267.0300000000007"/>
    <x v="363"/>
    <x v="0"/>
  </r>
  <r>
    <x v="363"/>
    <d v="2023-06-05T00:00:00"/>
    <d v="2023-06-28T00:00:00"/>
    <n v="23"/>
    <x v="23"/>
    <s v="Corporate"/>
    <s v="Direct"/>
    <x v="11"/>
    <s v="Printers"/>
    <n v="605.82000000000005"/>
    <s v="High"/>
    <n v="771.12"/>
    <n v="0.13200000000000001"/>
    <n v="19"/>
    <n v="24421.848359999996"/>
    <n v="11510.580000000002"/>
    <x v="364"/>
    <x v="0"/>
  </r>
  <r>
    <x v="364"/>
    <d v="2025-03-21T00:00:00"/>
    <d v="2025-04-09T00:00:00"/>
    <n v="19"/>
    <x v="3"/>
    <s v="Small Business"/>
    <s v="Distributor"/>
    <x v="6"/>
    <s v="Components"/>
    <n v="1055.45"/>
    <s v="High"/>
    <n v="1210.04"/>
    <n v="8.9999999999999993E-3"/>
    <n v="18"/>
    <n v="10065.26988"/>
    <n v="18998.100000000002"/>
    <x v="365"/>
    <x v="0"/>
  </r>
  <r>
    <x v="365"/>
    <d v="2024-06-02T00:00:00"/>
    <d v="2024-06-15T00:00:00"/>
    <n v="13"/>
    <x v="17"/>
    <s v="Education"/>
    <s v="Online"/>
    <x v="7"/>
    <s v="Phones"/>
    <n v="1295.18"/>
    <s v="High"/>
    <n v="3024.03"/>
    <n v="0.192"/>
    <n v="8"/>
    <n v="13814.925440000001"/>
    <n v="10361.44"/>
    <x v="366"/>
    <x v="0"/>
  </r>
  <r>
    <x v="366"/>
    <d v="2025-03-15T00:00:00"/>
    <d v="2025-03-29T00:00:00"/>
    <n v="14"/>
    <x v="3"/>
    <s v="Enterprise"/>
    <s v="Direct"/>
    <x v="0"/>
    <s v="Components"/>
    <n v="935.83"/>
    <s v="High"/>
    <n v="2303.46"/>
    <n v="0.105"/>
    <n v="9"/>
    <n v="13539.891150000001"/>
    <n v="8422.4700000000012"/>
    <x v="367"/>
    <x v="0"/>
  </r>
  <r>
    <x v="367"/>
    <d v="2023-09-25T00:00:00"/>
    <d v="2023-10-09T00:00:00"/>
    <n v="14"/>
    <x v="27"/>
    <s v="Small Business"/>
    <s v="Marketplace"/>
    <x v="1"/>
    <s v="Laptops"/>
    <n v="1279.56"/>
    <s v="High"/>
    <n v="3083.8"/>
    <n v="0.106"/>
    <n v="5"/>
    <n v="12985.618199999999"/>
    <n v="6397.7999999999993"/>
    <x v="368"/>
    <x v="0"/>
  </r>
  <r>
    <x v="368"/>
    <d v="2025-06-24T00:00:00"/>
    <d v="2025-07-23T00:00:00"/>
    <n v="29"/>
    <x v="16"/>
    <s v="Non-Profit"/>
    <s v="Marketplace"/>
    <x v="2"/>
    <s v="Printers"/>
    <n v="255.4"/>
    <s v="High"/>
    <n v="322.70999999999998"/>
    <n v="0.115"/>
    <n v="16"/>
    <n v="11923.994400000001"/>
    <n v="4086.4"/>
    <x v="369"/>
    <x v="0"/>
  </r>
  <r>
    <x v="369"/>
    <d v="2023-12-26T00:00:00"/>
    <d v="2024-01-03T00:00:00"/>
    <n v="8"/>
    <x v="4"/>
    <s v="Small Business"/>
    <s v="Retail"/>
    <x v="12"/>
    <s v="Laptops"/>
    <n v="492.75"/>
    <s v="High"/>
    <n v="731.29"/>
    <n v="5.8000000000000003E-2"/>
    <n v="6"/>
    <n v="17698.503240000002"/>
    <n v="2956.5"/>
    <x v="370"/>
    <x v="0"/>
  </r>
  <r>
    <x v="370"/>
    <d v="2023-02-05T00:00:00"/>
    <d v="2023-02-28T00:00:00"/>
    <n v="23"/>
    <x v="2"/>
    <s v="Non-Profit"/>
    <s v="Distributor"/>
    <x v="4"/>
    <s v="Phones"/>
    <n v="1214.49"/>
    <s v="High"/>
    <n v="1533.95"/>
    <n v="0"/>
    <n v="11"/>
    <n v="15891.92"/>
    <n v="13359.39"/>
    <x v="371"/>
    <x v="0"/>
  </r>
  <r>
    <x v="371"/>
    <d v="2023-04-06T00:00:00"/>
    <d v="2023-04-08T00:00:00"/>
    <n v="2"/>
    <x v="12"/>
    <s v="Small Business"/>
    <s v="Marketplace"/>
    <x v="11"/>
    <s v="Monitors"/>
    <n v="720.35"/>
    <s v="High"/>
    <n v="1571.66"/>
    <n v="0.107"/>
    <n v="23"/>
    <n v="59066.056200000006"/>
    <n v="16568.05"/>
    <x v="372"/>
    <x v="0"/>
  </r>
  <r>
    <x v="372"/>
    <d v="2025-04-04T00:00:00"/>
    <d v="2025-04-10T00:00:00"/>
    <n v="6"/>
    <x v="19"/>
    <s v="Non-Profit"/>
    <s v="Direct"/>
    <x v="13"/>
    <s v="Printers"/>
    <n v="290.14"/>
    <s v="High"/>
    <n v="250.73"/>
    <n v="3.4000000000000002E-2"/>
    <n v="17"/>
    <n v="26958.519419999997"/>
    <n v="4932.38"/>
    <x v="373"/>
    <x v="0"/>
  </r>
  <r>
    <x v="373"/>
    <d v="2024-05-17T00:00:00"/>
    <d v="2024-05-27T00:00:00"/>
    <n v="10"/>
    <x v="7"/>
    <s v="Non-Profit"/>
    <s v="Online"/>
    <x v="0"/>
    <s v="Phones"/>
    <n v="1484.23"/>
    <s v="High"/>
    <n v="3472.81"/>
    <n v="0.25600000000000001"/>
    <n v="12"/>
    <n v="11597.65056"/>
    <n v="17810.760000000002"/>
    <x v="374"/>
    <x v="0"/>
  </r>
  <r>
    <x v="374"/>
    <d v="2024-03-03T00:00:00"/>
    <d v="2024-03-19T00:00:00"/>
    <n v="16"/>
    <x v="0"/>
    <s v="Consumer"/>
    <s v="Distributor"/>
    <x v="3"/>
    <s v="Phones"/>
    <n v="988.83"/>
    <s v="High"/>
    <n v="1206.04"/>
    <n v="6.3E-2"/>
    <n v="34"/>
    <n v="35635.084480000005"/>
    <n v="33620.22"/>
    <x v="375"/>
    <x v="0"/>
  </r>
  <r>
    <x v="375"/>
    <d v="2025-06-27T00:00:00"/>
    <d v="2025-07-11T00:00:00"/>
    <n v="14"/>
    <x v="16"/>
    <s v="Small Business"/>
    <s v="Marketplace"/>
    <x v="4"/>
    <s v="Networking"/>
    <n v="1227.7"/>
    <s v="High"/>
    <n v="2197.23"/>
    <n v="9.9000000000000005E-2"/>
    <n v="22"/>
    <n v="23483.321620000002"/>
    <n v="27009.4"/>
    <x v="376"/>
    <x v="0"/>
  </r>
  <r>
    <x v="376"/>
    <d v="2023-03-13T00:00:00"/>
    <d v="2023-04-04T00:00:00"/>
    <n v="22"/>
    <x v="22"/>
    <s v="Small Business"/>
    <s v="Retail"/>
    <x v="8"/>
    <s v="Components"/>
    <n v="1113.7"/>
    <s v="High"/>
    <n v="1620.6"/>
    <n v="0.13900000000000001"/>
    <n v="11"/>
    <n v="11379.122369999999"/>
    <n v="12250.7"/>
    <x v="377"/>
    <x v="0"/>
  </r>
  <r>
    <x v="377"/>
    <d v="2025-01-07T00:00:00"/>
    <d v="2025-01-20T00:00:00"/>
    <n v="13"/>
    <x v="10"/>
    <s v="Corporate"/>
    <s v="Direct"/>
    <x v="11"/>
    <s v="Networking"/>
    <n v="432.13"/>
    <s v="High"/>
    <n v="1034.6600000000001"/>
    <n v="9.1999999999999998E-2"/>
    <n v="7"/>
    <n v="5599.5724400000008"/>
    <n v="3024.91"/>
    <x v="378"/>
    <x v="0"/>
  </r>
  <r>
    <x v="378"/>
    <d v="2025-02-06T00:00:00"/>
    <d v="2025-02-15T00:00:00"/>
    <n v="9"/>
    <x v="26"/>
    <s v="Non-Profit"/>
    <s v="Distributor"/>
    <x v="9"/>
    <s v="Networking"/>
    <n v="837.39"/>
    <s v="High"/>
    <n v="1905.42"/>
    <n v="3.2000000000000001E-2"/>
    <n v="18"/>
    <n v="35734.358879999992"/>
    <n v="15073.02"/>
    <x v="379"/>
    <x v="0"/>
  </r>
  <r>
    <x v="379"/>
    <d v="2025-01-31T00:00:00"/>
    <d v="2025-02-17T00:00:00"/>
    <n v="17"/>
    <x v="10"/>
    <s v="Enterprise"/>
    <s v="Retail"/>
    <x v="10"/>
    <s v="Components"/>
    <n v="378.26"/>
    <s v="High"/>
    <n v="541.55999999999995"/>
    <n v="0.16300000000000001"/>
    <n v="25"/>
    <n v="36365.557499999995"/>
    <n v="9456.5"/>
    <x v="380"/>
    <x v="0"/>
  </r>
  <r>
    <x v="380"/>
    <d v="2025-08-07T00:00:00"/>
    <d v="2025-09-06T00:00:00"/>
    <n v="30"/>
    <x v="28"/>
    <s v="Education"/>
    <s v="Direct"/>
    <x v="12"/>
    <s v="Networking"/>
    <n v="833.73"/>
    <s v="High"/>
    <n v="1116.5999999999999"/>
    <n v="0.17599999999999999"/>
    <n v="14"/>
    <n v="16015.544160000001"/>
    <n v="11672.220000000001"/>
    <x v="381"/>
    <x v="0"/>
  </r>
  <r>
    <x v="381"/>
    <d v="2025-07-23T00:00:00"/>
    <d v="2025-08-17T00:00:00"/>
    <n v="25"/>
    <x v="13"/>
    <s v="Education"/>
    <s v="Online"/>
    <x v="2"/>
    <s v="Printers"/>
    <n v="1142.06"/>
    <s v="High"/>
    <n v="1455"/>
    <n v="7.8E-2"/>
    <n v="28"/>
    <n v="13660.278240000001"/>
    <n v="31977.68"/>
    <x v="382"/>
    <x v="0"/>
  </r>
  <r>
    <x v="382"/>
    <d v="2023-06-20T00:00:00"/>
    <d v="2023-07-08T00:00:00"/>
    <n v="18"/>
    <x v="23"/>
    <s v="Consumer"/>
    <s v="Marketplace"/>
    <x v="7"/>
    <s v="Networking"/>
    <n v="1145.53"/>
    <s v="High"/>
    <n v="1278.3"/>
    <n v="0.09"/>
    <n v="41"/>
    <n v="73589.497799999997"/>
    <n v="46966.729999999996"/>
    <x v="383"/>
    <x v="0"/>
  </r>
  <r>
    <x v="383"/>
    <d v="2024-07-18T00:00:00"/>
    <d v="2024-08-07T00:00:00"/>
    <n v="20"/>
    <x v="14"/>
    <s v="Corporate"/>
    <s v="Retail"/>
    <x v="9"/>
    <s v="Monitors"/>
    <n v="941.35"/>
    <s v="High"/>
    <n v="899.83"/>
    <n v="5.8000000000000003E-2"/>
    <n v="18"/>
    <n v="14867.190359999997"/>
    <n v="16944.3"/>
    <x v="384"/>
    <x v="0"/>
  </r>
  <r>
    <x v="384"/>
    <d v="2023-05-20T00:00:00"/>
    <d v="2023-06-19T00:00:00"/>
    <n v="30"/>
    <x v="15"/>
    <s v="Non-Profit"/>
    <s v="Marketplace"/>
    <x v="10"/>
    <s v="Laptops"/>
    <n v="1161.2"/>
    <s v="High"/>
    <n v="878.73"/>
    <n v="0.19"/>
    <n v="31"/>
    <n v="20697.168600000001"/>
    <n v="35997.200000000004"/>
    <x v="385"/>
    <x v="0"/>
  </r>
  <r>
    <x v="385"/>
    <d v="2025-05-12T00:00:00"/>
    <d v="2025-05-26T00:00:00"/>
    <n v="14"/>
    <x v="8"/>
    <s v="Corporate"/>
    <s v="Marketplace"/>
    <x v="3"/>
    <s v="Printers"/>
    <n v="320.12"/>
    <s v="High"/>
    <n v="594.41999999999996"/>
    <n v="0.104"/>
    <n v="18"/>
    <n v="18697.996800000001"/>
    <n v="5762.16"/>
    <x v="386"/>
    <x v="0"/>
  </r>
  <r>
    <x v="386"/>
    <d v="2024-05-07T00:00:00"/>
    <d v="2024-05-12T00:00:00"/>
    <n v="5"/>
    <x v="7"/>
    <s v="Non-Profit"/>
    <s v="Distributor"/>
    <x v="4"/>
    <s v="Laptops"/>
    <n v="1163.99"/>
    <s v="High"/>
    <n v="1617.85"/>
    <n v="0.127"/>
    <n v="14"/>
    <n v="30720.11922"/>
    <n v="16295.86"/>
    <x v="387"/>
    <x v="0"/>
  </r>
  <r>
    <x v="387"/>
    <d v="2023-09-30T00:00:00"/>
    <d v="2023-10-03T00:00:00"/>
    <n v="3"/>
    <x v="27"/>
    <s v="Non-Profit"/>
    <s v="Retail"/>
    <x v="1"/>
    <s v="Laptops"/>
    <n v="1019.36"/>
    <s v="High"/>
    <n v="972.91"/>
    <n v="0.14699999999999999"/>
    <n v="17"/>
    <n v="44766.472129999995"/>
    <n v="17329.12"/>
    <x v="388"/>
    <x v="0"/>
  </r>
  <r>
    <x v="388"/>
    <d v="2023-10-26T00:00:00"/>
    <d v="2023-11-05T00:00:00"/>
    <n v="10"/>
    <x v="32"/>
    <s v="Non-Profit"/>
    <s v="Online"/>
    <x v="2"/>
    <s v="Laptops"/>
    <n v="20.38"/>
    <s v="Low"/>
    <n v="42.56"/>
    <n v="7.1999999999999995E-2"/>
    <n v="11"/>
    <n v="27736.667200000004"/>
    <n v="224.17999999999998"/>
    <x v="389"/>
    <x v="0"/>
  </r>
  <r>
    <x v="389"/>
    <d v="2025-06-15T00:00:00"/>
    <d v="2025-06-30T00:00:00"/>
    <n v="15"/>
    <x v="16"/>
    <s v="Small Business"/>
    <s v="Direct"/>
    <x v="0"/>
    <s v="Monitors"/>
    <n v="1487.59"/>
    <s v="High"/>
    <n v="1480.83"/>
    <n v="8.9999999999999993E-3"/>
    <n v="11"/>
    <n v="9830.4127899999985"/>
    <n v="16363.49"/>
    <x v="390"/>
    <x v="0"/>
  </r>
  <r>
    <x v="390"/>
    <d v="2024-08-10T00:00:00"/>
    <d v="2024-09-07T00:00:00"/>
    <n v="28"/>
    <x v="21"/>
    <s v="Non-Profit"/>
    <s v="Direct"/>
    <x v="9"/>
    <s v="Printers"/>
    <n v="229.96"/>
    <s v="High"/>
    <n v="564.26"/>
    <n v="0.105"/>
    <n v="5"/>
    <n v="3562.7712500000002"/>
    <n v="1149.8"/>
    <x v="391"/>
    <x v="0"/>
  </r>
  <r>
    <x v="391"/>
    <d v="2023-10-09T00:00:00"/>
    <d v="2023-10-26T00:00:00"/>
    <n v="17"/>
    <x v="32"/>
    <s v="Consumer"/>
    <s v="Marketplace"/>
    <x v="0"/>
    <s v="Components"/>
    <n v="1132.03"/>
    <s v="High"/>
    <n v="2137.21"/>
    <n v="0.35699999999999998"/>
    <n v="35"/>
    <n v="3551.7390999999998"/>
    <n v="39621.049999999996"/>
    <x v="392"/>
    <x v="0"/>
  </r>
  <r>
    <x v="392"/>
    <d v="2024-03-09T00:00:00"/>
    <d v="2024-03-26T00:00:00"/>
    <n v="17"/>
    <x v="0"/>
    <s v="Education"/>
    <s v="Direct"/>
    <x v="2"/>
    <s v="Phones"/>
    <n v="1137.4100000000001"/>
    <s v="High"/>
    <n v="1680.93"/>
    <n v="0.254"/>
    <n v="9"/>
    <n v="5499.1688399999994"/>
    <n v="10236.69"/>
    <x v="393"/>
    <x v="0"/>
  </r>
  <r>
    <x v="393"/>
    <d v="2023-05-29T00:00:00"/>
    <d v="2023-06-20T00:00:00"/>
    <n v="22"/>
    <x v="15"/>
    <s v="Small Business"/>
    <s v="Direct"/>
    <x v="11"/>
    <s v="Components"/>
    <n v="1295.3900000000001"/>
    <s v="High"/>
    <n v="2905.06"/>
    <n v="0.14799999999999999"/>
    <n v="8"/>
    <n v="11663.26656"/>
    <n v="10363.120000000001"/>
    <x v="394"/>
    <x v="0"/>
  </r>
  <r>
    <x v="394"/>
    <d v="2025-05-27T00:00:00"/>
    <d v="2025-06-08T00:00:00"/>
    <n v="12"/>
    <x v="8"/>
    <s v="Corporate"/>
    <s v="Retail"/>
    <x v="10"/>
    <s v="Accessories"/>
    <n v="653.6"/>
    <s v="High"/>
    <n v="842.09"/>
    <n v="9.8000000000000004E-2"/>
    <n v="19"/>
    <n v="29072.046299999998"/>
    <n v="12418.4"/>
    <x v="395"/>
    <x v="0"/>
  </r>
  <r>
    <x v="395"/>
    <d v="2025-08-21T00:00:00"/>
    <d v="2025-09-14T00:00:00"/>
    <n v="24"/>
    <x v="28"/>
    <s v="Non-Profit"/>
    <s v="Online"/>
    <x v="8"/>
    <s v="Monitors"/>
    <n v="1397.67"/>
    <s v="High"/>
    <n v="3131.37"/>
    <n v="0.10299999999999999"/>
    <n v="20"/>
    <n v="51745.059600000001"/>
    <n v="27953.4"/>
    <x v="396"/>
    <x v="0"/>
  </r>
  <r>
    <x v="396"/>
    <d v="2024-12-12T00:00:00"/>
    <d v="2024-12-20T00:00:00"/>
    <n v="8"/>
    <x v="6"/>
    <s v="Corporate"/>
    <s v="Retail"/>
    <x v="5"/>
    <s v="Laptops"/>
    <n v="1202.47"/>
    <s v="High"/>
    <n v="1444.72"/>
    <n v="0.24099999999999999"/>
    <n v="17"/>
    <n v="19144.697220000002"/>
    <n v="20441.990000000002"/>
    <x v="397"/>
    <x v="0"/>
  </r>
  <r>
    <x v="397"/>
    <d v="2025-09-14T00:00:00"/>
    <d v="2025-09-23T00:00:00"/>
    <n v="9"/>
    <x v="11"/>
    <s v="Non-Profit"/>
    <s v="Online"/>
    <x v="14"/>
    <s v="Components"/>
    <n v="1310.3"/>
    <s v="High"/>
    <n v="2875.8"/>
    <n v="8.3000000000000004E-2"/>
    <n v="5"/>
    <n v="14660.399949999999"/>
    <n v="6551.5"/>
    <x v="398"/>
    <x v="0"/>
  </r>
  <r>
    <x v="398"/>
    <d v="2024-09-06T00:00:00"/>
    <d v="2024-10-04T00:00:00"/>
    <n v="28"/>
    <x v="29"/>
    <s v="Corporate"/>
    <s v="Marketplace"/>
    <x v="14"/>
    <s v="Monitors"/>
    <n v="1174.17"/>
    <s v="High"/>
    <n v="1641.61"/>
    <n v="0.122"/>
    <n v="9"/>
    <n v="18353.975399999999"/>
    <n v="10567.53"/>
    <x v="399"/>
    <x v="0"/>
  </r>
  <r>
    <x v="399"/>
    <d v="2025-04-12T00:00:00"/>
    <d v="2025-04-30T00:00:00"/>
    <n v="18"/>
    <x v="19"/>
    <s v="Corporate"/>
    <s v="Marketplace"/>
    <x v="9"/>
    <s v="Networking"/>
    <n v="1119.04"/>
    <s v="High"/>
    <n v="1299.02"/>
    <n v="2.5000000000000001E-2"/>
    <n v="14"/>
    <n v="26377.532999999999"/>
    <n v="15666.56"/>
    <x v="400"/>
    <x v="0"/>
  </r>
  <r>
    <x v="400"/>
    <d v="2024-08-12T00:00:00"/>
    <d v="2024-08-15T00:00:00"/>
    <n v="3"/>
    <x v="21"/>
    <s v="Corporate"/>
    <s v="Marketplace"/>
    <x v="14"/>
    <s v="Printers"/>
    <n v="850.7"/>
    <s v="High"/>
    <n v="1118.56"/>
    <n v="0.18"/>
    <n v="19"/>
    <n v="24777.808799999999"/>
    <n v="16163.300000000001"/>
    <x v="401"/>
    <x v="0"/>
  </r>
  <r>
    <x v="401"/>
    <d v="2024-11-05T00:00:00"/>
    <d v="2024-11-08T00:00:00"/>
    <n v="3"/>
    <x v="18"/>
    <s v="Education"/>
    <s v="Marketplace"/>
    <x v="7"/>
    <s v="Components"/>
    <n v="1020.4"/>
    <s v="High"/>
    <n v="1184.71"/>
    <n v="0.106"/>
    <n v="16"/>
    <n v="5658.8054400000001"/>
    <n v="16326.4"/>
    <x v="402"/>
    <x v="0"/>
  </r>
  <r>
    <x v="402"/>
    <d v="2024-07-24T00:00:00"/>
    <d v="2024-08-08T00:00:00"/>
    <n v="15"/>
    <x v="14"/>
    <s v="Enterprise"/>
    <s v="Marketplace"/>
    <x v="10"/>
    <s v="Laptops"/>
    <n v="501.5"/>
    <s v="High"/>
    <n v="1201.47"/>
    <n v="0.126"/>
    <n v="5"/>
    <n v="9079.5053000000007"/>
    <n v="2507.5"/>
    <x v="403"/>
    <x v="0"/>
  </r>
  <r>
    <x v="403"/>
    <d v="2025-01-20T00:00:00"/>
    <d v="2025-02-03T00:00:00"/>
    <n v="14"/>
    <x v="10"/>
    <s v="Enterprise"/>
    <s v="Marketplace"/>
    <x v="9"/>
    <s v="Components"/>
    <n v="974.11"/>
    <s v="High"/>
    <n v="880.99"/>
    <n v="0.111"/>
    <n v="10"/>
    <n v="11831.2565"/>
    <n v="9741.1"/>
    <x v="404"/>
    <x v="0"/>
  </r>
  <r>
    <x v="404"/>
    <d v="2023-03-06T00:00:00"/>
    <d v="2023-04-04T00:00:00"/>
    <n v="29"/>
    <x v="22"/>
    <s v="Small Business"/>
    <s v="Direct"/>
    <x v="0"/>
    <s v="Monitors"/>
    <n v="1126.29"/>
    <s v="High"/>
    <n v="2050.87"/>
    <n v="6.4000000000000001E-2"/>
    <n v="7"/>
    <n v="18113.986799999999"/>
    <n v="7884.03"/>
    <x v="405"/>
    <x v="0"/>
  </r>
  <r>
    <x v="405"/>
    <d v="2024-12-20T00:00:00"/>
    <d v="2025-01-14T00:00:00"/>
    <n v="25"/>
    <x v="6"/>
    <s v="Small Business"/>
    <s v="Retail"/>
    <x v="12"/>
    <s v="Printers"/>
    <n v="1361.34"/>
    <s v="High"/>
    <n v="1737.9"/>
    <n v="7.6999999999999999E-2"/>
    <n v="14"/>
    <n v="3596.8387000000007"/>
    <n v="19058.759999999998"/>
    <x v="406"/>
    <x v="0"/>
  </r>
  <r>
    <x v="406"/>
    <d v="2025-02-21T00:00:00"/>
    <d v="2025-03-21T00:00:00"/>
    <n v="0"/>
    <x v="26"/>
    <s v="Enterprise"/>
    <s v="Marketplace"/>
    <x v="2"/>
    <s v="Phones"/>
    <n v="1437.39"/>
    <s v="High"/>
    <n v="1388.31"/>
    <n v="0.13800000000000001"/>
    <n v="18"/>
    <n v="15273.329759999999"/>
    <n v="25873.02"/>
    <x v="407"/>
    <x v="0"/>
  </r>
  <r>
    <x v="407"/>
    <d v="2025-03-08T00:00:00"/>
    <d v="2025-03-15T00:00:00"/>
    <n v="7"/>
    <x v="3"/>
    <s v="Corporate"/>
    <s v="Distributor"/>
    <x v="11"/>
    <s v="Laptops"/>
    <n v="475.66"/>
    <s v="High"/>
    <n v="529.14"/>
    <n v="0.19600000000000001"/>
    <n v="11"/>
    <n v="1687.7889600000003"/>
    <n v="5232.26"/>
    <x v="408"/>
    <x v="0"/>
  </r>
  <r>
    <x v="408"/>
    <d v="2023-12-16T00:00:00"/>
    <d v="2023-12-19T00:00:00"/>
    <n v="3"/>
    <x v="4"/>
    <s v="Education"/>
    <s v="Retail"/>
    <x v="8"/>
    <s v="Accessories"/>
    <n v="1415.05"/>
    <s v="High"/>
    <n v="1972.38"/>
    <n v="0"/>
    <n v="12"/>
    <n v="10899.599999999999"/>
    <n v="16980.599999999999"/>
    <x v="409"/>
    <x v="0"/>
  </r>
  <r>
    <x v="409"/>
    <d v="2024-08-30T00:00:00"/>
    <d v="2024-09-05T00:00:00"/>
    <n v="6"/>
    <x v="21"/>
    <s v="Education"/>
    <s v="Online"/>
    <x v="13"/>
    <s v="Laptops"/>
    <n v="466.16"/>
    <s v="High"/>
    <n v="876.81"/>
    <n v="0.24099999999999999"/>
    <n v="8"/>
    <n v="1725.8445600000002"/>
    <n v="3729.28"/>
    <x v="410"/>
    <x v="0"/>
  </r>
  <r>
    <x v="410"/>
    <d v="2024-05-18T00:00:00"/>
    <d v="2024-05-21T00:00:00"/>
    <n v="3"/>
    <x v="7"/>
    <s v="Non-Profit"/>
    <s v="Marketplace"/>
    <x v="14"/>
    <s v="Printers"/>
    <n v="663.66"/>
    <s v="High"/>
    <n v="824.26"/>
    <n v="0.23899999999999999"/>
    <n v="11"/>
    <n v="10290.80514"/>
    <n v="7300.2599999999993"/>
    <x v="411"/>
    <x v="0"/>
  </r>
  <r>
    <x v="411"/>
    <d v="2023-03-17T00:00:00"/>
    <d v="2023-04-06T00:00:00"/>
    <n v="20"/>
    <x v="22"/>
    <s v="Consumer"/>
    <s v="Retail"/>
    <x v="7"/>
    <s v="Phones"/>
    <n v="692.18"/>
    <s v="High"/>
    <n v="1159.3499999999999"/>
    <n v="0.112"/>
    <n v="2"/>
    <n v="2175.1027199999999"/>
    <n v="1384.36"/>
    <x v="412"/>
    <x v="0"/>
  </r>
  <r>
    <x v="412"/>
    <d v="2023-08-25T00:00:00"/>
    <d v="2023-09-16T00:00:00"/>
    <n v="22"/>
    <x v="25"/>
    <s v="Corporate"/>
    <s v="Marketplace"/>
    <x v="4"/>
    <s v="Phones"/>
    <n v="1196.83"/>
    <s v="High"/>
    <n v="2513.5100000000002"/>
    <n v="8.3000000000000004E-2"/>
    <n v="7"/>
    <n v="3118.7353400000002"/>
    <n v="8377.81"/>
    <x v="413"/>
    <x v="0"/>
  </r>
  <r>
    <x v="413"/>
    <d v="2024-06-06T00:00:00"/>
    <d v="2024-06-24T00:00:00"/>
    <n v="18"/>
    <x v="17"/>
    <s v="Small Business"/>
    <s v="Direct"/>
    <x v="10"/>
    <s v="Networking"/>
    <n v="1253.25"/>
    <s v="High"/>
    <n v="3087.13"/>
    <n v="7.1999999999999995E-2"/>
    <n v="11"/>
    <n v="22569.275520000003"/>
    <n v="13785.75"/>
    <x v="414"/>
    <x v="0"/>
  </r>
  <r>
    <x v="414"/>
    <d v="2023-08-29T00:00:00"/>
    <d v="2023-09-13T00:00:00"/>
    <n v="15"/>
    <x v="25"/>
    <s v="Small Business"/>
    <s v="Marketplace"/>
    <x v="7"/>
    <s v="Printers"/>
    <n v="1287.6400000000001"/>
    <s v="High"/>
    <n v="2717.15"/>
    <n v="3.2000000000000001E-2"/>
    <n v="7"/>
    <n v="3875.12664"/>
    <n v="9013.4800000000014"/>
    <x v="415"/>
    <x v="0"/>
  </r>
  <r>
    <x v="415"/>
    <d v="2024-11-30T00:00:00"/>
    <d v="2024-12-10T00:00:00"/>
    <n v="10"/>
    <x v="18"/>
    <s v="Small Business"/>
    <s v="Retail"/>
    <x v="9"/>
    <s v="Accessories"/>
    <n v="851.49"/>
    <s v="High"/>
    <n v="901.79"/>
    <n v="0.245"/>
    <n v="16"/>
    <n v="41052.309600000001"/>
    <n v="13623.84"/>
    <x v="416"/>
    <x v="0"/>
  </r>
  <r>
    <x v="416"/>
    <d v="2025-06-05T00:00:00"/>
    <d v="2025-06-14T00:00:00"/>
    <n v="9"/>
    <x v="16"/>
    <s v="Non-Profit"/>
    <s v="Retail"/>
    <x v="8"/>
    <s v="Accessories"/>
    <n v="618.69000000000005"/>
    <s v="High"/>
    <n v="796.15"/>
    <n v="0.09"/>
    <n v="11"/>
    <n v="1948.1462000000001"/>
    <n v="6805.59"/>
    <x v="417"/>
    <x v="0"/>
  </r>
  <r>
    <x v="417"/>
    <d v="2025-03-14T00:00:00"/>
    <d v="2025-04-08T00:00:00"/>
    <n v="25"/>
    <x v="3"/>
    <s v="Corporate"/>
    <s v="Distributor"/>
    <x v="14"/>
    <s v="Printers"/>
    <n v="80.59"/>
    <s v="Medium"/>
    <n v="157.82"/>
    <n v="0.217"/>
    <n v="6"/>
    <n v="4846.6447200000002"/>
    <n v="483.54"/>
    <x v="418"/>
    <x v="0"/>
  </r>
  <r>
    <x v="418"/>
    <d v="2024-01-16T00:00:00"/>
    <d v="2024-02-11T00:00:00"/>
    <n v="26"/>
    <x v="9"/>
    <s v="Non-Profit"/>
    <s v="Distributor"/>
    <x v="6"/>
    <s v="Monitors"/>
    <n v="504.93"/>
    <s v="High"/>
    <n v="819.06"/>
    <n v="0.22600000000000001"/>
    <n v="15"/>
    <n v="5749.1559000000007"/>
    <n v="7573.95"/>
    <x v="419"/>
    <x v="0"/>
  </r>
  <r>
    <x v="419"/>
    <d v="2023-10-12T00:00:00"/>
    <d v="2023-10-29T00:00:00"/>
    <n v="17"/>
    <x v="32"/>
    <s v="Non-Profit"/>
    <s v="Direct"/>
    <x v="10"/>
    <s v="Phones"/>
    <n v="1102.19"/>
    <s v="High"/>
    <n v="1711.16"/>
    <n v="0.151"/>
    <n v="10"/>
    <n v="11198.649599999999"/>
    <n v="11021.900000000001"/>
    <x v="420"/>
    <x v="0"/>
  </r>
  <r>
    <x v="420"/>
    <d v="2025-02-25T00:00:00"/>
    <d v="2025-03-17T00:00:00"/>
    <n v="20"/>
    <x v="26"/>
    <s v="Non-Profit"/>
    <s v="Marketplace"/>
    <x v="10"/>
    <s v="Phones"/>
    <n v="1205.26"/>
    <s v="High"/>
    <n v="1696.35"/>
    <n v="1.9E-2"/>
    <n v="6"/>
    <n v="1853.32482"/>
    <n v="7231.5599999999995"/>
    <x v="421"/>
    <x v="0"/>
  </r>
  <r>
    <x v="421"/>
    <d v="2025-07-03T00:00:00"/>
    <d v="2025-07-06T00:00:00"/>
    <n v="3"/>
    <x v="13"/>
    <s v="Consumer"/>
    <s v="Online"/>
    <x v="15"/>
    <s v="Laptops"/>
    <n v="1313.3"/>
    <s v="High"/>
    <n v="2884.34"/>
    <n v="0.157"/>
    <n v="42"/>
    <n v="78253.279020000002"/>
    <n v="55158.6"/>
    <x v="422"/>
    <x v="0"/>
  </r>
  <r>
    <x v="422"/>
    <d v="2025-09-15T00:00:00"/>
    <d v="2025-09-25T00:00:00"/>
    <n v="10"/>
    <x v="11"/>
    <s v="Consumer"/>
    <s v="Retail"/>
    <x v="8"/>
    <s v="Phones"/>
    <n v="1488.91"/>
    <s v="High"/>
    <n v="1483.74"/>
    <n v="0.16800000000000001"/>
    <n v="24"/>
    <n v="20866.559999999998"/>
    <n v="35733.840000000004"/>
    <x v="423"/>
    <x v="0"/>
  </r>
  <r>
    <x v="423"/>
    <d v="2024-02-19T00:00:00"/>
    <d v="2024-03-06T00:00:00"/>
    <n v="16"/>
    <x v="31"/>
    <s v="Education"/>
    <s v="Marketplace"/>
    <x v="7"/>
    <s v="Printers"/>
    <n v="1477.84"/>
    <s v="High"/>
    <n v="3197.47"/>
    <n v="0.24299999999999999"/>
    <n v="24"/>
    <n v="38737.627919999999"/>
    <n v="35468.159999999996"/>
    <x v="424"/>
    <x v="0"/>
  </r>
  <r>
    <x v="424"/>
    <d v="2024-02-27T00:00:00"/>
    <d v="2024-03-26T00:00:00"/>
    <n v="28"/>
    <x v="31"/>
    <s v="Education"/>
    <s v="Marketplace"/>
    <x v="3"/>
    <s v="Laptops"/>
    <n v="1035.19"/>
    <s v="High"/>
    <n v="2322.6999999999998"/>
    <n v="0.17299999999999999"/>
    <n v="8"/>
    <n v="13903.854800000001"/>
    <n v="8281.52"/>
    <x v="425"/>
    <x v="0"/>
  </r>
  <r>
    <x v="425"/>
    <d v="2025-08-28T00:00:00"/>
    <d v="2025-09-05T00:00:00"/>
    <n v="8"/>
    <x v="28"/>
    <s v="Small Business"/>
    <s v="Marketplace"/>
    <x v="6"/>
    <s v="Laptops"/>
    <n v="1271.0999999999999"/>
    <s v="High"/>
    <n v="1932.42"/>
    <n v="0.25"/>
    <n v="21"/>
    <n v="33475.68"/>
    <n v="26693.1"/>
    <x v="426"/>
    <x v="0"/>
  </r>
  <r>
    <x v="426"/>
    <d v="2024-08-18T00:00:00"/>
    <d v="2024-09-12T00:00:00"/>
    <n v="25"/>
    <x v="21"/>
    <s v="Consumer"/>
    <s v="Marketplace"/>
    <x v="0"/>
    <s v="Phones"/>
    <n v="1154.03"/>
    <s v="High"/>
    <n v="1590.36"/>
    <n v="0.314"/>
    <n v="18"/>
    <n v="8801.0369999999984"/>
    <n v="20772.54"/>
    <x v="427"/>
    <x v="0"/>
  </r>
  <r>
    <x v="427"/>
    <d v="2024-02-25T00:00:00"/>
    <d v="2024-03-09T00:00:00"/>
    <n v="13"/>
    <x v="31"/>
    <s v="Small Business"/>
    <s v="Distributor"/>
    <x v="6"/>
    <s v="Monitors"/>
    <n v="322.44"/>
    <s v="High"/>
    <n v="395.61"/>
    <n v="0"/>
    <n v="34"/>
    <n v="53340.22"/>
    <n v="10962.96"/>
    <x v="428"/>
    <x v="0"/>
  </r>
  <r>
    <x v="428"/>
    <d v="2025-05-07T00:00:00"/>
    <d v="2025-05-13T00:00:00"/>
    <n v="6"/>
    <x v="8"/>
    <s v="Enterprise"/>
    <s v="Direct"/>
    <x v="1"/>
    <s v="Phones"/>
    <n v="935.98"/>
    <s v="High"/>
    <n v="2077.69"/>
    <n v="0.17499999999999999"/>
    <n v="24"/>
    <n v="41071.932000000001"/>
    <n v="22463.52"/>
    <x v="429"/>
    <x v="0"/>
  </r>
  <r>
    <x v="429"/>
    <d v="2024-11-01T00:00:00"/>
    <d v="2024-11-12T00:00:00"/>
    <n v="11"/>
    <x v="18"/>
    <s v="Consumer"/>
    <s v="Online"/>
    <x v="5"/>
    <s v="Printers"/>
    <n v="599.84"/>
    <s v="High"/>
    <n v="1330.85"/>
    <n v="0.115"/>
    <n v="11"/>
    <n v="4820.6746499999999"/>
    <n v="6598.2400000000007"/>
    <x v="430"/>
    <x v="0"/>
  </r>
  <r>
    <x v="430"/>
    <d v="2024-12-28T00:00:00"/>
    <d v="2025-01-08T00:00:00"/>
    <n v="11"/>
    <x v="6"/>
    <s v="Enterprise"/>
    <s v="Online"/>
    <x v="11"/>
    <s v="Laptops"/>
    <n v="1201.31"/>
    <s v="High"/>
    <n v="2764.65"/>
    <n v="0"/>
    <n v="21"/>
    <n v="15909.390000000001"/>
    <n v="25227.51"/>
    <x v="431"/>
    <x v="0"/>
  </r>
  <r>
    <x v="431"/>
    <d v="2023-10-21T00:00:00"/>
    <d v="2023-10-21T00:00:00"/>
    <n v="0"/>
    <x v="32"/>
    <s v="Enterprise"/>
    <s v="Distributor"/>
    <x v="1"/>
    <s v="Monitors"/>
    <n v="384.19"/>
    <s v="High"/>
    <n v="278.35000000000002"/>
    <n v="5.6000000000000001E-2"/>
    <n v="10"/>
    <n v="3926.6623999999993"/>
    <n v="3841.9"/>
    <x v="432"/>
    <x v="0"/>
  </r>
  <r>
    <x v="432"/>
    <d v="2024-12-10T00:00:00"/>
    <d v="2024-12-19T00:00:00"/>
    <n v="9"/>
    <x v="6"/>
    <s v="Corporate"/>
    <s v="Retail"/>
    <x v="7"/>
    <s v="Monitors"/>
    <n v="488.68"/>
    <s v="High"/>
    <n v="984.36"/>
    <n v="5.8999999999999997E-2"/>
    <n v="14"/>
    <n v="24647.104860000003"/>
    <n v="6841.52"/>
    <x v="433"/>
    <x v="0"/>
  </r>
  <r>
    <x v="433"/>
    <d v="2024-09-07T00:00:00"/>
    <d v="2024-09-18T00:00:00"/>
    <n v="11"/>
    <x v="29"/>
    <s v="Consumer"/>
    <s v="Distributor"/>
    <x v="7"/>
    <s v="Networking"/>
    <n v="181.74"/>
    <s v="Medium"/>
    <n v="190.84"/>
    <n v="0.214"/>
    <n v="13"/>
    <n v="2113.89984"/>
    <n v="2362.62"/>
    <x v="434"/>
    <x v="0"/>
  </r>
  <r>
    <x v="434"/>
    <d v="2023-10-18T00:00:00"/>
    <d v="2023-10-20T00:00:00"/>
    <n v="2"/>
    <x v="32"/>
    <s v="Consumer"/>
    <s v="Retail"/>
    <x v="1"/>
    <s v="Phones"/>
    <n v="774.12"/>
    <s v="High"/>
    <n v="908.3"/>
    <n v="0"/>
    <n v="30"/>
    <n v="1884.6"/>
    <n v="23223.599999999999"/>
    <x v="435"/>
    <x v="0"/>
  </r>
  <r>
    <x v="435"/>
    <d v="2024-12-24T00:00:00"/>
    <d v="2025-01-13T00:00:00"/>
    <n v="20"/>
    <x v="6"/>
    <s v="Corporate"/>
    <s v="Marketplace"/>
    <x v="14"/>
    <s v="Networking"/>
    <n v="126.15"/>
    <s v="High"/>
    <n v="284.23"/>
    <n v="0.113"/>
    <n v="22"/>
    <n v="18664.94586"/>
    <n v="2775.3"/>
    <x v="436"/>
    <x v="0"/>
  </r>
  <r>
    <x v="436"/>
    <d v="2023-04-21T00:00:00"/>
    <d v="2023-04-19T00:00:00"/>
    <n v="2"/>
    <x v="12"/>
    <s v="Small Business"/>
    <s v="Direct"/>
    <x v="12"/>
    <s v="Components"/>
    <n v="607.04"/>
    <s v="High"/>
    <n v="1229.3399999999999"/>
    <n v="0.14699999999999999"/>
    <n v="7"/>
    <n v="989.39469999999983"/>
    <n v="4249.28"/>
    <x v="437"/>
    <x v="0"/>
  </r>
  <r>
    <x v="437"/>
    <d v="2023-12-30T00:00:00"/>
    <d v="2024-01-08T00:00:00"/>
    <n v="9"/>
    <x v="4"/>
    <s v="Consumer"/>
    <s v="Marketplace"/>
    <x v="4"/>
    <s v="Accessories"/>
    <n v="861.1"/>
    <s v="High"/>
    <n v="1224.72"/>
    <n v="0.17399999999999999"/>
    <n v="24"/>
    <n v="12060.128640000001"/>
    <n v="20666.400000000001"/>
    <x v="438"/>
    <x v="0"/>
  </r>
  <r>
    <x v="438"/>
    <d v="2023-02-21T00:00:00"/>
    <d v="2023-03-12T00:00:00"/>
    <n v="19"/>
    <x v="2"/>
    <s v="Corporate"/>
    <s v="Online"/>
    <x v="9"/>
    <s v="Networking"/>
    <n v="352.65"/>
    <s v="High"/>
    <n v="485.86"/>
    <n v="4.1000000000000002E-2"/>
    <n v="6"/>
    <n v="15339.646139999999"/>
    <n v="2115.8999999999996"/>
    <x v="439"/>
    <x v="0"/>
  </r>
  <r>
    <x v="439"/>
    <d v="2023-05-17T00:00:00"/>
    <d v="2023-06-03T00:00:00"/>
    <n v="17"/>
    <x v="15"/>
    <s v="Non-Profit"/>
    <s v="Distributor"/>
    <x v="12"/>
    <s v="Printers"/>
    <n v="979.59"/>
    <s v="High"/>
    <n v="2210.94"/>
    <n v="0.15"/>
    <n v="11"/>
    <n v="5497.3325000000004"/>
    <n v="10775.49"/>
    <x v="440"/>
    <x v="0"/>
  </r>
  <r>
    <x v="440"/>
    <d v="2024-03-23T00:00:00"/>
    <d v="2024-03-26T00:00:00"/>
    <n v="3"/>
    <x v="0"/>
    <s v="Education"/>
    <s v="Direct"/>
    <x v="3"/>
    <s v="Phones"/>
    <n v="382.21"/>
    <s v="High"/>
    <n v="571.89"/>
    <n v="0.14799999999999999"/>
    <n v="26"/>
    <n v="48582.215760000006"/>
    <n v="9937.4599999999991"/>
    <x v="441"/>
    <x v="0"/>
  </r>
  <r>
    <x v="441"/>
    <d v="2023-09-20T00:00:00"/>
    <d v="2023-09-28T00:00:00"/>
    <n v="8"/>
    <x v="27"/>
    <s v="Corporate"/>
    <s v="Not Provided"/>
    <x v="5"/>
    <s v="Accessories"/>
    <n v="1362.06"/>
    <s v="High"/>
    <n v="3398.37"/>
    <n v="0.157"/>
    <n v="11"/>
    <n v="20287.469400000002"/>
    <n v="14982.66"/>
    <x v="442"/>
    <x v="0"/>
  </r>
  <r>
    <x v="442"/>
    <d v="2024-08-22T00:00:00"/>
    <d v="2024-09-04T00:00:00"/>
    <n v="13"/>
    <x v="21"/>
    <s v="Non-Profit"/>
    <s v="Retail"/>
    <x v="4"/>
    <s v="Printers"/>
    <n v="90.04"/>
    <s v="Medium"/>
    <n v="194.62"/>
    <n v="4.2999999999999997E-2"/>
    <n v="32"/>
    <n v="30688.61664"/>
    <n v="2881.28"/>
    <x v="443"/>
    <x v="0"/>
  </r>
  <r>
    <x v="443"/>
    <d v="2024-09-25T00:00:00"/>
    <d v="2024-10-03T00:00:00"/>
    <n v="8"/>
    <x v="29"/>
    <s v="Consumer"/>
    <s v="Online"/>
    <x v="6"/>
    <s v="Printers"/>
    <n v="558.19000000000005"/>
    <s v="High"/>
    <n v="1031.6400000000001"/>
    <n v="0"/>
    <n v="21"/>
    <n v="19189.38"/>
    <n v="11721.990000000002"/>
    <x v="444"/>
    <x v="0"/>
  </r>
  <r>
    <x v="444"/>
    <d v="2023-06-13T00:00:00"/>
    <d v="2023-06-24T00:00:00"/>
    <n v="11"/>
    <x v="23"/>
    <s v="Corporate"/>
    <s v="Online"/>
    <x v="0"/>
    <s v="Printers"/>
    <n v="247.07"/>
    <s v="High"/>
    <n v="495.19"/>
    <n v="2.8000000000000001E-2"/>
    <n v="4"/>
    <n v="7167.5668799999994"/>
    <n v="988.28"/>
    <x v="445"/>
    <x v="0"/>
  </r>
  <r>
    <x v="445"/>
    <d v="2023-12-24T00:00:00"/>
    <d v="2024-01-13T00:00:00"/>
    <n v="20"/>
    <x v="4"/>
    <s v="Education"/>
    <s v="Direct"/>
    <x v="5"/>
    <s v="Laptops"/>
    <n v="625.37"/>
    <s v="High"/>
    <n v="1319.04"/>
    <n v="7.3999999999999996E-2"/>
    <n v="8"/>
    <n v="10249.7088"/>
    <n v="5002.96"/>
    <x v="446"/>
    <x v="0"/>
  </r>
  <r>
    <x v="446"/>
    <d v="2025-03-30T00:00:00"/>
    <d v="2025-04-29T00:00:00"/>
    <n v="30"/>
    <x v="3"/>
    <s v="Consumer"/>
    <s v="Marketplace"/>
    <x v="1"/>
    <s v="Monitors"/>
    <n v="194.6"/>
    <s v="High"/>
    <n v="314.87"/>
    <n v="0.29299999999999998"/>
    <n v="25"/>
    <n v="28077.267750000003"/>
    <n v="4865"/>
    <x v="447"/>
    <x v="0"/>
  </r>
  <r>
    <x v="447"/>
    <d v="2024-06-03T00:00:00"/>
    <d v="2024-06-24T00:00:00"/>
    <n v="21"/>
    <x v="17"/>
    <s v="Small Business"/>
    <s v="Direct"/>
    <x v="3"/>
    <s v="Monitors"/>
    <n v="1205.5"/>
    <s v="High"/>
    <n v="2210.17"/>
    <n v="0.104"/>
    <n v="23"/>
    <n v="27698.182399999998"/>
    <n v="27726.5"/>
    <x v="448"/>
    <x v="0"/>
  </r>
  <r>
    <x v="448"/>
    <d v="2024-06-11T00:00:00"/>
    <d v="2024-07-09T00:00:00"/>
    <n v="28"/>
    <x v="17"/>
    <s v="Corporate"/>
    <s v="Marketplace"/>
    <x v="2"/>
    <s v="Phones"/>
    <n v="895.54"/>
    <s v="High"/>
    <n v="1045"/>
    <n v="0.216"/>
    <n v="15"/>
    <n v="15173.8104"/>
    <n v="13433.099999999999"/>
    <x v="449"/>
    <x v="0"/>
  </r>
  <r>
    <x v="449"/>
    <d v="2023-07-22T00:00:00"/>
    <d v="2023-07-21T00:00:00"/>
    <n v="1"/>
    <x v="24"/>
    <s v="Small Business"/>
    <s v="Distributor"/>
    <x v="6"/>
    <s v="Printers"/>
    <n v="946.99"/>
    <s v="High"/>
    <n v="2132.19"/>
    <n v="0.16500000000000001"/>
    <n v="7"/>
    <n v="1295.1351000000002"/>
    <n v="6628.93"/>
    <x v="450"/>
    <x v="0"/>
  </r>
  <r>
    <x v="450"/>
    <d v="2023-01-19T00:00:00"/>
    <d v="2023-02-03T00:00:00"/>
    <n v="15"/>
    <x v="5"/>
    <s v="Enterprise"/>
    <s v="Distributor"/>
    <x v="3"/>
    <s v="Accessories"/>
    <n v="873.06"/>
    <s v="High"/>
    <n v="2101.5500000000002"/>
    <n v="6.6000000000000003E-2"/>
    <n v="10"/>
    <n v="3365.5755999999997"/>
    <n v="8730.5999999999985"/>
    <x v="451"/>
    <x v="0"/>
  </r>
  <r>
    <x v="451"/>
    <d v="2024-05-01T00:00:00"/>
    <d v="2024-05-16T00:00:00"/>
    <n v="15"/>
    <x v="7"/>
    <s v="Small Business"/>
    <s v="Retail"/>
    <x v="4"/>
    <s v="Components"/>
    <n v="901.19"/>
    <s v="High"/>
    <n v="2125.44"/>
    <n v="7.0999999999999994E-2"/>
    <n v="12"/>
    <n v="28380.689880000002"/>
    <n v="10814.28"/>
    <x v="452"/>
    <x v="0"/>
  </r>
  <r>
    <x v="452"/>
    <d v="2025-06-09T00:00:00"/>
    <d v="2025-06-24T00:00:00"/>
    <n v="15"/>
    <x v="16"/>
    <s v="Corporate"/>
    <s v="Direct"/>
    <x v="5"/>
    <s v="Phones"/>
    <n v="400.39"/>
    <s v="High"/>
    <n v="712.75"/>
    <n v="0.115"/>
    <n v="19"/>
    <n v="11761.58805"/>
    <n v="7607.41"/>
    <x v="453"/>
    <x v="0"/>
  </r>
  <r>
    <x v="453"/>
    <d v="2023-05-24T00:00:00"/>
    <d v="2023-06-21T00:00:00"/>
    <n v="28"/>
    <x v="15"/>
    <s v="Small Business"/>
    <s v="Marketplace"/>
    <x v="3"/>
    <s v="Monitors"/>
    <n v="813.97"/>
    <s v="High"/>
    <n v="1568.83"/>
    <n v="1.7000000000000001E-2"/>
    <n v="15"/>
    <n v="40381.984049999999"/>
    <n v="12209.550000000001"/>
    <x v="454"/>
    <x v="0"/>
  </r>
  <r>
    <x v="454"/>
    <d v="2024-12-27T00:00:00"/>
    <d v="2024-12-29T00:00:00"/>
    <n v="2"/>
    <x v="6"/>
    <s v="Enterprise"/>
    <s v="Marketplace"/>
    <x v="0"/>
    <s v="Accessories"/>
    <n v="1146.72"/>
    <s v="High"/>
    <n v="2074.34"/>
    <n v="0.111"/>
    <n v="8"/>
    <n v="674.07536000000005"/>
    <n v="9173.76"/>
    <x v="455"/>
    <x v="0"/>
  </r>
  <r>
    <x v="455"/>
    <d v="2023-12-05T00:00:00"/>
    <d v="2023-12-12T00:00:00"/>
    <n v="7"/>
    <x v="4"/>
    <s v="Corporate"/>
    <s v="Direct"/>
    <x v="9"/>
    <s v="Phones"/>
    <n v="307.43"/>
    <s v="High"/>
    <n v="495.19"/>
    <n v="0"/>
    <n v="42"/>
    <n v="116648.7"/>
    <n v="12912.06"/>
    <x v="456"/>
    <x v="0"/>
  </r>
  <r>
    <x v="456"/>
    <d v="2023-05-02T00:00:00"/>
    <d v="2023-05-19T00:00:00"/>
    <n v="17"/>
    <x v="15"/>
    <s v="Non-Profit"/>
    <s v="Direct"/>
    <x v="1"/>
    <s v="Monitors"/>
    <n v="714.28"/>
    <s v="High"/>
    <n v="757.59"/>
    <n v="0.13600000000000001"/>
    <n v="12"/>
    <n v="5102.9222399999999"/>
    <n v="8571.36"/>
    <x v="457"/>
    <x v="0"/>
  </r>
  <r>
    <x v="457"/>
    <d v="2023-11-30T00:00:00"/>
    <d v="2023-12-10T00:00:00"/>
    <n v="10"/>
    <x v="30"/>
    <s v="Small Business"/>
    <s v="Direct"/>
    <x v="9"/>
    <s v="Laptops"/>
    <n v="174.74"/>
    <s v="High"/>
    <n v="415.96"/>
    <n v="0.125"/>
    <n v="21"/>
    <n v="35310.318749999999"/>
    <n v="3669.54"/>
    <x v="458"/>
    <x v="0"/>
  </r>
  <r>
    <x v="458"/>
    <d v="2024-05-05T00:00:00"/>
    <d v="2024-05-18T00:00:00"/>
    <n v="13"/>
    <x v="7"/>
    <s v="Corporate"/>
    <s v="Marketplace"/>
    <x v="8"/>
    <s v="Components"/>
    <n v="1264.04"/>
    <s v="High"/>
    <n v="1870.89"/>
    <n v="0"/>
    <n v="13"/>
    <n v="3774.29"/>
    <n v="16432.52"/>
    <x v="459"/>
    <x v="0"/>
  </r>
  <r>
    <x v="459"/>
    <d v="2023-07-09T00:00:00"/>
    <d v="2023-07-19T00:00:00"/>
    <n v="10"/>
    <x v="24"/>
    <s v="Enterprise"/>
    <s v="Distributor"/>
    <x v="13"/>
    <s v="Components"/>
    <n v="141.26"/>
    <s v="High"/>
    <n v="206.88"/>
    <n v="0.107"/>
    <n v="9"/>
    <n v="4845.6680399999996"/>
    <n v="1271.3399999999999"/>
    <x v="460"/>
    <x v="0"/>
  </r>
  <r>
    <x v="460"/>
    <d v="2023-05-17T00:00:00"/>
    <d v="2023-06-15T00:00:00"/>
    <n v="29"/>
    <x v="15"/>
    <s v="Enterprise"/>
    <s v="Retail"/>
    <x v="11"/>
    <s v="Accessories"/>
    <n v="40.89"/>
    <s v="Medium"/>
    <n v="62.82"/>
    <n v="0.129"/>
    <n v="17"/>
    <n v="30761.5425"/>
    <n v="695.13"/>
    <x v="461"/>
    <x v="0"/>
  </r>
  <r>
    <x v="461"/>
    <d v="2024-03-07T00:00:00"/>
    <d v="2024-04-03T00:00:00"/>
    <n v="27"/>
    <x v="0"/>
    <s v="Corporate"/>
    <s v="Direct"/>
    <x v="12"/>
    <s v="Printers"/>
    <n v="738.16"/>
    <s v="High"/>
    <n v="956.49"/>
    <n v="0.152"/>
    <n v="5"/>
    <n v="733.01119999999992"/>
    <n v="3690.7999999999997"/>
    <x v="462"/>
    <x v="0"/>
  </r>
  <r>
    <x v="462"/>
    <d v="2025-04-10T00:00:00"/>
    <d v="2025-04-19T00:00:00"/>
    <n v="9"/>
    <x v="19"/>
    <s v="Enterprise"/>
    <s v="Not Provided"/>
    <x v="3"/>
    <s v="Networking"/>
    <n v="113.74"/>
    <s v="Medium"/>
    <n v="165.7"/>
    <n v="0.124"/>
    <n v="13"/>
    <n v="31644.291119999994"/>
    <n v="1478.62"/>
    <x v="463"/>
    <x v="0"/>
  </r>
  <r>
    <x v="463"/>
    <d v="2025-07-27T00:00:00"/>
    <d v="2025-08-15T00:00:00"/>
    <n v="19"/>
    <x v="13"/>
    <s v="Small Business"/>
    <s v="Marketplace"/>
    <x v="1"/>
    <s v="Components"/>
    <n v="275.43"/>
    <s v="High"/>
    <n v="608.36"/>
    <n v="0.25700000000000001"/>
    <n v="4"/>
    <n v="919.74484000000007"/>
    <n v="1101.72"/>
    <x v="464"/>
    <x v="0"/>
  </r>
  <r>
    <x v="464"/>
    <d v="2024-11-22T00:00:00"/>
    <d v="2024-12-15T00:00:00"/>
    <n v="23"/>
    <x v="18"/>
    <s v="Non-Profit"/>
    <s v="Distributor"/>
    <x v="0"/>
    <s v="Components"/>
    <n v="1335.76"/>
    <s v="High"/>
    <n v="2665.91"/>
    <n v="0.21099999999999999"/>
    <n v="40"/>
    <n v="21031.899600000001"/>
    <n v="53430.400000000001"/>
    <x v="465"/>
    <x v="0"/>
  </r>
  <r>
    <x v="465"/>
    <d v="2024-06-23T00:00:00"/>
    <d v="2024-06-28T00:00:00"/>
    <n v="5"/>
    <x v="17"/>
    <s v="Non-Profit"/>
    <s v="Direct"/>
    <x v="12"/>
    <s v="Accessories"/>
    <n v="242.31"/>
    <s v="High"/>
    <n v="587.95000000000005"/>
    <n v="0.22900000000000001"/>
    <n v="6"/>
    <n v="3442.9930199999999"/>
    <n v="1453.8600000000001"/>
    <x v="466"/>
    <x v="0"/>
  </r>
  <r>
    <x v="466"/>
    <d v="2023-12-18T00:00:00"/>
    <d v="2024-01-14T00:00:00"/>
    <n v="27"/>
    <x v="4"/>
    <s v="Consumer"/>
    <s v="Distributor"/>
    <x v="14"/>
    <s v="Networking"/>
    <n v="1408.3"/>
    <s v="High"/>
    <n v="2193.13"/>
    <n v="7.0999999999999994E-2"/>
    <n v="7"/>
    <n v="82.523070000000004"/>
    <n v="9858.1"/>
    <x v="467"/>
    <x v="0"/>
  </r>
  <r>
    <x v="467"/>
    <d v="2025-06-01T00:00:00"/>
    <d v="2025-06-05T00:00:00"/>
    <n v="4"/>
    <x v="16"/>
    <s v="Enterprise"/>
    <s v="Direct"/>
    <x v="12"/>
    <s v="Components"/>
    <n v="1171.42"/>
    <s v="High"/>
    <n v="2187.8000000000002"/>
    <n v="0.23"/>
    <n v="15"/>
    <n v="7525.518"/>
    <n v="17571.300000000003"/>
    <x v="468"/>
    <x v="0"/>
  </r>
  <r>
    <x v="468"/>
    <d v="2025-03-23T00:00:00"/>
    <d v="2025-04-02T00:00:00"/>
    <n v="10"/>
    <x v="3"/>
    <s v="Enterprise"/>
    <s v="Online"/>
    <x v="6"/>
    <s v="Printers"/>
    <n v="663.61"/>
    <s v="High"/>
    <n v="1002.11"/>
    <n v="4.5999999999999999E-2"/>
    <n v="17"/>
    <n v="12231.93996"/>
    <n v="11281.37"/>
    <x v="469"/>
    <x v="0"/>
  </r>
  <r>
    <x v="469"/>
    <d v="2023-05-14T00:00:00"/>
    <d v="2023-05-22T00:00:00"/>
    <n v="8"/>
    <x v="15"/>
    <s v="Small Business"/>
    <s v="Distributor"/>
    <x v="9"/>
    <s v="Printers"/>
    <n v="432.01"/>
    <s v="High"/>
    <n v="913.78"/>
    <n v="4.9000000000000002E-2"/>
    <n v="12"/>
    <n v="34019.286120000004"/>
    <n v="5184.12"/>
    <x v="470"/>
    <x v="0"/>
  </r>
  <r>
    <x v="470"/>
    <d v="2023-08-29T00:00:00"/>
    <d v="2023-09-19T00:00:00"/>
    <n v="21"/>
    <x v="25"/>
    <s v="Small Business"/>
    <s v="Direct"/>
    <x v="5"/>
    <s v="Printers"/>
    <n v="784.46"/>
    <s v="High"/>
    <n v="1843.51"/>
    <n v="0.13800000000000001"/>
    <n v="23"/>
    <n v="19353.546419999999"/>
    <n v="18042.580000000002"/>
    <x v="471"/>
    <x v="0"/>
  </r>
  <r>
    <x v="471"/>
    <d v="2025-07-03T00:00:00"/>
    <d v="2025-07-23T00:00:00"/>
    <n v="20"/>
    <x v="13"/>
    <s v="Small Business"/>
    <s v="Online"/>
    <x v="12"/>
    <s v="Components"/>
    <n v="647.36"/>
    <s v="High"/>
    <n v="1383.6"/>
    <n v="7.3999999999999996E-2"/>
    <n v="12"/>
    <n v="12733.240800000001"/>
    <n v="7768.32"/>
    <x v="472"/>
    <x v="0"/>
  </r>
  <r>
    <x v="472"/>
    <d v="2024-02-06T00:00:00"/>
    <d v="2024-02-28T00:00:00"/>
    <n v="22"/>
    <x v="31"/>
    <s v="Non-Profit"/>
    <s v="Online"/>
    <x v="11"/>
    <s v="Monitors"/>
    <n v="834.93"/>
    <s v="High"/>
    <n v="1588.53"/>
    <n v="0.126"/>
    <n v="6"/>
    <n v="8549.7651600000008"/>
    <n v="5009.58"/>
    <x v="473"/>
    <x v="0"/>
  </r>
  <r>
    <x v="473"/>
    <d v="2025-08-13T00:00:00"/>
    <d v="2025-09-03T00:00:00"/>
    <n v="21"/>
    <x v="28"/>
    <s v="Education"/>
    <s v="Retail"/>
    <x v="2"/>
    <s v="Phones"/>
    <n v="603.47"/>
    <s v="High"/>
    <n v="1344.05"/>
    <n v="0.20499999999999999"/>
    <n v="18"/>
    <n v="13790.9763"/>
    <n v="10862.460000000001"/>
    <x v="474"/>
    <x v="0"/>
  </r>
  <r>
    <x v="474"/>
    <d v="2023-05-23T00:00:00"/>
    <d v="2023-05-25T00:00:00"/>
    <n v="2"/>
    <x v="15"/>
    <s v="Enterprise"/>
    <s v="Retail"/>
    <x v="12"/>
    <s v="Printers"/>
    <n v="690.49"/>
    <s v="High"/>
    <n v="1290.29"/>
    <n v="4.2000000000000003E-2"/>
    <n v="22"/>
    <n v="18794.101480000001"/>
    <n v="15190.78"/>
    <x v="475"/>
    <x v="0"/>
  </r>
  <r>
    <x v="475"/>
    <d v="2024-05-10T00:00:00"/>
    <d v="2024-05-16T00:00:00"/>
    <n v="6"/>
    <x v="7"/>
    <s v="Non-Profit"/>
    <s v="Direct"/>
    <x v="3"/>
    <s v="Laptops"/>
    <n v="210.76"/>
    <s v="High"/>
    <n v="221.58"/>
    <n v="8.8999999999999996E-2"/>
    <n v="5"/>
    <n v="7596.9201000000003"/>
    <n v="1053.8"/>
    <x v="476"/>
    <x v="0"/>
  </r>
  <r>
    <x v="476"/>
    <d v="2023-03-14T00:00:00"/>
    <d v="2023-03-18T00:00:00"/>
    <n v="4"/>
    <x v="22"/>
    <s v="Enterprise"/>
    <s v="Direct"/>
    <x v="8"/>
    <s v="Components"/>
    <n v="472.33"/>
    <s v="High"/>
    <n v="360.34"/>
    <n v="0.16500000000000001"/>
    <n v="14"/>
    <n v="22462.4519"/>
    <n v="6612.62"/>
    <x v="477"/>
    <x v="0"/>
  </r>
  <r>
    <x v="477"/>
    <d v="2023-07-16T00:00:00"/>
    <d v="2023-08-13T00:00:00"/>
    <n v="28"/>
    <x v="24"/>
    <s v="Non-Profit"/>
    <s v="Online"/>
    <x v="1"/>
    <s v="Laptops"/>
    <n v="1039.03"/>
    <s v="High"/>
    <n v="2545.81"/>
    <n v="0.216"/>
    <n v="21"/>
    <n v="20043.767520000001"/>
    <n v="21819.63"/>
    <x v="478"/>
    <x v="0"/>
  </r>
  <r>
    <x v="478"/>
    <d v="2023-04-16T00:00:00"/>
    <d v="2023-04-19T00:00:00"/>
    <n v="3"/>
    <x v="12"/>
    <s v="Corporate"/>
    <s v="Direct"/>
    <x v="5"/>
    <s v="Accessories"/>
    <n v="553.61"/>
    <s v="High"/>
    <n v="699.47"/>
    <n v="0.02"/>
    <n v="33"/>
    <n v="31378.531800000001"/>
    <n v="18269.13"/>
    <x v="479"/>
    <x v="0"/>
  </r>
  <r>
    <x v="479"/>
    <d v="2024-01-02T00:00:00"/>
    <d v="2024-01-15T00:00:00"/>
    <n v="13"/>
    <x v="9"/>
    <s v="Small Business"/>
    <s v="Marketplace"/>
    <x v="3"/>
    <s v="Networking"/>
    <n v="1219.06"/>
    <s v="High"/>
    <n v="2738.69"/>
    <n v="7.5999999999999998E-2"/>
    <n v="16"/>
    <n v="24019.121280000003"/>
    <n v="19504.96"/>
    <x v="480"/>
    <x v="0"/>
  </r>
  <r>
    <x v="480"/>
    <d v="2024-09-03T00:00:00"/>
    <d v="2024-09-07T00:00:00"/>
    <n v="4"/>
    <x v="29"/>
    <s v="Small Business"/>
    <s v="Distributor"/>
    <x v="13"/>
    <s v="Printers"/>
    <n v="43.23"/>
    <s v="Medium"/>
    <n v="94.78"/>
    <n v="9.0999999999999998E-2"/>
    <n v="55"/>
    <n v="130292.46945000002"/>
    <n v="2377.6499999999996"/>
    <x v="481"/>
    <x v="0"/>
  </r>
  <r>
    <x v="481"/>
    <d v="2025-08-30T00:00:00"/>
    <d v="2025-09-03T00:00:00"/>
    <n v="4"/>
    <x v="28"/>
    <s v="Small Business"/>
    <s v="Marketplace"/>
    <x v="1"/>
    <s v="Laptops"/>
    <n v="1286.56"/>
    <s v="High"/>
    <n v="2777.35"/>
    <n v="0.13200000000000001"/>
    <n v="15"/>
    <n v="5660.0544"/>
    <n v="19298.399999999998"/>
    <x v="482"/>
    <x v="0"/>
  </r>
  <r>
    <x v="482"/>
    <d v="2025-04-28T00:00:00"/>
    <d v="2025-05-19T00:00:00"/>
    <n v="21"/>
    <x v="19"/>
    <s v="Corporate"/>
    <s v="Distributor"/>
    <x v="5"/>
    <s v="Phones"/>
    <n v="350.76"/>
    <s v="High"/>
    <n v="492.18"/>
    <n v="5.2999999999999999E-2"/>
    <n v="11"/>
    <n v="19379.89097"/>
    <n v="3858.3599999999997"/>
    <x v="483"/>
    <x v="0"/>
  </r>
  <r>
    <x v="483"/>
    <d v="2023-08-10T00:00:00"/>
    <d v="2023-08-15T00:00:00"/>
    <n v="5"/>
    <x v="25"/>
    <s v="Education"/>
    <s v="Direct"/>
    <x v="3"/>
    <s v="Networking"/>
    <n v="1307.52"/>
    <s v="High"/>
    <n v="1921.65"/>
    <n v="0.123"/>
    <n v="13"/>
    <n v="9504.8996900000002"/>
    <n v="16997.759999999998"/>
    <x v="484"/>
    <x v="0"/>
  </r>
  <r>
    <x v="484"/>
    <d v="2024-12-08T00:00:00"/>
    <d v="2024-12-08T00:00:00"/>
    <n v="0"/>
    <x v="6"/>
    <s v="Enterprise"/>
    <s v="Retail"/>
    <x v="10"/>
    <s v="Components"/>
    <n v="257.44"/>
    <s v="High"/>
    <n v="290.33"/>
    <n v="9.1999999999999998E-2"/>
    <n v="23"/>
    <n v="6964.3963200000007"/>
    <n v="5921.12"/>
    <x v="485"/>
    <x v="0"/>
  </r>
  <r>
    <x v="485"/>
    <d v="2023-10-25T00:00:00"/>
    <d v="2023-11-24T00:00:00"/>
    <n v="30"/>
    <x v="32"/>
    <s v="Enterprise"/>
    <s v="Distributor"/>
    <x v="0"/>
    <s v="Phones"/>
    <n v="287.85000000000002"/>
    <s v="High"/>
    <n v="602.91999999999996"/>
    <n v="0.222"/>
    <n v="11"/>
    <n v="15273.462600000001"/>
    <n v="3166.3500000000004"/>
    <x v="486"/>
    <x v="0"/>
  </r>
  <r>
    <x v="486"/>
    <d v="2024-11-17T00:00:00"/>
    <d v="2024-11-28T00:00:00"/>
    <n v="11"/>
    <x v="18"/>
    <s v="Consumer"/>
    <s v="Distributor"/>
    <x v="8"/>
    <s v="Printers"/>
    <n v="1008.16"/>
    <s v="High"/>
    <n v="2077.5"/>
    <n v="7.3999999999999996E-2"/>
    <n v="15"/>
    <n v="14894.108099999999"/>
    <n v="15122.4"/>
    <x v="487"/>
    <x v="0"/>
  </r>
  <r>
    <x v="487"/>
    <d v="2024-05-12T00:00:00"/>
    <d v="2024-05-24T00:00:00"/>
    <n v="12"/>
    <x v="7"/>
    <s v="Education"/>
    <s v="Marketplace"/>
    <x v="11"/>
    <s v="Printers"/>
    <n v="111.02"/>
    <s v="Medium"/>
    <n v="172.88"/>
    <n v="0.19700000000000001"/>
    <n v="29"/>
    <n v="70514.200349999999"/>
    <n v="3219.58"/>
    <x v="488"/>
    <x v="0"/>
  </r>
  <r>
    <x v="488"/>
    <d v="2025-05-15T00:00:00"/>
    <d v="2025-06-05T00:00:00"/>
    <n v="21"/>
    <x v="8"/>
    <s v="Enterprise"/>
    <s v="Direct"/>
    <x v="10"/>
    <s v="Phones"/>
    <n v="1466.5"/>
    <s v="High"/>
    <n v="2778.74"/>
    <n v="0.13500000000000001"/>
    <n v="4"/>
    <n v="3415.8503999999998"/>
    <n v="5866"/>
    <x v="489"/>
    <x v="0"/>
  </r>
  <r>
    <x v="489"/>
    <d v="2024-04-21T00:00:00"/>
    <d v="2024-05-19T00:00:00"/>
    <n v="28"/>
    <x v="20"/>
    <s v="Corporate"/>
    <s v="Distributor"/>
    <x v="8"/>
    <s v="Accessories"/>
    <n v="187.22"/>
    <s v="High"/>
    <n v="309.47000000000003"/>
    <n v="0"/>
    <n v="5"/>
    <n v="4877.1499999999996"/>
    <n v="936.1"/>
    <x v="490"/>
    <x v="0"/>
  </r>
  <r>
    <x v="490"/>
    <d v="2024-08-19T00:00:00"/>
    <d v="2024-09-07T00:00:00"/>
    <n v="19"/>
    <x v="21"/>
    <s v="Corporate"/>
    <s v="Direct"/>
    <x v="1"/>
    <s v="Components"/>
    <n v="297.58999999999997"/>
    <s v="High"/>
    <n v="666.41"/>
    <n v="0"/>
    <n v="10"/>
    <n v="1414.3000000000002"/>
    <n v="2975.8999999999996"/>
    <x v="491"/>
    <x v="0"/>
  </r>
  <r>
    <x v="491"/>
    <d v="2025-07-23T00:00:00"/>
    <d v="2025-08-19T00:00:00"/>
    <n v="27"/>
    <x v="13"/>
    <s v="Consumer"/>
    <s v="Marketplace"/>
    <x v="5"/>
    <s v="Accessories"/>
    <n v="896.09"/>
    <s v="High"/>
    <n v="744.27"/>
    <n v="8.3000000000000004E-2"/>
    <n v="11"/>
    <n v="16395.611540000002"/>
    <n v="9856.99"/>
    <x v="492"/>
    <x v="0"/>
  </r>
  <r>
    <x v="492"/>
    <d v="2024-03-01T00:00:00"/>
    <d v="2024-02-29T00:00:00"/>
    <n v="1"/>
    <x v="0"/>
    <s v="Non-Profit"/>
    <s v="Direct"/>
    <x v="2"/>
    <s v="Phones"/>
    <n v="5.34"/>
    <s v="Low"/>
    <n v="12.69"/>
    <n v="0.13200000000000001"/>
    <n v="10"/>
    <n v="2603.4792000000002"/>
    <n v="53.4"/>
    <x v="493"/>
    <x v="0"/>
  </r>
  <r>
    <x v="493"/>
    <d v="2024-05-27T00:00:00"/>
    <d v="2024-06-17T00:00:00"/>
    <n v="21"/>
    <x v="7"/>
    <s v="Small Business"/>
    <s v="Online"/>
    <x v="10"/>
    <s v="Accessories"/>
    <n v="465.02"/>
    <s v="High"/>
    <n v="651.55999999999995"/>
    <n v="4.2000000000000003E-2"/>
    <n v="19"/>
    <n v="27375.07992"/>
    <n v="8835.3799999999992"/>
    <x v="494"/>
    <x v="0"/>
  </r>
  <r>
    <x v="494"/>
    <d v="2024-08-04T00:00:00"/>
    <d v="2024-08-17T00:00:00"/>
    <n v="13"/>
    <x v="21"/>
    <s v="Consumer"/>
    <s v="Retail"/>
    <x v="14"/>
    <s v="Monitors"/>
    <n v="352.79"/>
    <s v="High"/>
    <n v="754.22"/>
    <n v="0.113"/>
    <n v="7"/>
    <n v="19254.791990000002"/>
    <n v="2469.5300000000002"/>
    <x v="495"/>
    <x v="0"/>
  </r>
  <r>
    <x v="495"/>
    <d v="2023-06-20T00:00:00"/>
    <d v="2023-07-04T00:00:00"/>
    <n v="14"/>
    <x v="23"/>
    <s v="Non-Profit"/>
    <s v="Direct"/>
    <x v="0"/>
    <s v="Networking"/>
    <n v="1292.8599999999999"/>
    <s v="High"/>
    <n v="2981.01"/>
    <n v="0.14199999999999999"/>
    <n v="12"/>
    <n v="10084.108319999999"/>
    <n v="15514.32"/>
    <x v="496"/>
    <x v="0"/>
  </r>
  <r>
    <x v="496"/>
    <d v="2024-09-09T00:00:00"/>
    <d v="2024-09-13T00:00:00"/>
    <n v="4"/>
    <x v="29"/>
    <s v="Consumer"/>
    <s v="Marketplace"/>
    <x v="9"/>
    <s v="Networking"/>
    <n v="1133.08"/>
    <s v="High"/>
    <n v="976.17"/>
    <n v="4.2000000000000003E-2"/>
    <n v="27"/>
    <n v="30683.801159999999"/>
    <n v="30593.159999999996"/>
    <x v="497"/>
    <x v="0"/>
  </r>
  <r>
    <x v="497"/>
    <d v="2023-10-25T00:00:00"/>
    <d v="2023-10-28T00:00:00"/>
    <n v="3"/>
    <x v="32"/>
    <s v="Corporate"/>
    <s v="Distributor"/>
    <x v="4"/>
    <s v="Accessories"/>
    <n v="509.31"/>
    <s v="High"/>
    <n v="1145.9000000000001"/>
    <n v="5.7000000000000002E-2"/>
    <n v="8"/>
    <n v="14622.761519999998"/>
    <n v="4074.48"/>
    <x v="498"/>
    <x v="0"/>
  </r>
  <r>
    <x v="498"/>
    <d v="2025-09-08T00:00:00"/>
    <d v="2025-10-05T00:00:00"/>
    <n v="27"/>
    <x v="11"/>
    <s v="Education"/>
    <s v="Online"/>
    <x v="0"/>
    <s v="Monitors"/>
    <n v="660.78"/>
    <s v="High"/>
    <n v="1630.39"/>
    <n v="0.218"/>
    <n v="13"/>
    <n v="8401.8940200000015"/>
    <n v="8590.14"/>
    <x v="499"/>
    <x v="0"/>
  </r>
  <r>
    <x v="499"/>
    <d v="2023-05-02T00:00:00"/>
    <d v="2023-05-16T00:00:00"/>
    <n v="14"/>
    <x v="15"/>
    <s v="Non-Profit"/>
    <s v="Retail"/>
    <x v="4"/>
    <s v="Monitors"/>
    <n v="475.37"/>
    <s v="High"/>
    <n v="963.73"/>
    <n v="4.1000000000000002E-2"/>
    <n v="22"/>
    <n v="2493.1506600000002"/>
    <n v="10458.14"/>
    <x v="500"/>
    <x v="0"/>
  </r>
  <r>
    <x v="500"/>
    <d v="2024-04-26T00:00:00"/>
    <d v="2024-04-24T00:00:00"/>
    <n v="2"/>
    <x v="20"/>
    <s v="Non-Profit"/>
    <s v="Distributor"/>
    <x v="13"/>
    <s v="Phones"/>
    <n v="1232.77"/>
    <s v="High"/>
    <n v="891.73"/>
    <n v="0.16700000000000001"/>
    <n v="10"/>
    <n v="11877.497099999999"/>
    <n v="12327.7"/>
    <x v="501"/>
    <x v="0"/>
  </r>
  <r>
    <x v="501"/>
    <d v="2023-02-23T00:00:00"/>
    <d v="2023-03-18T00:00:00"/>
    <n v="23"/>
    <x v="2"/>
    <s v="Education"/>
    <s v="Distributor"/>
    <x v="11"/>
    <s v="Printers"/>
    <n v="770.11"/>
    <s v="High"/>
    <n v="1667.82"/>
    <n v="6.9000000000000006E-2"/>
    <n v="7"/>
    <n v="10393.181259999999"/>
    <n v="5390.77"/>
    <x v="502"/>
    <x v="0"/>
  </r>
  <r>
    <x v="502"/>
    <d v="2025-03-24T00:00:00"/>
    <d v="2025-03-25T00:00:00"/>
    <n v="1"/>
    <x v="3"/>
    <s v="Non-Profit"/>
    <s v="Online"/>
    <x v="3"/>
    <s v="Networking"/>
    <n v="1133.03"/>
    <s v="High"/>
    <n v="1921.51"/>
    <n v="0.10100000000000001"/>
    <n v="5"/>
    <n v="15022.784449999999"/>
    <n v="5665.15"/>
    <x v="503"/>
    <x v="0"/>
  </r>
  <r>
    <x v="503"/>
    <d v="2025-03-10T00:00:00"/>
    <d v="2025-03-27T00:00:00"/>
    <n v="17"/>
    <x v="3"/>
    <s v="Enterprise"/>
    <s v="Direct"/>
    <x v="9"/>
    <s v="Networking"/>
    <n v="996.73"/>
    <s v="High"/>
    <n v="1217.43"/>
    <n v="7.0000000000000007E-2"/>
    <n v="9"/>
    <n v="8953.9748999999993"/>
    <n v="8970.57"/>
    <x v="504"/>
    <x v="0"/>
  </r>
  <r>
    <x v="504"/>
    <d v="2024-04-05T00:00:00"/>
    <d v="2024-04-09T00:00:00"/>
    <n v="4"/>
    <x v="20"/>
    <s v="Non-Profit"/>
    <s v="Direct"/>
    <x v="11"/>
    <s v="Components"/>
    <n v="395.07"/>
    <s v="High"/>
    <n v="970.27"/>
    <n v="0.123"/>
    <n v="38"/>
    <n v="4692.9673199999997"/>
    <n v="15012.66"/>
    <x v="505"/>
    <x v="0"/>
  </r>
  <r>
    <x v="505"/>
    <d v="2025-04-27T00:00:00"/>
    <d v="2025-05-17T00:00:00"/>
    <n v="20"/>
    <x v="19"/>
    <s v="Corporate"/>
    <s v="Direct"/>
    <x v="13"/>
    <s v="Phones"/>
    <n v="932.26"/>
    <s v="High"/>
    <n v="1624.67"/>
    <n v="0.23499999999999999"/>
    <n v="28"/>
    <n v="1435.9968000000001"/>
    <n v="26103.279999999999"/>
    <x v="506"/>
    <x v="0"/>
  </r>
  <r>
    <x v="506"/>
    <d v="2024-10-24T00:00:00"/>
    <d v="2024-10-28T00:00:00"/>
    <n v="4"/>
    <x v="1"/>
    <s v="Small Business"/>
    <s v="Distributor"/>
    <x v="2"/>
    <s v="Networking"/>
    <n v="1331.77"/>
    <s v="High"/>
    <n v="2606.11"/>
    <n v="0.02"/>
    <n v="6"/>
    <n v="7506.8196000000007"/>
    <n v="7990.62"/>
    <x v="507"/>
    <x v="0"/>
  </r>
  <r>
    <x v="507"/>
    <d v="2023-04-13T00:00:00"/>
    <d v="2023-04-20T00:00:00"/>
    <n v="7"/>
    <x v="12"/>
    <s v="Small Business"/>
    <s v="Online"/>
    <x v="8"/>
    <s v="Laptops"/>
    <n v="227.02"/>
    <s v="High"/>
    <n v="434.72"/>
    <n v="9.8000000000000004E-2"/>
    <n v="10"/>
    <n v="25448.667200000004"/>
    <n v="2270.2000000000003"/>
    <x v="508"/>
    <x v="0"/>
  </r>
  <r>
    <x v="508"/>
    <d v="2024-11-12T00:00:00"/>
    <d v="2024-11-21T00:00:00"/>
    <n v="9"/>
    <x v="18"/>
    <s v="Corporate"/>
    <s v="Direct"/>
    <x v="10"/>
    <s v="Laptops"/>
    <n v="903.41"/>
    <s v="High"/>
    <n v="1860.41"/>
    <n v="0.108"/>
    <n v="5"/>
    <n v="6953.9874000000009"/>
    <n v="4517.05"/>
    <x v="509"/>
    <x v="0"/>
  </r>
  <r>
    <x v="509"/>
    <d v="2023-05-10T00:00:00"/>
    <d v="2023-05-14T00:00:00"/>
    <n v="4"/>
    <x v="15"/>
    <s v="Non-Profit"/>
    <s v="Distributor"/>
    <x v="0"/>
    <s v="Monitors"/>
    <n v="622.6"/>
    <s v="High"/>
    <n v="833.69"/>
    <n v="0.20899999999999999"/>
    <n v="14"/>
    <n v="7271.8528400000005"/>
    <n v="8716.4"/>
    <x v="510"/>
    <x v="0"/>
  </r>
  <r>
    <x v="510"/>
    <d v="2024-03-02T00:00:00"/>
    <d v="2024-03-23T00:00:00"/>
    <n v="21"/>
    <x v="0"/>
    <s v="Small Business"/>
    <s v="Online"/>
    <x v="9"/>
    <s v="Components"/>
    <n v="225.01"/>
    <s v="High"/>
    <n v="333.48"/>
    <n v="0.11899999999999999"/>
    <n v="12"/>
    <n v="28098.68448"/>
    <n v="2700.12"/>
    <x v="511"/>
    <x v="0"/>
  </r>
  <r>
    <x v="511"/>
    <d v="2024-10-10T00:00:00"/>
    <d v="2024-10-11T00:00:00"/>
    <n v="1"/>
    <x v="1"/>
    <s v="Non-Profit"/>
    <s v="Distributor"/>
    <x v="4"/>
    <s v="Components"/>
    <n v="1389.46"/>
    <s v="High"/>
    <n v="1784.7"/>
    <n v="0.14599999999999999"/>
    <n v="33"/>
    <n v="40152.022679999995"/>
    <n v="45852.18"/>
    <x v="512"/>
    <x v="0"/>
  </r>
  <r>
    <x v="512"/>
    <d v="2023-06-01T00:00:00"/>
    <d v="2023-06-08T00:00:00"/>
    <n v="7"/>
    <x v="23"/>
    <s v="Consumer"/>
    <s v="Online"/>
    <x v="8"/>
    <s v="Phones"/>
    <n v="804.17"/>
    <s v="High"/>
    <n v="1072.29"/>
    <n v="3.2000000000000001E-2"/>
    <n v="5"/>
    <n v="11222.701599999999"/>
    <n v="4020.85"/>
    <x v="513"/>
    <x v="0"/>
  </r>
  <r>
    <x v="513"/>
    <d v="2025-01-04T00:00:00"/>
    <d v="2025-01-05T00:00:00"/>
    <n v="1"/>
    <x v="10"/>
    <s v="Education"/>
    <s v="Retail"/>
    <x v="2"/>
    <s v="Components"/>
    <n v="1428.33"/>
    <s v="High"/>
    <n v="3028.05"/>
    <n v="0"/>
    <n v="11"/>
    <n v="4033.7"/>
    <n v="15711.63"/>
    <x v="514"/>
    <x v="0"/>
  </r>
  <r>
    <x v="514"/>
    <d v="2025-08-05T00:00:00"/>
    <d v="2025-08-28T00:00:00"/>
    <n v="23"/>
    <x v="28"/>
    <s v="Non-Profit"/>
    <s v="Distributor"/>
    <x v="13"/>
    <s v="Laptops"/>
    <n v="638.54"/>
    <s v="High"/>
    <n v="987.24"/>
    <n v="0"/>
    <n v="11"/>
    <n v="30771.51"/>
    <n v="7023.94"/>
    <x v="515"/>
    <x v="0"/>
  </r>
  <r>
    <x v="515"/>
    <d v="2023-09-30T00:00:00"/>
    <d v="2023-10-30T00:00:00"/>
    <n v="0"/>
    <x v="27"/>
    <s v="Enterprise"/>
    <s v="Online"/>
    <x v="14"/>
    <s v="Printers"/>
    <n v="649.13"/>
    <s v="High"/>
    <n v="975.43"/>
    <n v="0.157"/>
    <n v="27"/>
    <n v="50294.07125999999"/>
    <n v="17526.509999999998"/>
    <x v="516"/>
    <x v="0"/>
  </r>
  <r>
    <x v="516"/>
    <d v="2025-05-17T00:00:00"/>
    <d v="2025-05-30T00:00:00"/>
    <n v="13"/>
    <x v="8"/>
    <s v="Consumer"/>
    <s v="Distributor"/>
    <x v="9"/>
    <s v="Accessories"/>
    <n v="66.400000000000006"/>
    <s v="Medium"/>
    <n v="141.43"/>
    <n v="0.107"/>
    <n v="8"/>
    <n v="5994.1017599999996"/>
    <n v="531.20000000000005"/>
    <x v="517"/>
    <x v="0"/>
  </r>
  <r>
    <x v="517"/>
    <d v="2024-05-01T00:00:00"/>
    <d v="2024-05-26T00:00:00"/>
    <n v="25"/>
    <x v="7"/>
    <s v="Non-Profit"/>
    <s v="Retail"/>
    <x v="5"/>
    <s v="Networking"/>
    <n v="930.71"/>
    <s v="High"/>
    <n v="1625.42"/>
    <n v="0.13800000000000001"/>
    <n v="7"/>
    <n v="6873.6311000000005"/>
    <n v="6514.97"/>
    <x v="518"/>
    <x v="0"/>
  </r>
  <r>
    <x v="518"/>
    <d v="2023-05-01T00:00:00"/>
    <d v="2023-05-18T00:00:00"/>
    <n v="17"/>
    <x v="15"/>
    <s v="Corporate"/>
    <s v="Direct"/>
    <x v="9"/>
    <s v="Components"/>
    <n v="327.97"/>
    <s v="High"/>
    <n v="299.94"/>
    <n v="4.9000000000000002E-2"/>
    <n v="3"/>
    <n v="4884.4215899999999"/>
    <n v="983.91000000000008"/>
    <x v="519"/>
    <x v="0"/>
  </r>
  <r>
    <x v="519"/>
    <d v="2024-07-09T00:00:00"/>
    <d v="2024-08-08T00:00:00"/>
    <n v="30"/>
    <x v="14"/>
    <s v="Corporate"/>
    <s v="Direct"/>
    <x v="1"/>
    <s v="Components"/>
    <n v="1062.3800000000001"/>
    <s v="High"/>
    <n v="1503.96"/>
    <n v="0.18"/>
    <n v="6"/>
    <n v="5187.1068000000005"/>
    <n v="6374.2800000000007"/>
    <x v="520"/>
    <x v="0"/>
  </r>
  <r>
    <x v="520"/>
    <d v="2023-05-10T00:00:00"/>
    <d v="2023-05-27T00:00:00"/>
    <n v="17"/>
    <x v="15"/>
    <s v="Consumer"/>
    <s v="Retail"/>
    <x v="12"/>
    <s v="Laptops"/>
    <n v="1286.1600000000001"/>
    <s v="High"/>
    <n v="3101.11"/>
    <n v="0.1"/>
    <n v="23"/>
    <n v="50740.254000000001"/>
    <n v="29581.68"/>
    <x v="521"/>
    <x v="0"/>
  </r>
  <r>
    <x v="521"/>
    <d v="2024-07-09T00:00:00"/>
    <d v="2024-07-12T00:00:00"/>
    <n v="3"/>
    <x v="14"/>
    <s v="Small Business"/>
    <s v="Retail"/>
    <x v="14"/>
    <s v="Accessories"/>
    <n v="748.39"/>
    <s v="High"/>
    <n v="979.42"/>
    <n v="0"/>
    <n v="23"/>
    <n v="28777.83"/>
    <n v="17212.97"/>
    <x v="522"/>
    <x v="0"/>
  </r>
  <r>
    <x v="522"/>
    <d v="2024-04-24T00:00:00"/>
    <d v="2024-05-10T00:00:00"/>
    <n v="16"/>
    <x v="20"/>
    <s v="Non-Profit"/>
    <s v="Online"/>
    <x v="13"/>
    <s v="Monitors"/>
    <n v="513.30999999999995"/>
    <s v="High"/>
    <n v="1186.26"/>
    <n v="9.4E-2"/>
    <n v="15"/>
    <n v="15014.232"/>
    <n v="7699.65"/>
    <x v="523"/>
    <x v="0"/>
  </r>
  <r>
    <x v="523"/>
    <d v="2024-01-13T00:00:00"/>
    <d v="2024-01-15T00:00:00"/>
    <n v="2"/>
    <x v="9"/>
    <s v="Non-Profit"/>
    <s v="Direct"/>
    <x v="6"/>
    <s v="Components"/>
    <n v="1061.3699999999999"/>
    <s v="High"/>
    <n v="1938.33"/>
    <n v="0.17"/>
    <n v="4"/>
    <n v="7912.9211999999989"/>
    <n v="4245.4799999999996"/>
    <x v="524"/>
    <x v="0"/>
  </r>
  <r>
    <x v="524"/>
    <d v="2024-04-16T00:00:00"/>
    <d v="2024-04-27T00:00:00"/>
    <n v="11"/>
    <x v="20"/>
    <s v="Enterprise"/>
    <s v="Online"/>
    <x v="14"/>
    <s v="Printers"/>
    <n v="401.3"/>
    <s v="High"/>
    <n v="826.47"/>
    <n v="0.22500000000000001"/>
    <n v="13"/>
    <n v="2146.5795000000003"/>
    <n v="5216.9000000000005"/>
    <x v="525"/>
    <x v="0"/>
  </r>
  <r>
    <x v="525"/>
    <d v="2025-02-07T00:00:00"/>
    <d v="2025-02-16T00:00:00"/>
    <n v="9"/>
    <x v="26"/>
    <s v="Small Business"/>
    <s v="Distributor"/>
    <x v="0"/>
    <s v="Printers"/>
    <n v="90.68"/>
    <s v="Medium"/>
    <n v="118.17"/>
    <n v="0.13500000000000001"/>
    <n v="21"/>
    <n v="36886.575600000004"/>
    <n v="1904.2800000000002"/>
    <x v="526"/>
    <x v="0"/>
  </r>
  <r>
    <x v="526"/>
    <d v="2023-01-12T00:00:00"/>
    <d v="2023-01-26T00:00:00"/>
    <n v="14"/>
    <x v="5"/>
    <s v="Non-Profit"/>
    <s v="Retail"/>
    <x v="12"/>
    <s v="Printers"/>
    <n v="1083.0899999999999"/>
    <s v="High"/>
    <n v="1425.87"/>
    <n v="0"/>
    <n v="8"/>
    <n v="7653.6"/>
    <n v="8664.7199999999993"/>
    <x v="527"/>
    <x v="0"/>
  </r>
  <r>
    <x v="527"/>
    <d v="2024-06-05T00:00:00"/>
    <d v="2024-06-23T00:00:00"/>
    <n v="18"/>
    <x v="17"/>
    <s v="Consumer"/>
    <s v="Distributor"/>
    <x v="14"/>
    <s v="Laptops"/>
    <n v="1208.74"/>
    <s v="High"/>
    <n v="1594.78"/>
    <n v="5.8999999999999997E-2"/>
    <n v="39"/>
    <n v="53128.40832000001"/>
    <n v="47140.86"/>
    <x v="528"/>
    <x v="0"/>
  </r>
  <r>
    <x v="528"/>
    <d v="2023-08-24T00:00:00"/>
    <d v="2023-09-20T00:00:00"/>
    <n v="27"/>
    <x v="25"/>
    <s v="Small Business"/>
    <s v="Marketplace"/>
    <x v="12"/>
    <s v="Printers"/>
    <n v="1399.64"/>
    <s v="High"/>
    <n v="3342.11"/>
    <n v="0"/>
    <n v="10"/>
    <n v="29496.199999999997"/>
    <n v="13996.400000000001"/>
    <x v="529"/>
    <x v="0"/>
  </r>
  <r>
    <x v="529"/>
    <d v="2024-01-25T00:00:00"/>
    <d v="2024-02-08T00:00:00"/>
    <n v="14"/>
    <x v="9"/>
    <s v="Consumer"/>
    <s v="Marketplace"/>
    <x v="2"/>
    <s v="Networking"/>
    <n v="937.16"/>
    <s v="High"/>
    <n v="1069.77"/>
    <n v="3.7999999999999999E-2"/>
    <n v="9"/>
    <n v="22342.575059999999"/>
    <n v="8434.44"/>
    <x v="530"/>
    <x v="0"/>
  </r>
  <r>
    <x v="530"/>
    <d v="2025-03-11T00:00:00"/>
    <d v="2025-03-26T00:00:00"/>
    <n v="15"/>
    <x v="3"/>
    <s v="Small Business"/>
    <s v="Online"/>
    <x v="2"/>
    <s v="Phones"/>
    <n v="116.97"/>
    <s v="Medium"/>
    <n v="140.82"/>
    <n v="0.122"/>
    <n v="5"/>
    <n v="8687.4149000000016"/>
    <n v="584.85"/>
    <x v="531"/>
    <x v="0"/>
  </r>
  <r>
    <x v="531"/>
    <d v="2025-04-22T00:00:00"/>
    <d v="2025-05-12T00:00:00"/>
    <n v="20"/>
    <x v="19"/>
    <s v="Enterprise"/>
    <s v="Marketplace"/>
    <x v="11"/>
    <s v="Monitors"/>
    <n v="59.51"/>
    <s v="Medium"/>
    <n v="67.040000000000006"/>
    <n v="0.114"/>
    <n v="9"/>
    <n v="11813.082300000002"/>
    <n v="535.59"/>
    <x v="532"/>
    <x v="0"/>
  </r>
  <r>
    <x v="532"/>
    <d v="2023-08-17T00:00:00"/>
    <d v="2023-09-03T00:00:00"/>
    <n v="17"/>
    <x v="25"/>
    <s v="Enterprise"/>
    <s v="Retail"/>
    <x v="8"/>
    <s v="Phones"/>
    <n v="676.37"/>
    <s v="High"/>
    <n v="1276.67"/>
    <n v="6.6000000000000003E-2"/>
    <n v="10"/>
    <n v="15494.3128"/>
    <n v="6763.7"/>
    <x v="533"/>
    <x v="0"/>
  </r>
  <r>
    <x v="533"/>
    <d v="2025-06-24T00:00:00"/>
    <d v="2025-07-14T00:00:00"/>
    <n v="20"/>
    <x v="16"/>
    <s v="Enterprise"/>
    <s v="Marketplace"/>
    <x v="1"/>
    <s v="Laptops"/>
    <n v="1151.06"/>
    <s v="High"/>
    <n v="2821.36"/>
    <n v="0.248"/>
    <n v="20"/>
    <n v="9059.1936000000005"/>
    <n v="23021.199999999997"/>
    <x v="534"/>
    <x v="0"/>
  </r>
  <r>
    <x v="534"/>
    <d v="2025-01-10T00:00:00"/>
    <d v="2025-02-06T00:00:00"/>
    <n v="27"/>
    <x v="10"/>
    <s v="Non-Profit"/>
    <s v="Retail"/>
    <x v="5"/>
    <s v="Laptops"/>
    <n v="725.62"/>
    <s v="High"/>
    <n v="1559.19"/>
    <n v="0.19"/>
    <n v="12"/>
    <n v="5128.6608000000006"/>
    <n v="8707.44"/>
    <x v="535"/>
    <x v="0"/>
  </r>
  <r>
    <x v="535"/>
    <d v="2023-07-01T00:00:00"/>
    <d v="2023-07-11T00:00:00"/>
    <n v="10"/>
    <x v="24"/>
    <s v="Corporate"/>
    <s v="Direct"/>
    <x v="9"/>
    <s v="Networking"/>
    <n v="479.5"/>
    <s v="High"/>
    <n v="656.66"/>
    <n v="0.14899999999999999"/>
    <n v="14"/>
    <n v="21944.3966"/>
    <n v="6713"/>
    <x v="536"/>
    <x v="0"/>
  </r>
  <r>
    <x v="536"/>
    <d v="2024-08-16T00:00:00"/>
    <d v="2024-08-26T00:00:00"/>
    <n v="10"/>
    <x v="21"/>
    <s v="Corporate"/>
    <s v="Distributor"/>
    <x v="4"/>
    <s v="Laptops"/>
    <n v="1291.7"/>
    <s v="High"/>
    <n v="2657.84"/>
    <n v="8.6999999999999994E-2"/>
    <n v="21"/>
    <n v="31548.788040000003"/>
    <n v="27125.7"/>
    <x v="537"/>
    <x v="0"/>
  </r>
  <r>
    <x v="537"/>
    <d v="2023-07-07T00:00:00"/>
    <d v="2023-07-13T00:00:00"/>
    <n v="6"/>
    <x v="24"/>
    <s v="Small Business"/>
    <s v="Marketplace"/>
    <x v="5"/>
    <s v="Accessories"/>
    <n v="612.59"/>
    <s v="High"/>
    <n v="1424.74"/>
    <n v="4.3999999999999997E-2"/>
    <n v="15"/>
    <n v="10428.334800000001"/>
    <n v="9188.85"/>
    <x v="538"/>
    <x v="0"/>
  </r>
  <r>
    <x v="538"/>
    <d v="2023-12-28T00:00:00"/>
    <d v="2024-01-01T00:00:00"/>
    <n v="4"/>
    <x v="4"/>
    <s v="Education"/>
    <s v="Distributor"/>
    <x v="8"/>
    <s v="Printers"/>
    <n v="1141.8"/>
    <s v="High"/>
    <n v="2318.7399999999998"/>
    <n v="0.107"/>
    <n v="32"/>
    <n v="35256.783040000002"/>
    <n v="36537.599999999999"/>
    <x v="539"/>
    <x v="0"/>
  </r>
  <r>
    <x v="539"/>
    <d v="2023-01-26T00:00:00"/>
    <d v="2023-02-15T00:00:00"/>
    <n v="20"/>
    <x v="5"/>
    <s v="Small Business"/>
    <s v="Online"/>
    <x v="7"/>
    <s v="Networking"/>
    <n v="492.62"/>
    <s v="High"/>
    <n v="366.7"/>
    <n v="8.8999999999999996E-2"/>
    <n v="10"/>
    <n v="14063.653600000001"/>
    <n v="4926.2"/>
    <x v="540"/>
    <x v="0"/>
  </r>
  <r>
    <x v="540"/>
    <d v="2023-07-08T00:00:00"/>
    <d v="2023-07-09T00:00:00"/>
    <n v="1"/>
    <x v="24"/>
    <s v="Consumer"/>
    <s v="Online"/>
    <x v="14"/>
    <s v="Laptops"/>
    <n v="1258.72"/>
    <s v="High"/>
    <n v="2797.41"/>
    <n v="0"/>
    <n v="7"/>
    <n v="14806.33"/>
    <n v="8811.0400000000009"/>
    <x v="541"/>
    <x v="0"/>
  </r>
  <r>
    <x v="541"/>
    <d v="2024-06-07T00:00:00"/>
    <d v="2024-06-09T00:00:00"/>
    <n v="2"/>
    <x v="17"/>
    <s v="Corporate"/>
    <s v="Retail"/>
    <x v="7"/>
    <s v="Monitors"/>
    <n v="1370.28"/>
    <s v="High"/>
    <n v="2209.66"/>
    <n v="0.13300000000000001"/>
    <n v="16"/>
    <n v="25485.499680000001"/>
    <n v="21924.48"/>
    <x v="542"/>
    <x v="0"/>
  </r>
  <r>
    <x v="542"/>
    <d v="2023-02-11T00:00:00"/>
    <d v="2023-02-12T00:00:00"/>
    <n v="1"/>
    <x v="2"/>
    <s v="Non-Profit"/>
    <s v="Direct"/>
    <x v="14"/>
    <s v="Accessories"/>
    <n v="944.61"/>
    <s v="High"/>
    <n v="839.04"/>
    <n v="5.8999999999999997E-2"/>
    <n v="6"/>
    <n v="16141.518779999999"/>
    <n v="5667.66"/>
    <x v="543"/>
    <x v="0"/>
  </r>
  <r>
    <x v="543"/>
    <d v="2023-07-01T00:00:00"/>
    <d v="2023-07-08T00:00:00"/>
    <n v="7"/>
    <x v="24"/>
    <s v="Small Business"/>
    <s v="Distributor"/>
    <x v="13"/>
    <s v="Laptops"/>
    <n v="460.21"/>
    <s v="High"/>
    <n v="1139.1500000000001"/>
    <n v="0.115"/>
    <n v="14"/>
    <n v="3592.1088"/>
    <n v="6442.94"/>
    <x v="544"/>
    <x v="0"/>
  </r>
  <r>
    <x v="544"/>
    <d v="2025-08-20T00:00:00"/>
    <d v="2025-08-26T00:00:00"/>
    <n v="6"/>
    <x v="28"/>
    <s v="Corporate"/>
    <s v="Retail"/>
    <x v="12"/>
    <s v="Networking"/>
    <n v="1304.95"/>
    <s v="High"/>
    <n v="1712.03"/>
    <n v="0.21199999999999999"/>
    <n v="8"/>
    <n v="6286.3488000000007"/>
    <n v="10439.6"/>
    <x v="545"/>
    <x v="0"/>
  </r>
  <r>
    <x v="545"/>
    <d v="2024-03-04T00:00:00"/>
    <d v="2024-03-16T00:00:00"/>
    <n v="12"/>
    <x v="0"/>
    <s v="Enterprise"/>
    <s v="Distributor"/>
    <x v="12"/>
    <s v="Monitors"/>
    <n v="441.08"/>
    <s v="High"/>
    <n v="1054.29"/>
    <n v="0.23699999999999999"/>
    <n v="6"/>
    <n v="216.49362000000002"/>
    <n v="2646.48"/>
    <x v="546"/>
    <x v="0"/>
  </r>
  <r>
    <x v="546"/>
    <d v="2023-09-08T00:00:00"/>
    <d v="2023-10-02T00:00:00"/>
    <n v="24"/>
    <x v="27"/>
    <s v="Education"/>
    <s v="Direct"/>
    <x v="8"/>
    <s v="Accessories"/>
    <n v="1299.03"/>
    <s v="High"/>
    <n v="2451.2199999999998"/>
    <n v="0.20799999999999999"/>
    <n v="8"/>
    <n v="4778.8646400000007"/>
    <n v="10392.24"/>
    <x v="547"/>
    <x v="0"/>
  </r>
  <r>
    <x v="547"/>
    <d v="2023-02-28T00:00:00"/>
    <d v="2023-03-06T00:00:00"/>
    <n v="6"/>
    <x v="2"/>
    <s v="Small Business"/>
    <s v="Marketplace"/>
    <x v="14"/>
    <s v="Printers"/>
    <n v="880.02"/>
    <s v="High"/>
    <n v="1251.21"/>
    <n v="0.123"/>
    <n v="29"/>
    <n v="22927.340840000001"/>
    <n v="25520.579999999998"/>
    <x v="548"/>
    <x v="0"/>
  </r>
  <r>
    <x v="548"/>
    <d v="2024-07-13T00:00:00"/>
    <d v="2024-08-03T00:00:00"/>
    <n v="21"/>
    <x v="14"/>
    <s v="Corporate"/>
    <s v="Marketplace"/>
    <x v="12"/>
    <s v="Monitors"/>
    <n v="702.98"/>
    <s v="High"/>
    <n v="1104.8"/>
    <n v="0.17499999999999999"/>
    <n v="12"/>
    <n v="1119.492"/>
    <n v="8435.76"/>
    <x v="549"/>
    <x v="0"/>
  </r>
  <r>
    <x v="549"/>
    <d v="2024-12-07T00:00:00"/>
    <d v="2024-12-26T00:00:00"/>
    <n v="19"/>
    <x v="6"/>
    <s v="Enterprise"/>
    <s v="Online"/>
    <x v="14"/>
    <s v="Networking"/>
    <n v="1035.24"/>
    <s v="High"/>
    <n v="2383.41"/>
    <n v="0.17"/>
    <n v="15"/>
    <n v="10814.319"/>
    <n v="15528.6"/>
    <x v="550"/>
    <x v="0"/>
  </r>
  <r>
    <x v="550"/>
    <d v="2025-08-06T00:00:00"/>
    <d v="2025-08-23T00:00:00"/>
    <n v="17"/>
    <x v="28"/>
    <s v="Consumer"/>
    <s v="Distributor"/>
    <x v="8"/>
    <s v="Monitors"/>
    <n v="86.64"/>
    <s v="High"/>
    <n v="213.06"/>
    <n v="0.21199999999999999"/>
    <n v="11"/>
    <n v="3015.5971999999997"/>
    <n v="953.04"/>
    <x v="551"/>
    <x v="0"/>
  </r>
  <r>
    <x v="551"/>
    <d v="2023-03-03T00:00:00"/>
    <d v="2023-03-20T00:00:00"/>
    <n v="17"/>
    <x v="22"/>
    <s v="Small Business"/>
    <s v="Online"/>
    <x v="14"/>
    <s v="Networking"/>
    <n v="1171.17"/>
    <s v="High"/>
    <n v="2030.64"/>
    <n v="0.157"/>
    <n v="11"/>
    <n v="10310.463239999999"/>
    <n v="12882.87"/>
    <x v="552"/>
    <x v="0"/>
  </r>
  <r>
    <x v="552"/>
    <d v="2025-02-16T00:00:00"/>
    <d v="2025-03-17T00:00:00"/>
    <n v="1"/>
    <x v="26"/>
    <s v="Consumer"/>
    <s v="Retail"/>
    <x v="4"/>
    <s v="Accessories"/>
    <n v="730.42"/>
    <s v="High"/>
    <n v="956.7"/>
    <n v="4.2000000000000003E-2"/>
    <n v="22"/>
    <n v="6907.0267199999998"/>
    <n v="16069.24"/>
    <x v="553"/>
    <x v="0"/>
  </r>
  <r>
    <x v="553"/>
    <d v="2025-02-15T00:00:00"/>
    <d v="2025-03-01T00:00:00"/>
    <n v="14"/>
    <x v="26"/>
    <s v="Education"/>
    <s v="Direct"/>
    <x v="4"/>
    <s v="Accessories"/>
    <n v="1162.8599999999999"/>
    <s v="High"/>
    <n v="1447.68"/>
    <n v="8.6999999999999994E-2"/>
    <n v="12"/>
    <n v="5326.0402800000002"/>
    <n v="13954.32"/>
    <x v="554"/>
    <x v="0"/>
  </r>
  <r>
    <x v="554"/>
    <d v="2024-08-31T00:00:00"/>
    <d v="2024-09-26T00:00:00"/>
    <n v="26"/>
    <x v="21"/>
    <s v="Education"/>
    <s v="Online"/>
    <x v="2"/>
    <s v="Phones"/>
    <n v="1189.03"/>
    <s v="High"/>
    <n v="2949.62"/>
    <n v="0.125"/>
    <n v="13"/>
    <n v="23507.575000000001"/>
    <n v="15457.39"/>
    <x v="555"/>
    <x v="0"/>
  </r>
  <r>
    <x v="555"/>
    <d v="2023-05-07T00:00:00"/>
    <d v="2023-05-20T00:00:00"/>
    <n v="13"/>
    <x v="15"/>
    <s v="Enterprise"/>
    <s v="Retail"/>
    <x v="14"/>
    <s v="Accessories"/>
    <n v="1443.28"/>
    <s v="High"/>
    <n v="2580.5700000000002"/>
    <n v="0"/>
    <n v="18"/>
    <n v="1551.6000000000001"/>
    <n v="25979.040000000001"/>
    <x v="556"/>
    <x v="0"/>
  </r>
  <r>
    <x v="556"/>
    <d v="2025-05-14T00:00:00"/>
    <d v="2025-05-12T00:00:00"/>
    <n v="2"/>
    <x v="8"/>
    <s v="Non-Profit"/>
    <s v="Distributor"/>
    <x v="9"/>
    <s v="Printers"/>
    <n v="883.5"/>
    <s v="High"/>
    <n v="1978.91"/>
    <n v="5.3999999999999999E-2"/>
    <n v="27"/>
    <n v="58944.550499999998"/>
    <n v="23854.5"/>
    <x v="557"/>
    <x v="0"/>
  </r>
  <r>
    <x v="557"/>
    <d v="2024-03-11T00:00:00"/>
    <d v="2024-03-29T00:00:00"/>
    <n v="18"/>
    <x v="0"/>
    <s v="Corporate"/>
    <s v="Retail"/>
    <x v="12"/>
    <s v="Monitors"/>
    <n v="710.98"/>
    <s v="High"/>
    <n v="1481.45"/>
    <n v="0.21099999999999999"/>
    <n v="9"/>
    <n v="7902.0638099999996"/>
    <n v="6398.82"/>
    <x v="558"/>
    <x v="0"/>
  </r>
  <r>
    <x v="558"/>
    <d v="2024-05-18T00:00:00"/>
    <d v="2024-05-22T00:00:00"/>
    <n v="4"/>
    <x v="7"/>
    <s v="Corporate"/>
    <s v="Direct"/>
    <x v="10"/>
    <s v="Accessories"/>
    <n v="857.42"/>
    <s v="High"/>
    <n v="1658.92"/>
    <n v="0.122"/>
    <n v="9"/>
    <n v="8897.572979999999"/>
    <n v="7716.78"/>
    <x v="559"/>
    <x v="0"/>
  </r>
  <r>
    <x v="559"/>
    <d v="2024-01-08T00:00:00"/>
    <d v="2024-01-12T00:00:00"/>
    <n v="4"/>
    <x v="9"/>
    <s v="Corporate"/>
    <s v="Direct"/>
    <x v="6"/>
    <s v="Printers"/>
    <n v="802.32"/>
    <s v="High"/>
    <n v="602.34"/>
    <n v="0.12"/>
    <n v="25"/>
    <n v="2719.64"/>
    <n v="20058"/>
    <x v="560"/>
    <x v="0"/>
  </r>
  <r>
    <x v="560"/>
    <d v="2024-10-25T00:00:00"/>
    <d v="2024-11-05T00:00:00"/>
    <n v="11"/>
    <x v="1"/>
    <s v="Corporate"/>
    <s v="Distributor"/>
    <x v="13"/>
    <s v="Components"/>
    <n v="446.66"/>
    <s v="High"/>
    <n v="527.64"/>
    <n v="0.14499999999999999"/>
    <n v="15"/>
    <n v="22209.693749999999"/>
    <n v="6699.9000000000005"/>
    <x v="561"/>
    <x v="0"/>
  </r>
  <r>
    <x v="561"/>
    <d v="2024-11-30T00:00:00"/>
    <d v="2024-12-19T00:00:00"/>
    <n v="19"/>
    <x v="18"/>
    <s v="Corporate"/>
    <s v="Online"/>
    <x v="4"/>
    <s v="Phones"/>
    <n v="1195.98"/>
    <s v="High"/>
    <n v="1841.9"/>
    <n v="5.5E-2"/>
    <n v="19"/>
    <n v="54978.38955"/>
    <n v="22723.62"/>
    <x v="562"/>
    <x v="0"/>
  </r>
  <r>
    <x v="562"/>
    <d v="2023-04-13T00:00:00"/>
    <d v="2023-05-02T00:00:00"/>
    <n v="19"/>
    <x v="12"/>
    <s v="Consumer"/>
    <s v="Distributor"/>
    <x v="6"/>
    <s v="Monitors"/>
    <n v="671.05"/>
    <s v="High"/>
    <n v="1645.48"/>
    <n v="0.13700000000000001"/>
    <n v="6"/>
    <n v="11393.722979999999"/>
    <n v="4026.2999999999997"/>
    <x v="563"/>
    <x v="0"/>
  </r>
  <r>
    <x v="563"/>
    <d v="2025-02-04T00:00:00"/>
    <d v="2025-02-08T00:00:00"/>
    <n v="4"/>
    <x v="26"/>
    <s v="Enterprise"/>
    <s v="Marketplace"/>
    <x v="4"/>
    <s v="Networking"/>
    <n v="586.21"/>
    <s v="High"/>
    <n v="727.22"/>
    <n v="6.8000000000000005E-2"/>
    <n v="15"/>
    <n v="8408.8302000000003"/>
    <n v="8793.1500000000015"/>
    <x v="564"/>
    <x v="0"/>
  </r>
  <r>
    <x v="564"/>
    <d v="2024-01-24T00:00:00"/>
    <d v="2024-02-04T00:00:00"/>
    <n v="11"/>
    <x v="9"/>
    <s v="Consumer"/>
    <s v="Retail"/>
    <x v="5"/>
    <s v="Laptops"/>
    <n v="525.34"/>
    <s v="High"/>
    <n v="1233.79"/>
    <n v="0.14299999999999999"/>
    <n v="4"/>
    <n v="3248.9555599999999"/>
    <n v="2101.36"/>
    <x v="565"/>
    <x v="0"/>
  </r>
  <r>
    <x v="565"/>
    <d v="2024-02-08T00:00:00"/>
    <d v="2024-02-09T00:00:00"/>
    <n v="1"/>
    <x v="31"/>
    <s v="Corporate"/>
    <s v="Direct"/>
    <x v="9"/>
    <s v="Components"/>
    <n v="1233.52"/>
    <s v="High"/>
    <n v="1543.76"/>
    <n v="0.126"/>
    <n v="13"/>
    <n v="26490.27576"/>
    <n v="16035.76"/>
    <x v="566"/>
    <x v="0"/>
  </r>
  <r>
    <x v="566"/>
    <d v="2025-06-26T00:00:00"/>
    <d v="2025-07-11T00:00:00"/>
    <n v="15"/>
    <x v="16"/>
    <s v="Small Business"/>
    <s v="Online"/>
    <x v="8"/>
    <s v="Laptops"/>
    <n v="1170.1500000000001"/>
    <s v="High"/>
    <n v="2115.19"/>
    <n v="9.1999999999999998E-2"/>
    <n v="23"/>
    <n v="29597.640160000003"/>
    <n v="26913.45"/>
    <x v="567"/>
    <x v="0"/>
  </r>
  <r>
    <x v="567"/>
    <d v="2024-11-04T00:00:00"/>
    <d v="2024-11-07T00:00:00"/>
    <n v="3"/>
    <x v="18"/>
    <s v="Corporate"/>
    <s v="Online"/>
    <x v="7"/>
    <s v="Monitors"/>
    <n v="740.68"/>
    <s v="High"/>
    <n v="1837.19"/>
    <n v="0.19700000000000001"/>
    <n v="17"/>
    <n v="9548.8744999999999"/>
    <n v="12591.56"/>
    <x v="568"/>
    <x v="0"/>
  </r>
  <r>
    <x v="568"/>
    <d v="2024-02-20T00:00:00"/>
    <d v="2024-02-20T00:00:00"/>
    <n v="0"/>
    <x v="31"/>
    <s v="Enterprise"/>
    <s v="Online"/>
    <x v="0"/>
    <s v="Networking"/>
    <n v="1407.05"/>
    <s v="High"/>
    <n v="2858.93"/>
    <n v="0"/>
    <n v="12"/>
    <n v="21446.400000000001"/>
    <n v="16884.599999999999"/>
    <x v="569"/>
    <x v="0"/>
  </r>
  <r>
    <x v="569"/>
    <d v="2025-04-13T00:00:00"/>
    <d v="2025-04-14T00:00:00"/>
    <n v="1"/>
    <x v="19"/>
    <s v="Enterprise"/>
    <s v="Online"/>
    <x v="3"/>
    <s v="Components"/>
    <n v="138.9"/>
    <s v="High"/>
    <n v="289.92"/>
    <n v="2.9000000000000001E-2"/>
    <n v="12"/>
    <n v="19793.834999999999"/>
    <n v="1666.8000000000002"/>
    <x v="570"/>
    <x v="0"/>
  </r>
  <r>
    <x v="570"/>
    <d v="2023-06-01T00:00:00"/>
    <d v="2023-06-01T00:00:00"/>
    <n v="0"/>
    <x v="23"/>
    <s v="Corporate"/>
    <s v="Retail"/>
    <x v="6"/>
    <s v="Accessories"/>
    <n v="669.37"/>
    <s v="High"/>
    <n v="997.2"/>
    <n v="8.2000000000000003E-2"/>
    <n v="5"/>
    <n v="3326.373"/>
    <n v="3346.85"/>
    <x v="571"/>
    <x v="0"/>
  </r>
  <r>
    <x v="571"/>
    <d v="2025-03-24T00:00:00"/>
    <d v="2025-04-04T00:00:00"/>
    <n v="11"/>
    <x v="3"/>
    <s v="Education"/>
    <s v="Marketplace"/>
    <x v="1"/>
    <s v="Phones"/>
    <n v="23.83"/>
    <s v="Low"/>
    <n v="47.29"/>
    <n v="6.4000000000000001E-2"/>
    <n v="19"/>
    <n v="24114.036959999998"/>
    <n v="452.77"/>
    <x v="572"/>
    <x v="0"/>
  </r>
  <r>
    <x v="572"/>
    <d v="2024-01-02T00:00:00"/>
    <d v="2024-01-02T00:00:00"/>
    <n v="0"/>
    <x v="9"/>
    <s v="Education"/>
    <s v="Direct"/>
    <x v="8"/>
    <s v="Laptops"/>
    <n v="444.41"/>
    <s v="High"/>
    <n v="754.24"/>
    <n v="0.20699999999999999"/>
    <n v="32"/>
    <n v="6980.1763200000005"/>
    <n v="14221.12"/>
    <x v="573"/>
    <x v="0"/>
  </r>
  <r>
    <x v="573"/>
    <d v="2023-12-19T00:00:00"/>
    <d v="2024-01-01T00:00:00"/>
    <n v="13"/>
    <x v="4"/>
    <s v="Enterprise"/>
    <s v="Retail"/>
    <x v="11"/>
    <s v="Monitors"/>
    <n v="856.1"/>
    <s v="High"/>
    <n v="901.48"/>
    <n v="5.6000000000000001E-2"/>
    <n v="17"/>
    <n v="28925.557119999998"/>
    <n v="14553.7"/>
    <x v="574"/>
    <x v="0"/>
  </r>
  <r>
    <x v="574"/>
    <d v="2023-04-26T00:00:00"/>
    <d v="2023-04-26T00:00:00"/>
    <n v="0"/>
    <x v="12"/>
    <s v="Consumer"/>
    <s v="Direct"/>
    <x v="12"/>
    <s v="Components"/>
    <n v="81.489999999999995"/>
    <s v="Medium"/>
    <n v="113.08"/>
    <n v="0.121"/>
    <n v="5"/>
    <n v="5580.6830999999993"/>
    <n v="407.45"/>
    <x v="575"/>
    <x v="0"/>
  </r>
  <r>
    <x v="575"/>
    <d v="2025-08-03T00:00:00"/>
    <d v="2025-08-16T00:00:00"/>
    <n v="13"/>
    <x v="28"/>
    <s v="Enterprise"/>
    <s v="Distributor"/>
    <x v="7"/>
    <s v="Networking"/>
    <n v="698.66"/>
    <s v="High"/>
    <n v="868.62"/>
    <n v="7.1999999999999995E-2"/>
    <n v="15"/>
    <n v="7960.848"/>
    <n v="10479.9"/>
    <x v="576"/>
    <x v="0"/>
  </r>
  <r>
    <x v="576"/>
    <d v="2023-08-02T00:00:00"/>
    <d v="2023-08-19T00:00:00"/>
    <n v="17"/>
    <x v="25"/>
    <s v="Corporate"/>
    <s v="Online"/>
    <x v="9"/>
    <s v="Networking"/>
    <n v="175.38"/>
    <s v="High"/>
    <n v="347.9"/>
    <n v="7.1999999999999995E-2"/>
    <n v="43"/>
    <n v="109937.11616000001"/>
    <n v="7541.34"/>
    <x v="577"/>
    <x v="0"/>
  </r>
  <r>
    <x v="577"/>
    <d v="2023-06-15T00:00:00"/>
    <d v="2023-07-12T00:00:00"/>
    <n v="27"/>
    <x v="23"/>
    <s v="Consumer"/>
    <s v="Direct"/>
    <x v="2"/>
    <s v="Accessories"/>
    <n v="751.28"/>
    <s v="High"/>
    <n v="1111.8800000000001"/>
    <n v="0.13500000000000001"/>
    <n v="7"/>
    <n v="5827.9980499999992"/>
    <n v="5258.96"/>
    <x v="578"/>
    <x v="0"/>
  </r>
  <r>
    <x v="578"/>
    <d v="2024-11-11T00:00:00"/>
    <d v="2024-11-24T00:00:00"/>
    <n v="13"/>
    <x v="18"/>
    <s v="Corporate"/>
    <s v="Retail"/>
    <x v="6"/>
    <s v="Networking"/>
    <n v="164.53"/>
    <s v="High"/>
    <n v="327.72"/>
    <n v="6.7000000000000004E-2"/>
    <n v="14"/>
    <n v="8728.9427399999986"/>
    <n v="2303.42"/>
    <x v="579"/>
    <x v="0"/>
  </r>
  <r>
    <x v="579"/>
    <d v="2025-07-11T00:00:00"/>
    <d v="2025-08-03T00:00:00"/>
    <n v="23"/>
    <x v="13"/>
    <s v="Small Business"/>
    <s v="Retail"/>
    <x v="0"/>
    <s v="Phones"/>
    <n v="389.93"/>
    <s v="High"/>
    <n v="486.13"/>
    <n v="0.13200000000000001"/>
    <n v="17"/>
    <n v="20722.29348"/>
    <n v="6628.81"/>
    <x v="580"/>
    <x v="0"/>
  </r>
  <r>
    <x v="580"/>
    <d v="2023-06-03T00:00:00"/>
    <d v="2023-07-01T00:00:00"/>
    <n v="28"/>
    <x v="23"/>
    <s v="Small Business"/>
    <s v="Marketplace"/>
    <x v="8"/>
    <s v="Components"/>
    <n v="860.4"/>
    <s v="High"/>
    <n v="2066.6"/>
    <n v="0.01"/>
    <n v="3"/>
    <n v="10661.9733"/>
    <n v="2581.1999999999998"/>
    <x v="581"/>
    <x v="0"/>
  </r>
  <r>
    <x v="581"/>
    <d v="2023-01-29T00:00:00"/>
    <d v="2023-02-06T00:00:00"/>
    <n v="8"/>
    <x v="5"/>
    <s v="Corporate"/>
    <s v="Marketplace"/>
    <x v="14"/>
    <s v="Monitors"/>
    <n v="41.84"/>
    <s v="Medium"/>
    <n v="86.2"/>
    <n v="0.22600000000000001"/>
    <n v="27"/>
    <n v="4879.8919799999994"/>
    <n v="1129.68"/>
    <x v="582"/>
    <x v="0"/>
  </r>
  <r>
    <x v="582"/>
    <d v="2024-09-06T00:00:00"/>
    <d v="2024-09-04T00:00:00"/>
    <n v="2"/>
    <x v="29"/>
    <s v="Corporate"/>
    <s v="Direct"/>
    <x v="8"/>
    <s v="Laptops"/>
    <n v="1368.17"/>
    <s v="High"/>
    <n v="2307.75"/>
    <n v="0.16300000000000001"/>
    <n v="21"/>
    <n v="2183.9422500000001"/>
    <n v="28731.57"/>
    <x v="583"/>
    <x v="0"/>
  </r>
  <r>
    <x v="583"/>
    <d v="2024-08-03T00:00:00"/>
    <d v="2024-08-09T00:00:00"/>
    <n v="6"/>
    <x v="21"/>
    <s v="Consumer"/>
    <s v="Marketplace"/>
    <x v="10"/>
    <s v="Laptops"/>
    <n v="643.21"/>
    <s v="High"/>
    <n v="1112.81"/>
    <n v="0.14099999999999999"/>
    <n v="4"/>
    <n v="4918.1873199999991"/>
    <n v="2572.84"/>
    <x v="584"/>
    <x v="0"/>
  </r>
  <r>
    <x v="584"/>
    <d v="2025-04-17T00:00:00"/>
    <d v="2025-04-17T00:00:00"/>
    <n v="0"/>
    <x v="19"/>
    <s v="Corporate"/>
    <s v="Distributor"/>
    <x v="4"/>
    <s v="Phones"/>
    <n v="719.41"/>
    <s v="High"/>
    <n v="1125.99"/>
    <n v="4.1000000000000002E-2"/>
    <n v="21"/>
    <n v="32132.177279999996"/>
    <n v="15107.609999999999"/>
    <x v="585"/>
    <x v="0"/>
  </r>
  <r>
    <x v="585"/>
    <d v="2023-05-03T00:00:00"/>
    <d v="2023-05-16T00:00:00"/>
    <n v="13"/>
    <x v="15"/>
    <s v="Corporate"/>
    <s v="Marketplace"/>
    <x v="4"/>
    <s v="Phones"/>
    <n v="64.5"/>
    <s v="Medium"/>
    <n v="123.62"/>
    <n v="0"/>
    <n v="3"/>
    <n v="3085.38"/>
    <n v="193.5"/>
    <x v="586"/>
    <x v="0"/>
  </r>
  <r>
    <x v="586"/>
    <d v="2024-03-13T00:00:00"/>
    <d v="2024-04-06T00:00:00"/>
    <n v="24"/>
    <x v="0"/>
    <s v="Consumer"/>
    <s v="Distributor"/>
    <x v="4"/>
    <s v="Components"/>
    <n v="1232.78"/>
    <s v="High"/>
    <n v="1731.75"/>
    <n v="9.2999999999999999E-2"/>
    <n v="16"/>
    <n v="46878.839200000002"/>
    <n v="19724.48"/>
    <x v="587"/>
    <x v="0"/>
  </r>
  <r>
    <x v="587"/>
    <d v="2024-06-16T00:00:00"/>
    <d v="2024-06-21T00:00:00"/>
    <n v="5"/>
    <x v="17"/>
    <s v="Small Business"/>
    <s v="Distributor"/>
    <x v="9"/>
    <s v="Phones"/>
    <n v="1367.13"/>
    <s v="High"/>
    <n v="3062.01"/>
    <n v="0.10299999999999999"/>
    <n v="25"/>
    <n v="62557.004249999998"/>
    <n v="34178.25"/>
    <x v="588"/>
    <x v="0"/>
  </r>
  <r>
    <x v="588"/>
    <d v="2025-02-15T00:00:00"/>
    <d v="2025-02-27T00:00:00"/>
    <n v="12"/>
    <x v="26"/>
    <s v="Non-Profit"/>
    <s v="Direct"/>
    <x v="11"/>
    <s v="Accessories"/>
    <n v="1027.26"/>
    <s v="High"/>
    <n v="2200.41"/>
    <n v="8.7999999999999995E-2"/>
    <n v="6"/>
    <n v="10384.433280000001"/>
    <n v="6163.5599999999995"/>
    <x v="589"/>
    <x v="0"/>
  </r>
  <r>
    <x v="589"/>
    <d v="2023-04-03T00:00:00"/>
    <d v="2023-04-16T00:00:00"/>
    <n v="13"/>
    <x v="12"/>
    <s v="Non-Profit"/>
    <s v="Marketplace"/>
    <x v="12"/>
    <s v="Accessories"/>
    <n v="790.54"/>
    <s v="High"/>
    <n v="601.49"/>
    <n v="0"/>
    <n v="15"/>
    <n v="13537.050000000001"/>
    <n v="11858.099999999999"/>
    <x v="590"/>
    <x v="0"/>
  </r>
  <r>
    <x v="590"/>
    <d v="2025-08-30T00:00:00"/>
    <d v="2025-09-22T00:00:00"/>
    <n v="23"/>
    <x v="28"/>
    <s v="Corporate"/>
    <s v="Direct"/>
    <x v="6"/>
    <s v="Components"/>
    <n v="663.9"/>
    <s v="High"/>
    <n v="947.77"/>
    <n v="0.17399999999999999"/>
    <n v="15"/>
    <n v="-417.04740000000004"/>
    <n v="9958.5"/>
    <x v="591"/>
    <x v="0"/>
  </r>
  <r>
    <x v="591"/>
    <d v="2023-02-27T00:00:00"/>
    <d v="2023-02-26T00:00:00"/>
    <n v="1"/>
    <x v="2"/>
    <s v="Non-Profit"/>
    <s v="Online"/>
    <x v="4"/>
    <s v="Networking"/>
    <n v="1015.91"/>
    <s v="High"/>
    <n v="2331.48"/>
    <n v="0.14599999999999999"/>
    <n v="26"/>
    <n v="24128.64272"/>
    <n v="26413.66"/>
    <x v="592"/>
    <x v="0"/>
  </r>
  <r>
    <x v="592"/>
    <d v="2024-07-31T00:00:00"/>
    <d v="2024-08-15T00:00:00"/>
    <n v="15"/>
    <x v="14"/>
    <s v="Corporate"/>
    <s v="Marketplace"/>
    <x v="9"/>
    <s v="Monitors"/>
    <n v="1252.52"/>
    <s v="High"/>
    <n v="1417.24"/>
    <n v="0.192"/>
    <n v="5"/>
    <n v="4083.4300000000003"/>
    <n v="6262.6"/>
    <x v="593"/>
    <x v="0"/>
  </r>
  <r>
    <x v="593"/>
    <d v="2025-06-15T00:00:00"/>
    <d v="2025-07-12T00:00:00"/>
    <n v="27"/>
    <x v="16"/>
    <s v="Consumer"/>
    <s v="Direct"/>
    <x v="0"/>
    <s v="Accessories"/>
    <n v="318.83"/>
    <s v="High"/>
    <n v="699.5"/>
    <n v="0.08"/>
    <n v="13"/>
    <n v="4921.3008"/>
    <n v="4144.79"/>
    <x v="594"/>
    <x v="0"/>
  </r>
  <r>
    <x v="594"/>
    <d v="2024-06-30T00:00:00"/>
    <d v="2024-07-21T00:00:00"/>
    <n v="21"/>
    <x v="17"/>
    <s v="Small Business"/>
    <s v="Retail"/>
    <x v="11"/>
    <s v="Laptops"/>
    <n v="753.43"/>
    <s v="High"/>
    <n v="1787.2"/>
    <n v="7.2999999999999995E-2"/>
    <n v="9"/>
    <n v="3448.4956200000001"/>
    <n v="6780.87"/>
    <x v="595"/>
    <x v="0"/>
  </r>
  <r>
    <x v="595"/>
    <d v="2025-02-17T00:00:00"/>
    <d v="2025-02-15T00:00:00"/>
    <n v="2"/>
    <x v="26"/>
    <s v="Small Business"/>
    <s v="Retail"/>
    <x v="14"/>
    <s v="Components"/>
    <n v="1133.47"/>
    <s v="High"/>
    <n v="1698.75"/>
    <n v="4.2999999999999997E-2"/>
    <n v="5"/>
    <n v="7459.2886500000004"/>
    <n v="5667.35"/>
    <x v="596"/>
    <x v="0"/>
  </r>
  <r>
    <x v="596"/>
    <d v="2023-01-07T00:00:00"/>
    <d v="2023-01-30T00:00:00"/>
    <n v="23"/>
    <x v="5"/>
    <s v="Consumer"/>
    <s v="Online"/>
    <x v="8"/>
    <s v="Printers"/>
    <n v="299.02"/>
    <s v="High"/>
    <n v="724.7"/>
    <n v="0.14000000000000001"/>
    <n v="5"/>
    <n v="3702.9880000000003"/>
    <n v="1495.1"/>
    <x v="597"/>
    <x v="0"/>
  </r>
  <r>
    <x v="597"/>
    <d v="2025-03-10T00:00:00"/>
    <d v="2025-04-04T00:00:00"/>
    <n v="25"/>
    <x v="3"/>
    <s v="Corporate"/>
    <s v="Direct"/>
    <x v="10"/>
    <s v="Printers"/>
    <n v="783.72"/>
    <s v="High"/>
    <n v="1355.94"/>
    <n v="0.187"/>
    <n v="4"/>
    <n v="7467.4049999999997"/>
    <n v="3134.88"/>
    <x v="598"/>
    <x v="0"/>
  </r>
  <r>
    <x v="598"/>
    <d v="2024-08-17T00:00:00"/>
    <d v="2024-08-15T00:00:00"/>
    <n v="2"/>
    <x v="21"/>
    <s v="Consumer"/>
    <s v="Direct"/>
    <x v="12"/>
    <s v="Monitors"/>
    <n v="165.3"/>
    <s v="High"/>
    <n v="275.07"/>
    <n v="0.13300000000000001"/>
    <n v="25"/>
    <n v="57148.305"/>
    <n v="4132.5"/>
    <x v="599"/>
    <x v="0"/>
  </r>
  <r>
    <x v="599"/>
    <d v="2024-03-09T00:00:00"/>
    <d v="2024-03-22T00:00:00"/>
    <n v="13"/>
    <x v="0"/>
    <s v="Consumer"/>
    <s v="Online"/>
    <x v="6"/>
    <s v="Laptops"/>
    <n v="985.45"/>
    <s v="High"/>
    <n v="1802.44"/>
    <n v="8.9999999999999993E-3"/>
    <n v="19"/>
    <n v="18416.456609999997"/>
    <n v="18723.55"/>
    <x v="600"/>
    <x v="0"/>
  </r>
  <r>
    <x v="600"/>
    <d v="2024-08-19T00:00:00"/>
    <d v="2024-09-02T00:00:00"/>
    <n v="14"/>
    <x v="21"/>
    <s v="Consumer"/>
    <s v="Distributor"/>
    <x v="0"/>
    <s v="Printers"/>
    <n v="1337.01"/>
    <s v="High"/>
    <n v="1269.78"/>
    <n v="0.16"/>
    <n v="7"/>
    <n v="3208.8335999999999"/>
    <n v="9359.07"/>
    <x v="601"/>
    <x v="0"/>
  </r>
  <r>
    <x v="601"/>
    <d v="2025-08-11T00:00:00"/>
    <d v="2025-08-28T00:00:00"/>
    <n v="17"/>
    <x v="28"/>
    <s v="Education"/>
    <s v="Online"/>
    <x v="9"/>
    <s v="Networking"/>
    <n v="416.16"/>
    <s v="High"/>
    <n v="571.9"/>
    <n v="7.0999999999999994E-2"/>
    <n v="2"/>
    <n v="2667.2333200000003"/>
    <n v="832.32"/>
    <x v="602"/>
    <x v="0"/>
  </r>
  <r>
    <x v="602"/>
    <d v="2025-05-16T00:00:00"/>
    <d v="2025-05-18T00:00:00"/>
    <n v="2"/>
    <x v="8"/>
    <s v="Enterprise"/>
    <s v="Retail"/>
    <x v="1"/>
    <s v="Printers"/>
    <n v="1144.3800000000001"/>
    <s v="High"/>
    <n v="2755.04"/>
    <n v="0.15"/>
    <n v="17"/>
    <n v="34640.985000000001"/>
    <n v="19454.460000000003"/>
    <x v="603"/>
    <x v="0"/>
  </r>
  <r>
    <x v="603"/>
    <d v="2023-04-10T00:00:00"/>
    <d v="2023-04-25T00:00:00"/>
    <n v="15"/>
    <x v="12"/>
    <s v="Small Business"/>
    <s v="Retail"/>
    <x v="14"/>
    <s v="Printers"/>
    <n v="405.66"/>
    <s v="High"/>
    <n v="962.51"/>
    <n v="0.19"/>
    <n v="7"/>
    <n v="10511.386199999999"/>
    <n v="2839.6200000000003"/>
    <x v="604"/>
    <x v="0"/>
  </r>
  <r>
    <x v="604"/>
    <d v="2023-09-17T00:00:00"/>
    <d v="2023-10-02T00:00:00"/>
    <n v="15"/>
    <x v="27"/>
    <s v="Small Business"/>
    <s v="Retail"/>
    <x v="5"/>
    <s v="Laptops"/>
    <n v="689.33"/>
    <s v="High"/>
    <n v="668.27"/>
    <n v="0.186"/>
    <n v="13"/>
    <n v="486.56036000000006"/>
    <n v="8961.2900000000009"/>
    <x v="605"/>
    <x v="0"/>
  </r>
  <r>
    <x v="605"/>
    <d v="2023-04-22T00:00:00"/>
    <d v="2023-05-14T00:00:00"/>
    <n v="22"/>
    <x v="12"/>
    <s v="Enterprise"/>
    <s v="Retail"/>
    <x v="8"/>
    <s v="Accessories"/>
    <n v="1209.22"/>
    <s v="High"/>
    <n v="1404.33"/>
    <n v="0.10299999999999999"/>
    <n v="11"/>
    <n v="0"/>
    <n v="13301.42"/>
    <x v="606"/>
    <x v="0"/>
  </r>
  <r>
    <x v="606"/>
    <d v="2025-06-19T00:00:00"/>
    <d v="2025-06-21T00:00:00"/>
    <n v="2"/>
    <x v="16"/>
    <s v="Small Business"/>
    <s v="Not Provided"/>
    <x v="10"/>
    <s v="Phones"/>
    <n v="1466.27"/>
    <s v="High"/>
    <n v="3589.89"/>
    <n v="9.7000000000000003E-2"/>
    <n v="9"/>
    <n v="0"/>
    <n v="13196.43"/>
    <x v="607"/>
    <x v="0"/>
  </r>
  <r>
    <x v="607"/>
    <d v="2024-11-27T00:00:00"/>
    <d v="2024-12-24T00:00:00"/>
    <n v="27"/>
    <x v="18"/>
    <s v="Corporate"/>
    <s v="Distributor"/>
    <x v="5"/>
    <s v="Printers"/>
    <n v="143.33000000000001"/>
    <s v="High"/>
    <n v="233.51"/>
    <n v="0.16300000000000001"/>
    <n v="14"/>
    <n v="0"/>
    <n v="2006.6200000000001"/>
    <x v="608"/>
    <x v="0"/>
  </r>
  <r>
    <x v="608"/>
    <d v="2024-01-28T00:00:00"/>
    <d v="2024-01-27T00:00:00"/>
    <n v="1"/>
    <x v="9"/>
    <s v="Enterprise"/>
    <s v="Direct"/>
    <x v="7"/>
    <s v="Components"/>
    <n v="109.75"/>
    <s v="Medium"/>
    <n v="124.25"/>
    <n v="0.12"/>
    <n v="19"/>
    <n v="0"/>
    <n v="2085.25"/>
    <x v="609"/>
    <x v="0"/>
  </r>
  <r>
    <x v="609"/>
    <d v="2023-04-16T00:00:00"/>
    <d v="2023-04-23T00:00:00"/>
    <n v="7"/>
    <x v="12"/>
    <s v="Corporate"/>
    <s v="Distributor"/>
    <x v="7"/>
    <s v="Printers"/>
    <n v="1099.1500000000001"/>
    <s v="High"/>
    <n v="1431.37"/>
    <n v="0.104"/>
    <n v="8"/>
    <n v="0"/>
    <n v="8793.2000000000007"/>
    <x v="610"/>
    <x v="0"/>
  </r>
  <r>
    <x v="610"/>
    <d v="2024-02-01T00:00:00"/>
    <d v="2024-02-01T00:00:00"/>
    <n v="0"/>
    <x v="31"/>
    <s v="Consumer"/>
    <s v="Distributor"/>
    <x v="10"/>
    <s v="Printers"/>
    <n v="714.43"/>
    <s v="High"/>
    <n v="1595.52"/>
    <n v="0.19400000000000001"/>
    <n v="14"/>
    <n v="0"/>
    <n v="10002.019999999999"/>
    <x v="611"/>
    <x v="0"/>
  </r>
  <r>
    <x v="611"/>
    <d v="2024-10-19T00:00:00"/>
    <d v="2024-11-06T00:00:00"/>
    <n v="18"/>
    <x v="1"/>
    <s v="Education"/>
    <s v="Not Provided"/>
    <x v="0"/>
    <s v="Monitors"/>
    <n v="942.02"/>
    <s v="High"/>
    <n v="1028.46"/>
    <n v="0"/>
    <n v="9"/>
    <n v="0"/>
    <n v="8478.18"/>
    <x v="612"/>
    <x v="0"/>
  </r>
  <r>
    <x v="612"/>
    <d v="2024-06-25T00:00:00"/>
    <d v="2024-06-30T00:00:00"/>
    <n v="5"/>
    <x v="17"/>
    <s v="Education"/>
    <s v="Direct"/>
    <x v="12"/>
    <s v="Networking"/>
    <n v="1323.55"/>
    <s v="High"/>
    <n v="3230.35"/>
    <n v="2.1999999999999999E-2"/>
    <n v="26"/>
    <n v="0"/>
    <n v="34412.299999999996"/>
    <x v="613"/>
    <x v="0"/>
  </r>
  <r>
    <x v="613"/>
    <d v="2023-07-30T00:00:00"/>
    <d v="2023-08-19T00:00:00"/>
    <n v="20"/>
    <x v="24"/>
    <s v="Enterprise"/>
    <s v="Marketplace"/>
    <x v="3"/>
    <s v="Networking"/>
    <n v="1418.51"/>
    <s v="High"/>
    <n v="2789.61"/>
    <n v="0.17100000000000001"/>
    <n v="8"/>
    <n v="0"/>
    <n v="11348.08"/>
    <x v="614"/>
    <x v="0"/>
  </r>
  <r>
    <x v="614"/>
    <d v="2025-03-11T00:00:00"/>
    <d v="2025-03-27T00:00:00"/>
    <n v="16"/>
    <x v="3"/>
    <s v="Enterprise"/>
    <s v="Distributor"/>
    <x v="5"/>
    <s v="Printers"/>
    <n v="1317.58"/>
    <s v="High"/>
    <n v="1897.74"/>
    <n v="8.1000000000000003E-2"/>
    <n v="6"/>
    <n v="0"/>
    <n v="7905.48"/>
    <x v="615"/>
    <x v="0"/>
  </r>
  <r>
    <x v="615"/>
    <d v="2023-10-09T00:00:00"/>
    <d v="2023-10-11T00:00:00"/>
    <n v="2"/>
    <x v="32"/>
    <s v="Education"/>
    <s v="Marketplace"/>
    <x v="11"/>
    <s v="Networking"/>
    <n v="391.16"/>
    <s v="High"/>
    <n v="902.47"/>
    <n v="4.0000000000000001E-3"/>
    <n v="12"/>
    <n v="0"/>
    <n v="4693.92"/>
    <x v="616"/>
    <x v="0"/>
  </r>
  <r>
    <x v="616"/>
    <d v="2024-12-17T00:00:00"/>
    <d v="2025-01-16T00:00:00"/>
    <n v="30"/>
    <x v="6"/>
    <s v="Corporate"/>
    <s v="Retail"/>
    <x v="14"/>
    <s v="Monitors"/>
    <n v="722.87"/>
    <s v="Low"/>
    <n v="-33.659999999999997"/>
    <n v="0.10199999999999999"/>
    <n v="28"/>
    <n v="0"/>
    <n v="20240.36"/>
    <x v="617"/>
    <x v="0"/>
  </r>
  <r>
    <x v="617"/>
    <d v="2025-07-11T00:00:00"/>
    <d v="2025-07-16T00:00:00"/>
    <n v="5"/>
    <x v="13"/>
    <s v="Enterprise"/>
    <s v="Online"/>
    <x v="11"/>
    <s v="Printers"/>
    <n v="930.03"/>
    <s v="High"/>
    <n v="1086.68"/>
    <n v="0.109"/>
    <n v="26"/>
    <n v="0"/>
    <n v="24180.78"/>
    <x v="618"/>
    <x v="0"/>
  </r>
  <r>
    <x v="618"/>
    <d v="2024-10-13T00:00:00"/>
    <d v="2024-10-24T00:00:00"/>
    <n v="11"/>
    <x v="1"/>
    <s v="Education"/>
    <s v="Distributor"/>
    <x v="9"/>
    <s v="Components"/>
    <n v="816.7"/>
    <s v="High"/>
    <n v="1010.75"/>
    <n v="4.7E-2"/>
    <n v="43"/>
    <n v="0"/>
    <n v="35118.1"/>
    <x v="619"/>
    <x v="0"/>
  </r>
  <r>
    <x v="619"/>
    <d v="2023-09-08T00:00:00"/>
    <d v="2023-09-14T00:00:00"/>
    <n v="6"/>
    <x v="27"/>
    <s v="Education"/>
    <s v="Direct"/>
    <x v="2"/>
    <s v="Accessories"/>
    <n v="251.03"/>
    <s v="High"/>
    <n v="411.48"/>
    <n v="0.16500000000000001"/>
    <n v="3"/>
    <n v="0"/>
    <n v="753.09"/>
    <x v="620"/>
    <x v="0"/>
  </r>
  <r>
    <x v="620"/>
    <d v="2025-04-17T00:00:00"/>
    <d v="2025-05-03T00:00:00"/>
    <n v="16"/>
    <x v="19"/>
    <s v="Consumer"/>
    <s v="Marketplace"/>
    <x v="1"/>
    <s v="Networking"/>
    <n v="168.68"/>
    <s v="High"/>
    <n v="413.34"/>
    <n v="0.186"/>
    <n v="7"/>
    <n v="0"/>
    <n v="1180.76"/>
    <x v="621"/>
    <x v="0"/>
  </r>
  <r>
    <x v="621"/>
    <d v="2024-07-28T00:00:00"/>
    <d v="2024-08-23T00:00:00"/>
    <n v="26"/>
    <x v="14"/>
    <s v="Corporate"/>
    <s v="Retail"/>
    <x v="1"/>
    <s v="Networking"/>
    <n v="1339.24"/>
    <s v="High"/>
    <n v="1558.89"/>
    <n v="0.192"/>
    <n v="24"/>
    <n v="0"/>
    <n v="32141.760000000002"/>
    <x v="622"/>
    <x v="0"/>
  </r>
  <r>
    <x v="622"/>
    <d v="2025-07-19T00:00:00"/>
    <d v="2025-07-31T00:00:00"/>
    <n v="12"/>
    <x v="13"/>
    <s v="Small Business"/>
    <s v="Marketplace"/>
    <x v="7"/>
    <s v="Accessories"/>
    <n v="619.64"/>
    <s v="High"/>
    <n v="861.16"/>
    <n v="0.113"/>
    <n v="14"/>
    <n v="0"/>
    <n v="8674.9599999999991"/>
    <x v="623"/>
    <x v="0"/>
  </r>
  <r>
    <x v="623"/>
    <d v="2023-08-03T00:00:00"/>
    <d v="2023-08-02T00:00:00"/>
    <n v="1"/>
    <x v="25"/>
    <s v="Non-Profit"/>
    <s v="Direct"/>
    <x v="1"/>
    <s v="Networking"/>
    <n v="1021.97"/>
    <s v="High"/>
    <n v="2296.25"/>
    <n v="0.161"/>
    <n v="26"/>
    <n v="0"/>
    <n v="26571.22"/>
    <x v="624"/>
    <x v="0"/>
  </r>
  <r>
    <x v="624"/>
    <d v="2023-11-19T00:00:00"/>
    <d v="2023-12-12T00:00:00"/>
    <n v="23"/>
    <x v="30"/>
    <s v="Small Business"/>
    <s v="Direct"/>
    <x v="0"/>
    <s v="Networking"/>
    <n v="1349.04"/>
    <s v="High"/>
    <n v="2636.6"/>
    <n v="0.114"/>
    <n v="14"/>
    <n v="0"/>
    <n v="18886.559999999998"/>
    <x v="625"/>
    <x v="0"/>
  </r>
  <r>
    <x v="625"/>
    <d v="2023-12-22T00:00:00"/>
    <d v="2024-01-16T00:00:00"/>
    <n v="25"/>
    <x v="4"/>
    <s v="Small Business"/>
    <s v="Retail"/>
    <x v="8"/>
    <s v="Components"/>
    <n v="1346.81"/>
    <s v="High"/>
    <n v="978.09"/>
    <n v="0.159"/>
    <n v="17"/>
    <n v="0"/>
    <n v="22895.77"/>
    <x v="626"/>
    <x v="0"/>
  </r>
  <r>
    <x v="626"/>
    <d v="2023-08-03T00:00:00"/>
    <d v="2023-08-30T00:00:00"/>
    <n v="27"/>
    <x v="25"/>
    <s v="Consumer"/>
    <s v="Distributor"/>
    <x v="13"/>
    <s v="Monitors"/>
    <n v="226.04"/>
    <s v="High"/>
    <n v="545.72"/>
    <n v="0.151"/>
    <n v="11"/>
    <n v="0"/>
    <n v="2486.44"/>
    <x v="627"/>
    <x v="0"/>
  </r>
  <r>
    <x v="627"/>
    <d v="2023-06-23T00:00:00"/>
    <d v="2023-07-18T00:00:00"/>
    <n v="25"/>
    <x v="23"/>
    <s v="Enterprise"/>
    <s v="Online"/>
    <x v="13"/>
    <s v="Phones"/>
    <n v="807.02"/>
    <s v="High"/>
    <n v="1435.54"/>
    <n v="0"/>
    <n v="23"/>
    <n v="0"/>
    <n v="18561.46"/>
    <x v="628"/>
    <x v="0"/>
  </r>
  <r>
    <x v="628"/>
    <d v="2023-12-07T00:00:00"/>
    <d v="2024-01-02T00:00:00"/>
    <n v="26"/>
    <x v="4"/>
    <s v="Enterprise"/>
    <s v="Distributor"/>
    <x v="6"/>
    <s v="Components"/>
    <n v="1071.99"/>
    <s v="High"/>
    <n v="2397.3000000000002"/>
    <n v="6.2E-2"/>
    <n v="18"/>
    <n v="0"/>
    <n v="19295.82"/>
    <x v="629"/>
    <x v="0"/>
  </r>
  <r>
    <x v="629"/>
    <d v="2023-11-19T00:00:00"/>
    <d v="2023-12-19T00:00:00"/>
    <n v="0"/>
    <x v="30"/>
    <s v="Consumer"/>
    <s v="Retail"/>
    <x v="15"/>
    <s v="Phones"/>
    <n v="807.11"/>
    <s v="High"/>
    <n v="1853.86"/>
    <n v="0.13900000000000001"/>
    <n v="8"/>
    <n v="0"/>
    <n v="6456.88"/>
    <x v="630"/>
    <x v="0"/>
  </r>
  <r>
    <x v="630"/>
    <d v="2025-02-28T00:00:00"/>
    <d v="2025-03-10T00:00:00"/>
    <n v="10"/>
    <x v="26"/>
    <s v="Education"/>
    <s v="Distributor"/>
    <x v="13"/>
    <s v="Laptops"/>
    <n v="51.86"/>
    <s v="Low"/>
    <n v="45.98"/>
    <n v="0.17299999999999999"/>
    <n v="7"/>
    <n v="0"/>
    <n v="363.02"/>
    <x v="631"/>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x v="0"/>
    <d v="2024-03-11T00:00:00"/>
    <d v="2024-04-06T00:00:00"/>
    <x v="0"/>
    <s v="Mar-2024"/>
    <s v="Q1-2024"/>
    <s v="Africa"/>
    <x v="0"/>
    <s v="Kisumu"/>
    <s v="Corporate"/>
    <s v="Retail"/>
    <s v="C. Otieno"/>
    <x v="0"/>
    <s v="CMP-8270"/>
    <n v="279.24"/>
    <s v="High"/>
    <n v="608.9"/>
    <n v="0.112"/>
    <n v="9"/>
    <n v="1403.9546399999999"/>
    <n v="2513.16"/>
    <n v="-1109.2053599999999"/>
    <n v="-0.79005783263766982"/>
  </r>
  <r>
    <x v="1"/>
    <d v="2024-10-23T00:00:00"/>
    <d v="2024-10-22T00:00:00"/>
    <x v="1"/>
    <s v="Oct-2024"/>
    <s v="Q4-2024"/>
    <s v="Africa"/>
    <x v="1"/>
    <s v="Port Harcourt"/>
    <s v="Education"/>
    <s v="Online"/>
    <s v="J. Njeri"/>
    <x v="1"/>
    <s v="PRN-9322"/>
    <n v="1084.3900000000001"/>
    <s v="High"/>
    <n v="759.33"/>
    <n v="0.23699999999999999"/>
    <n v="31"/>
    <n v="17934.41419"/>
    <n v="33616.090000000004"/>
    <n v="-15681.675810000004"/>
    <n v="-0.87439018882166253"/>
  </r>
  <r>
    <x v="2"/>
    <d v="2023-02-28T00:00:00"/>
    <d v="2023-03-25T00:00:00"/>
    <x v="2"/>
    <s v="Feb-2023"/>
    <s v="Q1-2023"/>
    <s v="Africa"/>
    <x v="0"/>
    <s v="Nairobi"/>
    <s v="Corporate"/>
    <s v="Retail"/>
    <s v="I. Johnson"/>
    <x v="2"/>
    <s v="NET-9666"/>
    <n v="1460.76"/>
    <s v="Low"/>
    <n v="-30.66"/>
    <n v="0.13100000000000001"/>
    <n v="12"/>
    <n v="4534.0944"/>
    <n v="17529.12"/>
    <n v="-12995.025599999999"/>
    <n v="-2.8660686023652264"/>
  </r>
  <r>
    <x v="3"/>
    <d v="2025-03-29T00:00:00"/>
    <d v="2025-04-02T00:00:00"/>
    <x v="3"/>
    <s v="Mar-2025"/>
    <s v="Q1-2025"/>
    <s v="Africa"/>
    <x v="1"/>
    <s v="Lagos"/>
    <s v="Non-Profit"/>
    <s v="Marketplace"/>
    <s v="G. Dubois"/>
    <x v="3"/>
    <s v="PHN-4556"/>
    <n v="259.93"/>
    <s v="High"/>
    <n v="255.94"/>
    <n v="7.1999999999999995E-2"/>
    <n v="22"/>
    <n v="34016.730880000003"/>
    <n v="5718.46"/>
    <n v="28298.270880000004"/>
    <n v="0.83189272301994943"/>
  </r>
  <r>
    <x v="4"/>
    <d v="2023-12-06T00:00:00"/>
    <d v="2023-12-31T00:00:00"/>
    <x v="2"/>
    <s v="Dec-2023"/>
    <s v="Q4-2023"/>
    <s v="Asia"/>
    <x v="2"/>
    <s v="Osaka"/>
    <s v="Consumer"/>
    <s v="Retail"/>
    <s v="L. Okafor"/>
    <x v="1"/>
    <s v="PRN-8041"/>
    <n v="663.03"/>
    <s v="High"/>
    <n v="813.51"/>
    <n v="0.10199999999999999"/>
    <n v="15"/>
    <n v="8510.0765999999985"/>
    <n v="9945.4499999999989"/>
    <n v="-1435.3734000000004"/>
    <n v="-0.16866750647109341"/>
  </r>
  <r>
    <x v="5"/>
    <d v="2023-01-02T00:00:00"/>
    <d v="2023-01-05T00:00:00"/>
    <x v="4"/>
    <s v="Jan-2023"/>
    <s v="Q1-2023"/>
    <s v="Americas"/>
    <x v="3"/>
    <s v="Toronto"/>
    <s v="Corporate"/>
    <s v="Distributor"/>
    <s v="B. Chen"/>
    <x v="4"/>
    <s v="LAP-8555"/>
    <n v="315.87"/>
    <s v="High"/>
    <n v="591.67999999999995"/>
    <n v="0"/>
    <n v="7"/>
    <n v="12558.49"/>
    <n v="2211.09"/>
    <n v="10347.4"/>
    <n v="0.82393663569425946"/>
  </r>
  <r>
    <x v="6"/>
    <d v="2024-12-27T00:00:00"/>
    <d v="2025-01-14T00:00:00"/>
    <x v="5"/>
    <s v="Dec-2024"/>
    <s v="Q4-2024"/>
    <s v="Asia"/>
    <x v="4"/>
    <s v="Bengaluru"/>
    <s v="Small Business"/>
    <s v="Marketplace"/>
    <s v="E. Garcia"/>
    <x v="5"/>
    <s v="MON-8629"/>
    <n v="586.07000000000005"/>
    <s v="High"/>
    <n v="845.97"/>
    <n v="0.14699999999999999"/>
    <n v="4"/>
    <n v="8983.864239999999"/>
    <n v="2344.2800000000002"/>
    <n v="6639.5842399999983"/>
    <n v="0.73905660889639613"/>
  </r>
  <r>
    <x v="7"/>
    <d v="2023-01-15T00:00:00"/>
    <d v="2023-01-13T00:00:00"/>
    <x v="6"/>
    <s v="Jan-2023"/>
    <s v="Q1-2023"/>
    <s v="Africa"/>
    <x v="1"/>
    <s v="Abuja"/>
    <s v="Education"/>
    <s v="Online"/>
    <s v="O. Wang"/>
    <x v="1"/>
    <s v="PRN-6276"/>
    <n v="28.38"/>
    <s v="Low"/>
    <n v="47.22"/>
    <n v="0.19400000000000001"/>
    <n v="18"/>
    <n v="19177.399799999999"/>
    <n v="510.84"/>
    <n v="18666.559799999999"/>
    <n v="0.97336239504168864"/>
  </r>
  <r>
    <x v="8"/>
    <d v="2024-05-04T00:00:00"/>
    <d v="2024-05-29T00:00:00"/>
    <x v="2"/>
    <s v="May-2024"/>
    <s v="Q2-2024"/>
    <s v="Africa"/>
    <x v="1"/>
    <s v="Abuja"/>
    <s v="Non-Profit"/>
    <s v="Marketplace"/>
    <s v="O. Wang"/>
    <x v="5"/>
    <s v="MON-6892"/>
    <n v="1295.3399999999999"/>
    <s v="High"/>
    <n v="2530.81"/>
    <n v="3.1E-2"/>
    <n v="6"/>
    <n v="17656.36218"/>
    <n v="7772.0399999999991"/>
    <n v="9884.322180000001"/>
    <n v="0.55981646044825306"/>
  </r>
  <r>
    <x v="9"/>
    <d v="2025-05-21T00:00:00"/>
    <d v="2025-06-09T00:00:00"/>
    <x v="7"/>
    <s v="May-2025"/>
    <s v="Q2-2025"/>
    <s v="Americas"/>
    <x v="5"/>
    <s v="São Paulo"/>
    <s v="Non-Profit"/>
    <s v="Online"/>
    <s v="A. Patel"/>
    <x v="0"/>
    <s v="CMP-3731"/>
    <n v="1331.38"/>
    <s v="High"/>
    <n v="2309.56"/>
    <n v="0.14899999999999999"/>
    <n v="31"/>
    <n v="5259.5799699999998"/>
    <n v="41272.780000000006"/>
    <n v="-36013.200030000007"/>
    <n v="-6.8471627459635354"/>
  </r>
  <r>
    <x v="10"/>
    <d v="2024-01-28T00:00:00"/>
    <d v="2024-02-09T00:00:00"/>
    <x v="8"/>
    <s v="Jan-2024"/>
    <s v="Q1-2024"/>
    <s v="Europe"/>
    <x v="6"/>
    <s v="Berlin"/>
    <s v="Corporate"/>
    <s v="Online"/>
    <s v="G. Dubois"/>
    <x v="6"/>
    <s v="ACC-7938"/>
    <n v="644.16999999999996"/>
    <s v="High"/>
    <n v="700.12"/>
    <n v="6.0000000000000001E-3"/>
    <n v="23"/>
    <n v="21204.733619999999"/>
    <n v="14815.91"/>
    <n v="6388.8236199999992"/>
    <n v="0.30129233097152197"/>
  </r>
  <r>
    <x v="11"/>
    <d v="2025-01-03T00:00:00"/>
    <d v="2025-01-23T00:00:00"/>
    <x v="9"/>
    <s v="Jan-2025"/>
    <s v="Q1-2025"/>
    <s v="Asia"/>
    <x v="2"/>
    <s v="Osaka"/>
    <s v="Corporate"/>
    <s v="Distributor"/>
    <s v="F. Müller"/>
    <x v="3"/>
    <s v="PHN-7019"/>
    <n v="908.6"/>
    <s v="High"/>
    <n v="691.37"/>
    <n v="0.25"/>
    <n v="20"/>
    <n v="26031.15"/>
    <n v="18172"/>
    <n v="7859.1500000000015"/>
    <n v="0.30191328466087747"/>
  </r>
  <r>
    <x v="12"/>
    <d v="2025-03-06T00:00:00"/>
    <d v="2025-03-31T00:00:00"/>
    <x v="2"/>
    <s v="Mar-2025"/>
    <s v="Q1-2025"/>
    <s v="Americas"/>
    <x v="5"/>
    <s v="Brasília"/>
    <s v="Non-Profit"/>
    <s v="Online"/>
    <s v="J. Njeri"/>
    <x v="0"/>
    <s v="CMP-3693"/>
    <n v="331.57"/>
    <s v="High"/>
    <n v="548.4"/>
    <n v="9.4E-2"/>
    <n v="10"/>
    <n v="12644.498400000002"/>
    <n v="3315.7"/>
    <n v="9328.7984000000033"/>
    <n v="0.73777528415045723"/>
  </r>
  <r>
    <x v="13"/>
    <d v="2024-01-20T00:00:00"/>
    <d v="2024-02-13T00:00:00"/>
    <x v="10"/>
    <s v="Jan-2024"/>
    <s v="Q1-2024"/>
    <s v="Europe"/>
    <x v="7"/>
    <s v="Marseille"/>
    <s v="Corporate"/>
    <s v="Retail"/>
    <s v="H. Kim"/>
    <x v="1"/>
    <s v="PRN-8392"/>
    <n v="643.53"/>
    <s v="High"/>
    <n v="1439.01"/>
    <n v="0"/>
    <n v="15"/>
    <n v="6816.3"/>
    <n v="9652.9499999999989"/>
    <n v="-2836.6499999999987"/>
    <n v="-0.4161568592931647"/>
  </r>
  <r>
    <x v="14"/>
    <d v="2025-09-01T00:00:00"/>
    <d v="2025-09-30T00:00:00"/>
    <x v="11"/>
    <s v="Sept-2025"/>
    <s v="Q3-2025"/>
    <s v="Americas"/>
    <x v="5"/>
    <s v="Brasília"/>
    <s v="Education"/>
    <s v="Retail"/>
    <s v="K. Singh"/>
    <x v="6"/>
    <s v="ACC-1663"/>
    <n v="780.59"/>
    <s v="High"/>
    <n v="631.57000000000005"/>
    <n v="0"/>
    <n v="12"/>
    <n v="18971.64"/>
    <n v="9367.08"/>
    <n v="9604.56"/>
    <n v="0.50625881579030596"/>
  </r>
  <r>
    <x v="15"/>
    <d v="2023-04-23T00:00:00"/>
    <d v="2023-04-22T00:00:00"/>
    <x v="1"/>
    <s v="Apr-2023"/>
    <s v="Q2-2023"/>
    <s v="Africa"/>
    <x v="0"/>
    <s v="Nairobi"/>
    <s v="Small Business"/>
    <s v="Direct"/>
    <s v="E. Garcia"/>
    <x v="4"/>
    <s v="LAP-1698"/>
    <n v="756.51"/>
    <s v="High"/>
    <n v="850.8"/>
    <n v="7.3999999999999996E-2"/>
    <n v="9"/>
    <n v="14666.089860000002"/>
    <n v="6808.59"/>
    <n v="7857.4998600000017"/>
    <n v="0.53575969702943038"/>
  </r>
  <r>
    <x v="16"/>
    <d v="2024-12-10T00:00:00"/>
    <d v="2025-01-08T00:00:00"/>
    <x v="11"/>
    <s v="Dec-2024"/>
    <s v="Q4-2024"/>
    <s v="Europe"/>
    <x v="7"/>
    <s v="Marseille"/>
    <s v="Small Business"/>
    <s v="Retail"/>
    <s v="K. Singh"/>
    <x v="1"/>
    <s v="PRN-6791"/>
    <n v="891.08"/>
    <s v="High"/>
    <n v="1040.0999999999999"/>
    <n v="0.109"/>
    <n v="28"/>
    <n v="79945.865999999995"/>
    <n v="24950.240000000002"/>
    <n v="54995.625999999989"/>
    <n v="0.68791081705212864"/>
  </r>
  <r>
    <x v="17"/>
    <d v="2025-09-08T00:00:00"/>
    <d v="2025-09-16T00:00:00"/>
    <x v="12"/>
    <s v="Sept-2025"/>
    <s v="Q3-2025"/>
    <s v="Asia"/>
    <x v="2"/>
    <s v="Osaka"/>
    <s v="Corporate"/>
    <s v="Distributor"/>
    <s v="C. Otieno"/>
    <x v="3"/>
    <s v="PHN-1197"/>
    <n v="1225.57"/>
    <s v="High"/>
    <n v="2705.57"/>
    <n v="0.183"/>
    <n v="16"/>
    <n v="14842.34096"/>
    <n v="19609.12"/>
    <n v="-4766.7790399999994"/>
    <n v="-0.32116086356232038"/>
  </r>
  <r>
    <x v="18"/>
    <d v="2025-07-20T00:00:00"/>
    <d v="2025-08-05T00:00:00"/>
    <x v="13"/>
    <s v="Jul-2025"/>
    <s v="Q3-2025"/>
    <s v="Americas"/>
    <x v="5"/>
    <s v="Brasília"/>
    <s v="Enterprise"/>
    <s v="Marketplace"/>
    <s v="G. Dubois"/>
    <x v="6"/>
    <s v="ACC-8098"/>
    <n v="1068.17"/>
    <s v="High"/>
    <n v="2375.37"/>
    <n v="0.109"/>
    <n v="18"/>
    <n v="15979.62168"/>
    <n v="19227.060000000001"/>
    <n v="-3247.4383200000011"/>
    <n v="-0.20322372988745258"/>
  </r>
  <r>
    <x v="19"/>
    <d v="2025-05-21T00:00:00"/>
    <d v="2025-05-19T00:00:00"/>
    <x v="6"/>
    <s v="May-2025"/>
    <s v="Q2-2025"/>
    <s v="Europe"/>
    <x v="8"/>
    <s v="Birmingham"/>
    <s v="Enterprise"/>
    <s v="Online"/>
    <s v="M. Rossi"/>
    <x v="4"/>
    <s v="LAP-3385"/>
    <n v="1015.16"/>
    <s v="High"/>
    <n v="2148.14"/>
    <n v="3.7999999999999999E-2"/>
    <n v="19"/>
    <n v="25535.279900000001"/>
    <n v="19288.04"/>
    <n v="6247.2399000000005"/>
    <n v="0.24465131866441769"/>
  </r>
  <r>
    <x v="20"/>
    <d v="2024-07-25T00:00:00"/>
    <d v="2024-07-24T00:00:00"/>
    <x v="1"/>
    <s v="Jul-2024"/>
    <s v="Q3-2024"/>
    <s v="Africa"/>
    <x v="0"/>
    <s v="Mombasa"/>
    <s v="Non-Profit"/>
    <s v="Direct"/>
    <s v="J. Njeri"/>
    <x v="4"/>
    <s v="LAP-9815"/>
    <n v="1494.4"/>
    <s v="High"/>
    <n v="3661.07"/>
    <n v="7.1999999999999995E-2"/>
    <n v="7"/>
    <n v="3565.5894400000002"/>
    <n v="10460.800000000001"/>
    <n v="-6895.2105600000014"/>
    <n v="-1.9338206700544864"/>
  </r>
  <r>
    <x v="21"/>
    <d v="2023-05-11T00:00:00"/>
    <d v="2023-05-28T00:00:00"/>
    <x v="14"/>
    <s v="May-2023"/>
    <s v="Q2-2023"/>
    <s v="Asia"/>
    <x v="9"/>
    <s v="Shenzhen"/>
    <s v="Enterprise"/>
    <s v="Marketplace"/>
    <s v="E. Garcia"/>
    <x v="2"/>
    <s v="NET-3255"/>
    <n v="1331.19"/>
    <s v="High"/>
    <n v="2903.09"/>
    <n v="0.14299999999999999"/>
    <n v="8"/>
    <n v="24160.543999999998"/>
    <n v="10649.52"/>
    <n v="13511.023999999998"/>
    <n v="0.55921853415221112"/>
  </r>
  <r>
    <x v="22"/>
    <d v="2025-06-14T00:00:00"/>
    <d v="2025-06-29T00:00:00"/>
    <x v="15"/>
    <s v="Jun-2025"/>
    <s v="Q2-2025"/>
    <s v="Africa"/>
    <x v="1"/>
    <s v="Port Harcourt"/>
    <s v="Consumer"/>
    <s v="Marketplace"/>
    <s v="M. Rossi"/>
    <x v="6"/>
    <s v="ACC-3961"/>
    <n v="730.99"/>
    <s v="High"/>
    <n v="1242.8399999999999"/>
    <n v="0.12"/>
    <n v="10"/>
    <n v="16065.367999999999"/>
    <n v="7309.9"/>
    <n v="8755.4679999999989"/>
    <n v="0.54499019256826231"/>
  </r>
  <r>
    <x v="23"/>
    <d v="2024-05-18T00:00:00"/>
    <d v="2024-05-23T00:00:00"/>
    <x v="16"/>
    <s v="May-2024"/>
    <s v="Q2-2024"/>
    <s v="Americas"/>
    <x v="10"/>
    <s v="Chicago"/>
    <s v="Enterprise"/>
    <s v="Retail"/>
    <s v="H. Kim"/>
    <x v="4"/>
    <s v="LAP-4987"/>
    <n v="1274.5899999999999"/>
    <s v="High"/>
    <n v="2553.69"/>
    <n v="0.01"/>
    <n v="8"/>
    <n v="14187.650399999999"/>
    <n v="10196.719999999999"/>
    <n v="3990.9303999999993"/>
    <n v="0.28129607704458237"/>
  </r>
  <r>
    <x v="24"/>
    <d v="2023-02-07T00:00:00"/>
    <d v="2023-02-12T00:00:00"/>
    <x v="16"/>
    <s v="Feb-2023"/>
    <s v="Q1-2023"/>
    <s v="Americas"/>
    <x v="5"/>
    <s v="São Paulo"/>
    <s v="Education"/>
    <s v="Online"/>
    <s v="N. Brown"/>
    <x v="0"/>
    <s v="CMP-2693"/>
    <n v="948.55"/>
    <s v="High"/>
    <n v="2089.16"/>
    <n v="7.0000000000000001E-3"/>
    <n v="12"/>
    <n v="31336.100999999999"/>
    <n v="11382.599999999999"/>
    <n v="19953.501"/>
    <n v="0.63675761703729516"/>
  </r>
  <r>
    <x v="25"/>
    <d v="2024-06-30T00:00:00"/>
    <d v="2024-07-14T00:00:00"/>
    <x v="17"/>
    <s v="Jun-2024"/>
    <s v="Q2-2024"/>
    <s v="Americas"/>
    <x v="5"/>
    <s v="Brasília"/>
    <s v="Education"/>
    <s v="Retail"/>
    <s v="C. Otieno"/>
    <x v="6"/>
    <s v="ACC-8683"/>
    <n v="1491.85"/>
    <s v="High"/>
    <n v="2583.02"/>
    <n v="0.16800000000000001"/>
    <n v="4"/>
    <n v="353.76639999999998"/>
    <n v="5967.4"/>
    <n v="-5613.6335999999992"/>
    <n v="-15.868193248426079"/>
  </r>
  <r>
    <x v="26"/>
    <d v="2024-11-30T00:00:00"/>
    <d v="2024-12-30T00:00:00"/>
    <x v="18"/>
    <s v="Nov-2024"/>
    <s v="Q4-2024"/>
    <s v="Europe"/>
    <x v="7"/>
    <s v="Marseille"/>
    <s v="Consumer"/>
    <s v="Marketplace"/>
    <s v="F. Müller"/>
    <x v="1"/>
    <s v="PRN-4170"/>
    <n v="117.64"/>
    <s v="Medium"/>
    <n v="175.67"/>
    <n v="0"/>
    <n v="10"/>
    <n v="3857.2000000000003"/>
    <n v="1176.4000000000001"/>
    <n v="2680.8"/>
    <n v="0.69501192574924819"/>
  </r>
  <r>
    <x v="27"/>
    <d v="2024-07-19T00:00:00"/>
    <d v="2024-07-19T00:00:00"/>
    <x v="18"/>
    <s v="Jul-2024"/>
    <s v="Q3-2024"/>
    <s v="Africa"/>
    <x v="0"/>
    <s v="Kisumu"/>
    <s v="Small Business"/>
    <s v="Retail"/>
    <s v="A. Patel"/>
    <x v="3"/>
    <s v="PHN-6854"/>
    <n v="857.24"/>
    <s v="High"/>
    <n v="758.23"/>
    <n v="0.125"/>
    <n v="6"/>
    <n v="1243.5675000000001"/>
    <n v="5143.4400000000005"/>
    <n v="-3899.8725000000004"/>
    <n v="-3.1360360414694015"/>
  </r>
  <r>
    <x v="28"/>
    <d v="2023-04-14T00:00:00"/>
    <d v="2023-05-14T00:00:00"/>
    <x v="18"/>
    <s v="Apr-2023"/>
    <s v="Q2-2023"/>
    <s v="Africa"/>
    <x v="0"/>
    <s v="Nakuru"/>
    <s v="Consumer"/>
    <s v="Marketplace"/>
    <s v="M. Rossi"/>
    <x v="3"/>
    <s v="PHN-1784"/>
    <n v="209.25"/>
    <s v="High"/>
    <n v="434.8"/>
    <n v="0"/>
    <n v="9"/>
    <n v="377.09999999999997"/>
    <n v="1883.25"/>
    <n v="-1506.15"/>
    <n v="-3.9940334128878288"/>
  </r>
  <r>
    <x v="29"/>
    <d v="2025-04-07T00:00:00"/>
    <d v="2025-04-11T00:00:00"/>
    <x v="3"/>
    <s v="Apr-2025"/>
    <s v="Q2-2025"/>
    <s v="Europe"/>
    <x v="7"/>
    <s v="Lyon"/>
    <s v="Education"/>
    <s v="Retail"/>
    <s v="E. Garcia"/>
    <x v="2"/>
    <s v="NET-9716"/>
    <n v="754.77"/>
    <s v="High"/>
    <n v="1666.18"/>
    <n v="0.13900000000000001"/>
    <n v="14"/>
    <n v="11781.338519999999"/>
    <n v="10566.779999999999"/>
    <n v="1214.5585200000005"/>
    <n v="0.10309172577786183"/>
  </r>
  <r>
    <x v="30"/>
    <d v="2024-12-27T00:00:00"/>
    <d v="2025-01-15T00:00:00"/>
    <x v="7"/>
    <s v="Dec-2024"/>
    <s v="Q4-2024"/>
    <s v="Asia"/>
    <x v="4"/>
    <s v="Delhi"/>
    <s v="Non-Profit"/>
    <s v="Distributor"/>
    <s v="G. Dubois"/>
    <x v="0"/>
    <s v="CMP-6919"/>
    <n v="495.59"/>
    <s v="High"/>
    <n v="631.78"/>
    <n v="8.6999999999999994E-2"/>
    <n v="17"/>
    <n v="43367.691729999999"/>
    <n v="8425.0299999999988"/>
    <n v="34942.66173"/>
    <n v="0.8057302645376464"/>
  </r>
  <r>
    <x v="31"/>
    <d v="2023-02-23T00:00:00"/>
    <d v="2023-03-25T00:00:00"/>
    <x v="6"/>
    <s v="Feb-2023"/>
    <s v="Q1-2023"/>
    <s v="Americas"/>
    <x v="3"/>
    <s v="Montreal"/>
    <s v="Enterprise"/>
    <s v="Online"/>
    <s v="D. Smith"/>
    <x v="3"/>
    <s v="PHN-4854"/>
    <n v="1242.6600000000001"/>
    <s v="High"/>
    <n v="1794.07"/>
    <n v="8.8999999999999996E-2"/>
    <n v="16"/>
    <n v="10231.623200000002"/>
    <n v="19882.560000000001"/>
    <n v="-9650.9367999999995"/>
    <n v="-0.94324591624914389"/>
  </r>
  <r>
    <x v="32"/>
    <d v="2025-07-24T00:00:00"/>
    <d v="2025-08-06T00:00:00"/>
    <x v="19"/>
    <s v="Jul-2025"/>
    <s v="Q3-2025"/>
    <s v="Africa"/>
    <x v="11"/>
    <s v="Johannesburg"/>
    <s v="Education"/>
    <s v="Marketplace"/>
    <s v="D. Smith"/>
    <x v="2"/>
    <s v="NET-7966"/>
    <n v="1463.9"/>
    <s v="High"/>
    <n v="2633.02"/>
    <n v="8.4000000000000005E-2"/>
    <n v="4"/>
    <n v="-19.309279999999998"/>
    <n v="5855.6"/>
    <n v="-5874.9092800000008"/>
    <n v="304.25315081660227"/>
  </r>
  <r>
    <x v="33"/>
    <d v="2024-04-18T00:00:00"/>
    <d v="2024-05-08T00:00:00"/>
    <x v="9"/>
    <s v="Apr-2024"/>
    <s v="Q2-2024"/>
    <s v="Europe"/>
    <x v="8"/>
    <s v="London"/>
    <s v="Non-Profit"/>
    <s v="Not Provided"/>
    <s v="D. Smith"/>
    <x v="4"/>
    <s v="LAP-9932"/>
    <n v="645.33000000000004"/>
    <s v="High"/>
    <n v="1321.85"/>
    <n v="0"/>
    <n v="10"/>
    <n v="14370.599999999999"/>
    <n v="6453.3"/>
    <n v="7917.2999999999984"/>
    <n v="0.55093733038286496"/>
  </r>
  <r>
    <x v="34"/>
    <d v="2024-08-23T00:00:00"/>
    <d v="2024-08-21T00:00:00"/>
    <x v="6"/>
    <s v="Aug-2024"/>
    <s v="Q3-2024"/>
    <s v="Africa"/>
    <x v="11"/>
    <s v="Johannesburg"/>
    <s v="Education"/>
    <s v="Retail"/>
    <s v="E. Garcia"/>
    <x v="0"/>
    <s v="CMP-1559"/>
    <n v="1432.52"/>
    <s v="High"/>
    <n v="3036.87"/>
    <n v="0"/>
    <n v="9"/>
    <n v="17207.010000000002"/>
    <n v="12892.68"/>
    <n v="4314.3300000000017"/>
    <n v="0.25073095209452434"/>
  </r>
  <r>
    <x v="35"/>
    <d v="2023-03-27T00:00:00"/>
    <d v="2023-04-22T00:00:00"/>
    <x v="0"/>
    <s v="Mar-2023"/>
    <s v="Q1-2023"/>
    <s v="Asia"/>
    <x v="4"/>
    <s v="Delhi"/>
    <s v="Non-Profit"/>
    <s v="Marketplace"/>
    <s v="J. Njeri"/>
    <x v="1"/>
    <s v="PRN-4506"/>
    <n v="178.53"/>
    <s v="Medium"/>
    <n v="199.37"/>
    <n v="0.10100000000000001"/>
    <n v="37"/>
    <n v="86276.904139999999"/>
    <n v="6605.61"/>
    <n v="79671.294139999998"/>
    <n v="0.92343709981432354"/>
  </r>
  <r>
    <x v="36"/>
    <d v="2024-03-07T00:00:00"/>
    <d v="2024-03-25T00:00:00"/>
    <x v="5"/>
    <s v="Mar-2024"/>
    <s v="Q1-2024"/>
    <s v="Europe"/>
    <x v="6"/>
    <s v="Munich"/>
    <s v="Corporate"/>
    <s v="Online"/>
    <s v="B. Chen"/>
    <x v="0"/>
    <s v="CMP-7617"/>
    <n v="712.84"/>
    <s v="High"/>
    <n v="927.51"/>
    <n v="0.24299999999999999"/>
    <n v="27"/>
    <n v="25427.751119999997"/>
    <n v="19246.68"/>
    <n v="6181.0711199999969"/>
    <n v="0.24308367227718869"/>
  </r>
  <r>
    <x v="37"/>
    <d v="2025-06-24T00:00:00"/>
    <d v="2025-07-10T00:00:00"/>
    <x v="13"/>
    <s v="Jun-2025"/>
    <s v="Q2-2025"/>
    <s v="Asia"/>
    <x v="9"/>
    <s v="Shanghai"/>
    <s v="Enterprise"/>
    <s v="Direct"/>
    <s v="N. Brown"/>
    <x v="0"/>
    <s v="CMP-8390"/>
    <n v="757.19"/>
    <s v="High"/>
    <n v="1735.41"/>
    <n v="0.13600000000000001"/>
    <n v="8"/>
    <n v="13219.269119999999"/>
    <n v="6057.52"/>
    <n v="7161.7491199999986"/>
    <n v="0.54176589151700383"/>
  </r>
  <r>
    <x v="38"/>
    <d v="2024-04-19T00:00:00"/>
    <d v="2024-05-06T00:00:00"/>
    <x v="14"/>
    <s v="Apr-2024"/>
    <s v="Q2-2024"/>
    <s v="Africa"/>
    <x v="1"/>
    <s v="Port Harcourt"/>
    <s v="Non-Profit"/>
    <s v="Online"/>
    <s v="A. Patel"/>
    <x v="1"/>
    <s v="PRN-7303"/>
    <n v="865.33"/>
    <s v="High"/>
    <n v="1395.64"/>
    <n v="0.17499999999999999"/>
    <n v="13"/>
    <n v="8106.7057499999992"/>
    <n v="11249.29"/>
    <n v="-3142.5842500000017"/>
    <n v="-0.38765243822991874"/>
  </r>
  <r>
    <x v="39"/>
    <d v="2023-06-17T00:00:00"/>
    <d v="2023-06-24T00:00:00"/>
    <x v="20"/>
    <s v="Jun-2023"/>
    <s v="Q2-2023"/>
    <s v="Americas"/>
    <x v="10"/>
    <s v="San Francisco"/>
    <s v="Corporate"/>
    <s v="Retail"/>
    <s v="I. Johnson"/>
    <x v="1"/>
    <s v="PRN-6536"/>
    <n v="313.99"/>
    <s v="High"/>
    <n v="454.42"/>
    <n v="0.129"/>
    <n v="9"/>
    <n v="8980.9071300000014"/>
    <n v="2825.91"/>
    <n v="6154.9971300000016"/>
    <n v="0.68534247608904963"/>
  </r>
  <r>
    <x v="40"/>
    <d v="2024-08-27T00:00:00"/>
    <d v="2024-09-19T00:00:00"/>
    <x v="21"/>
    <s v="Aug-2024"/>
    <s v="Q3-2024"/>
    <s v="Europe"/>
    <x v="6"/>
    <s v="Berlin"/>
    <s v="Small Business"/>
    <s v="Direct"/>
    <s v="D. Smith"/>
    <x v="5"/>
    <s v="MON-9967"/>
    <n v="1024.01"/>
    <s v="High"/>
    <n v="1580.97"/>
    <n v="3.6999999999999998E-2"/>
    <n v="27"/>
    <n v="32087.834099999996"/>
    <n v="27648.27"/>
    <n v="4439.564099999996"/>
    <n v="0.13835661472707492"/>
  </r>
  <r>
    <x v="41"/>
    <d v="2024-01-11T00:00:00"/>
    <d v="2024-02-02T00:00:00"/>
    <x v="22"/>
    <s v="Jan-2024"/>
    <s v="Q1-2024"/>
    <s v="Africa"/>
    <x v="11"/>
    <s v="Durban"/>
    <s v="Consumer"/>
    <s v="Online"/>
    <s v="K. Singh"/>
    <x v="2"/>
    <s v="NET-1412"/>
    <n v="1206.2"/>
    <s v="High"/>
    <n v="1759.79"/>
    <n v="0"/>
    <n v="6"/>
    <n v="7368.0599999999995"/>
    <n v="7237.2000000000007"/>
    <n v="130.85999999999876"/>
    <n v="1.7760441690214082E-2"/>
  </r>
  <r>
    <x v="42"/>
    <d v="2024-10-25T00:00:00"/>
    <d v="2024-11-14T00:00:00"/>
    <x v="9"/>
    <s v="Oct-2024"/>
    <s v="Q4-2024"/>
    <s v="Africa"/>
    <x v="0"/>
    <s v="Mombasa"/>
    <s v="Corporate"/>
    <s v="Direct"/>
    <s v="H. Kim"/>
    <x v="1"/>
    <s v="PRN-3143"/>
    <n v="1396.48"/>
    <s v="High"/>
    <n v="3204.5"/>
    <n v="0.318"/>
    <n v="14"/>
    <n v="5778.7360400000007"/>
    <n v="19550.72"/>
    <n v="-13771.983960000001"/>
    <n v="-2.3832173445319715"/>
  </r>
  <r>
    <x v="43"/>
    <d v="2025-05-29T00:00:00"/>
    <d v="2025-06-20T00:00:00"/>
    <x v="22"/>
    <s v="May-2025"/>
    <s v="Q2-2025"/>
    <s v="Europe"/>
    <x v="6"/>
    <s v="Berlin"/>
    <s v="Corporate"/>
    <s v="Direct"/>
    <s v="A. Patel"/>
    <x v="1"/>
    <s v="PRN-9787"/>
    <n v="483.47"/>
    <s v="High"/>
    <n v="1135.43"/>
    <n v="0.14599999999999999"/>
    <n v="11"/>
    <n v="17662.129100000002"/>
    <n v="5318.17"/>
    <n v="12343.959100000002"/>
    <n v="0.6988941723905755"/>
  </r>
  <r>
    <x v="44"/>
    <d v="2024-05-20T00:00:00"/>
    <d v="2024-06-02T00:00:00"/>
    <x v="19"/>
    <s v="May-2024"/>
    <s v="Q2-2024"/>
    <s v="Americas"/>
    <x v="3"/>
    <s v="Vancouver"/>
    <s v="Enterprise"/>
    <s v="Marketplace"/>
    <s v="K. Singh"/>
    <x v="0"/>
    <s v="CMP-5946"/>
    <n v="675.43"/>
    <s v="High"/>
    <n v="996.36"/>
    <n v="0.182"/>
    <n v="22"/>
    <n v="22844.122400000004"/>
    <n v="14859.46"/>
    <n v="7984.6624000000047"/>
    <n v="0.34952808692707771"/>
  </r>
  <r>
    <x v="45"/>
    <d v="2023-04-19T00:00:00"/>
    <d v="2023-04-30T00:00:00"/>
    <x v="23"/>
    <s v="Apr-2023"/>
    <s v="Q2-2023"/>
    <s v="Asia"/>
    <x v="4"/>
    <s v="Delhi"/>
    <s v="Small Business"/>
    <s v="Retail"/>
    <s v="A. Patel"/>
    <x v="2"/>
    <s v="NET-2062"/>
    <n v="826.55"/>
    <s v="High"/>
    <n v="1397.05"/>
    <n v="0.16900000000000001"/>
    <n v="28"/>
    <n v="14447.799239999997"/>
    <n v="23143.399999999998"/>
    <n v="-8695.6007600000012"/>
    <n v="-0.6018633437212686"/>
  </r>
  <r>
    <x v="46"/>
    <d v="2023-06-23T00:00:00"/>
    <d v="2023-07-03T00:00:00"/>
    <x v="24"/>
    <s v="Jun-2023"/>
    <s v="Q2-2023"/>
    <s v="Africa"/>
    <x v="1"/>
    <s v="Abuja"/>
    <s v="Consumer"/>
    <s v="Online"/>
    <s v="J. Njeri"/>
    <x v="1"/>
    <s v="PRN-2542"/>
    <n v="337.75"/>
    <s v="High"/>
    <n v="548.89"/>
    <n v="0"/>
    <n v="13"/>
    <n v="18926.830000000002"/>
    <n v="4390.75"/>
    <n v="14536.080000000002"/>
    <n v="0.76801450639119173"/>
  </r>
  <r>
    <x v="47"/>
    <d v="2024-05-14T00:00:00"/>
    <d v="2024-05-28T00:00:00"/>
    <x v="17"/>
    <s v="May-2024"/>
    <s v="Q2-2024"/>
    <s v="Europe"/>
    <x v="8"/>
    <s v="Birmingham"/>
    <s v="Consumer"/>
    <s v="Retail"/>
    <s v="B. Chen"/>
    <x v="2"/>
    <s v="NET-2365"/>
    <n v="1421.14"/>
    <s v="High"/>
    <n v="3524"/>
    <n v="0"/>
    <n v="31"/>
    <n v="16939.329999999998"/>
    <n v="44055.340000000004"/>
    <n v="-27116.010000000006"/>
    <n v="-1.6007722855626527"/>
  </r>
  <r>
    <x v="48"/>
    <d v="2024-10-14T00:00:00"/>
    <d v="2024-11-08T00:00:00"/>
    <x v="2"/>
    <s v="Oct-2024"/>
    <s v="Q4-2024"/>
    <s v="Africa"/>
    <x v="1"/>
    <s v="Lagos"/>
    <s v="Enterprise"/>
    <s v="Online"/>
    <s v="O. Wang"/>
    <x v="2"/>
    <s v="NET-5268"/>
    <n v="859.35"/>
    <s v="High"/>
    <n v="1825.61"/>
    <n v="0.187"/>
    <n v="24"/>
    <n v="26300.615040000001"/>
    <n v="20624.400000000001"/>
    <n v="5676.2150399999991"/>
    <n v="0.21582061983596865"/>
  </r>
  <r>
    <x v="49"/>
    <d v="2023-07-10T00:00:00"/>
    <d v="2023-08-01T00:00:00"/>
    <x v="22"/>
    <s v="Jul-2023"/>
    <s v="Q3-2023"/>
    <s v="Europe"/>
    <x v="7"/>
    <s v="Marseille"/>
    <s v="Consumer"/>
    <s v="Marketplace"/>
    <s v="B. Chen"/>
    <x v="1"/>
    <s v="PRN-1504"/>
    <n v="1303.56"/>
    <s v="High"/>
    <n v="1791.37"/>
    <n v="0.126"/>
    <n v="22"/>
    <n v="21312.892040000002"/>
    <n v="28678.32"/>
    <n v="-7365.4279599999973"/>
    <n v="-0.34558557075110097"/>
  </r>
  <r>
    <x v="50"/>
    <d v="2024-11-06T00:00:00"/>
    <d v="2024-11-22T00:00:00"/>
    <x v="13"/>
    <s v="Nov-2024"/>
    <s v="Q4-2024"/>
    <s v="Americas"/>
    <x v="3"/>
    <s v="Toronto"/>
    <s v="Non-Profit"/>
    <s v="Distributor"/>
    <s v="D. Smith"/>
    <x v="6"/>
    <s v="ACC-6348"/>
    <n v="1454.11"/>
    <s v="High"/>
    <n v="2629.75"/>
    <n v="0.29199999999999998"/>
    <n v="8"/>
    <n v="17808.182399999998"/>
    <n v="11632.88"/>
    <n v="6175.3023999999987"/>
    <n v="0.34676769707839467"/>
  </r>
  <r>
    <x v="51"/>
    <d v="2024-10-17T00:00:00"/>
    <d v="2024-11-06T00:00:00"/>
    <x v="9"/>
    <s v="Oct-2024"/>
    <s v="Q4-2024"/>
    <s v="Asia"/>
    <x v="4"/>
    <s v="Bengaluru"/>
    <s v="Enterprise"/>
    <s v="Distributor"/>
    <s v="O. Wang"/>
    <x v="5"/>
    <s v="MON-4330"/>
    <n v="72.94"/>
    <s v="Medium"/>
    <n v="106.3"/>
    <n v="0.29499999999999998"/>
    <n v="8"/>
    <n v="11819.917200000002"/>
    <n v="583.52"/>
    <n v="11236.397200000001"/>
    <n v="0.95063247989588284"/>
  </r>
  <r>
    <x v="52"/>
    <d v="2023-03-31T00:00:00"/>
    <d v="2023-04-05T00:00:00"/>
    <x v="16"/>
    <s v="Mar-2023"/>
    <s v="Q1-2023"/>
    <s v="Africa"/>
    <x v="0"/>
    <s v="Nakuru"/>
    <s v="Education"/>
    <s v="Marketplace"/>
    <s v="B. Chen"/>
    <x v="4"/>
    <s v="LAP-7819"/>
    <n v="533.26"/>
    <s v="High"/>
    <n v="385.72"/>
    <n v="0"/>
    <n v="15"/>
    <n v="10554.3"/>
    <n v="7998.9"/>
    <n v="2555.3999999999996"/>
    <n v="0.24211932577243397"/>
  </r>
  <r>
    <x v="53"/>
    <d v="2025-01-21T00:00:00"/>
    <d v="2025-02-16T00:00:00"/>
    <x v="0"/>
    <s v="Jan-2025"/>
    <s v="Q1-2025"/>
    <s v="Europe"/>
    <x v="7"/>
    <s v="Lyon"/>
    <s v="Corporate"/>
    <s v="Distributor"/>
    <s v="O. Wang"/>
    <x v="4"/>
    <s v="LAP-3779"/>
    <n v="204.11"/>
    <s v="High"/>
    <n v="236.87"/>
    <n v="0.182"/>
    <n v="13"/>
    <n v="21238.118460000002"/>
    <n v="2653.4300000000003"/>
    <n v="18584.688460000001"/>
    <n v="0.87506284961177294"/>
  </r>
  <r>
    <x v="54"/>
    <d v="2023-08-30T00:00:00"/>
    <d v="2023-09-01T00:00:00"/>
    <x v="6"/>
    <s v="Aug-2023"/>
    <s v="Q3-2023"/>
    <s v="Europe"/>
    <x v="6"/>
    <s v="Munich"/>
    <s v="Corporate"/>
    <s v="Direct"/>
    <s v="N. Brown"/>
    <x v="2"/>
    <s v="NET-9989"/>
    <n v="44.42"/>
    <s v="Low"/>
    <n v="41.9"/>
    <n v="0.14399999999999999"/>
    <n v="6"/>
    <n v="14195.647199999998"/>
    <n v="266.52"/>
    <n v="13929.127199999997"/>
    <n v="0.9812252307876459"/>
  </r>
  <r>
    <x v="55"/>
    <d v="2025-04-06T00:00:00"/>
    <d v="2025-04-30T00:00:00"/>
    <x v="10"/>
    <s v="Apr-2025"/>
    <s v="Q2-2025"/>
    <s v="Americas"/>
    <x v="5"/>
    <s v="Brasília"/>
    <s v="Education"/>
    <s v="Online"/>
    <s v="K. Singh"/>
    <x v="5"/>
    <s v="MON-4925"/>
    <n v="855.78"/>
    <s v="High"/>
    <n v="977.38"/>
    <n v="0.14699999999999999"/>
    <n v="38"/>
    <n v="48735.421419999999"/>
    <n v="32519.64"/>
    <n v="16215.781419999999"/>
    <n v="0.33273091619036216"/>
  </r>
  <r>
    <x v="56"/>
    <d v="2025-02-09T00:00:00"/>
    <d v="2025-03-01T00:00:00"/>
    <x v="9"/>
    <s v="Feb-2025"/>
    <s v="Q1-2025"/>
    <s v="Americas"/>
    <x v="5"/>
    <s v="São Paulo"/>
    <s v="Corporate"/>
    <s v="Distributor"/>
    <s v="B. Chen"/>
    <x v="4"/>
    <s v="LAP-6989"/>
    <n v="1154.6400000000001"/>
    <s v="High"/>
    <n v="2794.13"/>
    <n v="3.5000000000000003E-2"/>
    <n v="11"/>
    <n v="4119.0446000000002"/>
    <n v="12701.04"/>
    <n v="-8581.9953999999998"/>
    <n v="-2.0834917398078185"/>
  </r>
  <r>
    <x v="57"/>
    <d v="2024-12-17T00:00:00"/>
    <d v="2024-12-18T00:00:00"/>
    <x v="1"/>
    <s v="Dec-2024"/>
    <s v="Q4-2024"/>
    <s v="Europe"/>
    <x v="6"/>
    <s v="Munich"/>
    <s v="Education"/>
    <s v="Retail"/>
    <s v="L. Okafor"/>
    <x v="6"/>
    <s v="ACC-5780"/>
    <n v="346.82"/>
    <s v="High"/>
    <n v="701.95"/>
    <n v="0.14699999999999999"/>
    <n v="8"/>
    <n v="304.14567999999997"/>
    <n v="2774.56"/>
    <n v="-2470.4143199999999"/>
    <n v="-8.122470521363315"/>
  </r>
  <r>
    <x v="58"/>
    <d v="2025-06-09T00:00:00"/>
    <d v="2025-06-18T00:00:00"/>
    <x v="25"/>
    <s v="Jun-2025"/>
    <s v="Q2-2025"/>
    <s v="Europe"/>
    <x v="7"/>
    <s v="Marseille"/>
    <s v="Small Business"/>
    <s v="Marketplace"/>
    <s v="H. Kim"/>
    <x v="6"/>
    <s v="ACC-1770"/>
    <n v="1225.5"/>
    <s v="Low"/>
    <n v="-5.27"/>
    <n v="7.4999999999999997E-2"/>
    <n v="56"/>
    <n v="93667.868000000002"/>
    <n v="68628"/>
    <n v="25039.868000000002"/>
    <n v="0.2673261229774121"/>
  </r>
  <r>
    <x v="59"/>
    <d v="2025-05-02T00:00:00"/>
    <d v="2025-05-13T00:00:00"/>
    <x v="23"/>
    <s v="May-2025"/>
    <s v="Q2-2025"/>
    <s v="Africa"/>
    <x v="0"/>
    <s v="Nakuru"/>
    <s v="Small Business"/>
    <s v="Online"/>
    <s v="A. Patel"/>
    <x v="6"/>
    <s v="ACC-2252"/>
    <n v="1057.5999999999999"/>
    <s v="High"/>
    <n v="1437.06"/>
    <n v="0.20499999999999999"/>
    <n v="4"/>
    <n v="4086.5861999999997"/>
    <n v="4230.3999999999996"/>
    <n v="-143.8137999999999"/>
    <n v="-3.5191671718560573E-2"/>
  </r>
  <r>
    <x v="60"/>
    <d v="2024-03-10T00:00:00"/>
    <d v="2024-04-09T00:00:00"/>
    <x v="26"/>
    <s v="Mar-2024"/>
    <s v="Q1-2024"/>
    <s v="Europe"/>
    <x v="7"/>
    <s v="Lyon"/>
    <s v="Corporate"/>
    <s v="Direct"/>
    <s v="I. Johnson"/>
    <x v="0"/>
    <s v="CMP-8002"/>
    <n v="1176.56"/>
    <s v="High"/>
    <n v="1911.89"/>
    <n v="0.11899999999999999"/>
    <n v="20"/>
    <n v="29568.826800000003"/>
    <n v="23531.199999999997"/>
    <n v="6037.6268000000055"/>
    <n v="0.20418891966319086"/>
  </r>
  <r>
    <x v="61"/>
    <d v="2025-09-10T00:00:00"/>
    <d v="2025-09-12T00:00:00"/>
    <x v="6"/>
    <s v="Sept-2025"/>
    <s v="Q3-2025"/>
    <s v="Asia"/>
    <x v="2"/>
    <s v="Tokyo"/>
    <s v="Consumer"/>
    <s v="Online"/>
    <s v="O. Wang"/>
    <x v="0"/>
    <s v="CMP-6971"/>
    <n v="1470.15"/>
    <s v="High"/>
    <n v="2593.7800000000002"/>
    <n v="0.11"/>
    <n v="12"/>
    <n v="7255.4580000000005"/>
    <n v="17641.800000000003"/>
    <n v="-10386.342000000002"/>
    <n v="-1.4315212078961799"/>
  </r>
  <r>
    <x v="62"/>
    <d v="2025-04-27T00:00:00"/>
    <d v="2025-05-25T00:00:00"/>
    <x v="27"/>
    <s v="Apr-2025"/>
    <s v="Q2-2025"/>
    <s v="Europe"/>
    <x v="7"/>
    <s v="Paris"/>
    <s v="Small Business"/>
    <s v="Marketplace"/>
    <s v="I. Johnson"/>
    <x v="3"/>
    <s v="PHN-8350"/>
    <n v="603.45000000000005"/>
    <s v="High"/>
    <n v="1244.08"/>
    <n v="0.2"/>
    <n v="11"/>
    <n v="9767.2960000000003"/>
    <n v="6637.9500000000007"/>
    <n v="3129.3459999999995"/>
    <n v="0.32039020830330106"/>
  </r>
  <r>
    <x v="63"/>
    <d v="2024-11-02T00:00:00"/>
    <d v="2024-11-18T00:00:00"/>
    <x v="13"/>
    <s v="Nov-2024"/>
    <s v="Q4-2024"/>
    <s v="Asia"/>
    <x v="4"/>
    <s v="Mumbai"/>
    <s v="Small Business"/>
    <s v="Distributor"/>
    <s v="O. Wang"/>
    <x v="5"/>
    <s v="MON-5188"/>
    <n v="1233.58"/>
    <s v="High"/>
    <n v="1912.51"/>
    <n v="0.255"/>
    <n v="51"/>
    <n v="3175.2421499999996"/>
    <n v="62912.579999999994"/>
    <n v="-59737.337849999996"/>
    <n v="-18.813474698299782"/>
  </r>
  <r>
    <x v="64"/>
    <d v="2023-02-15T00:00:00"/>
    <d v="2023-02-26T00:00:00"/>
    <x v="23"/>
    <s v="Feb-2023"/>
    <s v="Q1-2023"/>
    <s v="Africa"/>
    <x v="11"/>
    <s v="Johannesburg"/>
    <s v="Non-Profit"/>
    <s v="Retail"/>
    <s v="K. Singh"/>
    <x v="4"/>
    <s v="LAP-3393"/>
    <n v="498.5"/>
    <s v="High"/>
    <n v="755.87"/>
    <n v="0.13"/>
    <n v="40"/>
    <n v="44693.64"/>
    <n v="19940"/>
    <n v="24753.64"/>
    <n v="0.55385150996875621"/>
  </r>
  <r>
    <x v="65"/>
    <d v="2023-12-03T00:00:00"/>
    <d v="2023-12-26T00:00:00"/>
    <x v="21"/>
    <s v="Dec-2023"/>
    <s v="Q4-2023"/>
    <s v="Americas"/>
    <x v="5"/>
    <s v="Rio de Janeiro"/>
    <s v="Education"/>
    <s v="Retail"/>
    <s v="O. Wang"/>
    <x v="3"/>
    <s v="PHN-4644"/>
    <n v="1303.1099999999999"/>
    <s v="High"/>
    <n v="1145.67"/>
    <n v="0.184"/>
    <n v="13"/>
    <n v="9671.5257600000004"/>
    <n v="16940.43"/>
    <n v="-7268.9042399999998"/>
    <n v="-0.75157781929952694"/>
  </r>
  <r>
    <x v="66"/>
    <d v="2023-03-19T00:00:00"/>
    <d v="2023-04-09T00:00:00"/>
    <x v="28"/>
    <s v="Mar-2023"/>
    <s v="Q1-2023"/>
    <s v="Europe"/>
    <x v="8"/>
    <s v="Manchester"/>
    <s v="Consumer"/>
    <s v="Retail"/>
    <s v="L. Okafor"/>
    <x v="6"/>
    <s v="ACC-9150"/>
    <n v="1082.17"/>
    <s v="High"/>
    <n v="1234.0999999999999"/>
    <n v="0.189"/>
    <n v="16"/>
    <n v="18232.188319999997"/>
    <n v="17314.72"/>
    <n v="917.46831999999631"/>
    <n v="5.0321349467061474E-2"/>
  </r>
  <r>
    <x v="67"/>
    <d v="2024-05-22T00:00:00"/>
    <d v="2024-06-06T00:00:00"/>
    <x v="15"/>
    <s v="May-2024"/>
    <s v="Q2-2024"/>
    <s v="Asia"/>
    <x v="2"/>
    <s v="Nagoya"/>
    <s v="Corporate"/>
    <s v="Distributor"/>
    <s v="C. Otieno"/>
    <x v="5"/>
    <s v="MON-6870"/>
    <n v="673.88"/>
    <s v="High"/>
    <n v="1228.01"/>
    <n v="0.105"/>
    <n v="13"/>
    <n v="11273.616900000001"/>
    <n v="8760.44"/>
    <n v="2513.1769000000004"/>
    <n v="0.22292551913840536"/>
  </r>
  <r>
    <x v="68"/>
    <d v="2023-08-19T00:00:00"/>
    <d v="2023-09-07T00:00:00"/>
    <x v="7"/>
    <s v="Aug-2023"/>
    <s v="Q3-2023"/>
    <s v="Africa"/>
    <x v="11"/>
    <s v="Johannesburg"/>
    <s v="Enterprise"/>
    <s v="Retail"/>
    <s v="D. Smith"/>
    <x v="5"/>
    <s v="MON-2296"/>
    <n v="494.61"/>
    <s v="High"/>
    <n v="605.23"/>
    <n v="0.20399999999999999"/>
    <n v="18"/>
    <n v="15600.46968"/>
    <n v="8902.98"/>
    <n v="6697.4896800000006"/>
    <n v="0.42931333590464055"/>
  </r>
  <r>
    <x v="69"/>
    <d v="2023-04-21T00:00:00"/>
    <d v="2023-05-10T00:00:00"/>
    <x v="7"/>
    <s v="Apr-2023"/>
    <s v="Q2-2023"/>
    <s v="Asia"/>
    <x v="9"/>
    <s v="Shanghai"/>
    <s v="Corporate"/>
    <s v="Retail"/>
    <s v="A. Patel"/>
    <x v="0"/>
    <s v="CMP-7371"/>
    <n v="882.33"/>
    <s v="High"/>
    <n v="1880.15"/>
    <n v="0.05"/>
    <n v="5"/>
    <n v="11803.702499999998"/>
    <n v="4411.6500000000005"/>
    <n v="7392.0524999999971"/>
    <n v="0.6262486283435218"/>
  </r>
  <r>
    <x v="70"/>
    <d v="2024-03-18T00:00:00"/>
    <d v="2024-03-21T00:00:00"/>
    <x v="4"/>
    <s v="Mar-2024"/>
    <s v="Q1-2024"/>
    <s v="Europe"/>
    <x v="6"/>
    <s v="Munich"/>
    <s v="Small Business"/>
    <s v="Online"/>
    <s v="M. Rossi"/>
    <x v="6"/>
    <s v="ACC-2761"/>
    <n v="910.63"/>
    <s v="High"/>
    <n v="1269.4000000000001"/>
    <n v="6.8000000000000005E-2"/>
    <n v="9"/>
    <n v="240.65172000000001"/>
    <n v="8195.67"/>
    <n v="-7955.0182800000002"/>
    <n v="-33.05614553679483"/>
  </r>
  <r>
    <x v="71"/>
    <d v="2025-04-09T00:00:00"/>
    <d v="2025-05-06T00:00:00"/>
    <x v="29"/>
    <s v="Apr-2025"/>
    <s v="Q2-2025"/>
    <s v="Americas"/>
    <x v="5"/>
    <s v="Brasília"/>
    <s v="Enterprise"/>
    <s v="Marketplace"/>
    <s v="F. Müller"/>
    <x v="4"/>
    <s v="LAP-4517"/>
    <n v="264.19"/>
    <s v="High"/>
    <n v="620.92999999999995"/>
    <n v="0.14199999999999999"/>
    <n v="12"/>
    <n v="19527.59952"/>
    <n v="3170.2799999999997"/>
    <n v="16357.319520000001"/>
    <n v="0.83765132028885447"/>
  </r>
  <r>
    <x v="72"/>
    <d v="2024-04-12T00:00:00"/>
    <d v="2024-05-07T00:00:00"/>
    <x v="2"/>
    <s v="Apr-2024"/>
    <s v="Q2-2024"/>
    <s v="Africa"/>
    <x v="11"/>
    <s v="Johannesburg"/>
    <s v="Education"/>
    <s v="Distributor"/>
    <s v="A. Patel"/>
    <x v="4"/>
    <s v="LAP-8489"/>
    <n v="1376.51"/>
    <s v="High"/>
    <n v="1455.91"/>
    <n v="0.185"/>
    <n v="17"/>
    <n v="5807.6003499999997"/>
    <n v="23400.67"/>
    <n v="-17593.069649999998"/>
    <n v="-3.0293182364037841"/>
  </r>
  <r>
    <x v="73"/>
    <d v="2024-12-15T00:00:00"/>
    <d v="2024-12-20T00:00:00"/>
    <x v="16"/>
    <s v="Dec-2024"/>
    <s v="Q4-2024"/>
    <s v="Asia"/>
    <x v="9"/>
    <s v="Shenzhen"/>
    <s v="Small Business"/>
    <s v="Direct"/>
    <s v="J. Njeri"/>
    <x v="2"/>
    <s v="NET-1846"/>
    <n v="717.55"/>
    <s v="High"/>
    <n v="546.42999999999995"/>
    <n v="4.7E-2"/>
    <n v="18"/>
    <n v="34328.070179999995"/>
    <n v="12915.9"/>
    <n v="21412.170179999994"/>
    <n v="0.62375106050893059"/>
  </r>
  <r>
    <x v="74"/>
    <d v="2023-05-20T00:00:00"/>
    <d v="2023-05-18T00:00:00"/>
    <x v="6"/>
    <s v="May-2023"/>
    <s v="Q2-2023"/>
    <s v="Africa"/>
    <x v="11"/>
    <s v="Durban"/>
    <s v="Corporate"/>
    <s v="Distributor"/>
    <s v="A. Patel"/>
    <x v="0"/>
    <s v="CMP-5208"/>
    <n v="917.88"/>
    <s v="High"/>
    <n v="1347.92"/>
    <n v="0.34300000000000003"/>
    <n v="5"/>
    <n v="10198.97235"/>
    <n v="4589.3999999999996"/>
    <n v="5609.5723500000004"/>
    <n v="0.55001348738826616"/>
  </r>
  <r>
    <x v="75"/>
    <d v="2023-09-18T00:00:00"/>
    <d v="2023-10-08T00:00:00"/>
    <x v="9"/>
    <s v="Sept-2023"/>
    <s v="Q3-2023"/>
    <s v="Asia"/>
    <x v="4"/>
    <s v="Delhi"/>
    <s v="Small Business"/>
    <s v="Direct"/>
    <s v="B. Chen"/>
    <x v="0"/>
    <s v="CMP-1009"/>
    <n v="825.64"/>
    <s v="High"/>
    <n v="1108.43"/>
    <n v="0.114"/>
    <n v="7"/>
    <n v="2073.2045600000001"/>
    <n v="5779.48"/>
    <n v="-3706.2754399999994"/>
    <n v="-1.7877036890175464"/>
  </r>
  <r>
    <x v="76"/>
    <d v="2024-08-28T00:00:00"/>
    <d v="2024-09-25T00:00:00"/>
    <x v="27"/>
    <s v="Aug-2024"/>
    <s v="Q3-2024"/>
    <s v="Americas"/>
    <x v="5"/>
    <s v="Rio de Janeiro"/>
    <s v="Non-Profit"/>
    <s v="Online"/>
    <s v="Not Provided"/>
    <x v="6"/>
    <s v="ACC-4490"/>
    <n v="1394.65"/>
    <s v="High"/>
    <n v="3144.1"/>
    <n v="0.13400000000000001"/>
    <n v="13"/>
    <n v="21984.960139999999"/>
    <n v="18130.45"/>
    <n v="3854.5101399999985"/>
    <n v="0.17532486370020767"/>
  </r>
  <r>
    <x v="77"/>
    <d v="2024-06-30T00:00:00"/>
    <d v="2024-06-28T00:00:00"/>
    <x v="6"/>
    <s v="Jun-2024"/>
    <s v="Q2-2024"/>
    <s v="Americas"/>
    <x v="5"/>
    <s v="Rio de Janeiro"/>
    <s v="Small Business"/>
    <s v="Direct"/>
    <s v="L. Okafor"/>
    <x v="6"/>
    <s v="ACC-9162"/>
    <n v="1112.98"/>
    <s v="High"/>
    <n v="2095.73"/>
    <n v="7.1999999999999995E-2"/>
    <n v="17"/>
    <n v="3822.3670400000005"/>
    <n v="18920.66"/>
    <n v="-15098.292959999999"/>
    <n v="-3.9499851275402365"/>
  </r>
  <r>
    <x v="78"/>
    <d v="2023-06-14T00:00:00"/>
    <d v="2023-06-16T00:00:00"/>
    <x v="6"/>
    <s v="Jun-2023"/>
    <s v="Q2-2023"/>
    <s v="Europe"/>
    <x v="8"/>
    <s v="Manchester"/>
    <s v="Non-Profit"/>
    <s v="Direct"/>
    <s v="K. Singh"/>
    <x v="0"/>
    <s v="CMP-5820"/>
    <n v="357.36"/>
    <s v="High"/>
    <n v="703.62"/>
    <n v="0.25700000000000001"/>
    <n v="20"/>
    <n v="44117.408199999998"/>
    <n v="7147.2000000000007"/>
    <n v="36970.208199999994"/>
    <n v="0.83799592288832592"/>
  </r>
  <r>
    <x v="79"/>
    <d v="2024-11-21T00:00:00"/>
    <d v="2024-12-21T00:00:00"/>
    <x v="18"/>
    <s v="Nov-2024"/>
    <s v="Q4-2024"/>
    <s v="Europe"/>
    <x v="7"/>
    <s v="Marseille"/>
    <s v="Small Business"/>
    <s v="Direct"/>
    <s v="I. Johnson"/>
    <x v="5"/>
    <s v="MON-7943"/>
    <n v="1122.68"/>
    <s v="High"/>
    <n v="1997.19"/>
    <n v="0.186"/>
    <n v="3"/>
    <n v="3404.8806"/>
    <n v="3368.04"/>
    <n v="36.840599999999995"/>
    <n v="1.081993888420052E-2"/>
  </r>
  <r>
    <x v="80"/>
    <d v="2023-02-08T00:00:00"/>
    <d v="2023-02-11T00:00:00"/>
    <x v="4"/>
    <s v="Feb-2023"/>
    <s v="Q1-2023"/>
    <s v="Africa"/>
    <x v="11"/>
    <s v="Cape Town"/>
    <s v="Corporate"/>
    <s v="Direct"/>
    <s v="M. Rossi"/>
    <x v="2"/>
    <s v="NET-5018"/>
    <n v="1410.05"/>
    <s v="High"/>
    <n v="2763.95"/>
    <n v="0.161"/>
    <n v="26"/>
    <n v="336.15374000000003"/>
    <n v="36661.299999999996"/>
    <n v="-36325.146259999994"/>
    <n v="-108.06110995522462"/>
  </r>
  <r>
    <x v="81"/>
    <d v="2023-08-19T00:00:00"/>
    <d v="2023-09-12T00:00:00"/>
    <x v="10"/>
    <s v="Aug-2023"/>
    <s v="Q3-2023"/>
    <s v="Americas"/>
    <x v="3"/>
    <s v="Vancouver"/>
    <s v="Enterprise"/>
    <s v="Retail"/>
    <s v="I. Johnson"/>
    <x v="1"/>
    <s v="PRN-9669"/>
    <n v="1183.95"/>
    <s v="High"/>
    <n v="1503.53"/>
    <n v="0.24099999999999999"/>
    <n v="16"/>
    <n v="27333.836640000001"/>
    <n v="18943.2"/>
    <n v="8390.6366400000006"/>
    <n v="0.30696885879976488"/>
  </r>
  <r>
    <x v="82"/>
    <d v="2025-05-14T00:00:00"/>
    <d v="2025-05-24T00:00:00"/>
    <x v="24"/>
    <s v="May-2025"/>
    <s v="Q2-2025"/>
    <s v="Europe"/>
    <x v="7"/>
    <s v="Paris"/>
    <s v="Small Business"/>
    <s v="Marketplace"/>
    <s v="K. Singh"/>
    <x v="0"/>
    <s v="CMP-2865"/>
    <n v="170.39"/>
    <s v="High"/>
    <n v="388.04"/>
    <n v="8.4000000000000005E-2"/>
    <n v="15"/>
    <n v="2281.3896"/>
    <n v="2555.85"/>
    <n v="-274.46039999999994"/>
    <n v="-0.12030404627074653"/>
  </r>
  <r>
    <x v="83"/>
    <d v="2025-04-23T00:00:00"/>
    <d v="2025-04-22T00:00:00"/>
    <x v="1"/>
    <s v="Apr-2025"/>
    <s v="Q2-2025"/>
    <s v="Americas"/>
    <x v="10"/>
    <s v="San Francisco"/>
    <s v="Non-Profit"/>
    <s v="Distributor"/>
    <s v="D. Smith"/>
    <x v="5"/>
    <s v="MON-3371"/>
    <n v="23.24"/>
    <s v="Low"/>
    <n v="44.57"/>
    <n v="0.215"/>
    <n v="15"/>
    <n v="4198.3762500000003"/>
    <n v="348.59999999999997"/>
    <n v="3849.7762500000003"/>
    <n v="0.91696789919674304"/>
  </r>
  <r>
    <x v="84"/>
    <d v="2025-03-25T00:00:00"/>
    <d v="2025-04-17T00:00:00"/>
    <x v="21"/>
    <s v="Mar-2025"/>
    <s v="Q1-2025"/>
    <s v="Europe"/>
    <x v="8"/>
    <s v="London"/>
    <s v="Consumer"/>
    <s v="Retail"/>
    <s v="H. Kim"/>
    <x v="2"/>
    <s v="NET-7166"/>
    <n v="1421.19"/>
    <s v="High"/>
    <n v="1808.26"/>
    <n v="0.104"/>
    <n v="13"/>
    <n v="11939.7824"/>
    <n v="18475.47"/>
    <n v="-6535.6876000000011"/>
    <n v="-0.54738749677716081"/>
  </r>
  <r>
    <x v="85"/>
    <d v="2023-12-22T00:00:00"/>
    <d v="2023-12-23T00:00:00"/>
    <x v="1"/>
    <s v="Dec-2023"/>
    <s v="Q4-2023"/>
    <s v="Africa"/>
    <x v="11"/>
    <s v="Cape Town"/>
    <s v="Non-Profit"/>
    <s v="Marketplace"/>
    <s v="D. Smith"/>
    <x v="0"/>
    <s v="CMP-4531"/>
    <n v="1186.18"/>
    <s v="High"/>
    <n v="1285.0899999999999"/>
    <n v="7.0000000000000007E-2"/>
    <n v="11"/>
    <n v="18364.589100000001"/>
    <n v="13047.980000000001"/>
    <n v="5316.6090999999997"/>
    <n v="0.28950329740838032"/>
  </r>
  <r>
    <x v="86"/>
    <d v="2024-04-06T00:00:00"/>
    <d v="2024-04-25T00:00:00"/>
    <x v="7"/>
    <s v="Apr-2024"/>
    <s v="Q2-2024"/>
    <s v="Asia"/>
    <x v="9"/>
    <s v="Shanghai"/>
    <s v="Corporate"/>
    <s v="Retail"/>
    <s v="K. Singh"/>
    <x v="0"/>
    <s v="CMP-8196"/>
    <n v="1366.48"/>
    <s v="High"/>
    <n v="1678.14"/>
    <n v="0.154"/>
    <n v="10"/>
    <n v="36.970199999999998"/>
    <n v="13664.8"/>
    <n v="-13627.8298"/>
    <n v="-368.61661013464897"/>
  </r>
  <r>
    <x v="87"/>
    <d v="2025-08-07T00:00:00"/>
    <d v="2025-08-19T00:00:00"/>
    <x v="8"/>
    <s v="Aug-2025"/>
    <s v="Q3-2025"/>
    <s v="Africa"/>
    <x v="0"/>
    <s v="Nakuru"/>
    <s v="Corporate"/>
    <s v="Not Provided"/>
    <s v="M. Rossi"/>
    <x v="0"/>
    <s v="CMP-2854"/>
    <n v="601.51"/>
    <s v="High"/>
    <n v="679.35"/>
    <n v="0.188"/>
    <n v="3"/>
    <n v="532.26600000000008"/>
    <n v="1804.53"/>
    <n v="-1272.2639999999999"/>
    <n v="-2.3902785449380568"/>
  </r>
  <r>
    <x v="88"/>
    <d v="2024-01-21T00:00:00"/>
    <d v="2024-01-25T00:00:00"/>
    <x v="3"/>
    <s v="Jan-2024"/>
    <s v="Q1-2024"/>
    <s v="Asia"/>
    <x v="4"/>
    <s v="Delhi"/>
    <s v="Consumer"/>
    <s v="Direct"/>
    <s v="C. Otieno"/>
    <x v="5"/>
    <s v="MON-8973"/>
    <n v="523.70000000000005"/>
    <s v="High"/>
    <n v="1109.92"/>
    <n v="0.03"/>
    <n v="11"/>
    <n v="2666.1129000000001"/>
    <n v="5760.7000000000007"/>
    <n v="-3094.5871000000006"/>
    <n v="-1.160711198689298"/>
  </r>
  <r>
    <x v="89"/>
    <d v="2023-06-29T00:00:00"/>
    <d v="2023-07-02T00:00:00"/>
    <x v="4"/>
    <s v="Jun-2023"/>
    <s v="Q2-2023"/>
    <s v="Asia"/>
    <x v="2"/>
    <s v="Nagoya"/>
    <s v="Education"/>
    <s v="Marketplace"/>
    <s v="F. Müller"/>
    <x v="5"/>
    <s v="MON-2990"/>
    <n v="55.65"/>
    <s v="Medium"/>
    <n v="83.57"/>
    <n v="6.6000000000000003E-2"/>
    <n v="8"/>
    <n v="25677.677439999999"/>
    <n v="445.2"/>
    <n v="25232.477439999999"/>
    <n v="0.98266198331059018"/>
  </r>
  <r>
    <x v="90"/>
    <d v="2025-04-28T00:00:00"/>
    <d v="2025-05-15T00:00:00"/>
    <x v="14"/>
    <s v="Apr-2025"/>
    <s v="Q2-2025"/>
    <s v="Asia"/>
    <x v="2"/>
    <s v="Nagoya"/>
    <s v="Education"/>
    <s v="Direct"/>
    <s v="N. Brown"/>
    <x v="2"/>
    <s v="NET-1966"/>
    <n v="691.19"/>
    <s v="High"/>
    <n v="1284.3"/>
    <n v="7.3999999999999996E-2"/>
    <n v="7"/>
    <n v="346.46290000000005"/>
    <n v="4838.33"/>
    <n v="-4491.8670999999995"/>
    <n v="-12.964929578318483"/>
  </r>
  <r>
    <x v="91"/>
    <d v="2025-06-09T00:00:00"/>
    <d v="2025-06-25T00:00:00"/>
    <x v="13"/>
    <s v="Jun-2025"/>
    <s v="Q2-2025"/>
    <s v="Asia"/>
    <x v="4"/>
    <s v="Hyderabad"/>
    <s v="Enterprise"/>
    <s v="Distributor"/>
    <s v="M. Rossi"/>
    <x v="3"/>
    <s v="PHN-3482"/>
    <n v="527.33000000000004"/>
    <s v="High"/>
    <n v="911.72"/>
    <n v="0.14399999999999999"/>
    <n v="25"/>
    <n v="74251.58"/>
    <n v="13183.250000000002"/>
    <n v="61068.33"/>
    <n v="0.82245158958233622"/>
  </r>
  <r>
    <x v="92"/>
    <d v="2023-06-24T00:00:00"/>
    <d v="2023-06-23T00:00:00"/>
    <x v="1"/>
    <s v="Jun-2023"/>
    <s v="Q2-2023"/>
    <s v="Americas"/>
    <x v="5"/>
    <s v="Rio de Janeiro"/>
    <s v="Non-Profit"/>
    <s v="Retail"/>
    <s v="E. Garcia"/>
    <x v="1"/>
    <s v="PRN-6490"/>
    <n v="804.01"/>
    <s v="High"/>
    <n v="1405.07"/>
    <n v="9.6000000000000002E-2"/>
    <n v="8"/>
    <n v="4491.2166399999996"/>
    <n v="6432.08"/>
    <n v="-1940.8633600000003"/>
    <n v="-0.43214645731273393"/>
  </r>
  <r>
    <x v="93"/>
    <d v="2024-10-04T00:00:00"/>
    <d v="2024-11-02T00:00:00"/>
    <x v="11"/>
    <s v="Oct-2024"/>
    <s v="Q4-2024"/>
    <s v="Africa"/>
    <x v="1"/>
    <s v="Abuja"/>
    <s v="Corporate"/>
    <s v="Distributor"/>
    <s v="F. Müller"/>
    <x v="6"/>
    <s v="ACC-9038"/>
    <n v="412.09"/>
    <s v="High"/>
    <n v="968.94"/>
    <n v="9.9000000000000005E-2"/>
    <n v="23"/>
    <n v="1834.19273"/>
    <n v="9478.07"/>
    <n v="-7643.87727"/>
    <n v="-4.1674340678473847"/>
  </r>
  <r>
    <x v="94"/>
    <d v="2025-09-10T00:00:00"/>
    <d v="2025-09-30T00:00:00"/>
    <x v="9"/>
    <s v="Sept-2025"/>
    <s v="Q3-2025"/>
    <s v="Africa"/>
    <x v="0"/>
    <s v="Mombasa"/>
    <s v="Corporate"/>
    <s v="Direct"/>
    <s v="L. Okafor"/>
    <x v="3"/>
    <s v="PHN-6954"/>
    <n v="1009.48"/>
    <s v="High"/>
    <n v="1088.81"/>
    <n v="0.16"/>
    <n v="6"/>
    <n v="9873.8135999999995"/>
    <n v="6056.88"/>
    <n v="3816.9335999999994"/>
    <n v="0.38657136488782812"/>
  </r>
  <r>
    <x v="95"/>
    <d v="2023-04-06T00:00:00"/>
    <d v="2023-04-27T00:00:00"/>
    <x v="28"/>
    <s v="Apr-2023"/>
    <s v="Q2-2023"/>
    <s v="Europe"/>
    <x v="8"/>
    <s v="Manchester"/>
    <s v="Enterprise"/>
    <s v="Distributor"/>
    <s v="I. Johnson"/>
    <x v="1"/>
    <s v="PRN-8970"/>
    <n v="1084.79"/>
    <s v="High"/>
    <n v="2484.9899999999998"/>
    <n v="3.4000000000000002E-2"/>
    <n v="18"/>
    <n v="47694.762360000001"/>
    <n v="19526.22"/>
    <n v="28168.542359999999"/>
    <n v="0.59060032939013052"/>
  </r>
  <r>
    <x v="96"/>
    <d v="2025-08-01T00:00:00"/>
    <d v="2025-08-16T00:00:00"/>
    <x v="15"/>
    <s v="Aug-2025"/>
    <s v="Q3-2025"/>
    <s v="Asia"/>
    <x v="4"/>
    <s v="Not Provided"/>
    <s v="Enterprise"/>
    <s v="Direct"/>
    <s v="O. Wang"/>
    <x v="5"/>
    <s v="MON-1822"/>
    <n v="24.44"/>
    <s v="Low"/>
    <n v="28.69"/>
    <n v="0.14599999999999999"/>
    <n v="6"/>
    <n v="8605.3480799999998"/>
    <n v="146.64000000000001"/>
    <n v="8458.7080800000003"/>
    <n v="0.98295943422197984"/>
  </r>
  <r>
    <x v="97"/>
    <d v="2024-05-28T00:00:00"/>
    <d v="2024-05-26T00:00:00"/>
    <x v="6"/>
    <s v="May-2024"/>
    <s v="Q2-2024"/>
    <s v="Africa"/>
    <x v="1"/>
    <s v="Abuja"/>
    <s v="Enterprise"/>
    <s v="Online"/>
    <s v="F. Müller"/>
    <x v="6"/>
    <s v="ACC-5177"/>
    <n v="1227.08"/>
    <s v="High"/>
    <n v="1896.62"/>
    <n v="0"/>
    <n v="18"/>
    <n v="25810.2"/>
    <n v="22087.439999999999"/>
    <n v="3722.760000000002"/>
    <n v="0.14423599972104059"/>
  </r>
  <r>
    <x v="98"/>
    <d v="2025-07-22T00:00:00"/>
    <d v="2025-08-18T00:00:00"/>
    <x v="29"/>
    <s v="Jul-2025"/>
    <s v="Q3-2025"/>
    <s v="Asia"/>
    <x v="9"/>
    <s v="Shenzhen"/>
    <s v="Non-Profit"/>
    <s v="Marketplace"/>
    <s v="M. Rossi"/>
    <x v="2"/>
    <s v="NET-1804"/>
    <n v="547.32000000000005"/>
    <s v="High"/>
    <n v="419.17"/>
    <n v="9.1999999999999998E-2"/>
    <n v="14"/>
    <n v="3615.67416"/>
    <n v="7662.4800000000005"/>
    <n v="-4046.8058400000004"/>
    <n v="-1.1192396385630061"/>
  </r>
  <r>
    <x v="99"/>
    <d v="2023-02-28T00:00:00"/>
    <d v="2023-03-20T00:00:00"/>
    <x v="9"/>
    <s v="Feb-2023"/>
    <s v="Q1-2023"/>
    <s v="Europe"/>
    <x v="6"/>
    <s v="Berlin"/>
    <s v="Small Business"/>
    <s v="Direct"/>
    <s v="H. Kim"/>
    <x v="4"/>
    <s v="LAP-3679"/>
    <n v="1200.78"/>
    <s v="High"/>
    <n v="2001.17"/>
    <n v="0.29199999999999998"/>
    <n v="18"/>
    <n v="8854.276319999999"/>
    <n v="21614.04"/>
    <n v="-12759.763680000002"/>
    <n v="-1.4410848745682701"/>
  </r>
  <r>
    <x v="100"/>
    <d v="2025-01-27T00:00:00"/>
    <d v="2025-02-15T00:00:00"/>
    <x v="7"/>
    <s v="Jan-2025"/>
    <s v="Q1-2025"/>
    <s v="Asia"/>
    <x v="9"/>
    <s v="Shenzhen"/>
    <s v="Non-Profit"/>
    <s v="Direct"/>
    <s v="L. Okafor"/>
    <x v="3"/>
    <s v="PHN-8368"/>
    <n v="1253.22"/>
    <s v="High"/>
    <n v="3104.71"/>
    <n v="0"/>
    <n v="17"/>
    <n v="31422.63"/>
    <n v="21304.74"/>
    <n v="10117.89"/>
    <n v="0.3219937350883742"/>
  </r>
  <r>
    <x v="101"/>
    <d v="2024-01-13T00:00:00"/>
    <d v="2024-01-22T00:00:00"/>
    <x v="25"/>
    <s v="Jan-2024"/>
    <s v="Q1-2024"/>
    <s v="Asia"/>
    <x v="4"/>
    <s v="Mumbai"/>
    <s v="Enterprise"/>
    <s v="Marketplace"/>
    <s v="J. Njeri"/>
    <x v="0"/>
    <s v="CMP-8141"/>
    <n v="313.60000000000002"/>
    <s v="High"/>
    <n v="334.28"/>
    <n v="0.14000000000000001"/>
    <n v="22"/>
    <n v="854.99479999999994"/>
    <n v="6899.2000000000007"/>
    <n v="-6044.2052000000003"/>
    <n v="-7.0692888424584579"/>
  </r>
  <r>
    <x v="102"/>
    <d v="2025-03-31T00:00:00"/>
    <d v="2025-04-04T00:00:00"/>
    <x v="3"/>
    <s v="Mar-2025"/>
    <s v="Q1-2025"/>
    <s v="Africa"/>
    <x v="0"/>
    <s v="Nakuru"/>
    <s v="Corporate"/>
    <s v="Direct"/>
    <s v="C. Otieno"/>
    <x v="4"/>
    <s v="LAP-7136"/>
    <n v="862.08"/>
    <s v="High"/>
    <n v="1952.83"/>
    <n v="0"/>
    <n v="7"/>
    <n v="2527.7000000000003"/>
    <n v="6034.56"/>
    <n v="-3506.86"/>
    <n v="-1.3873719191359732"/>
  </r>
  <r>
    <x v="103"/>
    <d v="2024-12-05T00:00:00"/>
    <d v="2024-12-28T00:00:00"/>
    <x v="21"/>
    <s v="Dec-2024"/>
    <s v="Q4-2024"/>
    <s v="Americas"/>
    <x v="3"/>
    <s v="Vancouver"/>
    <s v="Corporate"/>
    <s v="Direct"/>
    <s v="F. Müller"/>
    <x v="6"/>
    <s v="ACC-2386"/>
    <n v="107.03"/>
    <s v="High"/>
    <n v="242.29"/>
    <n v="0.18"/>
    <n v="30"/>
    <n v="24706.764000000003"/>
    <n v="3210.9"/>
    <n v="21495.864000000001"/>
    <n v="0.87003963772835646"/>
  </r>
  <r>
    <x v="104"/>
    <d v="2024-09-14T00:00:00"/>
    <d v="2024-10-05T00:00:00"/>
    <x v="28"/>
    <s v="Sept-2024"/>
    <s v="Q3-2024"/>
    <s v="Asia"/>
    <x v="9"/>
    <s v="Shanghai"/>
    <s v="Small Business"/>
    <s v="Online"/>
    <s v="H. Kim"/>
    <x v="4"/>
    <s v="LAP-5150"/>
    <n v="1405.56"/>
    <s v="High"/>
    <n v="2968.87"/>
    <n v="0.16900000000000001"/>
    <n v="5"/>
    <n v="4270.2181499999997"/>
    <n v="7027.7999999999993"/>
    <n v="-2757.5818499999996"/>
    <n v="-0.64577072016800818"/>
  </r>
  <r>
    <x v="105"/>
    <d v="2024-05-21T00:00:00"/>
    <d v="2024-05-27T00:00:00"/>
    <x v="30"/>
    <s v="May-2024"/>
    <s v="Q2-2024"/>
    <s v="Africa"/>
    <x v="11"/>
    <s v="Johannesburg"/>
    <s v="Non-Profit"/>
    <s v="Online"/>
    <s v="M. Rossi"/>
    <x v="0"/>
    <s v="CMP-8101"/>
    <n v="1157.51"/>
    <s v="High"/>
    <n v="1394.3"/>
    <n v="0.27800000000000002"/>
    <n v="12"/>
    <n v="4055.5317599999998"/>
    <n v="13890.119999999999"/>
    <n v="-9834.5882399999991"/>
    <n v="-2.4249811916156712"/>
  </r>
  <r>
    <x v="106"/>
    <d v="2023-05-11T00:00:00"/>
    <d v="2023-06-07T00:00:00"/>
    <x v="29"/>
    <s v="May-2023"/>
    <s v="Q2-2023"/>
    <s v="Africa"/>
    <x v="0"/>
    <s v="Mombasa"/>
    <s v="Corporate"/>
    <s v="Online"/>
    <s v="J. Njeri"/>
    <x v="3"/>
    <s v="PHN-8970"/>
    <n v="12.85"/>
    <s v="Low"/>
    <n v="15.41"/>
    <n v="0.13700000000000001"/>
    <n v="39"/>
    <n v="22483.549139999999"/>
    <n v="501.15"/>
    <n v="21982.399139999998"/>
    <n v="0.97771036961827273"/>
  </r>
  <r>
    <x v="107"/>
    <d v="2024-08-14T00:00:00"/>
    <d v="2024-09-04T00:00:00"/>
    <x v="28"/>
    <s v="Aug-2024"/>
    <s v="Q3-2024"/>
    <s v="Europe"/>
    <x v="8"/>
    <s v="Manchester"/>
    <s v="Non-Profit"/>
    <s v="Online"/>
    <s v="J. Njeri"/>
    <x v="3"/>
    <s v="PHN-2341"/>
    <n v="1138.8"/>
    <s v="High"/>
    <n v="2250.81"/>
    <n v="0.123"/>
    <n v="12"/>
    <n v="5654.22948"/>
    <n v="13665.599999999999"/>
    <n v="-8011.3705199999986"/>
    <n v="-1.4168810353979475"/>
  </r>
  <r>
    <x v="108"/>
    <d v="2024-10-16T00:00:00"/>
    <d v="2024-11-08T00:00:00"/>
    <x v="21"/>
    <s v="Oct-2024"/>
    <s v="Q4-2024"/>
    <s v="Asia"/>
    <x v="2"/>
    <s v="Osaka"/>
    <s v="Small Business"/>
    <s v="Retail"/>
    <s v="J. Njeri"/>
    <x v="2"/>
    <s v="NET-6387"/>
    <n v="82.14"/>
    <s v="Medium"/>
    <n v="166.04"/>
    <n v="0"/>
    <n v="10"/>
    <n v="5727.1"/>
    <n v="821.4"/>
    <n v="4905.7000000000007"/>
    <n v="0.85657662691414516"/>
  </r>
  <r>
    <x v="109"/>
    <d v="2024-06-02T00:00:00"/>
    <d v="2024-06-08T00:00:00"/>
    <x v="30"/>
    <s v="Jun-2024"/>
    <s v="Q2-2024"/>
    <s v="Africa"/>
    <x v="0"/>
    <s v="Kisumu"/>
    <s v="Consumer"/>
    <s v="Marketplace"/>
    <s v="A. Patel"/>
    <x v="6"/>
    <s v="ACC-9820"/>
    <n v="292.94"/>
    <s v="High"/>
    <n v="356.55"/>
    <n v="0.22900000000000001"/>
    <n v="2"/>
    <n v="3583.4075399999997"/>
    <n v="585.88"/>
    <n v="2997.5275399999996"/>
    <n v="0.83650199050482543"/>
  </r>
  <r>
    <x v="110"/>
    <d v="2024-06-09T00:00:00"/>
    <d v="2024-07-07T00:00:00"/>
    <x v="27"/>
    <s v="Jun-2024"/>
    <s v="Q2-2024"/>
    <s v="Asia"/>
    <x v="9"/>
    <s v="Shenzhen"/>
    <s v="Corporate"/>
    <s v="Online"/>
    <s v="J. Njeri"/>
    <x v="0"/>
    <s v="CMP-6392"/>
    <n v="550.22"/>
    <s v="High"/>
    <n v="1025.05"/>
    <n v="0"/>
    <n v="27"/>
    <n v="44038.080000000002"/>
    <n v="14855.94"/>
    <n v="29182.14"/>
    <n v="0.66265695507161071"/>
  </r>
  <r>
    <x v="111"/>
    <d v="2024-06-10T00:00:00"/>
    <d v="2024-06-11T00:00:00"/>
    <x v="1"/>
    <s v="Jun-2024"/>
    <s v="Q2-2024"/>
    <s v="Europe"/>
    <x v="8"/>
    <s v="Birmingham"/>
    <s v="Small Business"/>
    <s v="Marketplace"/>
    <s v="M. Rossi"/>
    <x v="4"/>
    <s v="LAP-9230"/>
    <n v="1187.1300000000001"/>
    <s v="High"/>
    <n v="1795.17"/>
    <n v="1.2E-2"/>
    <n v="17"/>
    <n v="6606.0347600000005"/>
    <n v="20181.210000000003"/>
    <n v="-13575.175240000002"/>
    <n v="-2.0549657598229172"/>
  </r>
  <r>
    <x v="112"/>
    <d v="2024-06-29T00:00:00"/>
    <d v="2024-07-26T00:00:00"/>
    <x v="29"/>
    <s v="Jun-2024"/>
    <s v="Q2-2024"/>
    <s v="Africa"/>
    <x v="11"/>
    <s v="Durban"/>
    <s v="Enterprise"/>
    <s v="Distributor"/>
    <s v="B. Chen"/>
    <x v="2"/>
    <s v="NET-4241"/>
    <n v="5.36"/>
    <s v="Low"/>
    <n v="4.37"/>
    <n v="0.11799999999999999"/>
    <n v="9"/>
    <n v="14734.198080000002"/>
    <n v="48.24"/>
    <n v="14685.958080000002"/>
    <n v="0.99672598401771995"/>
  </r>
  <r>
    <x v="113"/>
    <d v="2025-01-17T00:00:00"/>
    <d v="2025-01-24T00:00:00"/>
    <x v="20"/>
    <s v="Jan-2025"/>
    <s v="Q1-2025"/>
    <s v="Americas"/>
    <x v="10"/>
    <s v="Austin"/>
    <s v="Enterprise"/>
    <s v="Online"/>
    <s v="G. Dubois"/>
    <x v="6"/>
    <s v="ACC-4511"/>
    <n v="142.09"/>
    <s v="High"/>
    <n v="218.5"/>
    <n v="0.11899999999999999"/>
    <n v="11"/>
    <n v="822.7659000000001"/>
    <n v="1562.99"/>
    <n v="-740.22409999999991"/>
    <n v="-0.89967766043779862"/>
  </r>
  <r>
    <x v="114"/>
    <d v="2023-11-20T00:00:00"/>
    <d v="2023-12-05T00:00:00"/>
    <x v="15"/>
    <s v="Nov-2023"/>
    <s v="Q4-2023"/>
    <s v="Asia"/>
    <x v="2"/>
    <s v="Tokyo"/>
    <s v="Enterprise"/>
    <s v="Retail"/>
    <s v="L. Okafor"/>
    <x v="2"/>
    <s v="NET-3033"/>
    <n v="354.24"/>
    <s v="High"/>
    <n v="249.87"/>
    <n v="0"/>
    <n v="6"/>
    <n v="13513.439999999999"/>
    <n v="2125.44"/>
    <n v="11387.999999999998"/>
    <n v="0.84271658437821895"/>
  </r>
  <r>
    <x v="115"/>
    <d v="2023-03-02T00:00:00"/>
    <d v="2023-03-05T00:00:00"/>
    <x v="4"/>
    <s v="Mar-2023"/>
    <s v="Q1-2023"/>
    <s v="Americas"/>
    <x v="5"/>
    <s v="Brasília"/>
    <s v="Enterprise"/>
    <s v="Direct"/>
    <s v="G. Dubois"/>
    <x v="5"/>
    <s v="MON-2828"/>
    <n v="1473.58"/>
    <s v="High"/>
    <n v="3436.52"/>
    <n v="0.108"/>
    <n v="8"/>
    <n v="6576.6803200000004"/>
    <n v="11788.64"/>
    <n v="-5211.959679999999"/>
    <n v="-0.79249095689662452"/>
  </r>
  <r>
    <x v="116"/>
    <d v="2025-06-03T00:00:00"/>
    <d v="2025-06-10T00:00:00"/>
    <x v="20"/>
    <s v="Jun-2025"/>
    <s v="Q2-2025"/>
    <s v="Americas"/>
    <x v="3"/>
    <s v="Toronto"/>
    <s v="Consumer"/>
    <s v="Distributor"/>
    <s v="O. Wang"/>
    <x v="1"/>
    <s v="PRN-6429"/>
    <n v="75.180000000000007"/>
    <s v="Medium"/>
    <n v="53.45"/>
    <n v="0.157"/>
    <n v="17"/>
    <n v="23548.41258"/>
    <n v="1278.0600000000002"/>
    <n v="22270.352579999999"/>
    <n v="0.94572627791117114"/>
  </r>
  <r>
    <x v="117"/>
    <d v="2024-12-27T00:00:00"/>
    <d v="2025-01-02T00:00:00"/>
    <x v="30"/>
    <s v="Dec-2024"/>
    <s v="Q4-2024"/>
    <s v="Europe"/>
    <x v="6"/>
    <s v="Frankfurt"/>
    <s v="Education"/>
    <s v="Direct"/>
    <s v="F. Müller"/>
    <x v="4"/>
    <s v="LAP-8214"/>
    <n v="1391.99"/>
    <s v="High"/>
    <n v="3469.7"/>
    <n v="0.184"/>
    <n v="23"/>
    <n v="27535.846560000005"/>
    <n v="32015.77"/>
    <n v="-4479.923439999995"/>
    <n v="-0.16269423314218215"/>
  </r>
  <r>
    <x v="118"/>
    <d v="2023-06-09T00:00:00"/>
    <d v="2023-06-19T00:00:00"/>
    <x v="24"/>
    <s v="Jun-2023"/>
    <s v="Q2-2023"/>
    <s v="Asia"/>
    <x v="9"/>
    <s v="Beijing"/>
    <s v="Enterprise"/>
    <s v="Retail"/>
    <s v="F. Müller"/>
    <x v="5"/>
    <s v="MON-9194"/>
    <n v="339.61"/>
    <s v="High"/>
    <n v="621.02"/>
    <n v="7.0999999999999994E-2"/>
    <n v="10"/>
    <n v="9278.4804000000004"/>
    <n v="3396.1000000000004"/>
    <n v="5882.3804"/>
    <n v="0.63398101266668616"/>
  </r>
  <r>
    <x v="119"/>
    <d v="2025-07-09T00:00:00"/>
    <d v="2025-07-18T00:00:00"/>
    <x v="25"/>
    <s v="Jul-2025"/>
    <s v="Q3-2025"/>
    <s v="Americas"/>
    <x v="3"/>
    <s v="Vancouver"/>
    <s v="Education"/>
    <s v="Distributor"/>
    <s v="I. Johnson"/>
    <x v="4"/>
    <s v="LAP-2218"/>
    <n v="57.96"/>
    <s v="Medium"/>
    <n v="88.51"/>
    <n v="4.2999999999999997E-2"/>
    <n v="7"/>
    <n v="4225.1932799999995"/>
    <n v="405.72"/>
    <n v="3819.4732799999992"/>
    <n v="0.90397599041907017"/>
  </r>
  <r>
    <x v="120"/>
    <d v="2025-06-19T00:00:00"/>
    <d v="2025-07-12T00:00:00"/>
    <x v="21"/>
    <s v="Jun-2025"/>
    <s v="Q2-2025"/>
    <s v="Europe"/>
    <x v="8"/>
    <s v="Not Provided"/>
    <s v="Non-Profit"/>
    <s v="Direct"/>
    <s v="Not Provided"/>
    <x v="2"/>
    <s v="NET-6370"/>
    <n v="801.24"/>
    <s v="High"/>
    <n v="1959.09"/>
    <n v="0.123"/>
    <n v="23"/>
    <n v="14696.792309999999"/>
    <n v="18428.52"/>
    <n v="-3731.7276900000015"/>
    <n v="-0.25391443325091134"/>
  </r>
  <r>
    <x v="121"/>
    <d v="2023-11-19T00:00:00"/>
    <d v="2023-12-13T00:00:00"/>
    <x v="10"/>
    <s v="Nov-2023"/>
    <s v="Q4-2023"/>
    <s v="Europe"/>
    <x v="7"/>
    <s v="Lyon"/>
    <s v="Non-Profit"/>
    <s v="Direct"/>
    <s v="H. Kim"/>
    <x v="5"/>
    <s v="MON-3745"/>
    <n v="1297.42"/>
    <s v="High"/>
    <n v="2742.97"/>
    <n v="6.9000000000000006E-2"/>
    <n v="9"/>
    <n v="7972.7022900000002"/>
    <n v="11676.78"/>
    <n v="-3704.0777100000005"/>
    <n v="-0.46459501123551927"/>
  </r>
  <r>
    <x v="122"/>
    <d v="2023-12-29T00:00:00"/>
    <d v="2024-01-20T00:00:00"/>
    <x v="22"/>
    <s v="Dec-2023"/>
    <s v="Q4-2023"/>
    <s v="Africa"/>
    <x v="0"/>
    <s v="Kisumu"/>
    <s v="Corporate"/>
    <s v="Direct"/>
    <s v="L. Okafor"/>
    <x v="3"/>
    <s v="PHN-7924"/>
    <n v="1395.49"/>
    <s v="High"/>
    <n v="1679.42"/>
    <n v="0.20300000000000001"/>
    <n v="12"/>
    <n v="7009.2643199999993"/>
    <n v="16745.88"/>
    <n v="-9736.6156800000026"/>
    <n v="-1.3891066502111884"/>
  </r>
  <r>
    <x v="123"/>
    <d v="2024-11-02T00:00:00"/>
    <d v="2024-11-29T00:00:00"/>
    <x v="29"/>
    <s v="Nov-2024"/>
    <s v="Q4-2024"/>
    <s v="Americas"/>
    <x v="5"/>
    <s v="Brasília"/>
    <s v="Small Business"/>
    <s v="Direct"/>
    <s v="I. Johnson"/>
    <x v="2"/>
    <s v="NET-8561"/>
    <n v="1363.51"/>
    <s v="High"/>
    <n v="1433.9"/>
    <n v="5.7000000000000002E-2"/>
    <n v="8"/>
    <n v="18192.506879999997"/>
    <n v="10908.08"/>
    <n v="7284.4268799999973"/>
    <n v="0.4004080871343883"/>
  </r>
  <r>
    <x v="124"/>
    <d v="2023-08-21T00:00:00"/>
    <d v="2023-09-04T00:00:00"/>
    <x v="17"/>
    <s v="Aug-2023"/>
    <s v="Q3-2023"/>
    <s v="Americas"/>
    <x v="3"/>
    <s v="Montreal"/>
    <s v="Education"/>
    <s v="Distributor"/>
    <s v="F. Müller"/>
    <x v="0"/>
    <s v="CMP-2136"/>
    <n v="178.19"/>
    <s v="High"/>
    <n v="284.43"/>
    <n v="8.8999999999999996E-2"/>
    <n v="8"/>
    <n v="4141.6975199999997"/>
    <n v="1425.52"/>
    <n v="2716.1775199999997"/>
    <n v="0.65581262438498888"/>
  </r>
  <r>
    <x v="125"/>
    <d v="2023-08-12T00:00:00"/>
    <d v="2023-09-06T00:00:00"/>
    <x v="2"/>
    <s v="Aug-2023"/>
    <s v="Q3-2023"/>
    <s v="Asia"/>
    <x v="9"/>
    <s v="Shanghai"/>
    <s v="Small Business"/>
    <s v="Retail"/>
    <s v="B. Chen"/>
    <x v="0"/>
    <s v="CMP-6352"/>
    <n v="950.77"/>
    <s v="High"/>
    <n v="694.78"/>
    <n v="8.4000000000000005E-2"/>
    <n v="14"/>
    <n v="16093.478800000001"/>
    <n v="13310.779999999999"/>
    <n v="2782.6988000000019"/>
    <n v="0.17290847023081185"/>
  </r>
  <r>
    <x v="126"/>
    <d v="2024-06-07T00:00:00"/>
    <d v="2024-06-26T00:00:00"/>
    <x v="7"/>
    <s v="Jun-2024"/>
    <s v="Q2-2024"/>
    <s v="Europe"/>
    <x v="6"/>
    <s v="Berlin"/>
    <s v="Non-Profit"/>
    <s v="Marketplace"/>
    <s v="M. Rossi"/>
    <x v="0"/>
    <s v="CMP-2040"/>
    <n v="1064.32"/>
    <s v="High"/>
    <n v="1848.39"/>
    <n v="7.2999999999999995E-2"/>
    <n v="38"/>
    <n v="29785.344300000001"/>
    <n v="40444.159999999996"/>
    <n v="-10658.815699999996"/>
    <n v="-0.35785437269563458"/>
  </r>
  <r>
    <x v="127"/>
    <d v="2025-08-05T00:00:00"/>
    <d v="2025-08-14T00:00:00"/>
    <x v="25"/>
    <s v="Aug-2025"/>
    <s v="Q3-2025"/>
    <s v="Europe"/>
    <x v="8"/>
    <s v="London"/>
    <s v="Non-Profit"/>
    <s v="Direct"/>
    <s v="E. Garcia"/>
    <x v="0"/>
    <s v="CMP-6346"/>
    <n v="41.76"/>
    <s v="Low"/>
    <n v="45.19"/>
    <n v="0.17899999999999999"/>
    <n v="23"/>
    <n v="40507.245110000003"/>
    <n v="960.4799999999999"/>
    <n v="39546.76511"/>
    <n v="0.97628868619942533"/>
  </r>
  <r>
    <x v="128"/>
    <d v="2024-05-30T00:00:00"/>
    <d v="2024-06-13T00:00:00"/>
    <x v="17"/>
    <s v="May-2024"/>
    <s v="Q2-2024"/>
    <s v="Americas"/>
    <x v="10"/>
    <s v="San Francisco"/>
    <s v="Small Business"/>
    <s v="Retail"/>
    <s v="F. Müller"/>
    <x v="3"/>
    <s v="PHN-4356"/>
    <n v="157.78"/>
    <s v="High"/>
    <n v="361.1"/>
    <n v="0.187"/>
    <n v="9"/>
    <n v="9877.5109800000009"/>
    <n v="1420.02"/>
    <n v="8457.4909800000005"/>
    <n v="0.85623706185948478"/>
  </r>
  <r>
    <x v="129"/>
    <d v="2023-01-22T00:00:00"/>
    <d v="2023-01-30T00:00:00"/>
    <x v="12"/>
    <s v="Jan-2023"/>
    <s v="Q1-2023"/>
    <s v="Americas"/>
    <x v="10"/>
    <s v="San Francisco"/>
    <s v="Small Business"/>
    <s v="Online"/>
    <s v="A. Patel"/>
    <x v="2"/>
    <s v="NET-4155"/>
    <n v="413.52"/>
    <s v="High"/>
    <n v="1004.34"/>
    <n v="0.111"/>
    <n v="18"/>
    <n v="8440.7349599999998"/>
    <n v="7443.36"/>
    <n v="997.3749600000001"/>
    <n v="0.11816209900281008"/>
  </r>
  <r>
    <x v="130"/>
    <d v="2025-02-12T00:00:00"/>
    <d v="2025-02-28T00:00:00"/>
    <x v="13"/>
    <s v="Feb-2025"/>
    <s v="Q1-2025"/>
    <s v="Americas"/>
    <x v="5"/>
    <s v="São Paulo"/>
    <s v="Non-Profit"/>
    <s v="Direct"/>
    <s v="B. Chen"/>
    <x v="5"/>
    <s v="MON-5179"/>
    <n v="414.95"/>
    <s v="High"/>
    <n v="1027.73"/>
    <n v="6.3E-2"/>
    <n v="8"/>
    <n v="10997.906320000002"/>
    <n v="3319.6"/>
    <n v="7678.3063200000015"/>
    <n v="0.69816073137818835"/>
  </r>
  <r>
    <x v="131"/>
    <d v="2025-03-03T00:00:00"/>
    <d v="2025-03-24T00:00:00"/>
    <x v="28"/>
    <s v="Mar-2025"/>
    <s v="Q1-2025"/>
    <s v="Africa"/>
    <x v="1"/>
    <s v="Abuja"/>
    <s v="Enterprise"/>
    <s v="Direct"/>
    <s v="H. Kim"/>
    <x v="6"/>
    <s v="ACC-4056"/>
    <n v="555.95000000000005"/>
    <s v="High"/>
    <n v="468.09"/>
    <n v="0.14199999999999999"/>
    <n v="11"/>
    <n v="15583.45932"/>
    <n v="6115.4500000000007"/>
    <n v="9468.0093199999992"/>
    <n v="0.60756787858063332"/>
  </r>
  <r>
    <x v="132"/>
    <d v="2023-01-27T00:00:00"/>
    <d v="2023-01-31T00:00:00"/>
    <x v="3"/>
    <s v="Jan-2023"/>
    <s v="Q1-2023"/>
    <s v="Europe"/>
    <x v="8"/>
    <s v="Manchester"/>
    <s v="Enterprise"/>
    <s v="Online"/>
    <s v="N. Brown"/>
    <x v="4"/>
    <s v="LAP-9782"/>
    <n v="941.2"/>
    <s v="High"/>
    <n v="668.02"/>
    <n v="0.22"/>
    <n v="16"/>
    <n v="24737.606400000001"/>
    <n v="15059.2"/>
    <n v="9678.4063999999998"/>
    <n v="0.3912426385763822"/>
  </r>
  <r>
    <x v="133"/>
    <d v="2025-01-09T00:00:00"/>
    <d v="2025-01-15T00:00:00"/>
    <x v="30"/>
    <s v="Jan-2025"/>
    <s v="Q1-2025"/>
    <s v="Asia"/>
    <x v="9"/>
    <s v="Beijing"/>
    <s v="Education"/>
    <s v="Online"/>
    <s v="C. Otieno"/>
    <x v="3"/>
    <s v="PHN-2875"/>
    <n v="304.77999999999997"/>
    <s v="High"/>
    <n v="537.27"/>
    <n v="0.187"/>
    <n v="8"/>
    <n v="16599.638879999999"/>
    <n v="2438.2399999999998"/>
    <n v="14161.398879999999"/>
    <n v="0.85311487691833454"/>
  </r>
  <r>
    <x v="134"/>
    <d v="2024-12-21T00:00:00"/>
    <d v="2024-12-26T00:00:00"/>
    <x v="16"/>
    <s v="Dec-2024"/>
    <s v="Q4-2024"/>
    <s v="Americas"/>
    <x v="10"/>
    <s v="San Francisco"/>
    <s v="Consumer"/>
    <s v="Marketplace"/>
    <s v="M. Rossi"/>
    <x v="1"/>
    <s v="PRN-4788"/>
    <n v="699.57"/>
    <s v="High"/>
    <n v="572.71"/>
    <n v="0.192"/>
    <n v="26"/>
    <n v="10987.39408"/>
    <n v="18188.82"/>
    <n v="-7201.4259199999997"/>
    <n v="-0.65542619729172391"/>
  </r>
  <r>
    <x v="135"/>
    <d v="2023-04-12T00:00:00"/>
    <d v="2023-04-17T00:00:00"/>
    <x v="16"/>
    <s v="Apr-2023"/>
    <s v="Q2-2023"/>
    <s v="Europe"/>
    <x v="7"/>
    <s v="Lyon"/>
    <s v="Enterprise"/>
    <s v="Direct"/>
    <s v="E. Garcia"/>
    <x v="5"/>
    <s v="MON-3043"/>
    <n v="1087.81"/>
    <s v="High"/>
    <n v="2323.87"/>
    <n v="9.4E-2"/>
    <n v="13"/>
    <n v="14342.18838"/>
    <n v="14141.529999999999"/>
    <n v="200.65838000000076"/>
    <n v="1.399077844213902E-2"/>
  </r>
  <r>
    <x v="136"/>
    <d v="2024-12-14T00:00:00"/>
    <d v="2025-01-12T00:00:00"/>
    <x v="11"/>
    <s v="Dec-2024"/>
    <s v="Q4-2024"/>
    <s v="Asia"/>
    <x v="9"/>
    <s v="Shenzhen"/>
    <s v="Education"/>
    <s v="Online"/>
    <s v="J. Njeri"/>
    <x v="0"/>
    <s v="CMP-3720"/>
    <n v="1412.15"/>
    <s v="High"/>
    <n v="1631.04"/>
    <n v="8.9999999999999993E-3"/>
    <n v="6"/>
    <n v="7989.2834400000002"/>
    <n v="8472.9000000000015"/>
    <n v="-483.6165600000013"/>
    <n v="-6.0533158403002073E-2"/>
  </r>
  <r>
    <x v="137"/>
    <d v="2023-03-31T00:00:00"/>
    <d v="2023-04-12T00:00:00"/>
    <x v="8"/>
    <s v="Mar-2023"/>
    <s v="Q1-2023"/>
    <s v="Africa"/>
    <x v="0"/>
    <s v="Mombasa"/>
    <s v="Small Business"/>
    <s v="Online"/>
    <s v="C. Otieno"/>
    <x v="3"/>
    <s v="PHN-8014"/>
    <n v="304.22000000000003"/>
    <s v="High"/>
    <n v="393.31"/>
    <n v="0.26500000000000001"/>
    <n v="15"/>
    <n v="3326.2424999999998"/>
    <n v="4563.3"/>
    <n v="-1237.0575000000003"/>
    <n v="-0.3719083921271526"/>
  </r>
  <r>
    <x v="138"/>
    <d v="2024-11-20T00:00:00"/>
    <d v="2024-12-15T00:00:00"/>
    <x v="2"/>
    <s v="Nov-2024"/>
    <s v="Q4-2024"/>
    <s v="Europe"/>
    <x v="7"/>
    <s v="Paris"/>
    <s v="Corporate"/>
    <s v="Online"/>
    <s v="G. Dubois"/>
    <x v="1"/>
    <s v="PRN-4911"/>
    <n v="1203.58"/>
    <s v="High"/>
    <n v="1856.16"/>
    <n v="0.129"/>
    <n v="22"/>
    <n v="28967.387020000002"/>
    <n v="26478.76"/>
    <n v="2488.6270200000035"/>
    <n v="8.591133947572753E-2"/>
  </r>
  <r>
    <x v="139"/>
    <d v="2024-02-14T00:00:00"/>
    <d v="2024-02-14T00:00:00"/>
    <x v="18"/>
    <s v="Feb-2024"/>
    <s v="Q1-2024"/>
    <s v="Asia"/>
    <x v="9"/>
    <s v="Beijing"/>
    <s v="Corporate"/>
    <s v="Distributor"/>
    <s v="L. Okafor"/>
    <x v="6"/>
    <s v="ACC-1021"/>
    <n v="65.930000000000007"/>
    <s v="Medium"/>
    <n v="84.9"/>
    <n v="0.25900000000000001"/>
    <n v="23"/>
    <n v="35027.455319999994"/>
    <n v="1516.39"/>
    <n v="33511.065319999994"/>
    <n v="0.95670853088964847"/>
  </r>
  <r>
    <x v="140"/>
    <d v="2023-05-02T00:00:00"/>
    <d v="2023-05-18T00:00:00"/>
    <x v="13"/>
    <s v="May-2023"/>
    <s v="Q2-2023"/>
    <s v="Asia"/>
    <x v="4"/>
    <s v="Delhi"/>
    <s v="Small Business"/>
    <s v="Marketplace"/>
    <s v="K. Singh"/>
    <x v="5"/>
    <s v="MON-2266"/>
    <n v="1463.92"/>
    <s v="High"/>
    <n v="2252.2399999999998"/>
    <n v="0.11799999999999999"/>
    <n v="44"/>
    <n v="15179.749199999998"/>
    <n v="64412.480000000003"/>
    <n v="-49232.730800000005"/>
    <n v="-3.2433164837795876"/>
  </r>
  <r>
    <x v="141"/>
    <d v="2024-12-23T00:00:00"/>
    <d v="2025-01-11T00:00:00"/>
    <x v="7"/>
    <s v="Dec-2024"/>
    <s v="Q4-2024"/>
    <s v="Europe"/>
    <x v="6"/>
    <s v="Berlin"/>
    <s v="Education"/>
    <s v="Retail"/>
    <s v="K. Singh"/>
    <x v="3"/>
    <s v="PHN-8057"/>
    <n v="501.81"/>
    <s v="High"/>
    <n v="921.62"/>
    <n v="0.01"/>
    <n v="9"/>
    <n v="16474.322700000001"/>
    <n v="4516.29"/>
    <n v="11958.0327"/>
    <n v="0.72585883606614066"/>
  </r>
  <r>
    <x v="142"/>
    <d v="2023-07-26T00:00:00"/>
    <d v="2023-08-25T00:00:00"/>
    <x v="26"/>
    <s v="Jul-2023"/>
    <s v="Q3-2023"/>
    <s v="Americas"/>
    <x v="10"/>
    <s v="New York"/>
    <s v="Consumer"/>
    <s v="Retail"/>
    <s v="M. Rossi"/>
    <x v="6"/>
    <s v="ACC-7078"/>
    <n v="1261.48"/>
    <s v="High"/>
    <n v="1643.18"/>
    <n v="0.151"/>
    <n v="23"/>
    <n v="27251.100119999996"/>
    <n v="29014.04"/>
    <n v="-1762.9398800000054"/>
    <n v="-6.4692429745475011E-2"/>
  </r>
  <r>
    <x v="143"/>
    <d v="2024-06-15T00:00:00"/>
    <d v="2024-07-06T00:00:00"/>
    <x v="28"/>
    <s v="Jun-2024"/>
    <s v="Q2-2024"/>
    <s v="Americas"/>
    <x v="3"/>
    <s v="Toronto"/>
    <s v="Enterprise"/>
    <s v="Distributor"/>
    <s v="L. Okafor"/>
    <x v="1"/>
    <s v="PRN-4453"/>
    <n v="817.23"/>
    <s v="High"/>
    <n v="1467.17"/>
    <n v="0.245"/>
    <n v="9"/>
    <n v="3655.9817999999996"/>
    <n v="7355.07"/>
    <n v="-3699.0882000000001"/>
    <n v="-1.0117906495048745"/>
  </r>
  <r>
    <x v="144"/>
    <d v="2023-07-05T00:00:00"/>
    <d v="2023-07-14T00:00:00"/>
    <x v="25"/>
    <s v="Jul-2023"/>
    <s v="Q3-2023"/>
    <s v="Americas"/>
    <x v="5"/>
    <s v="Brasília"/>
    <s v="Enterprise"/>
    <s v="Direct"/>
    <s v="B. Chen"/>
    <x v="2"/>
    <s v="NET-2394"/>
    <n v="578.85"/>
    <s v="High"/>
    <n v="998.76"/>
    <n v="8.2000000000000003E-2"/>
    <n v="28"/>
    <n v="31331.119680000003"/>
    <n v="16207.800000000001"/>
    <n v="15123.319680000002"/>
    <n v="0.4826932402819254"/>
  </r>
  <r>
    <x v="145"/>
    <d v="2023-11-30T00:00:00"/>
    <d v="2023-11-29T00:00:00"/>
    <x v="1"/>
    <s v="Nov-2023"/>
    <s v="Q4-2023"/>
    <s v="Africa"/>
    <x v="11"/>
    <s v="Durban"/>
    <s v="Small Business"/>
    <s v="Marketplace"/>
    <s v="E. Garcia"/>
    <x v="4"/>
    <s v="LAP-1525"/>
    <n v="275.56"/>
    <s v="High"/>
    <n v="630.72"/>
    <n v="0.107"/>
    <n v="23"/>
    <n v="42353.882679999995"/>
    <n v="6337.88"/>
    <n v="36016.002679999998"/>
    <n v="0.85035893762361436"/>
  </r>
  <r>
    <x v="146"/>
    <d v="2025-09-11T00:00:00"/>
    <d v="2025-09-28T00:00:00"/>
    <x v="14"/>
    <s v="Sept-2025"/>
    <s v="Q3-2025"/>
    <s v="Africa"/>
    <x v="0"/>
    <s v="Nairobi"/>
    <s v="Non-Profit"/>
    <s v="Distributor"/>
    <s v="J. Njeri"/>
    <x v="4"/>
    <s v="LAP-3278"/>
    <n v="891.46"/>
    <s v="High"/>
    <n v="728.61"/>
    <n v="0.185"/>
    <n v="6"/>
    <n v="49.780199999999994"/>
    <n v="5348.76"/>
    <n v="-5298.9798000000001"/>
    <n v="-106.44753938312824"/>
  </r>
  <r>
    <x v="147"/>
    <d v="2024-04-04T00:00:00"/>
    <d v="2024-04-24T00:00:00"/>
    <x v="9"/>
    <s v="Apr-2024"/>
    <s v="Q2-2024"/>
    <s v="Europe"/>
    <x v="6"/>
    <s v="Frankfurt"/>
    <s v="Non-Profit"/>
    <s v="Direct"/>
    <s v="O. Wang"/>
    <x v="6"/>
    <s v="ACC-6543"/>
    <n v="683.42"/>
    <s v="High"/>
    <n v="951.51"/>
    <n v="0"/>
    <n v="14"/>
    <n v="31944.079999999998"/>
    <n v="9567.8799999999992"/>
    <n v="22376.199999999997"/>
    <n v="0.7004803393930894"/>
  </r>
  <r>
    <x v="148"/>
    <d v="2023-09-14T00:00:00"/>
    <d v="2023-09-16T00:00:00"/>
    <x v="6"/>
    <s v="Sept-2023"/>
    <s v="Q3-2023"/>
    <s v="Europe"/>
    <x v="7"/>
    <s v="Lyon"/>
    <s v="Non-Profit"/>
    <s v="Direct"/>
    <s v="B. Chen"/>
    <x v="1"/>
    <s v="PRN-4432"/>
    <n v="376.83"/>
    <s v="High"/>
    <n v="732.88"/>
    <n v="0.188"/>
    <n v="25"/>
    <n v="5066.2710000000006"/>
    <n v="9420.75"/>
    <n v="-4354.4789999999994"/>
    <n v="-0.85950376519534755"/>
  </r>
  <r>
    <x v="149"/>
    <d v="2024-09-23T00:00:00"/>
    <d v="2024-10-18T00:00:00"/>
    <x v="2"/>
    <s v="Sept-2024"/>
    <s v="Q3-2024"/>
    <s v="Americas"/>
    <x v="3"/>
    <s v="Vancouver"/>
    <s v="Small Business"/>
    <s v="Online"/>
    <s v="N. Brown"/>
    <x v="3"/>
    <s v="PHN-4568"/>
    <n v="1297"/>
    <s v="High"/>
    <n v="2411.52"/>
    <n v="2.1000000000000001E-2"/>
    <n v="18"/>
    <n v="57712.049999999996"/>
    <n v="23346"/>
    <n v="34366.049999999996"/>
    <n v="0.59547442865051581"/>
  </r>
  <r>
    <x v="150"/>
    <d v="2025-04-16T00:00:00"/>
    <d v="2025-05-16T00:00:00"/>
    <x v="18"/>
    <s v="Apr-2025"/>
    <s v="Q2-2025"/>
    <s v="Americas"/>
    <x v="3"/>
    <s v="Montreal"/>
    <s v="Enterprise"/>
    <s v="Distributor"/>
    <s v="K. Singh"/>
    <x v="1"/>
    <s v="PRN-6178"/>
    <n v="763.32"/>
    <s v="High"/>
    <n v="568.29"/>
    <n v="0.13100000000000001"/>
    <n v="16"/>
    <n v="26608.919040000001"/>
    <n v="12213.12"/>
    <n v="14395.79904"/>
    <n v="0.54101404940048248"/>
  </r>
  <r>
    <x v="151"/>
    <d v="2023-07-03T00:00:00"/>
    <d v="2023-07-23T00:00:00"/>
    <x v="9"/>
    <s v="Jul-2023"/>
    <s v="Q3-2023"/>
    <s v="Africa"/>
    <x v="11"/>
    <s v="Johannesburg"/>
    <s v="Small Business"/>
    <s v="Distributor"/>
    <s v="F. Müller"/>
    <x v="4"/>
    <s v="LAP-6342"/>
    <n v="1001.96"/>
    <s v="High"/>
    <n v="1254.95"/>
    <n v="4.4999999999999998E-2"/>
    <n v="18"/>
    <n v="517.24709999999993"/>
    <n v="18035.28"/>
    <n v="-17518.032899999998"/>
    <n v="-33.867822361884677"/>
  </r>
  <r>
    <x v="152"/>
    <d v="2023-12-07T00:00:00"/>
    <d v="2023-12-05T00:00:00"/>
    <x v="6"/>
    <s v="Dec-2023"/>
    <s v="Q4-2023"/>
    <s v="Asia"/>
    <x v="2"/>
    <s v="Tokyo"/>
    <s v="Non-Profit"/>
    <s v="Marketplace"/>
    <s v="H. Kim"/>
    <x v="1"/>
    <s v="PRN-8175"/>
    <n v="1097.5899999999999"/>
    <s v="High"/>
    <n v="845.55"/>
    <n v="0.184"/>
    <n v="6"/>
    <n v="2454.4137600000004"/>
    <n v="6585.5399999999991"/>
    <n v="-4131.1262399999987"/>
    <n v="-1.6831417372757875"/>
  </r>
  <r>
    <x v="153"/>
    <d v="2024-02-18T00:00:00"/>
    <d v="2024-03-04T00:00:00"/>
    <x v="15"/>
    <s v="Feb-2024"/>
    <s v="Q1-2024"/>
    <s v="Africa"/>
    <x v="0"/>
    <s v="Kisumu"/>
    <s v="Education"/>
    <s v="Direct"/>
    <s v="K. Singh"/>
    <x v="1"/>
    <s v="PRN-7089"/>
    <n v="928.68"/>
    <s v="High"/>
    <n v="2145.17"/>
    <n v="0.13600000000000001"/>
    <n v="16"/>
    <n v="5684.1523200000001"/>
    <n v="14858.88"/>
    <n v="-9174.72768"/>
    <n v="-1.6140889904934848"/>
  </r>
  <r>
    <x v="154"/>
    <d v="2023-10-31T00:00:00"/>
    <d v="2023-11-02T00:00:00"/>
    <x v="6"/>
    <s v="Oct-2023"/>
    <s v="Q4-2023"/>
    <s v="Africa"/>
    <x v="0"/>
    <s v="Kisumu"/>
    <s v="Education"/>
    <s v="Retail"/>
    <s v="O. Wang"/>
    <x v="6"/>
    <s v="ACC-4124"/>
    <n v="867.89"/>
    <s v="High"/>
    <n v="1349.94"/>
    <n v="0.184"/>
    <n v="10"/>
    <n v="48.307200000000009"/>
    <n v="8678.9"/>
    <n v="-8630.5928000000004"/>
    <n v="-178.66058889772123"/>
  </r>
  <r>
    <x v="155"/>
    <d v="2024-08-07T00:00:00"/>
    <d v="2024-08-17T00:00:00"/>
    <x v="24"/>
    <s v="Aug-2024"/>
    <s v="Q3-2024"/>
    <s v="Asia"/>
    <x v="2"/>
    <s v="Osaka"/>
    <s v="Consumer"/>
    <s v="Online"/>
    <s v="K. Singh"/>
    <x v="2"/>
    <s v="NET-7924"/>
    <n v="436.58"/>
    <s v="High"/>
    <n v="527.48"/>
    <n v="0.111"/>
    <n v="19"/>
    <n v="37272.187330000001"/>
    <n v="8295.02"/>
    <n v="28977.16733"/>
    <n v="0.77744745897101064"/>
  </r>
  <r>
    <x v="156"/>
    <d v="2024-02-01T00:00:00"/>
    <d v="2024-02-21T00:00:00"/>
    <x v="9"/>
    <s v="Feb-2024"/>
    <s v="Q1-2024"/>
    <s v="Europe"/>
    <x v="7"/>
    <s v="Paris"/>
    <s v="Small Business"/>
    <s v="Marketplace"/>
    <s v="A. Patel"/>
    <x v="2"/>
    <s v="NET-8761"/>
    <n v="656.2"/>
    <s v="High"/>
    <n v="1467.17"/>
    <n v="1.7999999999999999E-2"/>
    <n v="5"/>
    <n v="9391.848"/>
    <n v="3281"/>
    <n v="6110.848"/>
    <n v="0.65065448248310664"/>
  </r>
  <r>
    <x v="157"/>
    <d v="2024-08-27T00:00:00"/>
    <d v="2024-09-18T00:00:00"/>
    <x v="22"/>
    <s v="Aug-2024"/>
    <s v="Q3-2024"/>
    <s v="Asia"/>
    <x v="4"/>
    <s v="Delhi"/>
    <s v="Consumer"/>
    <s v="Direct"/>
    <s v="B. Chen"/>
    <x v="0"/>
    <s v="CMP-3875"/>
    <n v="896.75"/>
    <s v="High"/>
    <n v="1651.14"/>
    <n v="2.5000000000000001E-2"/>
    <n v="15"/>
    <n v="20216.283749999999"/>
    <n v="13451.25"/>
    <n v="6765.0337499999987"/>
    <n v="0.3346329045267778"/>
  </r>
  <r>
    <x v="158"/>
    <d v="2025-02-15T00:00:00"/>
    <d v="2025-02-15T00:00:00"/>
    <x v="18"/>
    <s v="Feb-2025"/>
    <s v="Q1-2025"/>
    <s v="Europe"/>
    <x v="6"/>
    <s v="Frankfurt"/>
    <s v="Small Business"/>
    <s v="Marketplace"/>
    <s v="L. Okafor"/>
    <x v="6"/>
    <s v="ACC-3989"/>
    <n v="815.83"/>
    <s v="High"/>
    <n v="1982.18"/>
    <n v="0.127"/>
    <n v="6"/>
    <n v="7100.6851799999995"/>
    <n v="4894.9800000000005"/>
    <n v="2205.705179999999"/>
    <n v="0.31063272403804826"/>
  </r>
  <r>
    <x v="159"/>
    <d v="2025-08-01T00:00:00"/>
    <d v="2025-08-21T00:00:00"/>
    <x v="9"/>
    <s v="Aug-2025"/>
    <s v="Q3-2025"/>
    <s v="Asia"/>
    <x v="9"/>
    <s v="Shanghai"/>
    <s v="Corporate"/>
    <s v="Direct"/>
    <s v="I. Johnson"/>
    <x v="3"/>
    <s v="PHN-9234"/>
    <n v="1220.4100000000001"/>
    <s v="High"/>
    <n v="2552.2199999999998"/>
    <n v="0.18099999999999999"/>
    <n v="14"/>
    <n v="10180.661399999999"/>
    <n v="17085.740000000002"/>
    <n v="-6905.0786000000026"/>
    <n v="-0.6782544206803699"/>
  </r>
  <r>
    <x v="160"/>
    <d v="2023-02-20T00:00:00"/>
    <d v="2023-03-04T00:00:00"/>
    <x v="8"/>
    <s v="Feb-2023"/>
    <s v="Q1-2023"/>
    <s v="Asia"/>
    <x v="4"/>
    <s v="Delhi"/>
    <s v="Consumer"/>
    <s v="Distributor"/>
    <s v="M. Rossi"/>
    <x v="5"/>
    <s v="MON-9906"/>
    <n v="299.75"/>
    <s v="High"/>
    <n v="523.01"/>
    <n v="0.157"/>
    <n v="50"/>
    <n v="43022.083500000001"/>
    <n v="14987.5"/>
    <n v="28034.583500000001"/>
    <n v="0.65163239943969709"/>
  </r>
  <r>
    <x v="161"/>
    <d v="2024-10-30T00:00:00"/>
    <d v="2024-11-24T00:00:00"/>
    <x v="2"/>
    <s v="Oct-2024"/>
    <s v="Q4-2024"/>
    <s v="Asia"/>
    <x v="9"/>
    <s v="Shenzhen"/>
    <s v="Small Business"/>
    <s v="Online"/>
    <s v="E. Garcia"/>
    <x v="0"/>
    <s v="CMP-4610"/>
    <n v="811.05"/>
    <s v="High"/>
    <n v="1217.71"/>
    <n v="7.1999999999999995E-2"/>
    <n v="5"/>
    <n v="6475.2592000000004"/>
    <n v="4055.25"/>
    <n v="2420.0092000000004"/>
    <n v="0.37373163378540897"/>
  </r>
  <r>
    <x v="162"/>
    <d v="2024-04-03T00:00:00"/>
    <d v="2024-04-07T00:00:00"/>
    <x v="3"/>
    <s v="Apr-2024"/>
    <s v="Q2-2024"/>
    <s v="Americas"/>
    <x v="5"/>
    <s v="Brasília"/>
    <s v="Non-Profit"/>
    <s v="Direct"/>
    <s v="N. Brown"/>
    <x v="3"/>
    <s v="PHN-5445"/>
    <n v="1023.27"/>
    <s v="High"/>
    <n v="1343.64"/>
    <n v="0.13300000000000001"/>
    <n v="7"/>
    <n v="13797.385980000001"/>
    <n v="7162.8899999999994"/>
    <n v="6634.4959800000015"/>
    <n v="0.48085166201895302"/>
  </r>
  <r>
    <x v="163"/>
    <d v="2023-03-25T00:00:00"/>
    <d v="2023-03-26T00:00:00"/>
    <x v="1"/>
    <s v="Mar-2023"/>
    <s v="Q1-2023"/>
    <s v="Asia"/>
    <x v="2"/>
    <s v="Osaka"/>
    <s v="Small Business"/>
    <s v="Distributor"/>
    <s v="I. Johnson"/>
    <x v="5"/>
    <s v="MON-9227"/>
    <n v="135.12"/>
    <s v="High"/>
    <n v="301.7"/>
    <n v="0.14000000000000001"/>
    <n v="47"/>
    <n v="50207.703000000001"/>
    <n v="6350.64"/>
    <n v="43857.063000000002"/>
    <n v="0.87351263609888707"/>
  </r>
  <r>
    <x v="164"/>
    <d v="2024-06-04T00:00:00"/>
    <d v="2024-06-16T00:00:00"/>
    <x v="8"/>
    <s v="Jun-2024"/>
    <s v="Q2-2024"/>
    <s v="Asia"/>
    <x v="9"/>
    <s v="Shanghai"/>
    <s v="Corporate"/>
    <s v="Retail"/>
    <s v="J. Njeri"/>
    <x v="1"/>
    <s v="PRN-4097"/>
    <n v="918.42"/>
    <s v="High"/>
    <n v="1511.71"/>
    <n v="0.02"/>
    <n v="8"/>
    <n v="10272.6736"/>
    <n v="7347.36"/>
    <n v="2925.3136000000004"/>
    <n v="0.28476652855007489"/>
  </r>
  <r>
    <x v="165"/>
    <d v="2023-02-19T00:00:00"/>
    <d v="2023-03-12T00:00:00"/>
    <x v="28"/>
    <s v="Feb-2023"/>
    <s v="Q1-2023"/>
    <s v="Europe"/>
    <x v="6"/>
    <s v="Berlin"/>
    <s v="Small Business"/>
    <s v="Direct"/>
    <s v="L. Okafor"/>
    <x v="5"/>
    <s v="MON-6699"/>
    <n v="1234.81"/>
    <s v="High"/>
    <n v="2055.2399999999998"/>
    <n v="5.2999999999999999E-2"/>
    <n v="44"/>
    <n v="40303.373"/>
    <n v="54331.64"/>
    <n v="-14028.267"/>
    <n v="-0.34806682309195314"/>
  </r>
  <r>
    <x v="166"/>
    <d v="2023-04-18T00:00:00"/>
    <d v="2023-05-18T00:00:00"/>
    <x v="18"/>
    <s v="Apr-2023"/>
    <s v="Q2-2023"/>
    <s v="Asia"/>
    <x v="9"/>
    <s v="Shenzhen"/>
    <s v="Non-Profit"/>
    <s v="Retail"/>
    <s v="H. Kim"/>
    <x v="4"/>
    <s v="LAP-1482"/>
    <n v="329.03"/>
    <s v="High"/>
    <n v="391.15"/>
    <n v="0.19700000000000001"/>
    <n v="46"/>
    <n v="32735.194359999998"/>
    <n v="15135.38"/>
    <n v="17599.814359999997"/>
    <n v="0.53764196926552166"/>
  </r>
  <r>
    <x v="167"/>
    <d v="2024-05-23T00:00:00"/>
    <d v="2024-06-14T00:00:00"/>
    <x v="22"/>
    <s v="May-2024"/>
    <s v="Q2-2024"/>
    <s v="Europe"/>
    <x v="7"/>
    <s v="Marseille"/>
    <s v="Small Business"/>
    <s v="Online"/>
    <s v="N. Brown"/>
    <x v="5"/>
    <s v="MON-2100"/>
    <n v="1481.74"/>
    <s v="High"/>
    <n v="1848.97"/>
    <n v="0.254"/>
    <n v="9"/>
    <n v="5308.1555399999997"/>
    <n v="13335.66"/>
    <n v="-8027.5044600000001"/>
    <n v="-1.5122963898680333"/>
  </r>
  <r>
    <x v="168"/>
    <d v="2023-10-07T00:00:00"/>
    <d v="2023-10-23T00:00:00"/>
    <x v="13"/>
    <s v="Oct-2023"/>
    <s v="Q4-2023"/>
    <s v="Asia"/>
    <x v="4"/>
    <s v="Hyderabad"/>
    <s v="Consumer"/>
    <s v="Retail"/>
    <s v="G. Dubois"/>
    <x v="5"/>
    <s v="MON-7602"/>
    <n v="906.81"/>
    <s v="High"/>
    <n v="1395.56"/>
    <n v="0.185"/>
    <n v="6"/>
    <n v="1766.9036999999998"/>
    <n v="5440.86"/>
    <n v="-3673.9562999999998"/>
    <n v="-2.079318923832691"/>
  </r>
  <r>
    <x v="169"/>
    <d v="2024-10-09T00:00:00"/>
    <d v="2024-11-08T00:00:00"/>
    <x v="26"/>
    <s v="Oct-2024"/>
    <s v="Q4-2024"/>
    <s v="Europe"/>
    <x v="8"/>
    <s v="Manchester"/>
    <s v="Small Business"/>
    <s v="Distributor"/>
    <s v="J. Njeri"/>
    <x v="0"/>
    <s v="CMP-1072"/>
    <n v="343.85"/>
    <s v="High"/>
    <n v="538.04"/>
    <n v="0.13900000000000001"/>
    <n v="5"/>
    <n v="8403.5321999999996"/>
    <n v="1719.25"/>
    <n v="6684.2821999999996"/>
    <n v="0.79541340961363838"/>
  </r>
  <r>
    <x v="170"/>
    <d v="2024-07-15T00:00:00"/>
    <d v="2024-07-15T00:00:00"/>
    <x v="18"/>
    <s v="Jul-2024"/>
    <s v="Q3-2024"/>
    <s v="Asia"/>
    <x v="2"/>
    <s v="Tokyo"/>
    <s v="Small Business"/>
    <s v="Marketplace"/>
    <s v="G. Dubois"/>
    <x v="6"/>
    <s v="ACC-2735"/>
    <n v="801.77"/>
    <s v="High"/>
    <n v="1218.92"/>
    <n v="0.254"/>
    <n v="16"/>
    <n v="18676.97536"/>
    <n v="12828.32"/>
    <n v="5848.6553600000007"/>
    <n v="0.31314788648947495"/>
  </r>
  <r>
    <x v="171"/>
    <d v="2023-09-21T00:00:00"/>
    <d v="2023-10-10T00:00:00"/>
    <x v="7"/>
    <s v="Sept-2023"/>
    <s v="Q3-2023"/>
    <s v="Asia"/>
    <x v="2"/>
    <s v="Tokyo"/>
    <s v="Education"/>
    <s v="Online"/>
    <s v="D. Smith"/>
    <x v="0"/>
    <s v="CMP-5211"/>
    <n v="845.63"/>
    <s v="High"/>
    <n v="2062.12"/>
    <n v="0.13400000000000001"/>
    <n v="5"/>
    <n v="3691.4982"/>
    <n v="4228.1499999999996"/>
    <n v="-536.65179999999964"/>
    <n v="-0.1453750674996942"/>
  </r>
  <r>
    <x v="172"/>
    <d v="2023-02-24T00:00:00"/>
    <d v="2023-03-09T00:00:00"/>
    <x v="19"/>
    <s v="Feb-2023"/>
    <s v="Q1-2023"/>
    <s v="Americas"/>
    <x v="10"/>
    <s v="New York"/>
    <s v="Enterprise"/>
    <s v="Online"/>
    <s v="M. Rossi"/>
    <x v="0"/>
    <s v="CMP-1632"/>
    <n v="6.85"/>
    <s v="Low"/>
    <n v="10.18"/>
    <n v="4.7E-2"/>
    <n v="10"/>
    <n v="13964.213699999998"/>
    <n v="68.5"/>
    <n v="13895.713699999998"/>
    <n v="0.99509460385871928"/>
  </r>
  <r>
    <x v="173"/>
    <d v="2025-05-21T00:00:00"/>
    <d v="2025-05-19T00:00:00"/>
    <x v="6"/>
    <s v="May-2025"/>
    <s v="Q2-2025"/>
    <s v="Africa"/>
    <x v="11"/>
    <s v="Johannesburg"/>
    <s v="Non-Profit"/>
    <s v="Distributor"/>
    <s v="O. Wang"/>
    <x v="4"/>
    <s v="LAP-7099"/>
    <n v="1263.8399999999999"/>
    <s v="High"/>
    <n v="2281.7199999999998"/>
    <n v="7.8E-2"/>
    <n v="15"/>
    <n v="36583.530899999998"/>
    <n v="18957.599999999999"/>
    <n v="17625.930899999999"/>
    <n v="0.48179960945213191"/>
  </r>
  <r>
    <x v="174"/>
    <d v="2024-05-23T00:00:00"/>
    <d v="2024-06-03T00:00:00"/>
    <x v="23"/>
    <s v="May-2024"/>
    <s v="Q2-2024"/>
    <s v="Africa"/>
    <x v="11"/>
    <s v="Johannesburg"/>
    <s v="Small Business"/>
    <s v="Distributor"/>
    <s v="F. Müller"/>
    <x v="1"/>
    <s v="PRN-3785"/>
    <n v="180.89"/>
    <s v="High"/>
    <n v="249.57"/>
    <n v="2.1999999999999999E-2"/>
    <n v="8"/>
    <n v="6897.4036800000003"/>
    <n v="1447.12"/>
    <n v="5450.2836800000005"/>
    <n v="0.79019351815000627"/>
  </r>
  <r>
    <x v="175"/>
    <d v="2025-04-14T00:00:00"/>
    <d v="2025-05-04T00:00:00"/>
    <x v="9"/>
    <s v="Apr-2025"/>
    <s v="Q2-2025"/>
    <s v="Europe"/>
    <x v="8"/>
    <s v="Birmingham"/>
    <s v="Enterprise"/>
    <s v="Marketplace"/>
    <s v="K. Singh"/>
    <x v="5"/>
    <s v="MON-6962"/>
    <n v="1413.87"/>
    <s v="High"/>
    <n v="3275"/>
    <n v="0.255"/>
    <n v="38"/>
    <n v="17694.882399999999"/>
    <n v="53727.06"/>
    <n v="-36032.177599999995"/>
    <n v="-2.0363050053387188"/>
  </r>
  <r>
    <x v="176"/>
    <d v="2023-08-27T00:00:00"/>
    <d v="2023-09-11T00:00:00"/>
    <x v="15"/>
    <s v="Aug-2023"/>
    <s v="Q3-2023"/>
    <s v="Europe"/>
    <x v="8"/>
    <s v="London"/>
    <s v="Consumer"/>
    <s v="Marketplace"/>
    <s v="N. Brown"/>
    <x v="1"/>
    <s v="PRN-5107"/>
    <n v="943.79"/>
    <s v="High"/>
    <n v="1913.76"/>
    <n v="9.0999999999999998E-2"/>
    <n v="9"/>
    <n v="7960.4402400000008"/>
    <n v="8494.11"/>
    <n v="-533.66975999999977"/>
    <n v="-6.7040231935715122E-2"/>
  </r>
  <r>
    <x v="177"/>
    <d v="2024-02-03T00:00:00"/>
    <d v="2024-02-21T00:00:00"/>
    <x v="5"/>
    <s v="Feb-2024"/>
    <s v="Q1-2024"/>
    <s v="Europe"/>
    <x v="6"/>
    <s v="Frankfurt"/>
    <s v="Corporate"/>
    <s v="Retail"/>
    <s v="H. Kim"/>
    <x v="0"/>
    <s v="CMP-9264"/>
    <n v="39.229999999999997"/>
    <s v="Low"/>
    <n v="30.09"/>
    <n v="0.17699999999999999"/>
    <n v="13"/>
    <n v="16533.592659999998"/>
    <n v="509.98999999999995"/>
    <n v="16023.602659999999"/>
    <n v="0.96915431446222655"/>
  </r>
  <r>
    <x v="178"/>
    <d v="2023-04-05T00:00:00"/>
    <d v="2023-04-16T00:00:00"/>
    <x v="23"/>
    <s v="Apr-2023"/>
    <s v="Q2-2023"/>
    <s v="Americas"/>
    <x v="3"/>
    <s v="Vancouver"/>
    <s v="Non-Profit"/>
    <s v="Online"/>
    <s v="O. Wang"/>
    <x v="5"/>
    <s v="MON-5259"/>
    <n v="213.1"/>
    <s v="High"/>
    <n v="501.31"/>
    <n v="5.6000000000000001E-2"/>
    <n v="15"/>
    <n v="31908.427200000002"/>
    <n v="3196.5"/>
    <n v="28711.927200000002"/>
    <n v="0.89982270263700115"/>
  </r>
  <r>
    <x v="179"/>
    <d v="2025-08-21T00:00:00"/>
    <d v="2025-09-12T00:00:00"/>
    <x v="22"/>
    <s v="Aug-2025"/>
    <s v="Q3-2025"/>
    <s v="Asia"/>
    <x v="9"/>
    <s v="Shenzhen"/>
    <s v="Education"/>
    <s v="Retail"/>
    <s v="B. Chen"/>
    <x v="1"/>
    <s v="PRN-8137"/>
    <n v="352.66"/>
    <s v="High"/>
    <n v="411.18"/>
    <n v="0.17299999999999999"/>
    <n v="13"/>
    <n v="26302.966559999997"/>
    <n v="4584.58"/>
    <n v="21718.386559999999"/>
    <n v="0.82570102921501043"/>
  </r>
  <r>
    <x v="180"/>
    <d v="2025-09-15T00:00:00"/>
    <d v="2025-09-18T00:00:00"/>
    <x v="4"/>
    <s v="Sept-2025"/>
    <s v="Q3-2025"/>
    <s v="Americas"/>
    <x v="5"/>
    <s v="Rio de Janeiro"/>
    <s v="Non-Profit"/>
    <s v="Direct"/>
    <s v="L. Okafor"/>
    <x v="6"/>
    <s v="ACC-6777"/>
    <n v="5.5"/>
    <s v="Low"/>
    <n v="5.92"/>
    <n v="0.21199999999999999"/>
    <n v="4"/>
    <n v="593.52160000000003"/>
    <n v="22"/>
    <n v="571.52160000000003"/>
    <n v="0.96293310976382329"/>
  </r>
  <r>
    <x v="181"/>
    <d v="2024-10-03T00:00:00"/>
    <d v="2024-10-11T00:00:00"/>
    <x v="12"/>
    <s v="Oct-2024"/>
    <s v="Q4-2024"/>
    <s v="Asia"/>
    <x v="9"/>
    <s v="Beijing"/>
    <s v="Enterprise"/>
    <s v="Direct"/>
    <s v="B. Chen"/>
    <x v="3"/>
    <s v="PHN-7488"/>
    <n v="1132.6099999999999"/>
    <s v="High"/>
    <n v="2206.63"/>
    <n v="6.3E-2"/>
    <n v="20"/>
    <n v="48027.621600000006"/>
    <n v="22652.199999999997"/>
    <n v="25375.421600000009"/>
    <n v="0.52835057732694402"/>
  </r>
  <r>
    <x v="182"/>
    <d v="2025-02-02T00:00:00"/>
    <d v="2025-03-04T00:00:00"/>
    <x v="6"/>
    <s v="Feb-2025"/>
    <s v="Q1-2025"/>
    <s v="Asia"/>
    <x v="2"/>
    <s v="Osaka"/>
    <s v="Education"/>
    <s v="Distributor"/>
    <s v="L. Okafor"/>
    <x v="6"/>
    <s v="ACC-9591"/>
    <n v="766.59"/>
    <s v="High"/>
    <n v="1912.8"/>
    <n v="0.19600000000000001"/>
    <n v="5"/>
    <n v="7256.5421999999999"/>
    <n v="3832.9500000000003"/>
    <n v="3423.5921999999996"/>
    <n v="0.47179388001078526"/>
  </r>
  <r>
    <x v="183"/>
    <d v="2023-08-19T00:00:00"/>
    <d v="2023-08-23T00:00:00"/>
    <x v="3"/>
    <s v="Aug-2023"/>
    <s v="Q3-2023"/>
    <s v="Africa"/>
    <x v="1"/>
    <s v="Abuja"/>
    <s v="Small Business"/>
    <s v="Online"/>
    <s v="J. Njeri"/>
    <x v="5"/>
    <s v="MON-5517"/>
    <n v="790.63"/>
    <s v="High"/>
    <n v="1382.31"/>
    <n v="0.10100000000000001"/>
    <n v="7"/>
    <n v="12999.63889"/>
    <n v="5534.41"/>
    <n v="7465.2288900000003"/>
    <n v="0.57426432789164961"/>
  </r>
  <r>
    <x v="184"/>
    <d v="2024-10-22T00:00:00"/>
    <d v="2024-10-29T00:00:00"/>
    <x v="20"/>
    <s v="Oct-2024"/>
    <s v="Q4-2024"/>
    <s v="Africa"/>
    <x v="1"/>
    <s v="Port Harcourt"/>
    <s v="Enterprise"/>
    <s v="Distributor"/>
    <s v="M. Rossi"/>
    <x v="5"/>
    <s v="MON-8758"/>
    <n v="1023.06"/>
    <s v="High"/>
    <n v="1355.61"/>
    <n v="0.153"/>
    <n v="23"/>
    <n v="46101.981310000003"/>
    <n v="23530.379999999997"/>
    <n v="22571.601310000005"/>
    <n v="0.4896015457171683"/>
  </r>
  <r>
    <x v="185"/>
    <d v="2023-06-22T00:00:00"/>
    <d v="2023-07-21T00:00:00"/>
    <x v="11"/>
    <s v="Jun-2023"/>
    <s v="Q2-2023"/>
    <s v="Europe"/>
    <x v="7"/>
    <s v="Lyon"/>
    <s v="Corporate"/>
    <s v="Retail"/>
    <s v="J. Njeri"/>
    <x v="6"/>
    <s v="ACC-3385"/>
    <n v="734.34"/>
    <s v="High"/>
    <n v="887.9"/>
    <n v="2.5000000000000001E-2"/>
    <n v="12"/>
    <n v="1541.5919999999999"/>
    <n v="8812.08"/>
    <n v="-7270.4880000000003"/>
    <n v="-4.7162206342534221"/>
  </r>
  <r>
    <x v="186"/>
    <d v="2025-01-13T00:00:00"/>
    <d v="2025-02-08T00:00:00"/>
    <x v="0"/>
    <s v="Jan-2025"/>
    <s v="Q1-2025"/>
    <s v="Europe"/>
    <x v="7"/>
    <s v="Paris"/>
    <s v="Non-Profit"/>
    <s v="Not Provided"/>
    <s v="E. Garcia"/>
    <x v="5"/>
    <s v="MON-1593"/>
    <n v="594.74"/>
    <s v="High"/>
    <n v="1020.69"/>
    <n v="0.21099999999999999"/>
    <n v="6"/>
    <n v="6319.9846800000005"/>
    <n v="3568.44"/>
    <n v="2751.5446800000004"/>
    <n v="0.43537204903477711"/>
  </r>
  <r>
    <x v="129"/>
    <d v="2023-01-29T00:00:00"/>
    <d v="2023-02-28T00:00:00"/>
    <x v="26"/>
    <s v="Jan-2023"/>
    <s v="Q1-2023"/>
    <s v="Asia"/>
    <x v="4"/>
    <s v="Bengaluru"/>
    <s v="Non-Profit"/>
    <s v="Retail"/>
    <s v="B. Chen"/>
    <x v="6"/>
    <s v="ACC-4631"/>
    <n v="1262.0999999999999"/>
    <s v="High"/>
    <n v="1395.53"/>
    <n v="0.23300000000000001"/>
    <n v="25"/>
    <n v="51608.553749999999"/>
    <n v="31552.499999999996"/>
    <n v="20056.053750000003"/>
    <n v="0.38861879073679723"/>
  </r>
  <r>
    <x v="187"/>
    <d v="2023-07-19T00:00:00"/>
    <d v="2023-07-31T00:00:00"/>
    <x v="8"/>
    <s v="Jul-2023"/>
    <s v="Q3-2023"/>
    <s v="Americas"/>
    <x v="5"/>
    <s v="Rio de Janeiro"/>
    <s v="Corporate"/>
    <s v="Retail"/>
    <s v="C. Otieno"/>
    <x v="5"/>
    <s v="MON-7869"/>
    <n v="1334.64"/>
    <s v="High"/>
    <n v="2273.42"/>
    <n v="0.11799999999999999"/>
    <n v="14"/>
    <n v="9587.7280800000008"/>
    <n v="18684.960000000003"/>
    <n v="-9097.231920000002"/>
    <n v="-0.94884125249409468"/>
  </r>
  <r>
    <x v="188"/>
    <d v="2024-05-19T00:00:00"/>
    <d v="2024-06-08T00:00:00"/>
    <x v="9"/>
    <s v="May-2024"/>
    <s v="Q2-2024"/>
    <s v="Americas"/>
    <x v="5"/>
    <s v="Brasília"/>
    <s v="Small Business"/>
    <s v="Retail"/>
    <s v="E. Garcia"/>
    <x v="5"/>
    <s v="MON-4271"/>
    <n v="1075.9000000000001"/>
    <s v="High"/>
    <n v="1242.1500000000001"/>
    <n v="1.2E-2"/>
    <n v="7"/>
    <n v="2200.4637200000002"/>
    <n v="7531.3000000000011"/>
    <n v="-5330.8362800000014"/>
    <n v="-2.4225967606500691"/>
  </r>
  <r>
    <x v="189"/>
    <d v="2024-02-03T00:00:00"/>
    <d v="2024-02-19T00:00:00"/>
    <x v="13"/>
    <s v="Feb-2024"/>
    <s v="Q1-2024"/>
    <s v="Asia"/>
    <x v="9"/>
    <s v="Shenzhen"/>
    <s v="Small Business"/>
    <s v="Online"/>
    <s v="H. Kim"/>
    <x v="4"/>
    <s v="LAP-5531"/>
    <n v="993.75"/>
    <s v="High"/>
    <n v="1310.29"/>
    <n v="0.215"/>
    <n v="19"/>
    <n v="18590.205150000002"/>
    <n v="18881.25"/>
    <n v="-291.04484999999841"/>
    <n v="-1.5655817009636301E-2"/>
  </r>
  <r>
    <x v="190"/>
    <d v="2023-08-08T00:00:00"/>
    <d v="2023-08-22T00:00:00"/>
    <x v="17"/>
    <s v="Aug-2023"/>
    <s v="Q3-2023"/>
    <s v="Europe"/>
    <x v="8"/>
    <s v="Birmingham"/>
    <s v="Non-Profit"/>
    <s v="Direct"/>
    <s v="N. Brown"/>
    <x v="5"/>
    <s v="MON-7511"/>
    <n v="446.69"/>
    <s v="High"/>
    <n v="967.25"/>
    <n v="9.4E-2"/>
    <n v="10"/>
    <n v="3143.4576000000002"/>
    <n v="4466.8999999999996"/>
    <n v="-1323.4423999999995"/>
    <n v="-0.42101487228585471"/>
  </r>
  <r>
    <x v="191"/>
    <d v="2024-08-12T00:00:00"/>
    <d v="2024-09-03T00:00:00"/>
    <x v="22"/>
    <s v="Aug-2024"/>
    <s v="Q3-2024"/>
    <s v="Americas"/>
    <x v="10"/>
    <s v="Austin"/>
    <s v="Consumer"/>
    <s v="Distributor"/>
    <s v="I. Johnson"/>
    <x v="4"/>
    <s v="LAP-7979"/>
    <n v="797.8"/>
    <s v="High"/>
    <n v="886.22"/>
    <n v="0.23599999999999999"/>
    <n v="36"/>
    <n v="13882.919040000001"/>
    <n v="28720.799999999999"/>
    <n v="-14837.880959999999"/>
    <n v="-1.06878682482038"/>
  </r>
  <r>
    <x v="192"/>
    <d v="2023-10-15T00:00:00"/>
    <d v="2023-11-13T00:00:00"/>
    <x v="11"/>
    <s v="Oct-2023"/>
    <s v="Q4-2023"/>
    <s v="Asia"/>
    <x v="9"/>
    <s v="Shenzhen"/>
    <s v="Non-Profit"/>
    <s v="Distributor"/>
    <s v="J. Njeri"/>
    <x v="1"/>
    <s v="PRN-4983"/>
    <n v="986.44"/>
    <s v="High"/>
    <n v="790.61"/>
    <n v="7.1999999999999995E-2"/>
    <n v="6"/>
    <n v="5219.7772800000002"/>
    <n v="5918.64"/>
    <n v="-698.86272000000008"/>
    <n v="-0.13388745965804888"/>
  </r>
  <r>
    <x v="193"/>
    <d v="2023-05-04T00:00:00"/>
    <d v="2023-05-26T00:00:00"/>
    <x v="22"/>
    <s v="May-2023"/>
    <s v="Q2-2023"/>
    <s v="Americas"/>
    <x v="10"/>
    <s v="San Francisco"/>
    <s v="Enterprise"/>
    <s v="Online"/>
    <s v="J. Njeri"/>
    <x v="2"/>
    <s v="NET-5941"/>
    <n v="249.71"/>
    <s v="High"/>
    <n v="361.33"/>
    <n v="9.4E-2"/>
    <n v="12"/>
    <n v="14139.90576"/>
    <n v="2996.52"/>
    <n v="11143.385759999999"/>
    <n v="0.7880806243789279"/>
  </r>
  <r>
    <x v="194"/>
    <d v="2024-09-22T00:00:00"/>
    <d v="2024-10-01T00:00:00"/>
    <x v="25"/>
    <s v="Sept-2024"/>
    <s v="Q3-2024"/>
    <s v="Americas"/>
    <x v="5"/>
    <s v="São Paulo"/>
    <s v="Non-Profit"/>
    <s v="Online"/>
    <s v="K. Singh"/>
    <x v="5"/>
    <s v="MON-6341"/>
    <n v="1378.8"/>
    <s v="High"/>
    <n v="1952.04"/>
    <n v="0.159"/>
    <n v="19"/>
    <n v="3645.6088500000001"/>
    <n v="26197.200000000001"/>
    <n v="-22551.59115"/>
    <n v="-6.1859601723317077"/>
  </r>
  <r>
    <x v="195"/>
    <d v="2024-10-23T00:00:00"/>
    <d v="2024-11-14T00:00:00"/>
    <x v="22"/>
    <s v="Oct-2024"/>
    <s v="Q4-2024"/>
    <s v="Asia"/>
    <x v="2"/>
    <s v="Osaka"/>
    <s v="Non-Profit"/>
    <s v="Direct"/>
    <s v="B. Chen"/>
    <x v="3"/>
    <s v="PHN-9789"/>
    <n v="1406.4"/>
    <s v="High"/>
    <n v="1564.76"/>
    <n v="0.185"/>
    <n v="17"/>
    <n v="6879.2846"/>
    <n v="23908.800000000003"/>
    <n v="-17029.515400000004"/>
    <n v="-2.4754776681284567"/>
  </r>
  <r>
    <x v="196"/>
    <d v="2024-02-11T00:00:00"/>
    <d v="2024-03-03T00:00:00"/>
    <x v="28"/>
    <s v="Feb-2024"/>
    <s v="Q1-2024"/>
    <s v="Africa"/>
    <x v="0"/>
    <s v="Kisumu"/>
    <s v="Enterprise"/>
    <s v="Online"/>
    <s v="B. Chen"/>
    <x v="3"/>
    <s v="PHN-5082"/>
    <n v="516.86"/>
    <s v="High"/>
    <n v="852.54"/>
    <n v="5.0999999999999997E-2"/>
    <n v="14"/>
    <n v="39076.783199999991"/>
    <n v="7236.04"/>
    <n v="31840.74319999999"/>
    <n v="0.81482508519278518"/>
  </r>
  <r>
    <x v="197"/>
    <d v="2023-01-30T00:00:00"/>
    <d v="2023-02-21T00:00:00"/>
    <x v="22"/>
    <s v="Jan-2023"/>
    <s v="Q1-2023"/>
    <s v="Europe"/>
    <x v="6"/>
    <s v="Munich"/>
    <s v="Small Business"/>
    <s v="Marketplace"/>
    <s v="G. Dubois"/>
    <x v="2"/>
    <s v="NET-3460"/>
    <n v="1142.8800000000001"/>
    <s v="High"/>
    <n v="1465.29"/>
    <n v="0.186"/>
    <n v="7"/>
    <n v="6200.5636000000013"/>
    <n v="8000.1600000000008"/>
    <n v="-1799.5963999999994"/>
    <n v="-0.29023110092766391"/>
  </r>
  <r>
    <x v="198"/>
    <d v="2023-04-14T00:00:00"/>
    <d v="2023-05-13T00:00:00"/>
    <x v="11"/>
    <s v="Apr-2023"/>
    <s v="Q2-2023"/>
    <s v="Europe"/>
    <x v="6"/>
    <s v="Frankfurt"/>
    <s v="Consumer"/>
    <s v="Direct"/>
    <s v="J. Njeri"/>
    <x v="1"/>
    <s v="PRN-7019"/>
    <n v="1320.33"/>
    <s v="High"/>
    <n v="2645.23"/>
    <n v="0.155"/>
    <n v="25"/>
    <n v="53428.293749999997"/>
    <n v="33008.25"/>
    <n v="20420.043749999997"/>
    <n v="0.38219531856189959"/>
  </r>
  <r>
    <x v="199"/>
    <d v="2023-01-13T00:00:00"/>
    <d v="2023-01-19T00:00:00"/>
    <x v="30"/>
    <s v="Jan-2023"/>
    <s v="Q1-2023"/>
    <s v="Americas"/>
    <x v="10"/>
    <s v="Chicago"/>
    <s v="Corporate"/>
    <s v="Direct"/>
    <s v="H. Kim"/>
    <x v="3"/>
    <s v="PHN-3159"/>
    <n v="833.57"/>
    <s v="High"/>
    <n v="881.57"/>
    <n v="5.7000000000000002E-2"/>
    <n v="18"/>
    <n v="45796.021740000004"/>
    <n v="15004.26"/>
    <n v="30791.761740000002"/>
    <n v="0.67236761120464961"/>
  </r>
  <r>
    <x v="200"/>
    <d v="2024-01-12T00:00:00"/>
    <d v="2024-01-29T00:00:00"/>
    <x v="14"/>
    <s v="Jan-2024"/>
    <s v="Q1-2024"/>
    <s v="Americas"/>
    <x v="10"/>
    <s v="Chicago"/>
    <s v="Education"/>
    <s v="Distributor"/>
    <s v="A. Patel"/>
    <x v="1"/>
    <s v="PRN-8604"/>
    <n v="493.76"/>
    <s v="High"/>
    <n v="625.04"/>
    <n v="0.25800000000000001"/>
    <n v="10"/>
    <n v="11002.004999999999"/>
    <n v="4937.6000000000004"/>
    <n v="6064.4049999999988"/>
    <n v="0.55120907507313432"/>
  </r>
  <r>
    <x v="201"/>
    <d v="2023-08-15T00:00:00"/>
    <d v="2023-09-07T00:00:00"/>
    <x v="21"/>
    <s v="Aug-2023"/>
    <s v="Q3-2023"/>
    <s v="Americas"/>
    <x v="10"/>
    <s v="New York"/>
    <s v="Enterprise"/>
    <s v="Online"/>
    <s v="K. Singh"/>
    <x v="3"/>
    <s v="PHN-2013"/>
    <n v="590.33000000000004"/>
    <s v="High"/>
    <n v="973.04"/>
    <n v="0"/>
    <n v="26"/>
    <n v="37877.06"/>
    <n v="15348.580000000002"/>
    <n v="22528.479999999996"/>
    <n v="0.59477900343902079"/>
  </r>
  <r>
    <x v="202"/>
    <d v="2023-01-20T00:00:00"/>
    <d v="2023-02-03T00:00:00"/>
    <x v="17"/>
    <s v="Jan-2023"/>
    <s v="Q1-2023"/>
    <s v="Africa"/>
    <x v="0"/>
    <s v="Kisumu"/>
    <s v="Corporate"/>
    <s v="Retail"/>
    <s v="M. Rossi"/>
    <x v="2"/>
    <s v="NET-6036"/>
    <n v="884.36"/>
    <s v="High"/>
    <n v="1545.34"/>
    <n v="0.24299999999999999"/>
    <n v="41"/>
    <n v="28497.86303"/>
    <n v="36258.76"/>
    <n v="-7760.8969700000016"/>
    <n v="-0.27233259426610423"/>
  </r>
  <r>
    <x v="203"/>
    <d v="2025-02-04T00:00:00"/>
    <d v="2025-02-25T00:00:00"/>
    <x v="28"/>
    <s v="Feb-2025"/>
    <s v="Q1-2025"/>
    <s v="Europe"/>
    <x v="8"/>
    <s v="Birmingham"/>
    <s v="Corporate"/>
    <s v="Marketplace"/>
    <s v="D. Smith"/>
    <x v="5"/>
    <s v="MON-4959"/>
    <n v="1016.32"/>
    <s v="High"/>
    <n v="2253.42"/>
    <n v="5.5E-2"/>
    <n v="12"/>
    <n v="554.97959999999989"/>
    <n v="12195.84"/>
    <n v="-11640.8604"/>
    <n v="-20.97529422703105"/>
  </r>
  <r>
    <x v="204"/>
    <d v="2023-04-19T00:00:00"/>
    <d v="2023-04-28T00:00:00"/>
    <x v="25"/>
    <s v="Apr-2023"/>
    <s v="Q2-2023"/>
    <s v="Europe"/>
    <x v="6"/>
    <s v="Berlin"/>
    <s v="Education"/>
    <s v="Online"/>
    <s v="E. Garcia"/>
    <x v="5"/>
    <s v="MON-1663"/>
    <n v="1178.42"/>
    <s v="High"/>
    <n v="2446.56"/>
    <n v="2.9000000000000001E-2"/>
    <n v="11"/>
    <n v="9957.7894899999992"/>
    <n v="12962.62"/>
    <n v="-3004.8305100000016"/>
    <n v="-0.30175678176542792"/>
  </r>
  <r>
    <x v="205"/>
    <d v="2023-07-02T00:00:00"/>
    <d v="2023-08-01T00:00:00"/>
    <x v="26"/>
    <s v="Jul-2023"/>
    <s v="Q3-2023"/>
    <s v="Europe"/>
    <x v="8"/>
    <s v="Birmingham"/>
    <s v="Small Business"/>
    <s v="Retail"/>
    <s v="B. Chen"/>
    <x v="0"/>
    <s v="CMP-7256"/>
    <n v="137.46"/>
    <s v="Medium"/>
    <n v="188.3"/>
    <n v="3.7999999999999999E-2"/>
    <n v="37"/>
    <n v="11596.169260000001"/>
    <n v="5086.0200000000004"/>
    <n v="6510.1492600000001"/>
    <n v="0.56140516010370822"/>
  </r>
  <r>
    <x v="206"/>
    <d v="2025-01-21T00:00:00"/>
    <d v="2025-02-14T00:00:00"/>
    <x v="10"/>
    <s v="Jan-2025"/>
    <s v="Q1-2025"/>
    <s v="Africa"/>
    <x v="0"/>
    <s v="Nairobi"/>
    <s v="Small Business"/>
    <s v="Retail"/>
    <s v="J. Njeri"/>
    <x v="6"/>
    <s v="ACC-1659"/>
    <n v="1030.44"/>
    <s v="High"/>
    <n v="2562.84"/>
    <n v="0.14799999999999999"/>
    <n v="13"/>
    <n v="4496.5237200000001"/>
    <n v="13395.720000000001"/>
    <n v="-8899.1962800000001"/>
    <n v="-1.9791280629561541"/>
  </r>
  <r>
    <x v="207"/>
    <d v="2024-09-10T00:00:00"/>
    <d v="2024-10-07T00:00:00"/>
    <x v="29"/>
    <s v="Sept-2024"/>
    <s v="Q3-2024"/>
    <s v="Africa"/>
    <x v="0"/>
    <s v="Kisumu"/>
    <s v="Consumer"/>
    <s v="Retail"/>
    <s v="L. Okafor"/>
    <x v="1"/>
    <s v="PRN-6068"/>
    <n v="1248.3900000000001"/>
    <s v="High"/>
    <n v="1805.11"/>
    <n v="0.20300000000000001"/>
    <n v="11"/>
    <n v="13931.376689999999"/>
    <n v="13732.29"/>
    <n v="199.08668999999827"/>
    <n v="1.4290525224467122E-2"/>
  </r>
  <r>
    <x v="208"/>
    <d v="2025-07-21T00:00:00"/>
    <d v="2025-08-07T00:00:00"/>
    <x v="14"/>
    <s v="Jul-2025"/>
    <s v="Q3-2025"/>
    <s v="Africa"/>
    <x v="1"/>
    <s v="Lagos"/>
    <s v="Enterprise"/>
    <s v="Direct"/>
    <s v="M. Rossi"/>
    <x v="6"/>
    <s v="ACC-8999"/>
    <n v="1204.95"/>
    <s v="High"/>
    <n v="2065.73"/>
    <n v="0.13600000000000001"/>
    <n v="10"/>
    <n v="12379.392"/>
    <n v="12049.5"/>
    <n v="329.89199999999983"/>
    <n v="2.6648481605558643E-2"/>
  </r>
  <r>
    <x v="209"/>
    <d v="2024-10-02T00:00:00"/>
    <d v="2024-10-23T00:00:00"/>
    <x v="28"/>
    <s v="Oct-2024"/>
    <s v="Q4-2024"/>
    <s v="Africa"/>
    <x v="11"/>
    <s v="Durban"/>
    <s v="Corporate"/>
    <s v="Marketplace"/>
    <s v="A. Patel"/>
    <x v="0"/>
    <s v="CMP-3978"/>
    <n v="1095.6099999999999"/>
    <s v="High"/>
    <n v="2366.5100000000002"/>
    <n v="0.152"/>
    <n v="9"/>
    <n v="13476.28032"/>
    <n v="9860.49"/>
    <n v="3615.7903200000001"/>
    <n v="0.26830774027710341"/>
  </r>
  <r>
    <x v="210"/>
    <d v="2025-07-14T00:00:00"/>
    <d v="2025-08-04T00:00:00"/>
    <x v="28"/>
    <s v="Jul-2025"/>
    <s v="Q3-2025"/>
    <s v="Americas"/>
    <x v="3"/>
    <s v="Montreal"/>
    <s v="Consumer"/>
    <s v="Online"/>
    <s v="H. Kim"/>
    <x v="5"/>
    <s v="MON-7868"/>
    <n v="90.3"/>
    <s v="Medium"/>
    <n v="131.76"/>
    <n v="0.10199999999999999"/>
    <n v="15"/>
    <n v="37144.063799999996"/>
    <n v="1354.5"/>
    <n v="35789.563799999996"/>
    <n v="0.96353387697982573"/>
  </r>
  <r>
    <x v="211"/>
    <d v="2024-09-09T00:00:00"/>
    <d v="2024-10-01T00:00:00"/>
    <x v="22"/>
    <s v="Sept-2024"/>
    <s v="Q3-2024"/>
    <s v="Asia"/>
    <x v="9"/>
    <s v="Shenzhen"/>
    <s v="Consumer"/>
    <s v="Direct"/>
    <s v="L. Okafor"/>
    <x v="1"/>
    <s v="PRN-3014"/>
    <n v="1166.18"/>
    <s v="High"/>
    <n v="1335.02"/>
    <n v="0.128"/>
    <n v="6"/>
    <n v="4571.46"/>
    <n v="6997.08"/>
    <n v="-2425.62"/>
    <n v="-0.53060072712000106"/>
  </r>
  <r>
    <x v="212"/>
    <d v="2025-01-29T00:00:00"/>
    <d v="2025-02-06T00:00:00"/>
    <x v="12"/>
    <s v="Jan-2025"/>
    <s v="Q1-2025"/>
    <s v="Africa"/>
    <x v="0"/>
    <s v="Kisumu"/>
    <s v="Education"/>
    <s v="Retail"/>
    <s v="B. Chen"/>
    <x v="3"/>
    <s v="PHN-1671"/>
    <n v="1445.27"/>
    <s v="High"/>
    <n v="2691.45"/>
    <n v="0"/>
    <n v="9"/>
    <n v="2326.6799999999998"/>
    <n v="13007.43"/>
    <n v="-10680.75"/>
    <n v="-4.5905539223270928"/>
  </r>
  <r>
    <x v="213"/>
    <d v="2023-11-10T00:00:00"/>
    <d v="2023-11-28T00:00:00"/>
    <x v="5"/>
    <s v="Nov-2023"/>
    <s v="Q4-2023"/>
    <s v="Americas"/>
    <x v="5"/>
    <s v="Brasília"/>
    <s v="Education"/>
    <s v="Marketplace"/>
    <s v="L. Okafor"/>
    <x v="6"/>
    <s v="ACC-5260"/>
    <n v="388.51"/>
    <s v="High"/>
    <n v="776.46"/>
    <n v="0.157"/>
    <n v="12"/>
    <n v="6137.98416"/>
    <n v="4662.12"/>
    <n v="1475.8641600000001"/>
    <n v="0.24044769773403912"/>
  </r>
  <r>
    <x v="214"/>
    <d v="2024-02-29T00:00:00"/>
    <d v="2024-03-30T00:00:00"/>
    <x v="1"/>
    <s v="Feb-2024"/>
    <s v="Q1-2024"/>
    <s v="Asia"/>
    <x v="2"/>
    <s v="Nagoya"/>
    <s v="Small Business"/>
    <s v="Direct"/>
    <s v="I. Johnson"/>
    <x v="2"/>
    <s v="NET-7588"/>
    <n v="231.11"/>
    <s v="High"/>
    <n v="318.17"/>
    <n v="0.20100000000000001"/>
    <n v="60"/>
    <n v="64128.8586"/>
    <n v="13866.6"/>
    <n v="50262.258600000001"/>
    <n v="0.7837697363913475"/>
  </r>
  <r>
    <x v="215"/>
    <d v="2023-12-20T00:00:00"/>
    <d v="2024-01-14T00:00:00"/>
    <x v="2"/>
    <s v="Dec-2023"/>
    <s v="Q4-2023"/>
    <s v="Asia"/>
    <x v="4"/>
    <s v="Mumbai"/>
    <s v="Non-Profit"/>
    <s v="Marketplace"/>
    <s v="L. Okafor"/>
    <x v="5"/>
    <s v="MON-1572"/>
    <n v="1085.6099999999999"/>
    <s v="High"/>
    <n v="1246.4100000000001"/>
    <n v="0.113"/>
    <n v="7"/>
    <n v="11133.23372"/>
    <n v="7599.2699999999995"/>
    <n v="3533.9637200000006"/>
    <n v="0.31742473111397151"/>
  </r>
  <r>
    <x v="216"/>
    <d v="2023-01-22T00:00:00"/>
    <d v="2023-01-21T00:00:00"/>
    <x v="1"/>
    <s v="Jan-2023"/>
    <s v="Q1-2023"/>
    <s v="Europe"/>
    <x v="6"/>
    <s v="Munich"/>
    <s v="Corporate"/>
    <s v="Direct"/>
    <s v="F. Müller"/>
    <x v="5"/>
    <s v="MON-2537"/>
    <n v="150.86000000000001"/>
    <s v="High"/>
    <n v="346.96"/>
    <n v="0.19600000000000001"/>
    <n v="8"/>
    <n v="789.46368000000007"/>
    <n v="1206.8800000000001"/>
    <n v="-417.41632000000004"/>
    <n v="-0.52873403878440617"/>
  </r>
  <r>
    <x v="217"/>
    <d v="2024-10-11T00:00:00"/>
    <d v="2024-11-09T00:00:00"/>
    <x v="11"/>
    <s v="Oct-2024"/>
    <s v="Q4-2024"/>
    <s v="Asia"/>
    <x v="9"/>
    <s v="Shanghai"/>
    <s v="Non-Profit"/>
    <s v="Online"/>
    <s v="F. Müller"/>
    <x v="1"/>
    <s v="PRN-5666"/>
    <n v="391.64"/>
    <s v="High"/>
    <n v="504.76"/>
    <n v="4.0000000000000001E-3"/>
    <n v="13"/>
    <n v="12014.83764"/>
    <n v="5091.32"/>
    <n v="6923.51764"/>
    <n v="0.57624729084562143"/>
  </r>
  <r>
    <x v="218"/>
    <d v="2024-09-19T00:00:00"/>
    <d v="2024-10-14T00:00:00"/>
    <x v="2"/>
    <s v="Sept-2024"/>
    <s v="Q3-2024"/>
    <s v="Americas"/>
    <x v="5"/>
    <s v="Rio de Janeiro"/>
    <s v="Small Business"/>
    <s v="Retail"/>
    <s v="K. Singh"/>
    <x v="1"/>
    <s v="PRN-2749"/>
    <n v="386.96"/>
    <s v="High"/>
    <n v="937.46"/>
    <n v="0.26600000000000001"/>
    <n v="41"/>
    <n v="4570.6767199999995"/>
    <n v="15865.359999999999"/>
    <n v="-11294.683279999999"/>
    <n v="-2.4711183861631763"/>
  </r>
  <r>
    <x v="219"/>
    <d v="2025-08-25T00:00:00"/>
    <d v="2025-09-24T00:00:00"/>
    <x v="26"/>
    <s v="Aug-2025"/>
    <s v="Q3-2025"/>
    <s v="Africa"/>
    <x v="0"/>
    <s v="Nairobi"/>
    <s v="Consumer"/>
    <s v="Direct"/>
    <s v="B. Chen"/>
    <x v="0"/>
    <s v="CMP-4970"/>
    <n v="589.14"/>
    <s v="High"/>
    <n v="1300.58"/>
    <n v="5.5E-2"/>
    <n v="11"/>
    <n v="22977.108"/>
    <n v="6480.54"/>
    <n v="16496.567999999999"/>
    <n v="0.71795667235406646"/>
  </r>
  <r>
    <x v="220"/>
    <d v="2023-09-25T00:00:00"/>
    <d v="2023-10-02T00:00:00"/>
    <x v="20"/>
    <s v="Sept-2023"/>
    <s v="Q3-2023"/>
    <s v="Americas"/>
    <x v="10"/>
    <s v="New York"/>
    <s v="Education"/>
    <s v="Marketplace"/>
    <s v="I. Johnson"/>
    <x v="6"/>
    <s v="ACC-3551"/>
    <n v="145.58000000000001"/>
    <s v="High"/>
    <n v="228.15"/>
    <n v="0.20399999999999999"/>
    <n v="5"/>
    <n v="158.16520000000003"/>
    <n v="727.90000000000009"/>
    <n v="-569.73480000000006"/>
    <n v="-3.602150156924532"/>
  </r>
  <r>
    <x v="221"/>
    <d v="2023-08-26T00:00:00"/>
    <d v="2023-09-10T00:00:00"/>
    <x v="15"/>
    <s v="Aug-2023"/>
    <s v="Q3-2023"/>
    <s v="Africa"/>
    <x v="11"/>
    <s v="Cape Town"/>
    <s v="Non-Profit"/>
    <s v="Direct"/>
    <s v="N. Brown"/>
    <x v="0"/>
    <s v="CMP-7063"/>
    <n v="241.14"/>
    <s v="High"/>
    <n v="496.52"/>
    <n v="9.2999999999999999E-2"/>
    <n v="10"/>
    <n v="9151.630000000001"/>
    <n v="2411.3999999999996"/>
    <n v="6740.2300000000014"/>
    <n v="0.73650595576962796"/>
  </r>
  <r>
    <x v="222"/>
    <d v="2025-07-16T00:00:00"/>
    <d v="2025-07-17T00:00:00"/>
    <x v="1"/>
    <s v="Jul-2025"/>
    <s v="Q3-2025"/>
    <s v="Africa"/>
    <x v="11"/>
    <s v="Durban"/>
    <s v="Small Business"/>
    <s v="Distributor"/>
    <s v="B. Chen"/>
    <x v="2"/>
    <s v="NET-1612"/>
    <n v="1198.9000000000001"/>
    <s v="High"/>
    <n v="2941.2"/>
    <n v="5.0999999999999997E-2"/>
    <n v="24"/>
    <n v="37663.304640000002"/>
    <n v="28773.600000000002"/>
    <n v="8889.7046399999999"/>
    <n v="0.23603092519286697"/>
  </r>
  <r>
    <x v="223"/>
    <d v="2023-04-19T00:00:00"/>
    <d v="2023-05-07T00:00:00"/>
    <x v="5"/>
    <s v="Apr-2023"/>
    <s v="Q2-2023"/>
    <s v="Europe"/>
    <x v="8"/>
    <s v="Birmingham"/>
    <s v="Enterprise"/>
    <s v="Retail"/>
    <s v="N. Brown"/>
    <x v="4"/>
    <s v="LAP-9766"/>
    <n v="1089.1500000000001"/>
    <s v="High"/>
    <n v="1088.2"/>
    <n v="5.0999999999999997E-2"/>
    <n v="15"/>
    <n v="14458.4895"/>
    <n v="16337.250000000002"/>
    <n v="-1878.7605000000021"/>
    <n v="-0.12994168581718044"/>
  </r>
  <r>
    <x v="224"/>
    <d v="2023-12-19T00:00:00"/>
    <d v="2023-12-20T00:00:00"/>
    <x v="1"/>
    <s v="Dec-2023"/>
    <s v="Q4-2023"/>
    <s v="Americas"/>
    <x v="5"/>
    <s v="Rio de Janeiro"/>
    <s v="Consumer"/>
    <s v="Distributor"/>
    <s v="J. Njeri"/>
    <x v="3"/>
    <s v="PHN-7274"/>
    <n v="1080.43"/>
    <s v="High"/>
    <n v="2529.15"/>
    <n v="0.14699999999999999"/>
    <n v="10"/>
    <n v="7783.1984999999995"/>
    <n v="10804.300000000001"/>
    <n v="-3021.1015000000016"/>
    <n v="-0.38815680982567796"/>
  </r>
  <r>
    <x v="225"/>
    <d v="2023-07-30T00:00:00"/>
    <d v="2023-08-07T00:00:00"/>
    <x v="12"/>
    <s v="Jul-2023"/>
    <s v="Q3-2023"/>
    <s v="Asia"/>
    <x v="2"/>
    <s v="Nagoya"/>
    <s v="Education"/>
    <s v="Marketplace"/>
    <s v="A. Patel"/>
    <x v="2"/>
    <s v="NET-1645"/>
    <n v="1352.44"/>
    <s v="High"/>
    <n v="2698.01"/>
    <n v="0.13100000000000001"/>
    <n v="13"/>
    <n v="9209.201430000001"/>
    <n v="17581.72"/>
    <n v="-8372.5185700000002"/>
    <n v="-0.90914707791335603"/>
  </r>
  <r>
    <x v="226"/>
    <d v="2023-10-04T00:00:00"/>
    <d v="2023-10-29T00:00:00"/>
    <x v="2"/>
    <s v="Oct-2023"/>
    <s v="Q4-2023"/>
    <s v="Americas"/>
    <x v="10"/>
    <s v="San Francisco"/>
    <s v="Small Business"/>
    <s v="Distributor"/>
    <s v="O. Wang"/>
    <x v="6"/>
    <s v="ACC-5079"/>
    <n v="1239.8399999999999"/>
    <s v="High"/>
    <n v="1482.75"/>
    <n v="6.7000000000000004E-2"/>
    <n v="4"/>
    <n v="6770.0719200000003"/>
    <n v="4959.3599999999997"/>
    <n v="1810.7119200000006"/>
    <n v="0.26745829902498297"/>
  </r>
  <r>
    <x v="227"/>
    <d v="2025-08-10T00:00:00"/>
    <d v="2025-08-30T00:00:00"/>
    <x v="9"/>
    <s v="Aug-2025"/>
    <s v="Q3-2025"/>
    <s v="Americas"/>
    <x v="10"/>
    <s v="San Francisco"/>
    <s v="Corporate"/>
    <s v="Marketplace"/>
    <s v="K. Singh"/>
    <x v="1"/>
    <s v="PRN-2098"/>
    <n v="933.29"/>
    <s v="High"/>
    <n v="1456.81"/>
    <n v="0.123"/>
    <n v="13"/>
    <n v="8652.4469199999985"/>
    <n v="12132.77"/>
    <n v="-3480.3230800000019"/>
    <n v="-0.4022357042093247"/>
  </r>
  <r>
    <x v="228"/>
    <d v="2023-03-07T00:00:00"/>
    <d v="2023-04-01T00:00:00"/>
    <x v="2"/>
    <s v="Mar-2023"/>
    <s v="Q1-2023"/>
    <s v="Africa"/>
    <x v="0"/>
    <s v="Nairobi"/>
    <s v="Consumer"/>
    <s v="Marketplace"/>
    <s v="D. Smith"/>
    <x v="1"/>
    <s v="PRN-7049"/>
    <n v="1024.0999999999999"/>
    <s v="High"/>
    <n v="918.19"/>
    <n v="0.189"/>
    <n v="10"/>
    <n v="13522.938400000001"/>
    <n v="10241"/>
    <n v="3281.9384000000009"/>
    <n v="0.24269417658517181"/>
  </r>
  <r>
    <x v="229"/>
    <d v="2023-05-23T00:00:00"/>
    <d v="2023-06-10T00:00:00"/>
    <x v="5"/>
    <s v="May-2023"/>
    <s v="Q2-2023"/>
    <s v="Asia"/>
    <x v="9"/>
    <s v="Shanghai"/>
    <s v="Corporate"/>
    <s v="Distributor"/>
    <s v="E. Garcia"/>
    <x v="0"/>
    <s v="CMP-6925"/>
    <n v="54.62"/>
    <s v="Low"/>
    <n v="48.94"/>
    <n v="0.14799999999999999"/>
    <n v="16"/>
    <n v="34932.681600000004"/>
    <n v="873.92"/>
    <n v="34058.761600000005"/>
    <n v="0.9749827393726338"/>
  </r>
  <r>
    <x v="230"/>
    <d v="2025-04-24T00:00:00"/>
    <d v="2025-05-06T00:00:00"/>
    <x v="8"/>
    <s v="Apr-2025"/>
    <s v="Q2-2025"/>
    <s v="Americas"/>
    <x v="5"/>
    <s v="Brasília"/>
    <s v="Consumer"/>
    <s v="Online"/>
    <s v="C. Otieno"/>
    <x v="3"/>
    <s v="PHN-2787"/>
    <n v="394.13"/>
    <s v="High"/>
    <n v="932.29"/>
    <n v="0.109"/>
    <n v="7"/>
    <n v="4648.9350599999998"/>
    <n v="2758.91"/>
    <n v="1890.0250599999999"/>
    <n v="0.40655010999443819"/>
  </r>
  <r>
    <x v="231"/>
    <d v="2024-09-03T00:00:00"/>
    <d v="2024-09-08T00:00:00"/>
    <x v="16"/>
    <s v="Sept-2024"/>
    <s v="Q3-2024"/>
    <s v="Africa"/>
    <x v="1"/>
    <s v="Lagos"/>
    <s v="Small Business"/>
    <s v="Direct"/>
    <s v="K. Singh"/>
    <x v="1"/>
    <s v="PRN-1141"/>
    <n v="197.63"/>
    <s v="High"/>
    <n v="325.79000000000002"/>
    <n v="0.11600000000000001"/>
    <n v="10"/>
    <n v="6081.4780000000001"/>
    <n v="1976.3"/>
    <n v="4105.1779999999999"/>
    <n v="0.67502965561990025"/>
  </r>
  <r>
    <x v="232"/>
    <d v="2024-09-05T00:00:00"/>
    <d v="2024-09-25T00:00:00"/>
    <x v="9"/>
    <s v="Sept-2024"/>
    <s v="Q3-2024"/>
    <s v="Asia"/>
    <x v="2"/>
    <s v="Osaka"/>
    <s v="Enterprise"/>
    <s v="Distributor"/>
    <s v="D. Smith"/>
    <x v="5"/>
    <s v="MON-5249"/>
    <n v="195.54"/>
    <s v="High"/>
    <n v="405.97"/>
    <n v="0.187"/>
    <n v="16"/>
    <n v="7155.3105599999999"/>
    <n v="3128.64"/>
    <n v="4026.67056"/>
    <n v="0.56275273116866642"/>
  </r>
  <r>
    <x v="233"/>
    <d v="2023-03-14T00:00:00"/>
    <d v="2023-03-30T00:00:00"/>
    <x v="13"/>
    <s v="Mar-2023"/>
    <s v="Q1-2023"/>
    <s v="Africa"/>
    <x v="11"/>
    <s v="Cape Town"/>
    <s v="Consumer"/>
    <s v="Distributor"/>
    <s v="K. Singh"/>
    <x v="0"/>
    <s v="CMP-8230"/>
    <n v="1309.77"/>
    <s v="High"/>
    <n v="1589.07"/>
    <n v="0.10199999999999999"/>
    <n v="10"/>
    <n v="18572.525799999999"/>
    <n v="13097.7"/>
    <n v="5474.8257999999987"/>
    <n v="0.29478089619883574"/>
  </r>
  <r>
    <x v="234"/>
    <d v="2024-01-11T00:00:00"/>
    <d v="2024-02-02T00:00:00"/>
    <x v="22"/>
    <s v="Jan-2024"/>
    <s v="Q1-2024"/>
    <s v="Asia"/>
    <x v="2"/>
    <s v="Nagoya"/>
    <s v="Small Business"/>
    <s v="Online"/>
    <s v="Not Provided"/>
    <x v="1"/>
    <s v="PRN-7816"/>
    <n v="1237.68"/>
    <s v="High"/>
    <n v="1432.8"/>
    <n v="6.8000000000000005E-2"/>
    <n v="13"/>
    <n v="31218.691400000003"/>
    <n v="16089.84"/>
    <n v="15128.851400000003"/>
    <n v="0.48460876230065175"/>
  </r>
  <r>
    <x v="235"/>
    <d v="2024-09-13T00:00:00"/>
    <d v="2024-10-02T00:00:00"/>
    <x v="7"/>
    <s v="Sept-2024"/>
    <s v="Q3-2024"/>
    <s v="Africa"/>
    <x v="0"/>
    <s v="Mombasa"/>
    <s v="Small Business"/>
    <s v="Retail"/>
    <s v="M. Rossi"/>
    <x v="3"/>
    <s v="PHN-8804"/>
    <n v="1338.99"/>
    <s v="High"/>
    <n v="1765.76"/>
    <n v="0.126"/>
    <n v="24"/>
    <n v="21901.880639999999"/>
    <n v="32135.760000000002"/>
    <n v="-10233.879360000003"/>
    <n v="-0.46726030189889678"/>
  </r>
  <r>
    <x v="236"/>
    <d v="2025-07-17T00:00:00"/>
    <d v="2025-07-23T00:00:00"/>
    <x v="30"/>
    <s v="Jul-2025"/>
    <s v="Q3-2025"/>
    <s v="Americas"/>
    <x v="3"/>
    <s v="Vancouver"/>
    <s v="Consumer"/>
    <s v="Online"/>
    <s v="H. Kim"/>
    <x v="0"/>
    <s v="CMP-8851"/>
    <n v="1364.89"/>
    <s v="High"/>
    <n v="2757.54"/>
    <n v="0.17199999999999999"/>
    <n v="61"/>
    <n v="5002.3123200000009"/>
    <n v="83258.290000000008"/>
    <n v="-78255.977680000011"/>
    <n v="-15.643960767327698"/>
  </r>
  <r>
    <x v="237"/>
    <d v="2023-11-28T00:00:00"/>
    <d v="2023-12-07T00:00:00"/>
    <x v="25"/>
    <s v="Nov-2023"/>
    <s v="Q4-2023"/>
    <s v="Asia"/>
    <x v="4"/>
    <s v="Delhi"/>
    <s v="Enterprise"/>
    <s v="Marketplace"/>
    <s v="L. Okafor"/>
    <x v="3"/>
    <s v="PHN-2447"/>
    <n v="699.33"/>
    <s v="High"/>
    <n v="873.75"/>
    <n v="0.23499999999999999"/>
    <n v="10"/>
    <n v="15275.5965"/>
    <n v="6993.3"/>
    <n v="8282.2965000000004"/>
    <n v="0.5421913638527962"/>
  </r>
  <r>
    <x v="238"/>
    <d v="2024-03-30T00:00:00"/>
    <d v="2024-04-24T00:00:00"/>
    <x v="2"/>
    <s v="Mar-2024"/>
    <s v="Q1-2024"/>
    <s v="Americas"/>
    <x v="10"/>
    <s v="Austin"/>
    <s v="Non-Profit"/>
    <s v="Online"/>
    <s v="G. Dubois"/>
    <x v="4"/>
    <s v="LAP-2846"/>
    <n v="160.82"/>
    <s v="High"/>
    <n v="258.52"/>
    <n v="0.13"/>
    <n v="17"/>
    <n v="13631.647199999999"/>
    <n v="2733.94"/>
    <n v="10897.707199999999"/>
    <n v="0.79944169916604058"/>
  </r>
  <r>
    <x v="239"/>
    <d v="2023-09-19T00:00:00"/>
    <d v="2023-10-08T00:00:00"/>
    <x v="7"/>
    <s v="Sept-2023"/>
    <s v="Q3-2023"/>
    <s v="Asia"/>
    <x v="4"/>
    <s v="Bengaluru"/>
    <s v="Education"/>
    <s v="Direct"/>
    <s v="J. Njeri"/>
    <x v="1"/>
    <s v="PRN-5005"/>
    <n v="385.32"/>
    <s v="High"/>
    <n v="606.76"/>
    <n v="8.5999999999999993E-2"/>
    <n v="8"/>
    <n v="18307.712480000002"/>
    <n v="3082.56"/>
    <n v="15225.152480000002"/>
    <n v="0.8316250594732959"/>
  </r>
  <r>
    <x v="240"/>
    <d v="2025-05-16T00:00:00"/>
    <d v="2025-05-27T00:00:00"/>
    <x v="23"/>
    <s v="May-2025"/>
    <s v="Q2-2025"/>
    <s v="Asia"/>
    <x v="9"/>
    <s v="Beijing"/>
    <s v="Enterprise"/>
    <s v="Online"/>
    <s v="F. Müller"/>
    <x v="3"/>
    <s v="PHN-3800"/>
    <n v="918.12"/>
    <s v="High"/>
    <n v="1337.69"/>
    <n v="9.5000000000000001E-2"/>
    <n v="8"/>
    <n v="17830.4548"/>
    <n v="7344.96"/>
    <n v="10485.4948"/>
    <n v="0.58806659267042372"/>
  </r>
  <r>
    <x v="241"/>
    <d v="2025-08-02T00:00:00"/>
    <d v="2025-08-08T00:00:00"/>
    <x v="30"/>
    <s v="Aug-2025"/>
    <s v="Q3-2025"/>
    <s v="Asia"/>
    <x v="2"/>
    <s v="Osaka"/>
    <s v="Consumer"/>
    <s v="Direct"/>
    <s v="N. Brown"/>
    <x v="4"/>
    <s v="LAP-4828"/>
    <n v="1225.94"/>
    <s v="High"/>
    <n v="1793.08"/>
    <n v="0.13600000000000001"/>
    <n v="22"/>
    <n v="9431.7695999999996"/>
    <n v="26970.68"/>
    <n v="-17538.910400000001"/>
    <n v="-1.8595567050323198"/>
  </r>
  <r>
    <x v="242"/>
    <d v="2024-12-04T00:00:00"/>
    <d v="2024-12-12T00:00:00"/>
    <x v="12"/>
    <s v="Dec-2024"/>
    <s v="Q4-2024"/>
    <s v="Europe"/>
    <x v="6"/>
    <s v="Frankfurt"/>
    <s v="Enterprise"/>
    <s v="Marketplace"/>
    <s v="B. Chen"/>
    <x v="1"/>
    <s v="PRN-5492"/>
    <n v="72.06"/>
    <s v="Medium"/>
    <n v="122.74"/>
    <n v="0.23799999999999999"/>
    <n v="8"/>
    <n v="5532.6686399999999"/>
    <n v="576.48"/>
    <n v="4956.1886400000003"/>
    <n v="0.89580435093615152"/>
  </r>
  <r>
    <x v="243"/>
    <d v="2023-04-19T00:00:00"/>
    <d v="2023-04-28T00:00:00"/>
    <x v="25"/>
    <s v="Apr-2023"/>
    <s v="Q2-2023"/>
    <s v="Americas"/>
    <x v="5"/>
    <s v="Rio de Janeiro"/>
    <s v="Corporate"/>
    <s v="Distributor"/>
    <s v="M. Rossi"/>
    <x v="3"/>
    <s v="PHN-7132"/>
    <n v="1013.54"/>
    <s v="High"/>
    <n v="927.93"/>
    <n v="0.17499999999999999"/>
    <n v="16"/>
    <n v="4411.308"/>
    <n v="16216.64"/>
    <n v="-11805.331999999999"/>
    <n v="-2.6761522886182507"/>
  </r>
  <r>
    <x v="244"/>
    <d v="2024-03-06T00:00:00"/>
    <d v="2024-03-26T00:00:00"/>
    <x v="9"/>
    <s v="Mar-2024"/>
    <s v="Q1-2024"/>
    <s v="Africa"/>
    <x v="1"/>
    <s v="Port Harcourt"/>
    <s v="Consumer"/>
    <s v="Marketplace"/>
    <s v="I. Johnson"/>
    <x v="3"/>
    <s v="PHN-4741"/>
    <n v="65.64"/>
    <s v="Medium"/>
    <n v="151.88"/>
    <n v="0.16700000000000001"/>
    <n v="23"/>
    <n v="10322.677609999999"/>
    <n v="1509.72"/>
    <n v="8812.9576099999995"/>
    <n v="0.8537472488206479"/>
  </r>
  <r>
    <x v="245"/>
    <d v="2024-02-16T00:00:00"/>
    <d v="2024-03-04T00:00:00"/>
    <x v="14"/>
    <s v="Feb-2024"/>
    <s v="Q1-2024"/>
    <s v="Americas"/>
    <x v="3"/>
    <s v="Montreal"/>
    <s v="Non-Profit"/>
    <s v="Retail"/>
    <s v="D. Smith"/>
    <x v="4"/>
    <s v="LAP-2774"/>
    <n v="1350.98"/>
    <s v="High"/>
    <n v="2210.4"/>
    <n v="0.26300000000000001"/>
    <n v="6"/>
    <n v="6352.3798799999995"/>
    <n v="8105.88"/>
    <n v="-1753.5001200000006"/>
    <n v="-0.27603829637468102"/>
  </r>
  <r>
    <x v="246"/>
    <d v="2025-04-22T00:00:00"/>
    <d v="2025-05-02T00:00:00"/>
    <x v="24"/>
    <s v="Apr-2025"/>
    <s v="Q2-2025"/>
    <s v="Europe"/>
    <x v="6"/>
    <s v="Berlin"/>
    <s v="Corporate"/>
    <s v="Marketplace"/>
    <s v="C. Otieno"/>
    <x v="5"/>
    <s v="MON-2842"/>
    <n v="20.149999999999999"/>
    <s v="Low"/>
    <n v="39.74"/>
    <n v="0.151"/>
    <n v="18"/>
    <n v="26996.417099999999"/>
    <n v="362.7"/>
    <n v="26633.717099999998"/>
    <n v="0.98656488382675045"/>
  </r>
  <r>
    <x v="247"/>
    <d v="2024-11-08T00:00:00"/>
    <d v="2024-11-08T00:00:00"/>
    <x v="18"/>
    <s v="Nov-2024"/>
    <s v="Q4-2024"/>
    <s v="Africa"/>
    <x v="0"/>
    <s v="Nakuru"/>
    <s v="Enterprise"/>
    <s v="Marketplace"/>
    <s v="M. Rossi"/>
    <x v="2"/>
    <s v="NET-2628"/>
    <n v="803.28"/>
    <s v="High"/>
    <n v="1009"/>
    <n v="0.11"/>
    <n v="4"/>
    <n v="2237.6023999999998"/>
    <n v="3213.12"/>
    <n v="-975.51760000000013"/>
    <n v="-0.43596556743056775"/>
  </r>
  <r>
    <x v="248"/>
    <d v="2025-09-12T00:00:00"/>
    <d v="2025-09-30T00:00:00"/>
    <x v="5"/>
    <s v="Sept-2025"/>
    <s v="Q3-2025"/>
    <s v="Asia"/>
    <x v="2"/>
    <s v="Nagoya"/>
    <s v="Non-Profit"/>
    <s v="Marketplace"/>
    <s v="F. Müller"/>
    <x v="5"/>
    <s v="MON-2998"/>
    <n v="1212.99"/>
    <s v="High"/>
    <n v="1653.64"/>
    <n v="0.107"/>
    <n v="8"/>
    <n v="11792.958000000001"/>
    <n v="9703.92"/>
    <n v="2089.0380000000005"/>
    <n v="0.17714283388442495"/>
  </r>
  <r>
    <x v="249"/>
    <d v="2024-09-02T00:00:00"/>
    <d v="2024-09-08T00:00:00"/>
    <x v="30"/>
    <s v="Sept-2024"/>
    <s v="Q3-2024"/>
    <s v="Americas"/>
    <x v="10"/>
    <s v="Austin"/>
    <s v="Consumer"/>
    <s v="Direct"/>
    <s v="H. Kim"/>
    <x v="0"/>
    <s v="CMP-7563"/>
    <n v="462.94"/>
    <s v="High"/>
    <n v="1015.7"/>
    <n v="0.14299999999999999"/>
    <n v="14"/>
    <n v="26961.185719999998"/>
    <n v="6481.16"/>
    <n v="20480.025719999998"/>
    <n v="0.75961146266678359"/>
  </r>
  <r>
    <x v="250"/>
    <d v="2023-03-04T00:00:00"/>
    <d v="2023-03-24T00:00:00"/>
    <x v="9"/>
    <s v="Mar-2023"/>
    <s v="Q1-2023"/>
    <s v="Americas"/>
    <x v="3"/>
    <s v="Montreal"/>
    <s v="Consumer"/>
    <s v="Distributor"/>
    <s v="I. Johnson"/>
    <x v="4"/>
    <s v="LAP-6160"/>
    <n v="481.71"/>
    <s v="High"/>
    <n v="912.45"/>
    <n v="0.20300000000000001"/>
    <n v="24"/>
    <n v="17084.938320000001"/>
    <n v="11561.039999999999"/>
    <n v="5523.8983200000021"/>
    <n v="0.3233197695266834"/>
  </r>
  <r>
    <x v="251"/>
    <d v="2024-03-15T00:00:00"/>
    <d v="2024-04-09T00:00:00"/>
    <x v="2"/>
    <s v="Mar-2024"/>
    <s v="Q1-2024"/>
    <s v="Americas"/>
    <x v="3"/>
    <s v="Vancouver"/>
    <s v="Consumer"/>
    <s v="Online"/>
    <s v="F. Müller"/>
    <x v="5"/>
    <s v="MON-4361"/>
    <n v="648.64"/>
    <s v="High"/>
    <n v="815.19"/>
    <n v="0.22500000000000001"/>
    <n v="28"/>
    <n v="50537.130000000005"/>
    <n v="18161.919999999998"/>
    <n v="32375.210000000006"/>
    <n v="0.64062225140208795"/>
  </r>
  <r>
    <x v="252"/>
    <d v="2024-07-29T00:00:00"/>
    <d v="2024-07-31T00:00:00"/>
    <x v="6"/>
    <s v="Jul-2024"/>
    <s v="Q3-2024"/>
    <s v="Americas"/>
    <x v="10"/>
    <s v="New York"/>
    <s v="Education"/>
    <s v="Marketplace"/>
    <s v="I. Johnson"/>
    <x v="1"/>
    <s v="PRN-2829"/>
    <n v="798.97"/>
    <s v="High"/>
    <n v="1814.06"/>
    <n v="0.122"/>
    <n v="16"/>
    <n v="29033.704000000002"/>
    <n v="12783.52"/>
    <n v="16250.184000000001"/>
    <n v="0.55970068441835741"/>
  </r>
  <r>
    <x v="253"/>
    <d v="2024-10-27T00:00:00"/>
    <d v="2024-11-20T00:00:00"/>
    <x v="10"/>
    <s v="Oct-2024"/>
    <s v="Q4-2024"/>
    <s v="Asia"/>
    <x v="2"/>
    <s v="Nagoya"/>
    <s v="Non-Profit"/>
    <s v="Online"/>
    <s v="H. Kim"/>
    <x v="5"/>
    <s v="MON-8939"/>
    <n v="317.25"/>
    <s v="High"/>
    <n v="758.92"/>
    <n v="5.2999999999999999E-2"/>
    <n v="9"/>
    <n v="18599.828130000002"/>
    <n v="2855.25"/>
    <n v="15744.578130000002"/>
    <n v="0.84649051700672895"/>
  </r>
  <r>
    <x v="254"/>
    <d v="2024-04-29T00:00:00"/>
    <d v="2024-05-19T00:00:00"/>
    <x v="9"/>
    <s v="Apr-2024"/>
    <s v="Q2-2024"/>
    <s v="Europe"/>
    <x v="6"/>
    <s v="Frankfurt"/>
    <s v="Enterprise"/>
    <s v="Marketplace"/>
    <s v="C. Otieno"/>
    <x v="4"/>
    <s v="LAP-5009"/>
    <n v="668.97"/>
    <s v="High"/>
    <n v="1667.44"/>
    <n v="3.4000000000000002E-2"/>
    <n v="15"/>
    <n v="39508.723799999992"/>
    <n v="10034.550000000001"/>
    <n v="29474.17379999999"/>
    <n v="0.74601685311839905"/>
  </r>
  <r>
    <x v="255"/>
    <d v="2023-10-05T00:00:00"/>
    <d v="2023-10-06T00:00:00"/>
    <x v="1"/>
    <s v="Oct-2023"/>
    <s v="Q4-2023"/>
    <s v="Asia"/>
    <x v="4"/>
    <s v="Bengaluru"/>
    <s v="Non-Profit"/>
    <s v="Online"/>
    <s v="I. Johnson"/>
    <x v="0"/>
    <s v="CMP-4807"/>
    <n v="1470.26"/>
    <s v="High"/>
    <n v="2562.5500000000002"/>
    <n v="0.17299999999999999"/>
    <n v="9"/>
    <n v="828.33146999999997"/>
    <n v="13232.34"/>
    <n v="-12404.008530000001"/>
    <n v="-14.974691870634834"/>
  </r>
  <r>
    <x v="256"/>
    <d v="2023-04-19T00:00:00"/>
    <d v="2023-05-07T00:00:00"/>
    <x v="5"/>
    <s v="Apr-2023"/>
    <s v="Q2-2023"/>
    <s v="Europe"/>
    <x v="8"/>
    <s v="London"/>
    <s v="Non-Profit"/>
    <s v="Direct"/>
    <s v="H. Kim"/>
    <x v="2"/>
    <s v="NET-2439"/>
    <n v="516.96"/>
    <s v="High"/>
    <n v="745.38"/>
    <n v="0.19700000000000001"/>
    <n v="4"/>
    <n v="3533.4890799999994"/>
    <n v="2067.84"/>
    <n v="1465.6490799999992"/>
    <n v="0.41478805985159561"/>
  </r>
  <r>
    <x v="257"/>
    <d v="2025-06-27T00:00:00"/>
    <d v="2025-07-05T00:00:00"/>
    <x v="12"/>
    <s v="Jun-2025"/>
    <s v="Q2-2025"/>
    <s v="Europe"/>
    <x v="6"/>
    <s v="Munich"/>
    <s v="Small Business"/>
    <s v="Direct"/>
    <s v="G. Dubois"/>
    <x v="5"/>
    <s v="MON-7626"/>
    <n v="314.93"/>
    <s v="High"/>
    <n v="687.95"/>
    <n v="0.20499999999999999"/>
    <n v="8"/>
    <n v="9725.3304000000007"/>
    <n v="2519.44"/>
    <n v="7205.8904000000002"/>
    <n v="0.74094042090333501"/>
  </r>
  <r>
    <x v="258"/>
    <d v="2023-10-11T00:00:00"/>
    <d v="2023-10-13T00:00:00"/>
    <x v="6"/>
    <s v="Oct-2023"/>
    <s v="Q4-2023"/>
    <s v="Americas"/>
    <x v="5"/>
    <s v="Brasília"/>
    <s v="Consumer"/>
    <s v="Distributor"/>
    <s v="Not Provided"/>
    <x v="6"/>
    <s v="ACC-3567"/>
    <n v="715.94"/>
    <s v="High"/>
    <n v="550.07000000000005"/>
    <n v="0.14000000000000001"/>
    <n v="16"/>
    <n v="10026.7744"/>
    <n v="11455.04"/>
    <n v="-1428.2656000000006"/>
    <n v="-0.14244517159975201"/>
  </r>
  <r>
    <x v="259"/>
    <d v="2023-05-20T00:00:00"/>
    <d v="2023-06-07T00:00:00"/>
    <x v="5"/>
    <s v="May-2023"/>
    <s v="Q2-2023"/>
    <s v="Africa"/>
    <x v="1"/>
    <s v="Port Harcourt"/>
    <s v="Enterprise"/>
    <s v="Distributor"/>
    <s v="E. Garcia"/>
    <x v="0"/>
    <s v="CMP-4630"/>
    <n v="1120.06"/>
    <s v="High"/>
    <n v="2068.21"/>
    <n v="7.8E-2"/>
    <n v="12"/>
    <n v="69.481920000000002"/>
    <n v="13440.72"/>
    <n v="-13371.238079999999"/>
    <n v="-192.44197742376721"/>
  </r>
  <r>
    <x v="260"/>
    <d v="2023-05-27T00:00:00"/>
    <d v="2023-06-19T00:00:00"/>
    <x v="21"/>
    <s v="May-2023"/>
    <s v="Q2-2023"/>
    <s v="Europe"/>
    <x v="6"/>
    <s v="Berlin"/>
    <s v="Education"/>
    <s v="Retail"/>
    <s v="O. Wang"/>
    <x v="6"/>
    <s v="ACC-1882"/>
    <n v="1471.58"/>
    <s v="High"/>
    <n v="2576.65"/>
    <n v="4.0000000000000001E-3"/>
    <n v="7"/>
    <n v="17916.436439999998"/>
    <n v="10301.06"/>
    <n v="7615.3764399999982"/>
    <n v="0.42504972824830334"/>
  </r>
  <r>
    <x v="261"/>
    <d v="2023-08-04T00:00:00"/>
    <d v="2023-08-24T00:00:00"/>
    <x v="9"/>
    <s v="Aug-2023"/>
    <s v="Q3-2023"/>
    <s v="Americas"/>
    <x v="5"/>
    <s v="Brasília"/>
    <s v="Non-Profit"/>
    <s v="Direct"/>
    <s v="Not Provided"/>
    <x v="2"/>
    <s v="NET-9125"/>
    <n v="582.88"/>
    <s v="High"/>
    <n v="1044.1400000000001"/>
    <n v="0.216"/>
    <n v="10"/>
    <n v="12481.436800000001"/>
    <n v="5828.8"/>
    <n v="6652.6368000000011"/>
    <n v="0.53300248253470306"/>
  </r>
  <r>
    <x v="262"/>
    <d v="2025-06-21T00:00:00"/>
    <d v="2025-06-27T00:00:00"/>
    <x v="30"/>
    <s v="Jun-2025"/>
    <s v="Q2-2025"/>
    <s v="Africa"/>
    <x v="11"/>
    <s v="Durban"/>
    <s v="Enterprise"/>
    <s v="Distributor"/>
    <s v="N. Brown"/>
    <x v="3"/>
    <s v="PHN-3819"/>
    <n v="93.91"/>
    <s v="Medium"/>
    <n v="99.04"/>
    <n v="5.7000000000000002E-2"/>
    <n v="6"/>
    <n v="5632.3692599999995"/>
    <n v="563.46"/>
    <n v="5068.9092599999994"/>
    <n v="0.89996039428707486"/>
  </r>
  <r>
    <x v="263"/>
    <d v="2025-04-16T00:00:00"/>
    <d v="2025-04-26T00:00:00"/>
    <x v="24"/>
    <s v="Apr-2025"/>
    <s v="Q2-2025"/>
    <s v="Africa"/>
    <x v="1"/>
    <s v="Port Harcourt"/>
    <s v="Enterprise"/>
    <s v="Marketplace"/>
    <s v="F. Müller"/>
    <x v="4"/>
    <s v="LAP-3490"/>
    <n v="1457.44"/>
    <s v="High"/>
    <n v="1996.81"/>
    <n v="0.126"/>
    <n v="23"/>
    <n v="24932.711619999998"/>
    <n v="33521.120000000003"/>
    <n v="-8588.4083800000044"/>
    <n v="-0.3444634707566559"/>
  </r>
  <r>
    <x v="264"/>
    <d v="2025-09-02T00:00:00"/>
    <d v="2025-09-11T00:00:00"/>
    <x v="25"/>
    <s v="Sept-2025"/>
    <s v="Q3-2025"/>
    <s v="Americas"/>
    <x v="3"/>
    <s v="Toronto"/>
    <s v="Corporate"/>
    <s v="Distributor"/>
    <s v="M. Rossi"/>
    <x v="1"/>
    <s v="PRN-1276"/>
    <n v="1207.6300000000001"/>
    <s v="High"/>
    <n v="921.68"/>
    <n v="0.19600000000000001"/>
    <n v="17"/>
    <n v="1617.8811600000001"/>
    <n v="20529.710000000003"/>
    <n v="-18911.828840000002"/>
    <n v="-11.689257102171831"/>
  </r>
  <r>
    <x v="265"/>
    <d v="2024-10-08T00:00:00"/>
    <d v="2024-10-08T00:00:00"/>
    <x v="18"/>
    <s v="Oct-2024"/>
    <s v="Q4-2024"/>
    <s v="Europe"/>
    <x v="8"/>
    <s v="London"/>
    <s v="Corporate"/>
    <s v="Online"/>
    <s v="E. Garcia"/>
    <x v="5"/>
    <s v="MON-9733"/>
    <n v="1108.1099999999999"/>
    <s v="High"/>
    <n v="2503.79"/>
    <n v="0.184"/>
    <n v="19"/>
    <n v="32644.137120000007"/>
    <n v="21054.089999999997"/>
    <n v="11590.04712000001"/>
    <n v="0.35504222633898824"/>
  </r>
  <r>
    <x v="266"/>
    <d v="2023-05-07T00:00:00"/>
    <d v="2023-05-05T00:00:00"/>
    <x v="6"/>
    <s v="May-2023"/>
    <s v="Q2-2023"/>
    <s v="Africa"/>
    <x v="1"/>
    <s v="Port Harcourt"/>
    <s v="Non-Profit"/>
    <s v="Marketplace"/>
    <s v="A. Patel"/>
    <x v="0"/>
    <s v="CMP-9392"/>
    <n v="1269.6500000000001"/>
    <s v="High"/>
    <n v="2462.77"/>
    <n v="0.107"/>
    <n v="8"/>
    <n v="3736.3119999999999"/>
    <n v="10157.200000000001"/>
    <n v="-6420.8880000000008"/>
    <n v="-1.7185095891349547"/>
  </r>
  <r>
    <x v="267"/>
    <d v="2023-12-24T00:00:00"/>
    <d v="2024-01-01T00:00:00"/>
    <x v="12"/>
    <s v="Dec-2023"/>
    <s v="Q4-2023"/>
    <s v="Americas"/>
    <x v="5"/>
    <s v="São Paulo"/>
    <s v="Education"/>
    <s v="Direct"/>
    <s v="C. Otieno"/>
    <x v="3"/>
    <s v="PHN-3014"/>
    <n v="526.49"/>
    <s v="High"/>
    <n v="496.2"/>
    <n v="0"/>
    <n v="14"/>
    <n v="15054.199999999999"/>
    <n v="7370.8600000000006"/>
    <n v="7683.3399999999983"/>
    <n v="0.51037849902352828"/>
  </r>
  <r>
    <x v="268"/>
    <d v="2024-01-10T00:00:00"/>
    <d v="2024-01-23T00:00:00"/>
    <x v="19"/>
    <s v="Jan-2024"/>
    <s v="Q1-2024"/>
    <s v="Europe"/>
    <x v="7"/>
    <s v="Marseille"/>
    <s v="Corporate"/>
    <s v="Direct"/>
    <s v="A. Patel"/>
    <x v="1"/>
    <s v="PRN-6776"/>
    <n v="720"/>
    <s v="High"/>
    <n v="907.59"/>
    <n v="0.154"/>
    <n v="10"/>
    <n v="27872.062200000004"/>
    <n v="7200"/>
    <n v="20672.062200000004"/>
    <n v="0.7416768106954067"/>
  </r>
  <r>
    <x v="269"/>
    <d v="2023-08-03T00:00:00"/>
    <d v="2023-08-14T00:00:00"/>
    <x v="23"/>
    <s v="Aug-2023"/>
    <s v="Q3-2023"/>
    <s v="Americas"/>
    <x v="5"/>
    <s v="Brasília"/>
    <s v="Corporate"/>
    <s v="Direct"/>
    <s v="J. Njeri"/>
    <x v="6"/>
    <s v="ACC-3951"/>
    <n v="232.73"/>
    <s v="High"/>
    <n v="334.19"/>
    <n v="0.13400000000000001"/>
    <n v="25"/>
    <n v="10046.682500000001"/>
    <n v="5818.25"/>
    <n v="4228.4325000000008"/>
    <n v="0.42087848401698774"/>
  </r>
  <r>
    <x v="270"/>
    <d v="2025-02-19T00:00:00"/>
    <d v="2025-03-09T00:00:00"/>
    <x v="5"/>
    <s v="Feb-2025"/>
    <s v="Q1-2025"/>
    <s v="Asia"/>
    <x v="4"/>
    <s v="Delhi"/>
    <s v="Small Business"/>
    <s v="Direct"/>
    <s v="O. Wang"/>
    <x v="5"/>
    <s v="MON-1436"/>
    <n v="325.87"/>
    <s v="High"/>
    <n v="538.79"/>
    <n v="0.17399999999999999"/>
    <n v="16"/>
    <n v="6753.7724800000005"/>
    <n v="5213.92"/>
    <n v="1539.8524800000005"/>
    <n v="0.22799886797489516"/>
  </r>
  <r>
    <x v="271"/>
    <d v="2024-03-31T00:00:00"/>
    <d v="2024-04-17T00:00:00"/>
    <x v="14"/>
    <s v="Mar-2024"/>
    <s v="Q1-2024"/>
    <s v="Europe"/>
    <x v="6"/>
    <s v="Frankfurt"/>
    <s v="Education"/>
    <s v="Direct"/>
    <s v="H. Kim"/>
    <x v="5"/>
    <s v="MON-8651"/>
    <n v="1025.51"/>
    <s v="High"/>
    <n v="1436.54"/>
    <n v="0.13900000000000001"/>
    <n v="28"/>
    <n v="101.73576"/>
    <n v="28714.28"/>
    <n v="-28612.544239999999"/>
    <n v="-281.24372629643699"/>
  </r>
  <r>
    <x v="272"/>
    <d v="2023-07-24T00:00:00"/>
    <d v="2023-08-13T00:00:00"/>
    <x v="9"/>
    <s v="Jul-2023"/>
    <s v="Q3-2023"/>
    <s v="Americas"/>
    <x v="3"/>
    <s v="Montreal"/>
    <s v="Education"/>
    <s v="Direct"/>
    <s v="C. Otieno"/>
    <x v="5"/>
    <s v="MON-3307"/>
    <n v="1082.3800000000001"/>
    <s v="High"/>
    <n v="1766.55"/>
    <n v="0.16400000000000001"/>
    <n v="20"/>
    <n v="9651.4527999999991"/>
    <n v="21647.600000000002"/>
    <n v="-11996.147200000003"/>
    <n v="-1.242936938986015"/>
  </r>
  <r>
    <x v="273"/>
    <d v="2024-03-16T00:00:00"/>
    <d v="2024-04-13T00:00:00"/>
    <x v="27"/>
    <s v="Mar-2024"/>
    <s v="Q1-2024"/>
    <s v="Europe"/>
    <x v="7"/>
    <s v="Paris"/>
    <s v="Small Business"/>
    <s v="Online"/>
    <s v="K. Singh"/>
    <x v="1"/>
    <s v="PRN-8758"/>
    <n v="287.61"/>
    <s v="High"/>
    <n v="628.54"/>
    <n v="0.13500000000000001"/>
    <n v="21"/>
    <n v="25903.83495"/>
    <n v="6039.81"/>
    <n v="19864.024949999999"/>
    <n v="0.76683722654741504"/>
  </r>
  <r>
    <x v="274"/>
    <d v="2024-01-25T00:00:00"/>
    <d v="2024-01-27T00:00:00"/>
    <x v="6"/>
    <s v="Jan-2024"/>
    <s v="Q1-2024"/>
    <s v="Americas"/>
    <x v="5"/>
    <s v="São Paulo"/>
    <s v="Non-Profit"/>
    <s v="Marketplace"/>
    <s v="N. Brown"/>
    <x v="4"/>
    <s v="LAP-7056"/>
    <n v="1410.97"/>
    <s v="High"/>
    <n v="1650.75"/>
    <n v="0.13500000000000001"/>
    <n v="6"/>
    <n v="7059.0227999999997"/>
    <n v="8465.82"/>
    <n v="-1406.7972"/>
    <n v="-0.19929064402511917"/>
  </r>
  <r>
    <x v="275"/>
    <d v="2024-03-27T00:00:00"/>
    <d v="2024-04-11T00:00:00"/>
    <x v="15"/>
    <s v="Mar-2024"/>
    <s v="Q1-2024"/>
    <s v="Americas"/>
    <x v="10"/>
    <s v="San Francisco"/>
    <s v="Small Business"/>
    <s v="Direct"/>
    <s v="O. Wang"/>
    <x v="2"/>
    <s v="NET-5523"/>
    <n v="1338.35"/>
    <s v="High"/>
    <n v="2247.14"/>
    <n v="0.115"/>
    <n v="40"/>
    <n v="73316.94"/>
    <n v="53534"/>
    <n v="19782.940000000002"/>
    <n v="0.26982768238827209"/>
  </r>
  <r>
    <x v="276"/>
    <d v="2025-06-24T00:00:00"/>
    <d v="2025-07-14T00:00:00"/>
    <x v="9"/>
    <s v="Jun-2025"/>
    <s v="Q2-2025"/>
    <s v="Europe"/>
    <x v="6"/>
    <s v="Berlin"/>
    <s v="Corporate"/>
    <s v="Direct"/>
    <s v="O. Wang"/>
    <x v="6"/>
    <s v="ACC-8094"/>
    <n v="385.08"/>
    <s v="High"/>
    <n v="893.19"/>
    <n v="0.151"/>
    <n v="8"/>
    <n v="6655.0732799999996"/>
    <n v="3080.64"/>
    <n v="3574.4332799999997"/>
    <n v="0.53709901147775185"/>
  </r>
  <r>
    <x v="277"/>
    <d v="2024-06-16T00:00:00"/>
    <d v="2024-07-03T00:00:00"/>
    <x v="14"/>
    <s v="Jun-2024"/>
    <s v="Q2-2024"/>
    <s v="Africa"/>
    <x v="11"/>
    <s v="Johannesburg"/>
    <s v="Enterprise"/>
    <s v="Marketplace"/>
    <s v="F. Müller"/>
    <x v="3"/>
    <s v="PHN-6832"/>
    <n v="1173.83"/>
    <s v="High"/>
    <n v="2328.9"/>
    <n v="0.12"/>
    <n v="17"/>
    <n v="8039.3543999999993"/>
    <n v="19955.11"/>
    <n v="-11915.7556"/>
    <n v="-1.4821781709237749"/>
  </r>
  <r>
    <x v="278"/>
    <d v="2023-10-30T00:00:00"/>
    <d v="2023-11-14T00:00:00"/>
    <x v="15"/>
    <s v="Oct-2023"/>
    <s v="Q4-2023"/>
    <s v="Asia"/>
    <x v="4"/>
    <s v="Bengaluru"/>
    <s v="Corporate"/>
    <s v="Online"/>
    <s v="F. Müller"/>
    <x v="4"/>
    <s v="LAP-2378"/>
    <n v="953.46"/>
    <s v="High"/>
    <n v="2066.75"/>
    <n v="0.13800000000000001"/>
    <n v="5"/>
    <n v="919.40919999999994"/>
    <n v="4767.3"/>
    <n v="-3847.8908000000001"/>
    <n v="-4.1851776118838062"/>
  </r>
  <r>
    <x v="279"/>
    <d v="2023-06-15T00:00:00"/>
    <d v="2023-06-23T00:00:00"/>
    <x v="12"/>
    <s v="Jun-2023"/>
    <s v="Q2-2023"/>
    <s v="Americas"/>
    <x v="10"/>
    <s v="San Francisco"/>
    <s v="Consumer"/>
    <s v="Distributor"/>
    <s v="O. Wang"/>
    <x v="5"/>
    <s v="MON-5424"/>
    <n v="1097.0899999999999"/>
    <s v="High"/>
    <n v="2182.31"/>
    <n v="0.112"/>
    <n v="9"/>
    <n v="15941.402639999998"/>
    <n v="9873.81"/>
    <n v="6067.5926399999989"/>
    <n v="0.38061849242646062"/>
  </r>
  <r>
    <x v="280"/>
    <d v="2025-03-14T00:00:00"/>
    <d v="2025-03-29T00:00:00"/>
    <x v="15"/>
    <s v="Mar-2025"/>
    <s v="Q1-2025"/>
    <s v="Asia"/>
    <x v="2"/>
    <s v="Tokyo"/>
    <s v="Non-Profit"/>
    <s v="Direct"/>
    <s v="H. Kim"/>
    <x v="2"/>
    <s v="NET-8430"/>
    <n v="1106.96"/>
    <s v="High"/>
    <n v="2726.62"/>
    <n v="0.317"/>
    <n v="7"/>
    <n v="2643.1280400000001"/>
    <n v="7748.72"/>
    <n v="-5105.5919599999997"/>
    <n v="-1.9316476094741137"/>
  </r>
  <r>
    <x v="281"/>
    <d v="2023-08-15T00:00:00"/>
    <d v="2023-08-25T00:00:00"/>
    <x v="24"/>
    <s v="Aug-2023"/>
    <s v="Q3-2023"/>
    <s v="Africa"/>
    <x v="0"/>
    <s v="Nairobi"/>
    <s v="Small Business"/>
    <s v="Retail"/>
    <s v="N. Brown"/>
    <x v="3"/>
    <s v="PHN-1234"/>
    <n v="91.85"/>
    <s v="Medium"/>
    <n v="111.29"/>
    <n v="0"/>
    <n v="6"/>
    <n v="1349.6999999999998"/>
    <n v="551.09999999999991"/>
    <n v="798.59999999999991"/>
    <n v="0.59168704156479224"/>
  </r>
  <r>
    <x v="282"/>
    <d v="2025-05-17T00:00:00"/>
    <d v="2025-05-28T00:00:00"/>
    <x v="23"/>
    <s v="May-2025"/>
    <s v="Q2-2025"/>
    <s v="Asia"/>
    <x v="4"/>
    <s v="Bengaluru"/>
    <s v="Corporate"/>
    <s v="Distributor"/>
    <s v="B. Chen"/>
    <x v="4"/>
    <s v="LAP-9016"/>
    <n v="623.4"/>
    <s v="High"/>
    <n v="1100.0899999999999"/>
    <n v="0.114"/>
    <n v="12"/>
    <n v="8208.8608800000002"/>
    <n v="7480.7999999999993"/>
    <n v="728.06088000000091"/>
    <n v="8.8692071974790357E-2"/>
  </r>
  <r>
    <x v="283"/>
    <d v="2024-01-13T00:00:00"/>
    <d v="2024-02-05T00:00:00"/>
    <x v="21"/>
    <s v="Jan-2024"/>
    <s v="Q1-2024"/>
    <s v="Europe"/>
    <x v="6"/>
    <s v="Frankfurt"/>
    <s v="Education"/>
    <s v="Direct"/>
    <s v="B. Chen"/>
    <x v="4"/>
    <s v="LAP-9931"/>
    <n v="1017.93"/>
    <s v="High"/>
    <n v="1529.14"/>
    <n v="0.155"/>
    <n v="12"/>
    <n v="31932.989400000002"/>
    <n v="12215.16"/>
    <n v="19717.829400000002"/>
    <n v="0.61747521201381794"/>
  </r>
  <r>
    <x v="284"/>
    <d v="2023-06-24T00:00:00"/>
    <d v="2023-07-21T00:00:00"/>
    <x v="29"/>
    <s v="Jun-2023"/>
    <s v="Q2-2023"/>
    <s v="Asia"/>
    <x v="2"/>
    <s v="Nagoya"/>
    <s v="Consumer"/>
    <s v="Marketplace"/>
    <s v="J. Njeri"/>
    <x v="3"/>
    <s v="PHN-6818"/>
    <n v="554.76"/>
    <s v="High"/>
    <n v="728.69"/>
    <n v="0.22"/>
    <n v="7"/>
    <n v="314.11380000000003"/>
    <n v="3883.3199999999997"/>
    <n v="-3569.2061999999996"/>
    <n v="-11.362780622818862"/>
  </r>
  <r>
    <x v="285"/>
    <d v="2025-04-04T00:00:00"/>
    <d v="2025-04-13T00:00:00"/>
    <x v="25"/>
    <s v="Apr-2025"/>
    <s v="Q2-2025"/>
    <s v="Europe"/>
    <x v="6"/>
    <s v="Munich"/>
    <s v="Consumer"/>
    <s v="Marketplace"/>
    <s v="F. Müller"/>
    <x v="3"/>
    <s v="PHN-3803"/>
    <n v="7.02"/>
    <s v="Low"/>
    <n v="6.28"/>
    <n v="0.13400000000000001"/>
    <n v="14"/>
    <n v="9999.9964400000008"/>
    <n v="98.28"/>
    <n v="9901.7164400000001"/>
    <n v="0.99017199650123067"/>
  </r>
  <r>
    <x v="286"/>
    <d v="2024-09-07T00:00:00"/>
    <d v="2024-09-07T00:00:00"/>
    <x v="18"/>
    <s v="Sept-2024"/>
    <s v="Q3-2024"/>
    <s v="Asia"/>
    <x v="4"/>
    <s v="Mumbai"/>
    <s v="Education"/>
    <s v="Distributor"/>
    <s v="B. Chen"/>
    <x v="2"/>
    <s v="NET-9835"/>
    <n v="1066.6500000000001"/>
    <s v="High"/>
    <n v="2569.77"/>
    <n v="0.13400000000000001"/>
    <n v="9"/>
    <n v="11640.572819999999"/>
    <n v="9599.85"/>
    <n v="2040.722819999999"/>
    <n v="0.17531120259767416"/>
  </r>
  <r>
    <x v="287"/>
    <d v="2024-01-28T00:00:00"/>
    <d v="2024-01-30T00:00:00"/>
    <x v="6"/>
    <s v="Jan-2024"/>
    <s v="Q1-2024"/>
    <s v="Africa"/>
    <x v="11"/>
    <s v="Cape Town"/>
    <s v="Consumer"/>
    <s v="Direct"/>
    <s v="F. Müller"/>
    <x v="6"/>
    <s v="ACC-6223"/>
    <n v="798.45"/>
    <s v="High"/>
    <n v="1592.02"/>
    <n v="6.6000000000000003E-2"/>
    <n v="18"/>
    <n v="12473.159039999999"/>
    <n v="14372.1"/>
    <n v="-1898.9409600000017"/>
    <n v="-0.15224218290733843"/>
  </r>
  <r>
    <x v="288"/>
    <d v="2023-07-18T00:00:00"/>
    <d v="2023-08-10T00:00:00"/>
    <x v="21"/>
    <s v="Jul-2023"/>
    <s v="Q3-2023"/>
    <s v="Africa"/>
    <x v="11"/>
    <s v="Johannesburg"/>
    <s v="Small Business"/>
    <s v="Retail"/>
    <s v="L. Okafor"/>
    <x v="0"/>
    <s v="CMP-8659"/>
    <n v="1271.56"/>
    <s v="High"/>
    <n v="995.47"/>
    <n v="0.192"/>
    <n v="13"/>
    <n v="7796.3839200000002"/>
    <n v="16530.28"/>
    <n v="-8733.8960799999986"/>
    <n v="-1.1202496143878966"/>
  </r>
  <r>
    <x v="289"/>
    <d v="2025-08-28T00:00:00"/>
    <d v="2025-08-26T00:00:00"/>
    <x v="6"/>
    <s v="Aug-2025"/>
    <s v="Q3-2025"/>
    <s v="Africa"/>
    <x v="1"/>
    <s v="Port Harcourt"/>
    <s v="Small Business"/>
    <s v="Retail"/>
    <s v="A. Patel"/>
    <x v="6"/>
    <s v="ACC-4483"/>
    <n v="521.05999999999995"/>
    <s v="High"/>
    <n v="1240.31"/>
    <n v="0.14599999999999999"/>
    <n v="18"/>
    <n v="7371.4888800000008"/>
    <n v="9379.0799999999981"/>
    <n v="-2007.5911199999973"/>
    <n v="-0.27234540439271437"/>
  </r>
  <r>
    <x v="290"/>
    <d v="2025-03-30T00:00:00"/>
    <d v="2025-04-07T00:00:00"/>
    <x v="12"/>
    <s v="Mar-2025"/>
    <s v="Q1-2025"/>
    <s v="Americas"/>
    <x v="5"/>
    <s v="São Paulo"/>
    <s v="Non-Profit"/>
    <s v="Direct"/>
    <s v="L. Okafor"/>
    <x v="1"/>
    <s v="PRN-8763"/>
    <n v="71.62"/>
    <s v="Medium"/>
    <n v="118.37"/>
    <n v="0.156"/>
    <n v="11"/>
    <n v="10911.020999999999"/>
    <n v="787.82"/>
    <n v="10123.200999999999"/>
    <n v="0.92779594136973986"/>
  </r>
  <r>
    <x v="291"/>
    <d v="2023-10-21T00:00:00"/>
    <d v="2023-11-09T00:00:00"/>
    <x v="7"/>
    <s v="Oct-2023"/>
    <s v="Q4-2023"/>
    <s v="Europe"/>
    <x v="8"/>
    <s v="London"/>
    <s v="Non-Profit"/>
    <s v="Direct"/>
    <s v="A. Patel"/>
    <x v="6"/>
    <s v="ACC-8557"/>
    <n v="1142.48"/>
    <s v="High"/>
    <n v="2105.5300000000002"/>
    <n v="0.20699999999999999"/>
    <n v="14"/>
    <n v="2525.1498999999999"/>
    <n v="15994.720000000001"/>
    <n v="-13469.570100000001"/>
    <n v="-5.3341665379944381"/>
  </r>
  <r>
    <x v="292"/>
    <d v="2023-08-23T00:00:00"/>
    <d v="2023-09-22T00:00:00"/>
    <x v="26"/>
    <s v="Aug-2023"/>
    <s v="Q3-2023"/>
    <s v="Europe"/>
    <x v="8"/>
    <s v="London"/>
    <s v="Consumer"/>
    <s v="Distributor"/>
    <s v="O. Wang"/>
    <x v="6"/>
    <s v="ACC-1492"/>
    <n v="209.81"/>
    <s v="High"/>
    <n v="523"/>
    <n v="5.8999999999999997E-2"/>
    <n v="15"/>
    <n v="16636.221300000001"/>
    <n v="3147.15"/>
    <n v="13489.071300000001"/>
    <n v="0.81082543065233215"/>
  </r>
  <r>
    <x v="293"/>
    <d v="2025-04-11T00:00:00"/>
    <d v="2025-05-04T00:00:00"/>
    <x v="21"/>
    <s v="Apr-2025"/>
    <s v="Q2-2025"/>
    <s v="Asia"/>
    <x v="2"/>
    <s v="Osaka"/>
    <s v="Small Business"/>
    <s v="Online"/>
    <s v="M. Rossi"/>
    <x v="0"/>
    <s v="CMP-3743"/>
    <n v="786.2"/>
    <s v="High"/>
    <n v="1075.3"/>
    <n v="0.08"/>
    <n v="9"/>
    <n v="20054.987999999998"/>
    <n v="7075.8"/>
    <n v="12979.187999999998"/>
    <n v="0.64718004318925548"/>
  </r>
  <r>
    <x v="294"/>
    <d v="2025-06-01T00:00:00"/>
    <d v="2025-06-27T00:00:00"/>
    <x v="0"/>
    <s v="Jun-2025"/>
    <s v="Q2-2025"/>
    <s v="Europe"/>
    <x v="6"/>
    <s v="Munich"/>
    <s v="Consumer"/>
    <s v="Distributor"/>
    <s v="E. Garcia"/>
    <x v="4"/>
    <s v="LAP-1619"/>
    <n v="1362.31"/>
    <s v="High"/>
    <n v="3294.57"/>
    <n v="0.113"/>
    <n v="7"/>
    <n v="2693.96092"/>
    <n v="9536.17"/>
    <n v="-6842.2090800000005"/>
    <n v="-2.5398323447097373"/>
  </r>
  <r>
    <x v="295"/>
    <d v="2024-03-02T00:00:00"/>
    <d v="2024-03-16T00:00:00"/>
    <x v="17"/>
    <s v="Mar-2024"/>
    <s v="Q1-2024"/>
    <s v="Americas"/>
    <x v="3"/>
    <s v="Vancouver"/>
    <s v="Non-Profit"/>
    <s v="Direct"/>
    <s v="O. Wang"/>
    <x v="1"/>
    <s v="PRN-7976"/>
    <n v="248.24"/>
    <s v="High"/>
    <n v="464.05"/>
    <n v="0.16900000000000001"/>
    <n v="11"/>
    <n v="28786.197329999999"/>
    <n v="2730.6400000000003"/>
    <n v="26055.55733"/>
    <n v="0.90514064887777934"/>
  </r>
  <r>
    <x v="296"/>
    <d v="2023-06-20T00:00:00"/>
    <d v="2023-07-08T00:00:00"/>
    <x v="5"/>
    <s v="Jun-2023"/>
    <s v="Q2-2023"/>
    <s v="Americas"/>
    <x v="10"/>
    <s v="Austin"/>
    <s v="Non-Profit"/>
    <s v="Direct"/>
    <s v="F. Müller"/>
    <x v="5"/>
    <s v="MON-4326"/>
    <n v="337"/>
    <s v="High"/>
    <n v="511.03"/>
    <n v="0.108"/>
    <n v="7"/>
    <n v="409.91860000000008"/>
    <n v="2359"/>
    <n v="-1949.0814"/>
    <n v="-4.7548010751402829"/>
  </r>
  <r>
    <x v="297"/>
    <d v="2024-03-26T00:00:00"/>
    <d v="2024-04-05T00:00:00"/>
    <x v="24"/>
    <s v="Mar-2024"/>
    <s v="Q1-2024"/>
    <s v="Americas"/>
    <x v="10"/>
    <s v="Austin"/>
    <s v="Consumer"/>
    <s v="Direct"/>
    <s v="J. Njeri"/>
    <x v="5"/>
    <s v="MON-5444"/>
    <n v="5.66"/>
    <s v="Low"/>
    <n v="4.22"/>
    <n v="0.11899999999999999"/>
    <n v="18"/>
    <n v="39520.356119999997"/>
    <n v="101.88"/>
    <n v="39418.476119999999"/>
    <n v="0.99742208800723742"/>
  </r>
  <r>
    <x v="298"/>
    <d v="2025-01-22T00:00:00"/>
    <d v="2025-01-22T00:00:00"/>
    <x v="18"/>
    <s v="Jan-2025"/>
    <s v="Q1-2025"/>
    <s v="Europe"/>
    <x v="7"/>
    <s v="Lyon"/>
    <s v="Small Business"/>
    <s v="Online"/>
    <s v="B. Chen"/>
    <x v="6"/>
    <s v="ACC-5422"/>
    <n v="591.72"/>
    <s v="High"/>
    <n v="577.24"/>
    <n v="0"/>
    <n v="22"/>
    <n v="20500.48"/>
    <n v="13017.84"/>
    <n v="7482.6399999999994"/>
    <n v="0.36499828296703296"/>
  </r>
  <r>
    <x v="299"/>
    <d v="2025-05-10T00:00:00"/>
    <d v="2025-05-27T00:00:00"/>
    <x v="14"/>
    <s v="May-2025"/>
    <s v="Q2-2025"/>
    <s v="Americas"/>
    <x v="3"/>
    <s v="Vancouver"/>
    <s v="Education"/>
    <s v="Direct"/>
    <s v="C. Otieno"/>
    <x v="0"/>
    <s v="CMP-9307"/>
    <n v="862.89"/>
    <s v="High"/>
    <n v="1426.03"/>
    <n v="5.6000000000000001E-2"/>
    <n v="19"/>
    <n v="11111.531359999999"/>
    <n v="16394.91"/>
    <n v="-5283.3786400000008"/>
    <n v="-0.4754860935747745"/>
  </r>
  <r>
    <x v="300"/>
    <d v="2023-10-05T00:00:00"/>
    <d v="2023-10-31T00:00:00"/>
    <x v="0"/>
    <s v="Oct-2023"/>
    <s v="Q4-2023"/>
    <s v="Asia"/>
    <x v="9"/>
    <s v="Shanghai"/>
    <s v="Consumer"/>
    <s v="Not Provided"/>
    <s v="J. Njeri"/>
    <x v="1"/>
    <s v="PRN-6520"/>
    <n v="649.91"/>
    <s v="High"/>
    <n v="1360.12"/>
    <n v="0.19400000000000001"/>
    <n v="9"/>
    <n v="10311.923699999999"/>
    <n v="5849.19"/>
    <n v="4462.7336999999998"/>
    <n v="0.43277411953697836"/>
  </r>
  <r>
    <x v="301"/>
    <d v="2023-07-18T00:00:00"/>
    <d v="2023-07-22T00:00:00"/>
    <x v="3"/>
    <s v="Jul-2023"/>
    <s v="Q3-2023"/>
    <s v="Americas"/>
    <x v="5"/>
    <s v="São Paulo"/>
    <s v="Consumer"/>
    <s v="Direct"/>
    <s v="F. Müller"/>
    <x v="2"/>
    <s v="NET-1699"/>
    <n v="1269.55"/>
    <s v="High"/>
    <n v="2071.1"/>
    <n v="0.129"/>
    <n v="22"/>
    <n v="18252.954719999998"/>
    <n v="27930.1"/>
    <n v="-9677.1452800000006"/>
    <n v="-0.53016870027057195"/>
  </r>
  <r>
    <x v="302"/>
    <d v="2025-06-22T00:00:00"/>
    <d v="2025-07-08T00:00:00"/>
    <x v="13"/>
    <s v="Jun-2025"/>
    <s v="Q2-2025"/>
    <s v="Europe"/>
    <x v="8"/>
    <s v="London"/>
    <s v="Education"/>
    <s v="Direct"/>
    <s v="A. Patel"/>
    <x v="3"/>
    <s v="PHN-5316"/>
    <n v="892.73"/>
    <s v="High"/>
    <n v="979.84"/>
    <n v="0.17399999999999999"/>
    <n v="10"/>
    <n v="26053.196400000001"/>
    <n v="8927.2999999999993"/>
    <n v="17125.896400000001"/>
    <n v="0.65734338839129935"/>
  </r>
  <r>
    <x v="303"/>
    <d v="2024-06-19T00:00:00"/>
    <d v="2024-06-20T00:00:00"/>
    <x v="1"/>
    <s v="Jun-2024"/>
    <s v="Q2-2024"/>
    <s v="Africa"/>
    <x v="0"/>
    <s v="Kisumu"/>
    <s v="Small Business"/>
    <s v="Direct"/>
    <s v="J. Njeri"/>
    <x v="4"/>
    <s v="LAP-4607"/>
    <n v="231.63"/>
    <s v="High"/>
    <n v="537.39"/>
    <n v="0.08"/>
    <n v="12"/>
    <n v="2496.5855999999999"/>
    <n v="2779.56"/>
    <n v="-282.97440000000006"/>
    <n v="-0.11334456146827093"/>
  </r>
  <r>
    <x v="304"/>
    <d v="2025-04-09T00:00:00"/>
    <d v="2025-04-12T00:00:00"/>
    <x v="4"/>
    <s v="Apr-2025"/>
    <s v="Q2-2025"/>
    <s v="Europe"/>
    <x v="7"/>
    <s v="Lyon"/>
    <s v="Small Business"/>
    <s v="Distributor"/>
    <s v="H. Kim"/>
    <x v="5"/>
    <s v="MON-5276"/>
    <n v="86.68"/>
    <s v="High"/>
    <n v="213.32"/>
    <n v="3.7999999999999999E-2"/>
    <n v="8"/>
    <n v="6818.0403199999992"/>
    <n v="693.44"/>
    <n v="6124.6003199999996"/>
    <n v="0.89829335594190218"/>
  </r>
  <r>
    <x v="305"/>
    <d v="2025-03-25T00:00:00"/>
    <d v="2025-03-26T00:00:00"/>
    <x v="1"/>
    <s v="Mar-2025"/>
    <s v="Q1-2025"/>
    <s v="Africa"/>
    <x v="1"/>
    <s v="Lagos"/>
    <s v="Education"/>
    <s v="Distributor"/>
    <s v="G. Dubois"/>
    <x v="6"/>
    <s v="ACC-9533"/>
    <n v="1450.43"/>
    <s v="High"/>
    <n v="1994.67"/>
    <n v="0.1"/>
    <n v="24"/>
    <n v="52560.144000000008"/>
    <n v="34810.32"/>
    <n v="17749.824000000008"/>
    <n v="0.33770501085385163"/>
  </r>
  <r>
    <x v="306"/>
    <d v="2025-05-18T00:00:00"/>
    <d v="2025-06-09T00:00:00"/>
    <x v="22"/>
    <s v="May-2025"/>
    <s v="Q2-2025"/>
    <s v="Americas"/>
    <x v="10"/>
    <s v="New York"/>
    <s v="Consumer"/>
    <s v="Retail"/>
    <s v="H. Kim"/>
    <x v="2"/>
    <s v="NET-3749"/>
    <n v="382.96"/>
    <s v="High"/>
    <n v="552.84"/>
    <n v="0.17599999999999999"/>
    <n v="8"/>
    <n v="7609.4092799999999"/>
    <n v="3063.68"/>
    <n v="4545.7292799999996"/>
    <n v="0.59738267620164065"/>
  </r>
  <r>
    <x v="307"/>
    <d v="2025-01-22T00:00:00"/>
    <d v="2025-02-04T00:00:00"/>
    <x v="19"/>
    <s v="Jan-2025"/>
    <s v="Q1-2025"/>
    <s v="Asia"/>
    <x v="2"/>
    <s v="Tokyo"/>
    <s v="Small Business"/>
    <s v="Distributor"/>
    <s v="L. Okafor"/>
    <x v="1"/>
    <s v="PRN-2991"/>
    <n v="122.29"/>
    <s v="High"/>
    <n v="224.95"/>
    <n v="0.153"/>
    <n v="28"/>
    <n v="26941.13884"/>
    <n v="3424.1200000000003"/>
    <n v="23517.018840000001"/>
    <n v="0.8729036652705956"/>
  </r>
  <r>
    <x v="308"/>
    <d v="2023-01-10T00:00:00"/>
    <d v="2023-01-29T00:00:00"/>
    <x v="7"/>
    <s v="Jan-2023"/>
    <s v="Q1-2023"/>
    <s v="Europe"/>
    <x v="7"/>
    <s v="Lyon"/>
    <s v="Non-Profit"/>
    <s v="Direct"/>
    <s v="D. Smith"/>
    <x v="4"/>
    <s v="LAP-4551"/>
    <n v="401.66"/>
    <s v="High"/>
    <n v="772.09"/>
    <n v="8.8999999999999996E-2"/>
    <n v="14"/>
    <n v="35096.967360000002"/>
    <n v="5623.2400000000007"/>
    <n v="29473.727360000001"/>
    <n v="0.83977988917615698"/>
  </r>
  <r>
    <x v="309"/>
    <d v="2024-12-29T00:00:00"/>
    <d v="2025-01-12T00:00:00"/>
    <x v="17"/>
    <s v="Dec-2024"/>
    <s v="Q4-2024"/>
    <s v="Europe"/>
    <x v="8"/>
    <s v="Manchester"/>
    <s v="Corporate"/>
    <s v="Direct"/>
    <s v="B. Chen"/>
    <x v="5"/>
    <s v="MON-6310"/>
    <n v="1399.72"/>
    <s v="High"/>
    <n v="3149.21"/>
    <n v="0.185"/>
    <n v="12"/>
    <n v="13444.761599999998"/>
    <n v="16796.64"/>
    <n v="-3351.8784000000014"/>
    <n v="-0.24930738823959525"/>
  </r>
  <r>
    <x v="310"/>
    <d v="2024-05-23T00:00:00"/>
    <d v="2024-06-06T00:00:00"/>
    <x v="17"/>
    <s v="May-2024"/>
    <s v="Q2-2024"/>
    <s v="Americas"/>
    <x v="5"/>
    <s v="Rio de Janeiro"/>
    <s v="Non-Profit"/>
    <s v="Online"/>
    <s v="I. Johnson"/>
    <x v="2"/>
    <s v="NET-1166"/>
    <n v="51.13"/>
    <s v="Medium"/>
    <n v="57.53"/>
    <n v="4.4999999999999998E-2"/>
    <n v="16"/>
    <n v="20144.693599999999"/>
    <n v="818.08"/>
    <n v="19326.613599999997"/>
    <n v="0.95938980178879452"/>
  </r>
  <r>
    <x v="311"/>
    <d v="2023-06-24T00:00:00"/>
    <d v="2023-06-22T00:00:00"/>
    <x v="6"/>
    <s v="Jun-2023"/>
    <s v="Q2-2023"/>
    <s v="Americas"/>
    <x v="3"/>
    <s v="Toronto"/>
    <s v="Non-Profit"/>
    <s v="Retail"/>
    <s v="M. Rossi"/>
    <x v="6"/>
    <s v="ACC-2903"/>
    <n v="471.42"/>
    <s v="High"/>
    <n v="824.81"/>
    <n v="8.7999999999999995E-2"/>
    <n v="15"/>
    <n v="6043.0032000000001"/>
    <n v="7071.3"/>
    <n v="-1028.2968000000001"/>
    <n v="-0.17016320626803574"/>
  </r>
  <r>
    <x v="312"/>
    <d v="2024-11-04T00:00:00"/>
    <d v="2024-11-05T00:00:00"/>
    <x v="1"/>
    <s v="Nov-2024"/>
    <s v="Q4-2024"/>
    <s v="Europe"/>
    <x v="8"/>
    <s v="London"/>
    <s v="Corporate"/>
    <s v="Retail"/>
    <s v="M. Rossi"/>
    <x v="1"/>
    <s v="PRN-2293"/>
    <n v="840.68"/>
    <s v="High"/>
    <n v="1493.53"/>
    <n v="0"/>
    <n v="27"/>
    <n v="35911.89"/>
    <n v="22698.359999999997"/>
    <n v="13213.530000000002"/>
    <n v="0.36794304059184862"/>
  </r>
  <r>
    <x v="313"/>
    <d v="2024-06-08T00:00:00"/>
    <d v="2024-06-24T00:00:00"/>
    <x v="13"/>
    <s v="Jun-2024"/>
    <s v="Q2-2024"/>
    <s v="Africa"/>
    <x v="11"/>
    <s v="Durban"/>
    <s v="Education"/>
    <s v="Distributor"/>
    <s v="H. Kim"/>
    <x v="5"/>
    <s v="MON-1389"/>
    <n v="597.85"/>
    <s v="High"/>
    <n v="741.92"/>
    <n v="3.1E-2"/>
    <n v="7"/>
    <n v="11089.255379999999"/>
    <n v="4184.95"/>
    <n v="6904.3053799999989"/>
    <n v="0.62261217217995024"/>
  </r>
  <r>
    <x v="314"/>
    <d v="2025-06-01T00:00:00"/>
    <d v="2025-06-06T00:00:00"/>
    <x v="16"/>
    <s v="Jun-2025"/>
    <s v="Q2-2025"/>
    <s v="Europe"/>
    <x v="7"/>
    <s v="Paris"/>
    <s v="Consumer"/>
    <s v="Distributor"/>
    <s v="G. Dubois"/>
    <x v="0"/>
    <s v="CMP-4093"/>
    <n v="379.45"/>
    <s v="High"/>
    <n v="742.23"/>
    <n v="0.09"/>
    <n v="13"/>
    <n v="835.19799999999998"/>
    <n v="4932.8499999999995"/>
    <n v="-4097.6519999999991"/>
    <n v="-4.9062042773090919"/>
  </r>
  <r>
    <x v="315"/>
    <d v="2023-05-06T00:00:00"/>
    <d v="2023-05-14T00:00:00"/>
    <x v="12"/>
    <s v="May-2023"/>
    <s v="Q2-2023"/>
    <s v="Asia"/>
    <x v="2"/>
    <s v="Osaka"/>
    <s v="Enterprise"/>
    <s v="Marketplace"/>
    <s v="B. Chen"/>
    <x v="3"/>
    <s v="PHN-6131"/>
    <n v="291.18"/>
    <s v="High"/>
    <n v="479.54"/>
    <n v="0.14099999999999999"/>
    <n v="22"/>
    <n v="34451.80992"/>
    <n v="6405.96"/>
    <n v="28045.849920000001"/>
    <n v="0.81406027680765747"/>
  </r>
  <r>
    <x v="316"/>
    <d v="2023-11-14T00:00:00"/>
    <d v="2023-11-30T00:00:00"/>
    <x v="13"/>
    <s v="Nov-2023"/>
    <s v="Q4-2023"/>
    <s v="Americas"/>
    <x v="5"/>
    <s v="São Paulo"/>
    <s v="Enterprise"/>
    <s v="Direct"/>
    <s v="K. Singh"/>
    <x v="2"/>
    <s v="NET-4104"/>
    <n v="1017.92"/>
    <s v="High"/>
    <n v="1175.25"/>
    <n v="7.4999999999999997E-2"/>
    <n v="15"/>
    <n v="27971.861250000002"/>
    <n v="15268.8"/>
    <n v="12703.061250000002"/>
    <n v="0.45413714648681097"/>
  </r>
  <r>
    <x v="317"/>
    <d v="2025-04-01T00:00:00"/>
    <d v="2025-04-27T00:00:00"/>
    <x v="0"/>
    <s v="Apr-2025"/>
    <s v="Q2-2025"/>
    <s v="Americas"/>
    <x v="10"/>
    <s v="San Francisco"/>
    <s v="Corporate"/>
    <s v="Direct"/>
    <s v="I. Johnson"/>
    <x v="5"/>
    <s v="MON-9319"/>
    <n v="156.55000000000001"/>
    <s v="High"/>
    <n v="227.45"/>
    <n v="1.4E-2"/>
    <n v="13"/>
    <n v="3129.2583399999999"/>
    <n v="2035.15"/>
    <n v="1094.1083399999998"/>
    <n v="0.34963822769583153"/>
  </r>
  <r>
    <x v="318"/>
    <d v="2023-03-23T00:00:00"/>
    <d v="2023-04-15T00:00:00"/>
    <x v="21"/>
    <s v="Mar-2023"/>
    <s v="Q1-2023"/>
    <s v="Africa"/>
    <x v="0"/>
    <s v="Mombasa"/>
    <s v="Small Business"/>
    <s v="Retail"/>
    <s v="C. Otieno"/>
    <x v="6"/>
    <s v="ACC-2988"/>
    <n v="875.36"/>
    <s v="High"/>
    <n v="1178.6199999999999"/>
    <n v="0.151"/>
    <n v="53"/>
    <n v="125232.05063999999"/>
    <n v="46394.080000000002"/>
    <n v="78837.970639999985"/>
    <n v="0.62953509295022747"/>
  </r>
  <r>
    <x v="319"/>
    <d v="2024-05-28T00:00:00"/>
    <d v="2024-06-18T00:00:00"/>
    <x v="28"/>
    <s v="May-2024"/>
    <s v="Q2-2024"/>
    <s v="Europe"/>
    <x v="6"/>
    <s v="Frankfurt"/>
    <s v="Small Business"/>
    <s v="Online"/>
    <s v="E. Garcia"/>
    <x v="3"/>
    <s v="PHN-9399"/>
    <n v="986.85"/>
    <s v="High"/>
    <n v="2422.1"/>
    <n v="7.5999999999999998E-2"/>
    <n v="10"/>
    <n v="18944.864399999999"/>
    <n v="9868.5"/>
    <n v="9076.3643999999986"/>
    <n v="0.47909365875429538"/>
  </r>
  <r>
    <x v="320"/>
    <d v="2024-01-02T00:00:00"/>
    <d v="2024-01-01T00:00:00"/>
    <x v="1"/>
    <s v="Jan-2024"/>
    <s v="Q1-2024"/>
    <s v="Americas"/>
    <x v="10"/>
    <s v="Chicago"/>
    <s v="Education"/>
    <s v="Marketplace"/>
    <s v="B. Chen"/>
    <x v="2"/>
    <s v="NET-4554"/>
    <n v="404.77"/>
    <s v="High"/>
    <n v="433.88"/>
    <n v="0.215"/>
    <n v="22"/>
    <n v="2540.7624000000005"/>
    <n v="8904.9399999999987"/>
    <n v="-6364.1775999999982"/>
    <n v="-2.504829888855407"/>
  </r>
  <r>
    <x v="321"/>
    <d v="2023-02-28T00:00:00"/>
    <d v="2023-02-27T00:00:00"/>
    <x v="1"/>
    <s v="Feb-2023"/>
    <s v="Q1-2023"/>
    <s v="Europe"/>
    <x v="7"/>
    <s v="Marseille"/>
    <s v="Corporate"/>
    <s v="Retail"/>
    <s v="K. Singh"/>
    <x v="2"/>
    <s v="NET-5195"/>
    <n v="1299.81"/>
    <s v="High"/>
    <n v="3149.13"/>
    <n v="0.10299999999999999"/>
    <n v="14"/>
    <n v="24902.262840000003"/>
    <n v="18197.34"/>
    <n v="6704.9228400000029"/>
    <n v="0.26924954101881943"/>
  </r>
  <r>
    <x v="322"/>
    <d v="2024-02-18T00:00:00"/>
    <d v="2024-03-11T00:00:00"/>
    <x v="22"/>
    <s v="Feb-2024"/>
    <s v="Q1-2024"/>
    <s v="Americas"/>
    <x v="5"/>
    <s v="São Paulo"/>
    <s v="Consumer"/>
    <s v="Online"/>
    <s v="A. Patel"/>
    <x v="0"/>
    <s v="CMP-9801"/>
    <n v="80.48"/>
    <s v="Medium"/>
    <n v="65.650000000000006"/>
    <n v="0.17599999999999999"/>
    <n v="13"/>
    <n v="24630.101600000002"/>
    <n v="1046.24"/>
    <n v="23583.8616"/>
    <n v="0.95752189670220433"/>
  </r>
  <r>
    <x v="323"/>
    <d v="2024-09-09T00:00:00"/>
    <d v="2024-10-08T00:00:00"/>
    <x v="11"/>
    <s v="Sept-2024"/>
    <s v="Q3-2024"/>
    <s v="Americas"/>
    <x v="5"/>
    <s v="São Paulo"/>
    <s v="Education"/>
    <s v="Direct"/>
    <s v="J. Njeri"/>
    <x v="0"/>
    <s v="CMP-3093"/>
    <n v="1010.33"/>
    <s v="High"/>
    <n v="2492.14"/>
    <n v="5.0999999999999997E-2"/>
    <n v="11"/>
    <n v="4829.1857899999995"/>
    <n v="11113.630000000001"/>
    <n v="-6284.4442100000015"/>
    <n v="-1.3013465381707756"/>
  </r>
  <r>
    <x v="324"/>
    <d v="2023-05-07T00:00:00"/>
    <d v="2023-05-29T00:00:00"/>
    <x v="22"/>
    <s v="May-2023"/>
    <s v="Q2-2023"/>
    <s v="Africa"/>
    <x v="11"/>
    <s v="Durban"/>
    <s v="Education"/>
    <s v="Distributor"/>
    <s v="K. Singh"/>
    <x v="6"/>
    <s v="ACC-2364"/>
    <n v="653.86"/>
    <s v="High"/>
    <n v="931.84"/>
    <n v="0.121"/>
    <n v="12"/>
    <n v="11533.077720000001"/>
    <n v="7846.32"/>
    <n v="3686.7577200000014"/>
    <n v="0.3196681587956906"/>
  </r>
  <r>
    <x v="325"/>
    <d v="2024-01-12T00:00:00"/>
    <d v="2024-01-29T00:00:00"/>
    <x v="14"/>
    <s v="Jan-2024"/>
    <s v="Q1-2024"/>
    <s v="Asia"/>
    <x v="4"/>
    <s v="Hyderabad"/>
    <s v="Small Business"/>
    <s v="Direct"/>
    <s v="B. Chen"/>
    <x v="0"/>
    <s v="CMP-5138"/>
    <n v="310.02"/>
    <s v="High"/>
    <n v="619.51"/>
    <n v="4.2000000000000003E-2"/>
    <n v="4"/>
    <n v="5572.5710399999998"/>
    <n v="1240.08"/>
    <n v="4332.4910399999999"/>
    <n v="0.77746717070115634"/>
  </r>
  <r>
    <x v="326"/>
    <d v="2023-06-10T00:00:00"/>
    <d v="2023-06-18T00:00:00"/>
    <x v="12"/>
    <s v="Jun-2023"/>
    <s v="Q2-2023"/>
    <s v="Africa"/>
    <x v="0"/>
    <s v="Nakuru"/>
    <s v="Enterprise"/>
    <s v="Direct"/>
    <s v="H. Kim"/>
    <x v="3"/>
    <s v="PHN-2337"/>
    <n v="894.23"/>
    <s v="High"/>
    <n v="1421.55"/>
    <n v="0.109"/>
    <n v="3"/>
    <n v="5667.829200000001"/>
    <n v="2682.69"/>
    <n v="2985.139200000001"/>
    <n v="0.52668122038681064"/>
  </r>
  <r>
    <x v="327"/>
    <d v="2025-05-19T00:00:00"/>
    <d v="2025-05-17T00:00:00"/>
    <x v="6"/>
    <s v="May-2025"/>
    <s v="Q2-2025"/>
    <s v="Americas"/>
    <x v="5"/>
    <s v="São Paulo"/>
    <s v="Small Business"/>
    <s v="Distributor"/>
    <s v="L. Okafor"/>
    <x v="5"/>
    <s v="MON-2993"/>
    <n v="383.77"/>
    <s v="High"/>
    <n v="952.56"/>
    <n v="0.34599999999999997"/>
    <n v="10"/>
    <n v="841.56720000000018"/>
    <n v="3837.7"/>
    <n v="-2996.1327999999994"/>
    <n v="-3.5601824785946965"/>
  </r>
  <r>
    <x v="328"/>
    <d v="2023-10-22T00:00:00"/>
    <d v="2023-11-16T00:00:00"/>
    <x v="2"/>
    <s v="Oct-2023"/>
    <s v="Q4-2023"/>
    <s v="Americas"/>
    <x v="3"/>
    <s v="Toronto"/>
    <s v="Small Business"/>
    <s v="Marketplace"/>
    <s v="I. Johnson"/>
    <x v="4"/>
    <s v="LAP-9024"/>
    <n v="1373.31"/>
    <s v="High"/>
    <n v="3154.14"/>
    <n v="0.2"/>
    <n v="11"/>
    <n v="11668.448000000002"/>
    <n v="15106.41"/>
    <n v="-3437.9619999999977"/>
    <n v="-0.29463747021026249"/>
  </r>
  <r>
    <x v="329"/>
    <d v="2025-01-11T00:00:00"/>
    <d v="2025-01-23T00:00:00"/>
    <x v="8"/>
    <s v="Jan-2025"/>
    <s v="Q1-2025"/>
    <s v="Americas"/>
    <x v="10"/>
    <s v="Austin"/>
    <s v="Consumer"/>
    <s v="Distributor"/>
    <s v="H. Kim"/>
    <x v="3"/>
    <s v="PHN-6307"/>
    <n v="100.69"/>
    <s v="High"/>
    <n v="226.14"/>
    <n v="6.5000000000000002E-2"/>
    <n v="12"/>
    <n v="27369.282600000002"/>
    <n v="1208.28"/>
    <n v="26161.002600000003"/>
    <n v="0.95585269743241286"/>
  </r>
  <r>
    <x v="330"/>
    <d v="2025-09-14T00:00:00"/>
    <d v="2025-09-26T00:00:00"/>
    <x v="8"/>
    <s v="Sept-2025"/>
    <s v="Q3-2025"/>
    <s v="Europe"/>
    <x v="8"/>
    <s v="London"/>
    <s v="Small Business"/>
    <s v="Direct"/>
    <s v="N. Brown"/>
    <x v="2"/>
    <s v="NET-9003"/>
    <n v="425.15"/>
    <s v="High"/>
    <n v="885.92"/>
    <n v="0.23899999999999999"/>
    <n v="13"/>
    <n v="21779.835220000001"/>
    <n v="5526.95"/>
    <n v="16252.88522"/>
    <n v="0.74623545384196899"/>
  </r>
  <r>
    <x v="331"/>
    <d v="2023-08-30T00:00:00"/>
    <d v="2023-09-03T00:00:00"/>
    <x v="3"/>
    <s v="Aug-2023"/>
    <s v="Q3-2023"/>
    <s v="Asia"/>
    <x v="4"/>
    <s v="Delhi"/>
    <s v="Small Business"/>
    <s v="Marketplace"/>
    <s v="L. Okafor"/>
    <x v="6"/>
    <s v="ACC-3068"/>
    <n v="1082.25"/>
    <s v="High"/>
    <n v="2433.34"/>
    <n v="0.27"/>
    <n v="4"/>
    <n v="2377.9312"/>
    <n v="4329"/>
    <n v="-1951.0688"/>
    <n v="-0.82049001249489473"/>
  </r>
  <r>
    <x v="332"/>
    <d v="2023-11-15T00:00:00"/>
    <d v="2023-12-06T00:00:00"/>
    <x v="28"/>
    <s v="Nov-2023"/>
    <s v="Q4-2023"/>
    <s v="Europe"/>
    <x v="8"/>
    <s v="Manchester"/>
    <s v="Education"/>
    <s v="Direct"/>
    <s v="H. Kim"/>
    <x v="6"/>
    <s v="ACC-1060"/>
    <n v="1184.99"/>
    <s v="High"/>
    <n v="1154.3399999999999"/>
    <n v="2.8000000000000001E-2"/>
    <n v="5"/>
    <n v="6720.9426000000003"/>
    <n v="5924.95"/>
    <n v="795.99260000000049"/>
    <n v="0.11843466718492737"/>
  </r>
  <r>
    <x v="333"/>
    <d v="2025-04-27T00:00:00"/>
    <d v="2025-05-27T00:00:00"/>
    <x v="18"/>
    <s v="Apr-2025"/>
    <s v="Q2-2025"/>
    <s v="Asia"/>
    <x v="4"/>
    <s v="Not Provided"/>
    <s v="Enterprise"/>
    <s v="Marketplace"/>
    <s v="H. Kim"/>
    <x v="3"/>
    <s v="PHN-3854"/>
    <n v="481.32"/>
    <s v="High"/>
    <n v="1135.99"/>
    <n v="0.14499999999999999"/>
    <n v="5"/>
    <n v="7038.4882499999994"/>
    <n v="2406.6"/>
    <n v="4631.88825"/>
    <n v="0.65807998613906904"/>
  </r>
  <r>
    <x v="334"/>
    <d v="2024-04-09T00:00:00"/>
    <d v="2024-04-18T00:00:00"/>
    <x v="25"/>
    <s v="Apr-2024"/>
    <s v="Q2-2024"/>
    <s v="Europe"/>
    <x v="7"/>
    <s v="Lyon"/>
    <s v="Consumer"/>
    <s v="Online"/>
    <s v="E. Garcia"/>
    <x v="1"/>
    <s v="PRN-1086"/>
    <n v="1288.8499999999999"/>
    <s v="High"/>
    <n v="2751.84"/>
    <n v="0.158"/>
    <n v="7"/>
    <n v="2362.5509599999996"/>
    <n v="9021.9499999999989"/>
    <n v="-6659.3990399999993"/>
    <n v="-2.8187324433416667"/>
  </r>
  <r>
    <x v="335"/>
    <d v="2024-07-11T00:00:00"/>
    <d v="2024-07-31T00:00:00"/>
    <x v="9"/>
    <s v="Jul-2024"/>
    <s v="Q3-2024"/>
    <s v="Asia"/>
    <x v="9"/>
    <s v="Shenzhen"/>
    <s v="Consumer"/>
    <s v="Online"/>
    <s v="G. Dubois"/>
    <x v="3"/>
    <s v="PHN-7815"/>
    <n v="647.26"/>
    <s v="High"/>
    <n v="1374.72"/>
    <n v="6.6000000000000003E-2"/>
    <n v="22"/>
    <n v="36586.946879999996"/>
    <n v="14239.72"/>
    <n v="22347.226879999995"/>
    <n v="0.6107978059305067"/>
  </r>
  <r>
    <x v="336"/>
    <d v="2024-02-18T00:00:00"/>
    <d v="2024-03-03T00:00:00"/>
    <x v="17"/>
    <s v="Feb-2024"/>
    <s v="Q1-2024"/>
    <s v="Americas"/>
    <x v="5"/>
    <s v="Not Provided"/>
    <s v="Enterprise"/>
    <s v="Distributor"/>
    <s v="A. Patel"/>
    <x v="1"/>
    <s v="PRN-5384"/>
    <n v="624.23"/>
    <s v="High"/>
    <n v="1318.37"/>
    <n v="0.21"/>
    <n v="37"/>
    <n v="32691.708900000005"/>
    <n v="23096.510000000002"/>
    <n v="9595.1989000000031"/>
    <n v="0.29350557749521627"/>
  </r>
  <r>
    <x v="337"/>
    <d v="2023-07-25T00:00:00"/>
    <d v="2023-08-10T00:00:00"/>
    <x v="13"/>
    <s v="Jul-2023"/>
    <s v="Q3-2023"/>
    <s v="Africa"/>
    <x v="1"/>
    <s v="Port Harcourt"/>
    <s v="Corporate"/>
    <s v="Distributor"/>
    <s v="I. Johnson"/>
    <x v="6"/>
    <s v="ACC-8178"/>
    <n v="506.83"/>
    <s v="High"/>
    <n v="441.74"/>
    <n v="0.24"/>
    <n v="9"/>
    <n v="5274.4607999999998"/>
    <n v="4561.47"/>
    <n v="712.99079999999958"/>
    <n v="0.1351779503224291"/>
  </r>
  <r>
    <x v="338"/>
    <d v="2023-07-14T00:00:00"/>
    <d v="2023-07-21T00:00:00"/>
    <x v="20"/>
    <s v="Jul-2023"/>
    <s v="Q3-2023"/>
    <s v="Africa"/>
    <x v="11"/>
    <s v="Durban"/>
    <s v="Enterprise"/>
    <s v="Marketplace"/>
    <s v="Not Provided"/>
    <x v="5"/>
    <s v="MON-1018"/>
    <n v="620.74"/>
    <s v="High"/>
    <n v="1330.07"/>
    <n v="0.29899999999999999"/>
    <n v="28"/>
    <n v="23750.665119999998"/>
    <n v="17380.72"/>
    <n v="6369.9451199999967"/>
    <n v="0.26820070460409901"/>
  </r>
  <r>
    <x v="339"/>
    <d v="2023-07-24T00:00:00"/>
    <d v="2023-08-19T00:00:00"/>
    <x v="0"/>
    <s v="Jul-2023"/>
    <s v="Q3-2023"/>
    <s v="Africa"/>
    <x v="0"/>
    <s v="Nairobi"/>
    <s v="Enterprise"/>
    <s v="Distributor"/>
    <s v="M. Rossi"/>
    <x v="6"/>
    <s v="ACC-1238"/>
    <n v="661.45"/>
    <s v="High"/>
    <n v="1634.86"/>
    <n v="0.56499999999999995"/>
    <n v="24"/>
    <n v="31570.873200000005"/>
    <n v="15874.800000000001"/>
    <n v="15696.073200000004"/>
    <n v="0.49716943527555019"/>
  </r>
  <r>
    <x v="340"/>
    <d v="2023-04-13T00:00:00"/>
    <d v="2023-04-11T00:00:00"/>
    <x v="6"/>
    <s v="Apr-2023"/>
    <s v="Q2-2023"/>
    <s v="Americas"/>
    <x v="10"/>
    <s v="San Francisco"/>
    <s v="Education"/>
    <s v="Marketplace"/>
    <s v="G. Dubois"/>
    <x v="2"/>
    <s v="NET-1816"/>
    <n v="32.1"/>
    <s v="Medium"/>
    <n v="70.599999999999994"/>
    <n v="0.28199999999999997"/>
    <n v="22"/>
    <n v="36385.454160000001"/>
    <n v="706.2"/>
    <n v="35679.254160000004"/>
    <n v="0.98059114510720191"/>
  </r>
  <r>
    <x v="341"/>
    <d v="2024-10-29T00:00:00"/>
    <d v="2024-11-04T00:00:00"/>
    <x v="30"/>
    <s v="Oct-2024"/>
    <s v="Q4-2024"/>
    <s v="Africa"/>
    <x v="0"/>
    <s v="Nairobi"/>
    <s v="Corporate"/>
    <s v="Distributor"/>
    <s v="M. Rossi"/>
    <x v="1"/>
    <s v="PRN-4893"/>
    <n v="805.81"/>
    <s v="High"/>
    <n v="1823.04"/>
    <n v="0"/>
    <n v="11"/>
    <n v="33921.800000000003"/>
    <n v="8863.91"/>
    <n v="25057.890000000003"/>
    <n v="0.73869576496530254"/>
  </r>
  <r>
    <x v="342"/>
    <d v="2024-02-17T00:00:00"/>
    <d v="2024-03-04T00:00:00"/>
    <x v="13"/>
    <s v="Feb-2024"/>
    <s v="Q1-2024"/>
    <s v="Asia"/>
    <x v="4"/>
    <s v="Delhi"/>
    <s v="Small Business"/>
    <s v="Marketplace"/>
    <s v="F. Müller"/>
    <x v="3"/>
    <s v="PHN-1717"/>
    <n v="1231.8"/>
    <s v="High"/>
    <n v="2015.99"/>
    <n v="0.26100000000000001"/>
    <n v="6"/>
    <n v="1430.8961399999998"/>
    <n v="7390.7999999999993"/>
    <n v="-5959.9038599999994"/>
    <n v="-4.1651547539991265"/>
  </r>
  <r>
    <x v="343"/>
    <d v="2024-07-13T00:00:00"/>
    <d v="2024-07-12T00:00:00"/>
    <x v="1"/>
    <s v="Jul-2024"/>
    <s v="Q3-2024"/>
    <s v="Asia"/>
    <x v="2"/>
    <s v="Nagoya"/>
    <s v="Small Business"/>
    <s v="Marketplace"/>
    <s v="F. Müller"/>
    <x v="2"/>
    <s v="NET-9575"/>
    <n v="105.13"/>
    <s v="High"/>
    <n v="244.13"/>
    <n v="7.0999999999999994E-2"/>
    <n v="14"/>
    <n v="9511.1577400000006"/>
    <n v="1471.82"/>
    <n v="8039.3377400000008"/>
    <n v="0.84525332874986048"/>
  </r>
  <r>
    <x v="344"/>
    <d v="2023-12-01T00:00:00"/>
    <d v="2023-12-18T00:00:00"/>
    <x v="14"/>
    <s v="Dec-2023"/>
    <s v="Q4-2023"/>
    <s v="Asia"/>
    <x v="2"/>
    <s v="Nagoya"/>
    <s v="Small Business"/>
    <s v="Direct"/>
    <s v="N. Brown"/>
    <x v="4"/>
    <s v="LAP-3604"/>
    <n v="1495.79"/>
    <s v="High"/>
    <n v="2783.12"/>
    <n v="0.02"/>
    <n v="5"/>
    <n v="7516.3549999999996"/>
    <n v="7478.95"/>
    <n v="37.404999999999745"/>
    <n v="4.9764812864745937E-3"/>
  </r>
  <r>
    <x v="345"/>
    <d v="2024-07-25T00:00:00"/>
    <d v="2024-08-02T00:00:00"/>
    <x v="12"/>
    <s v="Jul-2024"/>
    <s v="Q3-2024"/>
    <s v="Americas"/>
    <x v="3"/>
    <s v="Montreal"/>
    <s v="Consumer"/>
    <s v="Direct"/>
    <s v="J. Njeri"/>
    <x v="6"/>
    <s v="ACC-6626"/>
    <n v="986.81"/>
    <s v="High"/>
    <n v="2050.31"/>
    <n v="0.10299999999999999"/>
    <n v="43"/>
    <n v="60620.497860000003"/>
    <n v="42432.829999999994"/>
    <n v="18187.667860000009"/>
    <n v="0.30002504931588508"/>
  </r>
  <r>
    <x v="346"/>
    <d v="2023-05-04T00:00:00"/>
    <d v="2023-05-16T00:00:00"/>
    <x v="8"/>
    <s v="May-2023"/>
    <s v="Q2-2023"/>
    <s v="Africa"/>
    <x v="1"/>
    <s v="Abuja"/>
    <s v="Small Business"/>
    <s v="Marketplace"/>
    <s v="J. Njeri"/>
    <x v="3"/>
    <s v="PHN-1670"/>
    <n v="77.739999999999995"/>
    <s v="Medium"/>
    <n v="147.12"/>
    <n v="0"/>
    <n v="15"/>
    <n v="3760.95"/>
    <n v="1166.0999999999999"/>
    <n v="2594.85"/>
    <n v="0.68994535955011371"/>
  </r>
  <r>
    <x v="347"/>
    <d v="2023-12-21T00:00:00"/>
    <d v="2024-01-06T00:00:00"/>
    <x v="13"/>
    <s v="Dec-2023"/>
    <s v="Q4-2023"/>
    <s v="Africa"/>
    <x v="1"/>
    <s v="Not Provided"/>
    <s v="Corporate"/>
    <s v="Marketplace"/>
    <s v="K. Singh"/>
    <x v="0"/>
    <s v="CMP-4792"/>
    <n v="932.61"/>
    <s v="High"/>
    <n v="1982.98"/>
    <n v="0.14399999999999999"/>
    <n v="16"/>
    <n v="47563.605759999999"/>
    <n v="14921.76"/>
    <n v="32641.845759999997"/>
    <n v="0.68627777979463256"/>
  </r>
  <r>
    <x v="348"/>
    <d v="2025-06-17T00:00:00"/>
    <d v="2025-07-05T00:00:00"/>
    <x v="5"/>
    <s v="Jun-2025"/>
    <s v="Q2-2025"/>
    <s v="Asia"/>
    <x v="4"/>
    <s v="Delhi"/>
    <s v="Consumer"/>
    <s v="Marketplace"/>
    <s v="L. Okafor"/>
    <x v="4"/>
    <s v="LAP-1990"/>
    <n v="982.93"/>
    <s v="High"/>
    <n v="2299.3000000000002"/>
    <n v="0.113"/>
    <n v="6"/>
    <n v="6418.5448799999995"/>
    <n v="5897.58"/>
    <n v="520.96487999999954"/>
    <n v="8.1165574088811171E-2"/>
  </r>
  <r>
    <x v="349"/>
    <d v="2023-02-23T00:00:00"/>
    <d v="2023-03-08T00:00:00"/>
    <x v="19"/>
    <s v="Feb-2023"/>
    <s v="Q1-2023"/>
    <s v="Europe"/>
    <x v="8"/>
    <s v="Manchester"/>
    <s v="Small Business"/>
    <s v="Direct"/>
    <s v="C. Otieno"/>
    <x v="1"/>
    <s v="PRN-7410"/>
    <n v="307.37"/>
    <s v="High"/>
    <n v="462.61"/>
    <n v="0.188"/>
    <n v="11"/>
    <n v="19625.658360000001"/>
    <n v="3381.07"/>
    <n v="16244.588360000002"/>
    <n v="0.82772195775652957"/>
  </r>
  <r>
    <x v="350"/>
    <d v="2023-12-02T00:00:00"/>
    <d v="2023-12-16T00:00:00"/>
    <x v="17"/>
    <s v="Dec-2023"/>
    <s v="Q4-2023"/>
    <s v="Europe"/>
    <x v="6"/>
    <s v="Frankfurt"/>
    <s v="Education"/>
    <s v="Direct"/>
    <s v="N. Brown"/>
    <x v="5"/>
    <s v="MON-4278"/>
    <n v="879.08"/>
    <s v="High"/>
    <n v="1093.3900000000001"/>
    <n v="0.113"/>
    <n v="17"/>
    <n v="24437.027399999999"/>
    <n v="14944.36"/>
    <n v="9492.6673999999985"/>
    <n v="0.38845426019369272"/>
  </r>
  <r>
    <x v="351"/>
    <d v="2023-07-14T00:00:00"/>
    <d v="2023-07-14T00:00:00"/>
    <x v="18"/>
    <s v="Jul-2023"/>
    <s v="Q3-2023"/>
    <s v="Africa"/>
    <x v="1"/>
    <s v="Lagos"/>
    <s v="Education"/>
    <s v="Retail"/>
    <s v="I. Johnson"/>
    <x v="6"/>
    <s v="ACC-5334"/>
    <n v="956.38"/>
    <s v="High"/>
    <n v="1454.22"/>
    <n v="3.9E-2"/>
    <n v="19"/>
    <n v="18891.856940000001"/>
    <n v="18171.22"/>
    <n v="720.63694000000032"/>
    <n v="3.8145373548440616E-2"/>
  </r>
  <r>
    <x v="352"/>
    <d v="2024-08-08T00:00:00"/>
    <d v="2024-08-20T00:00:00"/>
    <x v="8"/>
    <s v="Aug-2024"/>
    <s v="Q3-2024"/>
    <s v="Asia"/>
    <x v="2"/>
    <s v="Osaka"/>
    <s v="Small Business"/>
    <s v="Retail"/>
    <s v="H. Kim"/>
    <x v="2"/>
    <s v="NET-8957"/>
    <n v="1233.3599999999999"/>
    <s v="High"/>
    <n v="2120.4"/>
    <n v="0.17899999999999999"/>
    <n v="20"/>
    <n v="31286.9964"/>
    <n v="24667.199999999997"/>
    <n v="6619.7964000000029"/>
    <n v="0.21158299490838958"/>
  </r>
  <r>
    <x v="353"/>
    <d v="2024-11-07T00:00:00"/>
    <d v="2024-11-26T00:00:00"/>
    <x v="7"/>
    <s v="Nov-2024"/>
    <s v="Q4-2024"/>
    <s v="Americas"/>
    <x v="5"/>
    <s v="Rio de Janeiro"/>
    <s v="Non-Profit"/>
    <s v="Distributor"/>
    <s v="J. Njeri"/>
    <x v="1"/>
    <s v="PRN-9960"/>
    <n v="55.35"/>
    <s v="Medium"/>
    <n v="128.68"/>
    <n v="0.128"/>
    <n v="10"/>
    <n v="4722.4031999999997"/>
    <n v="553.5"/>
    <n v="4168.9031999999997"/>
    <n v="0.88279272722837387"/>
  </r>
  <r>
    <x v="354"/>
    <d v="2024-01-01T00:00:00"/>
    <d v="2024-01-27T00:00:00"/>
    <x v="0"/>
    <s v="Jan-2024"/>
    <s v="Q1-2024"/>
    <s v="Europe"/>
    <x v="8"/>
    <s v="Manchester"/>
    <s v="Education"/>
    <s v="Distributor"/>
    <s v="D. Smith"/>
    <x v="6"/>
    <s v="ACC-3103"/>
    <n v="657.45"/>
    <s v="High"/>
    <n v="1325.96"/>
    <n v="0.16700000000000001"/>
    <n v="21"/>
    <n v="19532.683799999999"/>
    <n v="13806.45"/>
    <n v="5726.2337999999982"/>
    <n v="0.29316164939914702"/>
  </r>
  <r>
    <x v="355"/>
    <d v="2025-08-14T00:00:00"/>
    <d v="2025-09-11T00:00:00"/>
    <x v="27"/>
    <s v="Aug-2025"/>
    <s v="Q3-2025"/>
    <s v="Americas"/>
    <x v="5"/>
    <s v="São Paulo"/>
    <s v="Non-Profit"/>
    <s v="Direct"/>
    <s v="F. Müller"/>
    <x v="1"/>
    <s v="PRN-9490"/>
    <n v="1203.02"/>
    <s v="High"/>
    <n v="2439.33"/>
    <n v="0"/>
    <n v="18"/>
    <n v="26190"/>
    <n v="21654.36"/>
    <n v="4535.6399999999994"/>
    <n v="0.17318213058419241"/>
  </r>
  <r>
    <x v="356"/>
    <d v="2024-04-03T00:00:00"/>
    <d v="2024-04-21T00:00:00"/>
    <x v="5"/>
    <s v="Apr-2024"/>
    <s v="Q2-2024"/>
    <s v="Americas"/>
    <x v="5"/>
    <s v="Brasília"/>
    <s v="Small Business"/>
    <s v="Distributor"/>
    <s v="B. Chen"/>
    <x v="2"/>
    <s v="NET-3850"/>
    <n v="1176.69"/>
    <s v="High"/>
    <n v="2201.54"/>
    <n v="0.17"/>
    <n v="27"/>
    <n v="28646.702999999998"/>
    <n v="31770.63"/>
    <n v="-3123.9270000000033"/>
    <n v="-0.1090501409533936"/>
  </r>
  <r>
    <x v="357"/>
    <d v="2024-11-25T00:00:00"/>
    <d v="2024-12-07T00:00:00"/>
    <x v="8"/>
    <s v="Nov-2024"/>
    <s v="Q4-2024"/>
    <s v="Asia"/>
    <x v="9"/>
    <s v="Shanghai"/>
    <s v="Corporate"/>
    <s v="Distributor"/>
    <s v="A. Patel"/>
    <x v="6"/>
    <s v="ACC-7047"/>
    <n v="769.9"/>
    <s v="High"/>
    <n v="814.36"/>
    <n v="0"/>
    <n v="5"/>
    <n v="4499.1500000000005"/>
    <n v="3849.5"/>
    <n v="649.65000000000055"/>
    <n v="0.14439394107775924"/>
  </r>
  <r>
    <x v="358"/>
    <d v="2024-01-18T00:00:00"/>
    <d v="2024-02-03T00:00:00"/>
    <x v="13"/>
    <s v="Jan-2024"/>
    <s v="Q1-2024"/>
    <s v="Africa"/>
    <x v="11"/>
    <s v="Cape Town"/>
    <s v="Non-Profit"/>
    <s v="Distributor"/>
    <s v="L. Okafor"/>
    <x v="1"/>
    <s v="PRN-6660"/>
    <n v="666.23"/>
    <s v="High"/>
    <n v="1382.91"/>
    <n v="0.17599999999999999"/>
    <n v="13"/>
    <n v="9412.9557600000007"/>
    <n v="8660.99"/>
    <n v="751.96576000000096"/>
    <n v="7.9886252434697616E-2"/>
  </r>
  <r>
    <x v="359"/>
    <d v="2024-06-23T00:00:00"/>
    <d v="2024-06-25T00:00:00"/>
    <x v="6"/>
    <s v="Jun-2024"/>
    <s v="Q2-2024"/>
    <s v="Europe"/>
    <x v="8"/>
    <s v="Birmingham"/>
    <s v="Small Business"/>
    <s v="Marketplace"/>
    <s v="L. Okafor"/>
    <x v="6"/>
    <s v="ACC-7838"/>
    <n v="951.44"/>
    <s v="High"/>
    <n v="1646.43"/>
    <n v="0.11"/>
    <n v="24"/>
    <n v="12696.811199999998"/>
    <n v="22834.560000000001"/>
    <n v="-10137.748800000003"/>
    <n v="-0.79844841671741995"/>
  </r>
  <r>
    <x v="360"/>
    <d v="2025-06-25T00:00:00"/>
    <d v="2025-07-10T00:00:00"/>
    <x v="15"/>
    <s v="Jun-2025"/>
    <s v="Q2-2025"/>
    <s v="Europe"/>
    <x v="8"/>
    <s v="Birmingham"/>
    <s v="Non-Profit"/>
    <s v="Marketplace"/>
    <s v="D. Smith"/>
    <x v="3"/>
    <s v="PHN-5383"/>
    <n v="546.83000000000004"/>
    <s v="High"/>
    <n v="400.84"/>
    <n v="7.8E-2"/>
    <n v="13"/>
    <n v="19391.5501"/>
    <n v="7108.7900000000009"/>
    <n v="12282.7601"/>
    <n v="0.63340785221703344"/>
  </r>
  <r>
    <x v="361"/>
    <d v="2023-07-01T00:00:00"/>
    <d v="2023-07-08T00:00:00"/>
    <x v="20"/>
    <s v="Jul-2023"/>
    <s v="Q3-2023"/>
    <s v="Africa"/>
    <x v="1"/>
    <s v="Port Harcourt"/>
    <s v="Corporate"/>
    <s v="Retail"/>
    <s v="A. Patel"/>
    <x v="4"/>
    <s v="LAP-3904"/>
    <n v="834.26"/>
    <s v="High"/>
    <n v="1780.56"/>
    <n v="1.4E-2"/>
    <n v="47"/>
    <n v="45086.595219999996"/>
    <n v="39210.22"/>
    <n v="5876.3752199999944"/>
    <n v="0.13033530678744376"/>
  </r>
  <r>
    <x v="362"/>
    <d v="2024-03-09T00:00:00"/>
    <d v="2024-03-26T00:00:00"/>
    <x v="14"/>
    <s v="Mar-2024"/>
    <s v="Q1-2024"/>
    <s v="Asia"/>
    <x v="9"/>
    <s v="Shenzhen"/>
    <s v="Enterprise"/>
    <s v="Online"/>
    <s v="K. Singh"/>
    <x v="5"/>
    <s v="MON-5749"/>
    <n v="1029.67"/>
    <s v="High"/>
    <n v="1118.43"/>
    <n v="0.27200000000000002"/>
    <n v="9"/>
    <n v="278.85311999999999"/>
    <n v="9267.0300000000007"/>
    <n v="-8988.1768800000009"/>
    <n v="-32.232656676030743"/>
  </r>
  <r>
    <x v="363"/>
    <d v="2023-06-05T00:00:00"/>
    <d v="2023-06-28T00:00:00"/>
    <x v="21"/>
    <s v="Jun-2023"/>
    <s v="Q2-2023"/>
    <s v="Europe"/>
    <x v="8"/>
    <s v="Birmingham"/>
    <s v="Corporate"/>
    <s v="Direct"/>
    <s v="K. Singh"/>
    <x v="1"/>
    <s v="PRN-3690"/>
    <n v="605.82000000000005"/>
    <s v="High"/>
    <n v="771.12"/>
    <n v="0.13200000000000001"/>
    <n v="19"/>
    <n v="24421.848359999996"/>
    <n v="11510.580000000002"/>
    <n v="12911.268359999995"/>
    <n v="0.52867695227962652"/>
  </r>
  <r>
    <x v="364"/>
    <d v="2025-03-21T00:00:00"/>
    <d v="2025-04-09T00:00:00"/>
    <x v="7"/>
    <s v="Mar-2025"/>
    <s v="Q1-2025"/>
    <s v="Asia"/>
    <x v="2"/>
    <s v="Tokyo"/>
    <s v="Small Business"/>
    <s v="Distributor"/>
    <s v="E. Garcia"/>
    <x v="0"/>
    <s v="CMP-7055"/>
    <n v="1055.45"/>
    <s v="High"/>
    <n v="1210.04"/>
    <n v="8.9999999999999993E-3"/>
    <n v="18"/>
    <n v="10065.26988"/>
    <n v="18998.100000000002"/>
    <n v="-8932.8301200000024"/>
    <n v="-0.887490372985409"/>
  </r>
  <r>
    <x v="365"/>
    <d v="2024-06-02T00:00:00"/>
    <d v="2024-06-15T00:00:00"/>
    <x v="19"/>
    <s v="Jun-2024"/>
    <s v="Q2-2024"/>
    <s v="Africa"/>
    <x v="0"/>
    <s v="Mombasa"/>
    <s v="Education"/>
    <s v="Online"/>
    <s v="O. Wang"/>
    <x v="3"/>
    <s v="PHN-6866"/>
    <n v="1295.18"/>
    <s v="High"/>
    <n v="3024.03"/>
    <n v="0.192"/>
    <n v="8"/>
    <n v="13814.925440000001"/>
    <n v="10361.44"/>
    <n v="3453.4854400000004"/>
    <n v="0.24998219896292109"/>
  </r>
  <r>
    <x v="366"/>
    <d v="2025-03-15T00:00:00"/>
    <d v="2025-03-29T00:00:00"/>
    <x v="17"/>
    <s v="Mar-2025"/>
    <s v="Q1-2025"/>
    <s v="Asia"/>
    <x v="4"/>
    <s v="Mumbai"/>
    <s v="Enterprise"/>
    <s v="Direct"/>
    <s v="C. Otieno"/>
    <x v="0"/>
    <s v="CMP-3259"/>
    <n v="935.83"/>
    <s v="High"/>
    <n v="2303.46"/>
    <n v="0.105"/>
    <n v="9"/>
    <n v="13539.891150000001"/>
    <n v="8422.4700000000012"/>
    <n v="5117.4211500000001"/>
    <n v="0.37795142466858012"/>
  </r>
  <r>
    <x v="367"/>
    <d v="2023-09-25T00:00:00"/>
    <d v="2023-10-09T00:00:00"/>
    <x v="17"/>
    <s v="Sept-2023"/>
    <s v="Q3-2023"/>
    <s v="Americas"/>
    <x v="10"/>
    <s v="New York"/>
    <s v="Small Business"/>
    <s v="Marketplace"/>
    <s v="J. Njeri"/>
    <x v="4"/>
    <s v="LAP-6750"/>
    <n v="1279.56"/>
    <s v="High"/>
    <n v="3083.8"/>
    <n v="0.106"/>
    <n v="5"/>
    <n v="12985.618199999999"/>
    <n v="6397.7999999999993"/>
    <n v="6587.8181999999997"/>
    <n v="0.50731648648040495"/>
  </r>
  <r>
    <x v="368"/>
    <d v="2025-06-24T00:00:00"/>
    <d v="2025-07-23T00:00:00"/>
    <x v="11"/>
    <s v="Jun-2025"/>
    <s v="Q2-2025"/>
    <s v="Americas"/>
    <x v="3"/>
    <s v="Vancouver"/>
    <s v="Non-Profit"/>
    <s v="Marketplace"/>
    <s v="I. Johnson"/>
    <x v="1"/>
    <s v="PRN-3775"/>
    <n v="255.4"/>
    <s v="High"/>
    <n v="322.70999999999998"/>
    <n v="0.115"/>
    <n v="16"/>
    <n v="11923.994400000001"/>
    <n v="4086.4"/>
    <n v="7837.5944000000018"/>
    <n v="0.65729604837788258"/>
  </r>
  <r>
    <x v="369"/>
    <d v="2023-12-26T00:00:00"/>
    <d v="2024-01-03T00:00:00"/>
    <x v="12"/>
    <s v="Dec-2023"/>
    <s v="Q4-2023"/>
    <s v="Europe"/>
    <x v="7"/>
    <s v="Lyon"/>
    <s v="Small Business"/>
    <s v="Retail"/>
    <s v="M. Rossi"/>
    <x v="4"/>
    <s v="LAP-2942"/>
    <n v="492.75"/>
    <s v="High"/>
    <n v="731.29"/>
    <n v="5.8000000000000003E-2"/>
    <n v="6"/>
    <n v="17698.503240000002"/>
    <n v="2956.5"/>
    <n v="14742.003240000002"/>
    <n v="0.83295197566096557"/>
  </r>
  <r>
    <x v="370"/>
    <d v="2023-02-05T00:00:00"/>
    <d v="2023-02-28T00:00:00"/>
    <x v="21"/>
    <s v="Feb-2023"/>
    <s v="Q1-2023"/>
    <s v="Americas"/>
    <x v="10"/>
    <s v="Austin"/>
    <s v="Non-Profit"/>
    <s v="Distributor"/>
    <s v="L. Okafor"/>
    <x v="3"/>
    <s v="PHN-2036"/>
    <n v="1214.49"/>
    <s v="High"/>
    <n v="1533.95"/>
    <n v="0"/>
    <n v="11"/>
    <n v="15891.92"/>
    <n v="13359.39"/>
    <n v="2532.5300000000007"/>
    <n v="0.15935959909186559"/>
  </r>
  <r>
    <x v="371"/>
    <d v="2023-04-06T00:00:00"/>
    <d v="2023-04-08T00:00:00"/>
    <x v="6"/>
    <s v="Apr-2023"/>
    <s v="Q2-2023"/>
    <s v="Africa"/>
    <x v="1"/>
    <s v="Abuja"/>
    <s v="Small Business"/>
    <s v="Marketplace"/>
    <s v="K. Singh"/>
    <x v="5"/>
    <s v="MON-4373"/>
    <n v="720.35"/>
    <s v="High"/>
    <n v="1571.66"/>
    <n v="0.107"/>
    <n v="23"/>
    <n v="59066.056200000006"/>
    <n v="16568.05"/>
    <n v="42498.006200000003"/>
    <n v="0.71949964047201787"/>
  </r>
  <r>
    <x v="372"/>
    <d v="2025-04-04T00:00:00"/>
    <d v="2025-04-10T00:00:00"/>
    <x v="30"/>
    <s v="Apr-2025"/>
    <s v="Q2-2025"/>
    <s v="Europe"/>
    <x v="8"/>
    <s v="Birmingham"/>
    <s v="Non-Profit"/>
    <s v="Direct"/>
    <s v="N. Brown"/>
    <x v="1"/>
    <s v="PRN-8657"/>
    <n v="290.14"/>
    <s v="High"/>
    <n v="250.73"/>
    <n v="3.4000000000000002E-2"/>
    <n v="17"/>
    <n v="26958.519419999997"/>
    <n v="4932.38"/>
    <n v="22026.139419999996"/>
    <n v="0.81703817174986382"/>
  </r>
  <r>
    <x v="373"/>
    <d v="2024-05-17T00:00:00"/>
    <d v="2024-05-27T00:00:00"/>
    <x v="24"/>
    <s v="May-2024"/>
    <s v="Q2-2024"/>
    <s v="Americas"/>
    <x v="10"/>
    <s v="Austin"/>
    <s v="Non-Profit"/>
    <s v="Online"/>
    <s v="C. Otieno"/>
    <x v="3"/>
    <s v="PHN-7974"/>
    <n v="1484.23"/>
    <s v="High"/>
    <n v="3472.81"/>
    <n v="0.25600000000000001"/>
    <n v="12"/>
    <n v="11597.65056"/>
    <n v="17810.760000000002"/>
    <n v="-6213.109440000002"/>
    <n v="-0.53572138665988589"/>
  </r>
  <r>
    <x v="374"/>
    <d v="2024-03-03T00:00:00"/>
    <d v="2024-03-19T00:00:00"/>
    <x v="13"/>
    <s v="Mar-2024"/>
    <s v="Q1-2024"/>
    <s v="Asia"/>
    <x v="9"/>
    <s v="Beijing"/>
    <s v="Consumer"/>
    <s v="Distributor"/>
    <s v="G. Dubois"/>
    <x v="3"/>
    <s v="PHN-4915"/>
    <n v="988.83"/>
    <s v="High"/>
    <n v="1206.04"/>
    <n v="6.3E-2"/>
    <n v="34"/>
    <n v="35635.084480000005"/>
    <n v="33620.22"/>
    <n v="2014.8644800000038"/>
    <n v="5.6541594033005182E-2"/>
  </r>
  <r>
    <x v="375"/>
    <d v="2025-06-27T00:00:00"/>
    <d v="2025-07-11T00:00:00"/>
    <x v="17"/>
    <s v="Jun-2025"/>
    <s v="Q2-2025"/>
    <s v="Asia"/>
    <x v="9"/>
    <s v="Shanghai"/>
    <s v="Small Business"/>
    <s v="Marketplace"/>
    <s v="L. Okafor"/>
    <x v="2"/>
    <s v="NET-3535"/>
    <n v="1227.7"/>
    <s v="High"/>
    <n v="2197.23"/>
    <n v="9.9000000000000005E-2"/>
    <n v="22"/>
    <n v="23483.321620000002"/>
    <n v="27009.4"/>
    <n v="-3526.078379999999"/>
    <n v="-0.15015245445503542"/>
  </r>
  <r>
    <x v="376"/>
    <d v="2023-03-13T00:00:00"/>
    <d v="2023-04-04T00:00:00"/>
    <x v="22"/>
    <s v="Mar-2023"/>
    <s v="Q1-2023"/>
    <s v="Africa"/>
    <x v="11"/>
    <s v="Durban"/>
    <s v="Small Business"/>
    <s v="Retail"/>
    <s v="A. Patel"/>
    <x v="0"/>
    <s v="CMP-2574"/>
    <n v="1113.7"/>
    <s v="High"/>
    <n v="1620.6"/>
    <n v="0.13900000000000001"/>
    <n v="11"/>
    <n v="11379.122369999999"/>
    <n v="12250.7"/>
    <n v="-871.57763000000159"/>
    <n v="-7.6594450930401736E-2"/>
  </r>
  <r>
    <x v="377"/>
    <d v="2025-01-07T00:00:00"/>
    <d v="2025-01-20T00:00:00"/>
    <x v="19"/>
    <s v="Jan-2025"/>
    <s v="Q1-2025"/>
    <s v="Africa"/>
    <x v="11"/>
    <s v="Cape Town"/>
    <s v="Corporate"/>
    <s v="Direct"/>
    <s v="K. Singh"/>
    <x v="2"/>
    <s v="NET-7901"/>
    <n v="432.13"/>
    <s v="High"/>
    <n v="1034.6600000000001"/>
    <n v="9.1999999999999998E-2"/>
    <n v="7"/>
    <n v="5599.5724400000008"/>
    <n v="3024.91"/>
    <n v="2574.662440000001"/>
    <n v="0.45979625544410324"/>
  </r>
  <r>
    <x v="378"/>
    <d v="2025-02-06T00:00:00"/>
    <d v="2025-02-15T00:00:00"/>
    <x v="25"/>
    <s v="Feb-2025"/>
    <s v="Q1-2025"/>
    <s v="Americas"/>
    <x v="5"/>
    <s v="São Paulo"/>
    <s v="Non-Profit"/>
    <s v="Distributor"/>
    <s v="F. Müller"/>
    <x v="2"/>
    <s v="NET-5482"/>
    <n v="837.39"/>
    <s v="High"/>
    <n v="1905.42"/>
    <n v="3.2000000000000001E-2"/>
    <n v="18"/>
    <n v="35734.358879999992"/>
    <n v="15073.02"/>
    <n v="20661.338879999992"/>
    <n v="0.57819251632254265"/>
  </r>
  <r>
    <x v="379"/>
    <d v="2025-01-31T00:00:00"/>
    <d v="2025-02-17T00:00:00"/>
    <x v="14"/>
    <s v="Jan-2025"/>
    <s v="Q1-2025"/>
    <s v="Europe"/>
    <x v="8"/>
    <s v="London"/>
    <s v="Enterprise"/>
    <s v="Retail"/>
    <s v="H. Kim"/>
    <x v="0"/>
    <s v="CMP-5820"/>
    <n v="378.26"/>
    <s v="High"/>
    <n v="541.55999999999995"/>
    <n v="0.16300000000000001"/>
    <n v="25"/>
    <n v="36365.557499999995"/>
    <n v="9456.5"/>
    <n v="26909.057499999995"/>
    <n v="0.73995998823887132"/>
  </r>
  <r>
    <x v="380"/>
    <d v="2025-08-07T00:00:00"/>
    <d v="2025-09-06T00:00:00"/>
    <x v="26"/>
    <s v="Aug-2025"/>
    <s v="Q3-2025"/>
    <s v="Americas"/>
    <x v="3"/>
    <s v="Montreal"/>
    <s v="Education"/>
    <s v="Direct"/>
    <s v="M. Rossi"/>
    <x v="2"/>
    <s v="NET-1336"/>
    <n v="833.73"/>
    <s v="High"/>
    <n v="1116.5999999999999"/>
    <n v="0.17599999999999999"/>
    <n v="14"/>
    <n v="16015.544160000001"/>
    <n v="11672.220000000001"/>
    <n v="4343.3241600000001"/>
    <n v="0.27119429203334666"/>
  </r>
  <r>
    <x v="381"/>
    <d v="2025-07-23T00:00:00"/>
    <d v="2025-08-17T00:00:00"/>
    <x v="2"/>
    <s v="Jul-2025"/>
    <s v="Q3-2025"/>
    <s v="Europe"/>
    <x v="8"/>
    <s v="Birmingham"/>
    <s v="Education"/>
    <s v="Online"/>
    <s v="I. Johnson"/>
    <x v="1"/>
    <s v="PRN-5876"/>
    <n v="1142.06"/>
    <s v="High"/>
    <n v="1455"/>
    <n v="7.8E-2"/>
    <n v="28"/>
    <n v="13660.278240000001"/>
    <n v="31977.68"/>
    <n v="-18317.401760000001"/>
    <n v="-1.3409244993533893"/>
  </r>
  <r>
    <x v="382"/>
    <d v="2023-06-20T00:00:00"/>
    <d v="2023-07-08T00:00:00"/>
    <x v="5"/>
    <s v="Jun-2023"/>
    <s v="Q2-2023"/>
    <s v="Americas"/>
    <x v="10"/>
    <s v="New York"/>
    <s v="Consumer"/>
    <s v="Marketplace"/>
    <s v="O. Wang"/>
    <x v="2"/>
    <s v="NET-3828"/>
    <n v="1145.53"/>
    <s v="High"/>
    <n v="1278.3"/>
    <n v="0.09"/>
    <n v="41"/>
    <n v="73589.497799999997"/>
    <n v="46966.729999999996"/>
    <n v="26622.767800000001"/>
    <n v="0.36177401118234026"/>
  </r>
  <r>
    <x v="383"/>
    <d v="2024-07-18T00:00:00"/>
    <d v="2024-08-07T00:00:00"/>
    <x v="9"/>
    <s v="Jul-2024"/>
    <s v="Q3-2024"/>
    <s v="Europe"/>
    <x v="7"/>
    <s v="Marseille"/>
    <s v="Corporate"/>
    <s v="Retail"/>
    <s v="F. Müller"/>
    <x v="5"/>
    <s v="MON-7622"/>
    <n v="941.35"/>
    <s v="High"/>
    <n v="899.83"/>
    <n v="5.8000000000000003E-2"/>
    <n v="18"/>
    <n v="14867.190359999997"/>
    <n v="16944.3"/>
    <n v="-2077.1096400000024"/>
    <n v="-0.13971097360725546"/>
  </r>
  <r>
    <x v="384"/>
    <d v="2023-05-20T00:00:00"/>
    <d v="2023-06-19T00:00:00"/>
    <x v="26"/>
    <s v="May-2023"/>
    <s v="Q2-2023"/>
    <s v="Asia"/>
    <x v="4"/>
    <s v="Delhi"/>
    <s v="Non-Profit"/>
    <s v="Marketplace"/>
    <s v="H. Kim"/>
    <x v="4"/>
    <s v="LAP-2806"/>
    <n v="1161.2"/>
    <s v="High"/>
    <n v="878.73"/>
    <n v="0.19"/>
    <n v="31"/>
    <n v="20697.168600000001"/>
    <n v="35997.200000000004"/>
    <n v="-15300.031400000003"/>
    <n v="-0.73923306591801174"/>
  </r>
  <r>
    <x v="385"/>
    <d v="2025-05-12T00:00:00"/>
    <d v="2025-05-26T00:00:00"/>
    <x v="17"/>
    <s v="May-2025"/>
    <s v="Q2-2025"/>
    <s v="Asia"/>
    <x v="4"/>
    <s v="Hyderabad"/>
    <s v="Corporate"/>
    <s v="Marketplace"/>
    <s v="G. Dubois"/>
    <x v="1"/>
    <s v="PRN-8850"/>
    <n v="320.12"/>
    <s v="High"/>
    <n v="594.41999999999996"/>
    <n v="0.104"/>
    <n v="18"/>
    <n v="18697.996800000001"/>
    <n v="5762.16"/>
    <n v="12935.836800000001"/>
    <n v="0.69183008952060576"/>
  </r>
  <r>
    <x v="386"/>
    <d v="2024-05-07T00:00:00"/>
    <d v="2024-05-12T00:00:00"/>
    <x v="16"/>
    <s v="May-2024"/>
    <s v="Q2-2024"/>
    <s v="Africa"/>
    <x v="1"/>
    <s v="Abuja"/>
    <s v="Non-Profit"/>
    <s v="Distributor"/>
    <s v="L. Okafor"/>
    <x v="4"/>
    <s v="LAP-9100"/>
    <n v="1163.99"/>
    <s v="High"/>
    <n v="1617.85"/>
    <n v="0.127"/>
    <n v="14"/>
    <n v="30720.11922"/>
    <n v="16295.86"/>
    <n v="14424.25922"/>
    <n v="0.4695378659406127"/>
  </r>
  <r>
    <x v="387"/>
    <d v="2023-09-30T00:00:00"/>
    <d v="2023-10-03T00:00:00"/>
    <x v="4"/>
    <s v="Sept-2023"/>
    <s v="Q3-2023"/>
    <s v="Asia"/>
    <x v="9"/>
    <s v="Beijing"/>
    <s v="Non-Profit"/>
    <s v="Retail"/>
    <s v="J. Njeri"/>
    <x v="4"/>
    <s v="LAP-5763"/>
    <n v="1019.36"/>
    <s v="High"/>
    <n v="972.91"/>
    <n v="0.14699999999999999"/>
    <n v="17"/>
    <n v="44766.472129999995"/>
    <n v="17329.12"/>
    <n v="27437.352129999996"/>
    <n v="0.61289958365097552"/>
  </r>
  <r>
    <x v="388"/>
    <d v="2023-10-26T00:00:00"/>
    <d v="2023-11-05T00:00:00"/>
    <x v="24"/>
    <s v="Oct-2023"/>
    <s v="Q4-2023"/>
    <s v="Africa"/>
    <x v="11"/>
    <s v="Cape Town"/>
    <s v="Non-Profit"/>
    <s v="Online"/>
    <s v="I. Johnson"/>
    <x v="4"/>
    <s v="LAP-7320"/>
    <n v="20.38"/>
    <s v="Low"/>
    <n v="42.56"/>
    <n v="7.1999999999999995E-2"/>
    <n v="11"/>
    <n v="27736.667200000004"/>
    <n v="224.17999999999998"/>
    <n v="27512.487200000003"/>
    <n v="0.99191755814123195"/>
  </r>
  <r>
    <x v="389"/>
    <d v="2025-06-15T00:00:00"/>
    <d v="2025-06-30T00:00:00"/>
    <x v="15"/>
    <s v="Jun-2025"/>
    <s v="Q2-2025"/>
    <s v="Africa"/>
    <x v="11"/>
    <s v="Johannesburg"/>
    <s v="Small Business"/>
    <s v="Direct"/>
    <s v="C. Otieno"/>
    <x v="5"/>
    <s v="MON-5891"/>
    <n v="1487.59"/>
    <s v="High"/>
    <n v="1480.83"/>
    <n v="8.9999999999999993E-3"/>
    <n v="11"/>
    <n v="9830.4127899999985"/>
    <n v="16363.49"/>
    <n v="-6533.0772100000013"/>
    <n v="-0.66457811584939586"/>
  </r>
  <r>
    <x v="390"/>
    <d v="2024-08-10T00:00:00"/>
    <d v="2024-09-07T00:00:00"/>
    <x v="27"/>
    <s v="Aug-2024"/>
    <s v="Q3-2024"/>
    <s v="Europe"/>
    <x v="7"/>
    <s v="Marseille"/>
    <s v="Non-Profit"/>
    <s v="Direct"/>
    <s v="F. Müller"/>
    <x v="1"/>
    <s v="PRN-1183"/>
    <n v="229.96"/>
    <s v="High"/>
    <n v="564.26"/>
    <n v="0.105"/>
    <n v="5"/>
    <n v="3562.7712500000002"/>
    <n v="1149.8"/>
    <n v="2412.9712500000005"/>
    <n v="0.67727369530109471"/>
  </r>
  <r>
    <x v="391"/>
    <d v="2023-10-09T00:00:00"/>
    <d v="2023-10-26T00:00:00"/>
    <x v="14"/>
    <s v="Oct-2023"/>
    <s v="Q4-2023"/>
    <s v="Asia"/>
    <x v="9"/>
    <s v="Shanghai"/>
    <s v="Consumer"/>
    <s v="Marketplace"/>
    <s v="C. Otieno"/>
    <x v="0"/>
    <s v="CMP-2096"/>
    <n v="1132.03"/>
    <s v="High"/>
    <n v="2137.21"/>
    <n v="0.35699999999999998"/>
    <n v="35"/>
    <n v="3551.7390999999998"/>
    <n v="39621.049999999996"/>
    <n v="-36069.310899999997"/>
    <n v="-10.155394268683755"/>
  </r>
  <r>
    <x v="392"/>
    <d v="2024-03-09T00:00:00"/>
    <d v="2024-03-26T00:00:00"/>
    <x v="14"/>
    <s v="Mar-2024"/>
    <s v="Q1-2024"/>
    <s v="Americas"/>
    <x v="10"/>
    <s v="San Francisco"/>
    <s v="Education"/>
    <s v="Direct"/>
    <s v="I. Johnson"/>
    <x v="3"/>
    <s v="PHN-3398"/>
    <n v="1137.4100000000001"/>
    <s v="High"/>
    <n v="1680.93"/>
    <n v="0.254"/>
    <n v="9"/>
    <n v="5499.1688399999994"/>
    <n v="10236.69"/>
    <n v="-4737.5211600000011"/>
    <n v="-0.86149767316473258"/>
  </r>
  <r>
    <x v="393"/>
    <d v="2023-05-29T00:00:00"/>
    <d v="2023-06-20T00:00:00"/>
    <x v="22"/>
    <s v="May-2023"/>
    <s v="Q2-2023"/>
    <s v="Europe"/>
    <x v="8"/>
    <s v="London"/>
    <s v="Small Business"/>
    <s v="Direct"/>
    <s v="K. Singh"/>
    <x v="0"/>
    <s v="CMP-8545"/>
    <n v="1295.3900000000001"/>
    <s v="High"/>
    <n v="2905.06"/>
    <n v="0.14799999999999999"/>
    <n v="8"/>
    <n v="11663.26656"/>
    <n v="10363.120000000001"/>
    <n v="1300.1465599999992"/>
    <n v="0.11147362133168971"/>
  </r>
  <r>
    <x v="394"/>
    <d v="2025-05-27T00:00:00"/>
    <d v="2025-06-08T00:00:00"/>
    <x v="8"/>
    <s v="May-2025"/>
    <s v="Q2-2025"/>
    <s v="Asia"/>
    <x v="2"/>
    <s v="Osaka"/>
    <s v="Corporate"/>
    <s v="Retail"/>
    <s v="H. Kim"/>
    <x v="6"/>
    <s v="ACC-1249"/>
    <n v="653.6"/>
    <s v="High"/>
    <n v="842.09"/>
    <n v="9.8000000000000004E-2"/>
    <n v="19"/>
    <n v="29072.046299999998"/>
    <n v="12418.4"/>
    <n v="16653.6463"/>
    <n v="0.5728405261930255"/>
  </r>
  <r>
    <x v="395"/>
    <d v="2025-08-21T00:00:00"/>
    <d v="2025-09-14T00:00:00"/>
    <x v="10"/>
    <s v="Aug-2025"/>
    <s v="Q3-2025"/>
    <s v="Europe"/>
    <x v="6"/>
    <s v="Berlin"/>
    <s v="Non-Profit"/>
    <s v="Online"/>
    <s v="A. Patel"/>
    <x v="5"/>
    <s v="MON-9662"/>
    <n v="1397.67"/>
    <s v="High"/>
    <n v="3131.37"/>
    <n v="0.10299999999999999"/>
    <n v="20"/>
    <n v="51745.059600000001"/>
    <n v="27953.4"/>
    <n v="23791.659599999999"/>
    <n v="0.45978610873993464"/>
  </r>
  <r>
    <x v="396"/>
    <d v="2024-12-12T00:00:00"/>
    <d v="2024-12-20T00:00:00"/>
    <x v="12"/>
    <s v="Dec-2024"/>
    <s v="Q4-2024"/>
    <s v="Asia"/>
    <x v="2"/>
    <s v="Tokyo"/>
    <s v="Corporate"/>
    <s v="Retail"/>
    <s v="B. Chen"/>
    <x v="4"/>
    <s v="LAP-8347"/>
    <n v="1202.47"/>
    <s v="High"/>
    <n v="1444.72"/>
    <n v="0.24099999999999999"/>
    <n v="17"/>
    <n v="19144.697220000002"/>
    <n v="20441.990000000002"/>
    <n v="-1297.2927799999998"/>
    <n v="-6.7762512255599913E-2"/>
  </r>
  <r>
    <x v="397"/>
    <d v="2025-09-14T00:00:00"/>
    <d v="2025-09-23T00:00:00"/>
    <x v="25"/>
    <s v="Sept-2025"/>
    <s v="Q3-2025"/>
    <s v="Africa"/>
    <x v="11"/>
    <s v="Durban"/>
    <s v="Non-Profit"/>
    <s v="Online"/>
    <s v="D. Smith"/>
    <x v="0"/>
    <s v="CMP-6898"/>
    <n v="1310.3"/>
    <s v="High"/>
    <n v="2875.8"/>
    <n v="8.3000000000000004E-2"/>
    <n v="5"/>
    <n v="14660.399949999999"/>
    <n v="6551.5"/>
    <n v="8108.8999499999991"/>
    <n v="0.55311587525959682"/>
  </r>
  <r>
    <x v="398"/>
    <d v="2024-09-06T00:00:00"/>
    <d v="2024-10-04T00:00:00"/>
    <x v="27"/>
    <s v="Sept-2024"/>
    <s v="Q3-2024"/>
    <s v="Africa"/>
    <x v="11"/>
    <s v="Cape Town"/>
    <s v="Corporate"/>
    <s v="Marketplace"/>
    <s v="D. Smith"/>
    <x v="5"/>
    <s v="MON-3504"/>
    <n v="1174.17"/>
    <s v="High"/>
    <n v="1641.61"/>
    <n v="0.122"/>
    <n v="9"/>
    <n v="18353.975399999999"/>
    <n v="10567.53"/>
    <n v="7786.4453999999987"/>
    <n v="0.42423754147561943"/>
  </r>
  <r>
    <x v="399"/>
    <d v="2025-04-12T00:00:00"/>
    <d v="2025-04-30T00:00:00"/>
    <x v="5"/>
    <s v="Apr-2025"/>
    <s v="Q2-2025"/>
    <s v="Africa"/>
    <x v="0"/>
    <s v="Kisumu"/>
    <s v="Corporate"/>
    <s v="Marketplace"/>
    <s v="F. Müller"/>
    <x v="2"/>
    <s v="NET-3432"/>
    <n v="1119.04"/>
    <s v="High"/>
    <n v="1299.02"/>
    <n v="2.5000000000000001E-2"/>
    <n v="14"/>
    <n v="26377.532999999999"/>
    <n v="15666.56"/>
    <n v="10710.973"/>
    <n v="0.40606424414292269"/>
  </r>
  <r>
    <x v="400"/>
    <d v="2024-08-12T00:00:00"/>
    <d v="2024-08-15T00:00:00"/>
    <x v="4"/>
    <s v="Aug-2024"/>
    <s v="Q3-2024"/>
    <s v="Americas"/>
    <x v="10"/>
    <s v="Chicago"/>
    <s v="Corporate"/>
    <s v="Marketplace"/>
    <s v="D. Smith"/>
    <x v="1"/>
    <s v="PRN-5591"/>
    <n v="850.7"/>
    <s v="High"/>
    <n v="1118.56"/>
    <n v="0.18"/>
    <n v="19"/>
    <n v="24777.808799999999"/>
    <n v="16163.300000000001"/>
    <n v="8614.5087999999978"/>
    <n v="0.34767032345491333"/>
  </r>
  <r>
    <x v="401"/>
    <d v="2024-11-05T00:00:00"/>
    <d v="2024-11-08T00:00:00"/>
    <x v="4"/>
    <s v="Nov-2024"/>
    <s v="Q4-2024"/>
    <s v="Americas"/>
    <x v="3"/>
    <s v="Toronto"/>
    <s v="Education"/>
    <s v="Marketplace"/>
    <s v="O. Wang"/>
    <x v="0"/>
    <s v="CMP-2015"/>
    <n v="1020.4"/>
    <s v="High"/>
    <n v="1184.71"/>
    <n v="0.106"/>
    <n v="16"/>
    <n v="5658.8054400000001"/>
    <n v="16326.4"/>
    <n v="-10667.59456"/>
    <n v="-1.8851318839475772"/>
  </r>
  <r>
    <x v="402"/>
    <d v="2024-07-24T00:00:00"/>
    <d v="2024-08-08T00:00:00"/>
    <x v="15"/>
    <s v="Jul-2024"/>
    <s v="Q3-2024"/>
    <s v="Europe"/>
    <x v="7"/>
    <s v="Marseille"/>
    <s v="Enterprise"/>
    <s v="Marketplace"/>
    <s v="H. Kim"/>
    <x v="4"/>
    <s v="LAP-9901"/>
    <n v="501.5"/>
    <s v="High"/>
    <n v="1201.47"/>
    <n v="0.126"/>
    <n v="5"/>
    <n v="9079.5053000000007"/>
    <n v="2507.5"/>
    <n v="6572.0053000000007"/>
    <n v="0.72382856585809807"/>
  </r>
  <r>
    <x v="403"/>
    <d v="2025-01-20T00:00:00"/>
    <d v="2025-02-03T00:00:00"/>
    <x v="17"/>
    <s v="Jan-2025"/>
    <s v="Q1-2025"/>
    <s v="Americas"/>
    <x v="5"/>
    <s v="Brasília"/>
    <s v="Enterprise"/>
    <s v="Marketplace"/>
    <s v="F. Müller"/>
    <x v="0"/>
    <s v="CMP-8658"/>
    <n v="974.11"/>
    <s v="High"/>
    <n v="880.99"/>
    <n v="0.111"/>
    <n v="10"/>
    <n v="11831.2565"/>
    <n v="9741.1"/>
    <n v="2090.1564999999991"/>
    <n v="0.17666394942920891"/>
  </r>
  <r>
    <x v="404"/>
    <d v="2023-03-06T00:00:00"/>
    <d v="2023-04-04T00:00:00"/>
    <x v="11"/>
    <s v="Mar-2023"/>
    <s v="Q1-2023"/>
    <s v="Asia"/>
    <x v="9"/>
    <s v="Beijing"/>
    <s v="Small Business"/>
    <s v="Direct"/>
    <s v="C. Otieno"/>
    <x v="5"/>
    <s v="MON-2073"/>
    <n v="1126.29"/>
    <s v="High"/>
    <n v="2050.87"/>
    <n v="6.4000000000000001E-2"/>
    <n v="7"/>
    <n v="18113.986799999999"/>
    <n v="7884.03"/>
    <n v="10229.9568"/>
    <n v="0.56475456855251771"/>
  </r>
  <r>
    <x v="405"/>
    <d v="2024-12-20T00:00:00"/>
    <d v="2025-01-14T00:00:00"/>
    <x v="2"/>
    <s v="Dec-2024"/>
    <s v="Q4-2024"/>
    <s v="Asia"/>
    <x v="4"/>
    <s v="Delhi"/>
    <s v="Small Business"/>
    <s v="Retail"/>
    <s v="M. Rossi"/>
    <x v="1"/>
    <s v="PRN-9378"/>
    <n v="1361.34"/>
    <s v="High"/>
    <n v="1737.9"/>
    <n v="7.6999999999999999E-2"/>
    <n v="14"/>
    <n v="3596.8387000000007"/>
    <n v="19058.759999999998"/>
    <n v="-15461.921299999998"/>
    <n v="-4.2987530411080135"/>
  </r>
  <r>
    <x v="406"/>
    <d v="2025-02-21T00:00:00"/>
    <d v="2025-03-21T00:00:00"/>
    <x v="18"/>
    <s v="Feb-2025"/>
    <s v="Q1-2025"/>
    <s v="Africa"/>
    <x v="1"/>
    <s v="Abuja"/>
    <s v="Enterprise"/>
    <s v="Marketplace"/>
    <s v="I. Johnson"/>
    <x v="3"/>
    <s v="PHN-5887"/>
    <n v="1437.39"/>
    <s v="High"/>
    <n v="1388.31"/>
    <n v="0.13800000000000001"/>
    <n v="18"/>
    <n v="15273.329759999999"/>
    <n v="25873.02"/>
    <n v="-10599.690240000002"/>
    <n v="-0.69399995983587026"/>
  </r>
  <r>
    <x v="407"/>
    <d v="2025-03-08T00:00:00"/>
    <d v="2025-03-15T00:00:00"/>
    <x v="20"/>
    <s v="Mar-2025"/>
    <s v="Q1-2025"/>
    <s v="Asia"/>
    <x v="4"/>
    <s v="Bengaluru"/>
    <s v="Corporate"/>
    <s v="Distributor"/>
    <s v="K. Singh"/>
    <x v="4"/>
    <s v="LAP-8119"/>
    <n v="475.66"/>
    <s v="High"/>
    <n v="529.14"/>
    <n v="0.19600000000000001"/>
    <n v="11"/>
    <n v="1687.7889600000003"/>
    <n v="5232.26"/>
    <n v="-3544.4710399999999"/>
    <n v="-2.1000676767076372"/>
  </r>
  <r>
    <x v="408"/>
    <d v="2023-12-16T00:00:00"/>
    <d v="2023-12-19T00:00:00"/>
    <x v="4"/>
    <s v="Dec-2023"/>
    <s v="Q4-2023"/>
    <s v="Asia"/>
    <x v="9"/>
    <s v="Beijing"/>
    <s v="Education"/>
    <s v="Retail"/>
    <s v="A. Patel"/>
    <x v="6"/>
    <s v="ACC-9644"/>
    <n v="1415.05"/>
    <s v="High"/>
    <n v="1972.38"/>
    <n v="0"/>
    <n v="12"/>
    <n v="10899.599999999999"/>
    <n v="16980.599999999999"/>
    <n v="-6081"/>
    <n v="-0.5579103820323682"/>
  </r>
  <r>
    <x v="409"/>
    <d v="2024-08-30T00:00:00"/>
    <d v="2024-09-05T00:00:00"/>
    <x v="30"/>
    <s v="Aug-2024"/>
    <s v="Q3-2024"/>
    <s v="Asia"/>
    <x v="2"/>
    <s v="Nagoya"/>
    <s v="Education"/>
    <s v="Online"/>
    <s v="N. Brown"/>
    <x v="4"/>
    <s v="LAP-7009"/>
    <n v="466.16"/>
    <s v="High"/>
    <n v="876.81"/>
    <n v="0.24099999999999999"/>
    <n v="8"/>
    <n v="1725.8445600000002"/>
    <n v="3729.28"/>
    <n v="-2003.43544"/>
    <n v="-1.1608435002976165"/>
  </r>
  <r>
    <x v="410"/>
    <d v="2024-05-18T00:00:00"/>
    <d v="2024-05-21T00:00:00"/>
    <x v="4"/>
    <s v="May-2024"/>
    <s v="Q2-2024"/>
    <s v="Europe"/>
    <x v="7"/>
    <s v="Marseille"/>
    <s v="Non-Profit"/>
    <s v="Marketplace"/>
    <s v="D. Smith"/>
    <x v="1"/>
    <s v="PRN-1725"/>
    <n v="663.66"/>
    <s v="High"/>
    <n v="824.26"/>
    <n v="0.23899999999999999"/>
    <n v="11"/>
    <n v="10290.80514"/>
    <n v="7300.2599999999993"/>
    <n v="2990.5451400000011"/>
    <n v="0.29060361160429093"/>
  </r>
  <r>
    <x v="411"/>
    <d v="2023-03-17T00:00:00"/>
    <d v="2023-04-06T00:00:00"/>
    <x v="9"/>
    <s v="Mar-2023"/>
    <s v="Q1-2023"/>
    <s v="Europe"/>
    <x v="6"/>
    <s v="Munich"/>
    <s v="Consumer"/>
    <s v="Retail"/>
    <s v="O. Wang"/>
    <x v="3"/>
    <s v="PHN-8483"/>
    <n v="692.18"/>
    <s v="High"/>
    <n v="1159.3499999999999"/>
    <n v="0.112"/>
    <n v="2"/>
    <n v="2175.1027199999999"/>
    <n v="1384.36"/>
    <n v="790.74271999999996"/>
    <n v="0.36354270202006828"/>
  </r>
  <r>
    <x v="412"/>
    <d v="2023-08-25T00:00:00"/>
    <d v="2023-09-16T00:00:00"/>
    <x v="22"/>
    <s v="Aug-2023"/>
    <s v="Q3-2023"/>
    <s v="Africa"/>
    <x v="1"/>
    <s v="Abuja"/>
    <s v="Corporate"/>
    <s v="Marketplace"/>
    <s v="L. Okafor"/>
    <x v="3"/>
    <s v="PHN-3971"/>
    <n v="1196.83"/>
    <s v="High"/>
    <n v="2513.5100000000002"/>
    <n v="8.3000000000000004E-2"/>
    <n v="7"/>
    <n v="3118.7353400000002"/>
    <n v="8377.81"/>
    <n v="-5259.0746599999993"/>
    <n v="-1.6862843706385162"/>
  </r>
  <r>
    <x v="413"/>
    <d v="2024-06-06T00:00:00"/>
    <d v="2024-06-24T00:00:00"/>
    <x v="5"/>
    <s v="Jun-2024"/>
    <s v="Q2-2024"/>
    <s v="Asia"/>
    <x v="4"/>
    <s v="Bengaluru"/>
    <s v="Small Business"/>
    <s v="Direct"/>
    <s v="H. Kim"/>
    <x v="2"/>
    <s v="NET-6578"/>
    <n v="1253.25"/>
    <s v="High"/>
    <n v="3087.13"/>
    <n v="7.1999999999999995E-2"/>
    <n v="11"/>
    <n v="22569.275520000003"/>
    <n v="13785.75"/>
    <n v="8783.5255200000029"/>
    <n v="0.38918065899884063"/>
  </r>
  <r>
    <x v="414"/>
    <d v="2023-08-29T00:00:00"/>
    <d v="2023-09-13T00:00:00"/>
    <x v="15"/>
    <s v="Aug-2023"/>
    <s v="Q3-2023"/>
    <s v="Americas"/>
    <x v="3"/>
    <s v="Vancouver"/>
    <s v="Small Business"/>
    <s v="Marketplace"/>
    <s v="O. Wang"/>
    <x v="1"/>
    <s v="PRN-9975"/>
    <n v="1287.6400000000001"/>
    <s v="High"/>
    <n v="2717.15"/>
    <n v="3.2000000000000001E-2"/>
    <n v="7"/>
    <n v="3875.12664"/>
    <n v="9013.4800000000014"/>
    <n v="-5138.353360000001"/>
    <n v="-1.3259833387019324"/>
  </r>
  <r>
    <x v="415"/>
    <d v="2024-11-30T00:00:00"/>
    <d v="2024-12-10T00:00:00"/>
    <x v="24"/>
    <s v="Nov-2024"/>
    <s v="Q4-2024"/>
    <s v="Asia"/>
    <x v="4"/>
    <s v="Hyderabad"/>
    <s v="Small Business"/>
    <s v="Retail"/>
    <s v="F. Müller"/>
    <x v="6"/>
    <s v="ACC-1075"/>
    <n v="851.49"/>
    <s v="High"/>
    <n v="901.79"/>
    <n v="0.245"/>
    <n v="16"/>
    <n v="41052.309600000001"/>
    <n v="13623.84"/>
    <n v="27428.4696"/>
    <n v="0.66813462792358946"/>
  </r>
  <r>
    <x v="416"/>
    <d v="2025-06-05T00:00:00"/>
    <d v="2025-06-14T00:00:00"/>
    <x v="25"/>
    <s v="Jun-2025"/>
    <s v="Q2-2025"/>
    <s v="Asia"/>
    <x v="4"/>
    <s v="Delhi"/>
    <s v="Non-Profit"/>
    <s v="Retail"/>
    <s v="A. Patel"/>
    <x v="6"/>
    <s v="ACC-2902"/>
    <n v="618.69000000000005"/>
    <s v="High"/>
    <n v="796.15"/>
    <n v="0.09"/>
    <n v="11"/>
    <n v="1948.1462000000001"/>
    <n v="6805.59"/>
    <n v="-4857.4438"/>
    <n v="-2.4933671815801093"/>
  </r>
  <r>
    <x v="417"/>
    <d v="2025-03-14T00:00:00"/>
    <d v="2025-04-08T00:00:00"/>
    <x v="2"/>
    <s v="Mar-2025"/>
    <s v="Q1-2025"/>
    <s v="Asia"/>
    <x v="9"/>
    <s v="Not Provided"/>
    <s v="Corporate"/>
    <s v="Distributor"/>
    <s v="D. Smith"/>
    <x v="1"/>
    <s v="PRN-5815"/>
    <n v="80.59"/>
    <s v="Medium"/>
    <n v="157.82"/>
    <n v="0.217"/>
    <n v="6"/>
    <n v="4846.6447200000002"/>
    <n v="483.54"/>
    <n v="4363.1047200000003"/>
    <n v="0.90023201040409662"/>
  </r>
  <r>
    <x v="418"/>
    <d v="2024-01-16T00:00:00"/>
    <d v="2024-02-11T00:00:00"/>
    <x v="0"/>
    <s v="Jan-2024"/>
    <s v="Q1-2024"/>
    <s v="Europe"/>
    <x v="6"/>
    <s v="Frankfurt"/>
    <s v="Non-Profit"/>
    <s v="Distributor"/>
    <s v="E. Garcia"/>
    <x v="5"/>
    <s v="MON-4195"/>
    <n v="504.93"/>
    <s v="High"/>
    <n v="819.06"/>
    <n v="0.22600000000000001"/>
    <n v="15"/>
    <n v="5749.1559000000007"/>
    <n v="7573.95"/>
    <n v="-1824.7940999999992"/>
    <n v="-0.31740209027902672"/>
  </r>
  <r>
    <x v="419"/>
    <d v="2023-10-12T00:00:00"/>
    <d v="2023-10-29T00:00:00"/>
    <x v="14"/>
    <s v="Oct-2023"/>
    <s v="Q4-2023"/>
    <s v="Asia"/>
    <x v="2"/>
    <s v="Nagoya"/>
    <s v="Non-Profit"/>
    <s v="Direct"/>
    <s v="H. Kim"/>
    <x v="3"/>
    <s v="PHN-8478"/>
    <n v="1102.19"/>
    <s v="High"/>
    <n v="1711.16"/>
    <n v="0.151"/>
    <n v="10"/>
    <n v="11198.649599999999"/>
    <n v="11021.900000000001"/>
    <n v="176.74959999999737"/>
    <n v="1.5783117278711657E-2"/>
  </r>
  <r>
    <x v="420"/>
    <d v="2025-02-25T00:00:00"/>
    <d v="2025-03-17T00:00:00"/>
    <x v="9"/>
    <s v="Feb-2025"/>
    <s v="Q1-2025"/>
    <s v="Americas"/>
    <x v="10"/>
    <s v="San Francisco"/>
    <s v="Non-Profit"/>
    <s v="Marketplace"/>
    <s v="H. Kim"/>
    <x v="3"/>
    <s v="PHN-1044"/>
    <n v="1205.26"/>
    <s v="High"/>
    <n v="1696.35"/>
    <n v="1.9E-2"/>
    <n v="6"/>
    <n v="1853.32482"/>
    <n v="7231.5599999999995"/>
    <n v="-5378.2351799999997"/>
    <n v="-2.9019387869634206"/>
  </r>
  <r>
    <x v="421"/>
    <d v="2025-07-03T00:00:00"/>
    <d v="2025-07-06T00:00:00"/>
    <x v="4"/>
    <s v="Jul-2025"/>
    <s v="Q3-2025"/>
    <s v="Africa"/>
    <x v="1"/>
    <s v="Lagos"/>
    <s v="Consumer"/>
    <s v="Online"/>
    <s v="Not Provided"/>
    <x v="4"/>
    <s v="LAP-8910"/>
    <n v="1313.3"/>
    <s v="High"/>
    <n v="2884.34"/>
    <n v="0.157"/>
    <n v="42"/>
    <n v="78253.279020000002"/>
    <n v="55158.6"/>
    <n v="23094.679020000003"/>
    <n v="0.29512730085211453"/>
  </r>
  <r>
    <x v="422"/>
    <d v="2025-09-15T00:00:00"/>
    <d v="2025-09-25T00:00:00"/>
    <x v="24"/>
    <s v="Sept-2025"/>
    <s v="Q3-2025"/>
    <s v="Asia"/>
    <x v="4"/>
    <s v="Delhi"/>
    <s v="Consumer"/>
    <s v="Retail"/>
    <s v="A. Patel"/>
    <x v="3"/>
    <s v="PHN-2859"/>
    <n v="1488.91"/>
    <s v="High"/>
    <n v="1483.74"/>
    <n v="0.16800000000000001"/>
    <n v="24"/>
    <n v="20866.559999999998"/>
    <n v="35733.840000000004"/>
    <n v="-14867.280000000006"/>
    <n v="-0.71249309900625724"/>
  </r>
  <r>
    <x v="423"/>
    <d v="2024-02-19T00:00:00"/>
    <d v="2024-03-06T00:00:00"/>
    <x v="13"/>
    <s v="Feb-2024"/>
    <s v="Q1-2024"/>
    <s v="Asia"/>
    <x v="9"/>
    <s v="Beijing"/>
    <s v="Education"/>
    <s v="Marketplace"/>
    <s v="O. Wang"/>
    <x v="1"/>
    <s v="PRN-6308"/>
    <n v="1477.84"/>
    <s v="High"/>
    <n v="3197.47"/>
    <n v="0.24299999999999999"/>
    <n v="24"/>
    <n v="38737.627919999999"/>
    <n v="35468.159999999996"/>
    <n v="3269.4679200000028"/>
    <n v="8.4400312965781696E-2"/>
  </r>
  <r>
    <x v="424"/>
    <d v="2024-02-27T00:00:00"/>
    <d v="2024-03-26T00:00:00"/>
    <x v="27"/>
    <s v="Feb-2024"/>
    <s v="Q1-2024"/>
    <s v="Asia"/>
    <x v="4"/>
    <s v="Mumbai"/>
    <s v="Education"/>
    <s v="Marketplace"/>
    <s v="G. Dubois"/>
    <x v="4"/>
    <s v="LAP-8469"/>
    <n v="1035.19"/>
    <s v="High"/>
    <n v="2322.6999999999998"/>
    <n v="0.17299999999999999"/>
    <n v="8"/>
    <n v="13903.854800000001"/>
    <n v="8281.52"/>
    <n v="5622.3348000000005"/>
    <n v="0.40437237592555986"/>
  </r>
  <r>
    <x v="425"/>
    <d v="2025-08-28T00:00:00"/>
    <d v="2025-09-05T00:00:00"/>
    <x v="12"/>
    <s v="Aug-2025"/>
    <s v="Q3-2025"/>
    <s v="Africa"/>
    <x v="1"/>
    <s v="Port Harcourt"/>
    <s v="Small Business"/>
    <s v="Marketplace"/>
    <s v="E. Garcia"/>
    <x v="4"/>
    <s v="LAP-7553"/>
    <n v="1271.0999999999999"/>
    <s v="High"/>
    <n v="1932.42"/>
    <n v="0.25"/>
    <n v="21"/>
    <n v="33475.68"/>
    <n v="26693.1"/>
    <n v="6782.5800000000017"/>
    <n v="0.20261216501053905"/>
  </r>
  <r>
    <x v="426"/>
    <d v="2024-08-18T00:00:00"/>
    <d v="2024-09-12T00:00:00"/>
    <x v="2"/>
    <s v="Aug-2024"/>
    <s v="Q3-2024"/>
    <s v="Asia"/>
    <x v="4"/>
    <s v="Mumbai"/>
    <s v="Consumer"/>
    <s v="Marketplace"/>
    <s v="C. Otieno"/>
    <x v="3"/>
    <s v="PHN-3077"/>
    <n v="1154.03"/>
    <s v="High"/>
    <n v="1590.36"/>
    <n v="0.314"/>
    <n v="18"/>
    <n v="8801.0369999999984"/>
    <n v="20772.54"/>
    <n v="-11971.503000000002"/>
    <n v="-1.360237776525653"/>
  </r>
  <r>
    <x v="427"/>
    <d v="2024-02-25T00:00:00"/>
    <d v="2024-03-09T00:00:00"/>
    <x v="19"/>
    <s v="Feb-2024"/>
    <s v="Q1-2024"/>
    <s v="Europe"/>
    <x v="7"/>
    <s v="Marseille"/>
    <s v="Small Business"/>
    <s v="Distributor"/>
    <s v="E. Garcia"/>
    <x v="5"/>
    <s v="MON-3350"/>
    <n v="322.44"/>
    <s v="High"/>
    <n v="395.61"/>
    <n v="0"/>
    <n v="34"/>
    <n v="53340.22"/>
    <n v="10962.96"/>
    <n v="42377.26"/>
    <n v="0.79447103892709858"/>
  </r>
  <r>
    <x v="428"/>
    <d v="2025-05-07T00:00:00"/>
    <d v="2025-05-13T00:00:00"/>
    <x v="30"/>
    <s v="May-2025"/>
    <s v="Q2-2025"/>
    <s v="Asia"/>
    <x v="4"/>
    <s v="Bengaluru"/>
    <s v="Enterprise"/>
    <s v="Direct"/>
    <s v="J. Njeri"/>
    <x v="3"/>
    <s v="PHN-5683"/>
    <n v="935.98"/>
    <s v="High"/>
    <n v="2077.69"/>
    <n v="0.17499999999999999"/>
    <n v="24"/>
    <n v="41071.932000000001"/>
    <n v="22463.52"/>
    <n v="18608.412"/>
    <n v="0.4530688256885505"/>
  </r>
  <r>
    <x v="429"/>
    <d v="2024-11-01T00:00:00"/>
    <d v="2024-11-12T00:00:00"/>
    <x v="23"/>
    <s v="Nov-2024"/>
    <s v="Q4-2024"/>
    <s v="Europe"/>
    <x v="6"/>
    <s v="Frankfurt"/>
    <s v="Consumer"/>
    <s v="Online"/>
    <s v="B. Chen"/>
    <x v="1"/>
    <s v="PRN-2409"/>
    <n v="599.84"/>
    <s v="High"/>
    <n v="1330.85"/>
    <n v="0.115"/>
    <n v="11"/>
    <n v="4820.6746499999999"/>
    <n v="6598.2400000000007"/>
    <n v="-1777.5653500000008"/>
    <n v="-0.36873787987330792"/>
  </r>
  <r>
    <x v="430"/>
    <d v="2024-12-28T00:00:00"/>
    <d v="2025-01-08T00:00:00"/>
    <x v="23"/>
    <s v="Dec-2024"/>
    <s v="Q4-2024"/>
    <s v="Asia"/>
    <x v="9"/>
    <s v="Shenzhen"/>
    <s v="Enterprise"/>
    <s v="Online"/>
    <s v="K. Singh"/>
    <x v="4"/>
    <s v="LAP-8825"/>
    <n v="1201.31"/>
    <s v="High"/>
    <n v="2764.65"/>
    <n v="0"/>
    <n v="21"/>
    <n v="15909.390000000001"/>
    <n v="25227.51"/>
    <n v="-9318.1199999999972"/>
    <n v="-0.58569938885148942"/>
  </r>
  <r>
    <x v="431"/>
    <d v="2023-10-21T00:00:00"/>
    <d v="2023-10-21T00:00:00"/>
    <x v="18"/>
    <s v="Oct-2023"/>
    <s v="Q4-2023"/>
    <s v="Europe"/>
    <x v="8"/>
    <s v="Manchester"/>
    <s v="Enterprise"/>
    <s v="Distributor"/>
    <s v="J. Njeri"/>
    <x v="5"/>
    <s v="MON-8697"/>
    <n v="384.19"/>
    <s v="High"/>
    <n v="278.35000000000002"/>
    <n v="5.6000000000000001E-2"/>
    <n v="10"/>
    <n v="3926.6623999999993"/>
    <n v="3841.9"/>
    <n v="84.762399999999161"/>
    <n v="2.1586373200812775E-2"/>
  </r>
  <r>
    <x v="432"/>
    <d v="2024-12-10T00:00:00"/>
    <d v="2024-12-19T00:00:00"/>
    <x v="25"/>
    <s v="Dec-2024"/>
    <s v="Q4-2024"/>
    <s v="Africa"/>
    <x v="1"/>
    <s v="Lagos"/>
    <s v="Corporate"/>
    <s v="Retail"/>
    <s v="O. Wang"/>
    <x v="5"/>
    <s v="MON-4789"/>
    <n v="488.68"/>
    <s v="High"/>
    <n v="984.36"/>
    <n v="5.8999999999999997E-2"/>
    <n v="14"/>
    <n v="24647.104860000003"/>
    <n v="6841.52"/>
    <n v="17805.584860000003"/>
    <n v="0.72242094806424251"/>
  </r>
  <r>
    <x v="433"/>
    <d v="2024-09-07T00:00:00"/>
    <d v="2024-09-18T00:00:00"/>
    <x v="23"/>
    <s v="Sept-2024"/>
    <s v="Q3-2024"/>
    <s v="Asia"/>
    <x v="9"/>
    <s v="Beijing"/>
    <s v="Consumer"/>
    <s v="Distributor"/>
    <s v="O. Wang"/>
    <x v="2"/>
    <s v="NET-7998"/>
    <n v="181.74"/>
    <s v="Medium"/>
    <n v="190.84"/>
    <n v="0.214"/>
    <n v="13"/>
    <n v="2113.89984"/>
    <n v="2362.62"/>
    <n v="-248.72015999999985"/>
    <n v="-0.11765938730569177"/>
  </r>
  <r>
    <x v="434"/>
    <d v="2023-10-18T00:00:00"/>
    <d v="2023-10-20T00:00:00"/>
    <x v="6"/>
    <s v="Oct-2023"/>
    <s v="Q4-2023"/>
    <s v="Africa"/>
    <x v="0"/>
    <s v="Kisumu"/>
    <s v="Consumer"/>
    <s v="Retail"/>
    <s v="J. Njeri"/>
    <x v="3"/>
    <s v="PHN-8891"/>
    <n v="774.12"/>
    <s v="High"/>
    <n v="908.3"/>
    <n v="0"/>
    <n v="30"/>
    <n v="1884.6"/>
    <n v="23223.599999999999"/>
    <n v="-21339"/>
    <n v="-11.322827125119389"/>
  </r>
  <r>
    <x v="435"/>
    <d v="2024-12-24T00:00:00"/>
    <d v="2025-01-13T00:00:00"/>
    <x v="9"/>
    <s v="Dec-2024"/>
    <s v="Q4-2024"/>
    <s v="Asia"/>
    <x v="4"/>
    <s v="Bengaluru"/>
    <s v="Corporate"/>
    <s v="Marketplace"/>
    <s v="D. Smith"/>
    <x v="2"/>
    <s v="NET-9832"/>
    <n v="126.15"/>
    <s v="High"/>
    <n v="284.23"/>
    <n v="0.113"/>
    <n v="22"/>
    <n v="18664.94586"/>
    <n v="2775.3"/>
    <n v="15889.645860000001"/>
    <n v="0.85130950709331443"/>
  </r>
  <r>
    <x v="436"/>
    <d v="2023-04-21T00:00:00"/>
    <d v="2023-04-19T00:00:00"/>
    <x v="6"/>
    <s v="Apr-2023"/>
    <s v="Q2-2023"/>
    <s v="Asia"/>
    <x v="2"/>
    <s v="Nagoya"/>
    <s v="Small Business"/>
    <s v="Direct"/>
    <s v="M. Rossi"/>
    <x v="0"/>
    <s v="CMP-8604"/>
    <n v="607.04"/>
    <s v="High"/>
    <n v="1229.3399999999999"/>
    <n v="0.14699999999999999"/>
    <n v="7"/>
    <n v="989.39469999999983"/>
    <n v="4249.28"/>
    <n v="-3259.8852999999999"/>
    <n v="-3.2948279387387061"/>
  </r>
  <r>
    <x v="437"/>
    <d v="2023-12-30T00:00:00"/>
    <d v="2024-01-08T00:00:00"/>
    <x v="25"/>
    <s v="Dec-2023"/>
    <s v="Q4-2023"/>
    <s v="Europe"/>
    <x v="7"/>
    <s v="Marseille"/>
    <s v="Consumer"/>
    <s v="Marketplace"/>
    <s v="L. Okafor"/>
    <x v="6"/>
    <s v="ACC-6594"/>
    <n v="861.1"/>
    <s v="High"/>
    <n v="1224.72"/>
    <n v="0.17399999999999999"/>
    <n v="24"/>
    <n v="12060.128640000001"/>
    <n v="20666.400000000001"/>
    <n v="-8606.2713600000006"/>
    <n v="-0.71361356225135586"/>
  </r>
  <r>
    <x v="438"/>
    <d v="2023-02-21T00:00:00"/>
    <d v="2023-03-12T00:00:00"/>
    <x v="7"/>
    <s v="Feb-2023"/>
    <s v="Q1-2023"/>
    <s v="Africa"/>
    <x v="0"/>
    <s v="Nakuru"/>
    <s v="Corporate"/>
    <s v="Online"/>
    <s v="F. Müller"/>
    <x v="2"/>
    <s v="NET-2499"/>
    <n v="352.65"/>
    <s v="High"/>
    <n v="485.86"/>
    <n v="4.1000000000000002E-2"/>
    <n v="6"/>
    <n v="15339.646139999999"/>
    <n v="2115.8999999999996"/>
    <n v="13223.746139999999"/>
    <n v="0.86206331093371624"/>
  </r>
  <r>
    <x v="439"/>
    <d v="2023-05-17T00:00:00"/>
    <d v="2023-06-03T00:00:00"/>
    <x v="14"/>
    <s v="May-2023"/>
    <s v="Q2-2023"/>
    <s v="Asia"/>
    <x v="9"/>
    <s v="Beijing"/>
    <s v="Non-Profit"/>
    <s v="Distributor"/>
    <s v="M. Rossi"/>
    <x v="1"/>
    <s v="PRN-1923"/>
    <n v="979.59"/>
    <s v="High"/>
    <n v="2210.94"/>
    <n v="0.15"/>
    <n v="11"/>
    <n v="5497.3325000000004"/>
    <n v="10775.49"/>
    <n v="-5278.1574999999993"/>
    <n v="-0.96013066337173514"/>
  </r>
  <r>
    <x v="440"/>
    <d v="2024-03-23T00:00:00"/>
    <d v="2024-03-26T00:00:00"/>
    <x v="4"/>
    <s v="Mar-2024"/>
    <s v="Q1-2024"/>
    <s v="Asia"/>
    <x v="4"/>
    <s v="Bengaluru"/>
    <s v="Education"/>
    <s v="Direct"/>
    <s v="G. Dubois"/>
    <x v="3"/>
    <s v="PHN-4346"/>
    <n v="382.21"/>
    <s v="High"/>
    <n v="571.89"/>
    <n v="0.14799999999999999"/>
    <n v="26"/>
    <n v="48582.215760000006"/>
    <n v="9937.4599999999991"/>
    <n v="38644.755760000007"/>
    <n v="0.79545066348781124"/>
  </r>
  <r>
    <x v="441"/>
    <d v="2023-09-20T00:00:00"/>
    <d v="2023-09-28T00:00:00"/>
    <x v="12"/>
    <s v="Sept-2023"/>
    <s v="Q3-2023"/>
    <s v="Asia"/>
    <x v="4"/>
    <s v="Not Provided"/>
    <s v="Corporate"/>
    <s v="Not Provided"/>
    <s v="B. Chen"/>
    <x v="6"/>
    <s v="ACC-1375"/>
    <n v="1362.06"/>
    <s v="High"/>
    <n v="3398.37"/>
    <n v="0.157"/>
    <n v="11"/>
    <n v="20287.469400000002"/>
    <n v="14982.66"/>
    <n v="5304.8094000000019"/>
    <n v="0.26148206537775487"/>
  </r>
  <r>
    <x v="442"/>
    <d v="2024-08-22T00:00:00"/>
    <d v="2024-09-04T00:00:00"/>
    <x v="19"/>
    <s v="Aug-2024"/>
    <s v="Q3-2024"/>
    <s v="Europe"/>
    <x v="6"/>
    <s v="Frankfurt"/>
    <s v="Non-Profit"/>
    <s v="Retail"/>
    <s v="L. Okafor"/>
    <x v="1"/>
    <s v="PRN-4892"/>
    <n v="90.04"/>
    <s v="Medium"/>
    <n v="194.62"/>
    <n v="4.2999999999999997E-2"/>
    <n v="32"/>
    <n v="30688.61664"/>
    <n v="2881.28"/>
    <n v="27807.336640000001"/>
    <n v="0.90611241836673417"/>
  </r>
  <r>
    <x v="443"/>
    <d v="2024-09-25T00:00:00"/>
    <d v="2024-10-03T00:00:00"/>
    <x v="12"/>
    <s v="Sept-2024"/>
    <s v="Q3-2024"/>
    <s v="Americas"/>
    <x v="3"/>
    <s v="Toronto"/>
    <s v="Consumer"/>
    <s v="Online"/>
    <s v="E. Garcia"/>
    <x v="1"/>
    <s v="PRN-9557"/>
    <n v="558.19000000000005"/>
    <s v="High"/>
    <n v="1031.6400000000001"/>
    <n v="0"/>
    <n v="21"/>
    <n v="19189.38"/>
    <n v="11721.990000000002"/>
    <n v="7467.3899999999994"/>
    <n v="0.3891418065617544"/>
  </r>
  <r>
    <x v="444"/>
    <d v="2023-06-13T00:00:00"/>
    <d v="2023-06-24T00:00:00"/>
    <x v="23"/>
    <s v="Jun-2023"/>
    <s v="Q2-2023"/>
    <s v="Americas"/>
    <x v="3"/>
    <s v="Toronto"/>
    <s v="Corporate"/>
    <s v="Online"/>
    <s v="C. Otieno"/>
    <x v="1"/>
    <s v="PRN-8008"/>
    <n v="247.07"/>
    <s v="High"/>
    <n v="495.19"/>
    <n v="2.8000000000000001E-2"/>
    <n v="4"/>
    <n v="7167.5668799999994"/>
    <n v="988.28"/>
    <n v="6179.2868799999997"/>
    <n v="0.86211778466167588"/>
  </r>
  <r>
    <x v="445"/>
    <d v="2023-12-24T00:00:00"/>
    <d v="2024-01-13T00:00:00"/>
    <x v="9"/>
    <s v="Dec-2023"/>
    <s v="Q4-2023"/>
    <s v="Asia"/>
    <x v="2"/>
    <s v="Nagoya"/>
    <s v="Education"/>
    <s v="Direct"/>
    <s v="B. Chen"/>
    <x v="4"/>
    <s v="LAP-1946"/>
    <n v="625.37"/>
    <s v="High"/>
    <n v="1319.04"/>
    <n v="7.3999999999999996E-2"/>
    <n v="8"/>
    <n v="10249.7088"/>
    <n v="5002.96"/>
    <n v="5246.7488000000003"/>
    <n v="0.51189247444766428"/>
  </r>
  <r>
    <x v="446"/>
    <d v="2025-03-30T00:00:00"/>
    <d v="2025-04-29T00:00:00"/>
    <x v="26"/>
    <s v="Mar-2025"/>
    <s v="Q1-2025"/>
    <s v="Africa"/>
    <x v="11"/>
    <s v="Durban"/>
    <s v="Consumer"/>
    <s v="Marketplace"/>
    <s v="J. Njeri"/>
    <x v="5"/>
    <s v="MON-7106"/>
    <n v="194.6"/>
    <s v="High"/>
    <n v="314.87"/>
    <n v="0.29299999999999998"/>
    <n v="25"/>
    <n v="28077.267750000003"/>
    <n v="4865"/>
    <n v="23212.267750000003"/>
    <n v="0.82672815448718295"/>
  </r>
  <r>
    <x v="447"/>
    <d v="2024-06-03T00:00:00"/>
    <d v="2024-06-24T00:00:00"/>
    <x v="28"/>
    <s v="Jun-2024"/>
    <s v="Q2-2024"/>
    <s v="Americas"/>
    <x v="3"/>
    <s v="Toronto"/>
    <s v="Small Business"/>
    <s v="Direct"/>
    <s v="G. Dubois"/>
    <x v="5"/>
    <s v="MON-5386"/>
    <n v="1205.5"/>
    <s v="High"/>
    <n v="2210.17"/>
    <n v="0.104"/>
    <n v="23"/>
    <n v="27698.182399999998"/>
    <n v="27726.5"/>
    <n v="-28.31760000000213"/>
    <n v="-1.0223631136172362E-3"/>
  </r>
  <r>
    <x v="448"/>
    <d v="2024-06-11T00:00:00"/>
    <d v="2024-07-09T00:00:00"/>
    <x v="27"/>
    <s v="Jun-2024"/>
    <s v="Q2-2024"/>
    <s v="Africa"/>
    <x v="1"/>
    <s v="Port Harcourt"/>
    <s v="Corporate"/>
    <s v="Marketplace"/>
    <s v="I. Johnson"/>
    <x v="3"/>
    <s v="PHN-2436"/>
    <n v="895.54"/>
    <s v="High"/>
    <n v="1045"/>
    <n v="0.216"/>
    <n v="15"/>
    <n v="15173.8104"/>
    <n v="13433.099999999999"/>
    <n v="1740.7104000000018"/>
    <n v="0.11471808030499721"/>
  </r>
  <r>
    <x v="449"/>
    <d v="2023-07-22T00:00:00"/>
    <d v="2023-07-21T00:00:00"/>
    <x v="1"/>
    <s v="Jul-2023"/>
    <s v="Q3-2023"/>
    <s v="Asia"/>
    <x v="4"/>
    <s v="Delhi"/>
    <s v="Small Business"/>
    <s v="Distributor"/>
    <s v="E. Garcia"/>
    <x v="1"/>
    <s v="PRN-2301"/>
    <n v="946.99"/>
    <s v="High"/>
    <n v="2132.19"/>
    <n v="0.16500000000000001"/>
    <n v="7"/>
    <n v="1295.1351000000002"/>
    <n v="6628.93"/>
    <n v="-5333.7948999999999"/>
    <n v="-4.1183308984522151"/>
  </r>
  <r>
    <x v="450"/>
    <d v="2023-01-19T00:00:00"/>
    <d v="2023-02-03T00:00:00"/>
    <x v="15"/>
    <s v="Jan-2023"/>
    <s v="Q1-2023"/>
    <s v="Europe"/>
    <x v="8"/>
    <s v="London"/>
    <s v="Enterprise"/>
    <s v="Distributor"/>
    <s v="G. Dubois"/>
    <x v="6"/>
    <s v="ACC-3645"/>
    <n v="873.06"/>
    <s v="High"/>
    <n v="2101.5500000000002"/>
    <n v="6.6000000000000003E-2"/>
    <n v="10"/>
    <n v="3365.5755999999997"/>
    <n v="8730.5999999999985"/>
    <n v="-5365.0243999999984"/>
    <n v="-1.5940882148064062"/>
  </r>
  <r>
    <x v="451"/>
    <d v="2024-05-01T00:00:00"/>
    <d v="2024-05-16T00:00:00"/>
    <x v="15"/>
    <s v="May-2024"/>
    <s v="Q2-2024"/>
    <s v="Asia"/>
    <x v="4"/>
    <s v="Bengaluru"/>
    <s v="Small Business"/>
    <s v="Retail"/>
    <s v="L. Okafor"/>
    <x v="0"/>
    <s v="CMP-6811"/>
    <n v="901.19"/>
    <s v="High"/>
    <n v="2125.44"/>
    <n v="7.0999999999999994E-2"/>
    <n v="12"/>
    <n v="28380.689880000002"/>
    <n v="10814.28"/>
    <n v="17566.409879999999"/>
    <n v="0.61895640853956568"/>
  </r>
  <r>
    <x v="452"/>
    <d v="2025-06-09T00:00:00"/>
    <d v="2025-06-24T00:00:00"/>
    <x v="15"/>
    <s v="Jun-2025"/>
    <s v="Q2-2025"/>
    <s v="Asia"/>
    <x v="2"/>
    <s v="Nagoya"/>
    <s v="Corporate"/>
    <s v="Direct"/>
    <s v="B. Chen"/>
    <x v="3"/>
    <s v="PHN-5675"/>
    <n v="400.39"/>
    <s v="High"/>
    <n v="712.75"/>
    <n v="0.115"/>
    <n v="19"/>
    <n v="11761.58805"/>
    <n v="7607.41"/>
    <n v="4154.1780500000004"/>
    <n v="0.35319873747831187"/>
  </r>
  <r>
    <x v="453"/>
    <d v="2023-05-24T00:00:00"/>
    <d v="2023-06-21T00:00:00"/>
    <x v="27"/>
    <s v="May-2023"/>
    <s v="Q2-2023"/>
    <s v="Americas"/>
    <x v="10"/>
    <s v="Austin"/>
    <s v="Small Business"/>
    <s v="Marketplace"/>
    <s v="G. Dubois"/>
    <x v="5"/>
    <s v="MON-6882"/>
    <n v="813.97"/>
    <s v="High"/>
    <n v="1568.83"/>
    <n v="1.7000000000000001E-2"/>
    <n v="15"/>
    <n v="40381.984049999999"/>
    <n v="12209.550000000001"/>
    <n v="28172.434049999996"/>
    <n v="0.69764858544636066"/>
  </r>
  <r>
    <x v="454"/>
    <d v="2024-12-27T00:00:00"/>
    <d v="2024-12-29T00:00:00"/>
    <x v="6"/>
    <s v="Dec-2024"/>
    <s v="Q4-2024"/>
    <s v="Americas"/>
    <x v="3"/>
    <s v="Vancouver"/>
    <s v="Enterprise"/>
    <s v="Marketplace"/>
    <s v="C. Otieno"/>
    <x v="6"/>
    <s v="ACC-8620"/>
    <n v="1146.72"/>
    <s v="High"/>
    <n v="2074.34"/>
    <n v="0.111"/>
    <n v="8"/>
    <n v="674.07536000000005"/>
    <n v="9173.76"/>
    <n v="-8499.6846399999995"/>
    <n v="-12.60939821327989"/>
  </r>
  <r>
    <x v="455"/>
    <d v="2023-12-05T00:00:00"/>
    <d v="2023-12-12T00:00:00"/>
    <x v="20"/>
    <s v="Dec-2023"/>
    <s v="Q4-2023"/>
    <s v="Americas"/>
    <x v="5"/>
    <s v="Brasília"/>
    <s v="Corporate"/>
    <s v="Direct"/>
    <s v="F. Müller"/>
    <x v="3"/>
    <s v="PHN-6506"/>
    <n v="307.43"/>
    <s v="High"/>
    <n v="495.19"/>
    <n v="0"/>
    <n v="42"/>
    <n v="116648.7"/>
    <n v="12912.06"/>
    <n v="103736.64"/>
    <n v="0.88930815345563219"/>
  </r>
  <r>
    <x v="456"/>
    <d v="2023-05-02T00:00:00"/>
    <d v="2023-05-19T00:00:00"/>
    <x v="14"/>
    <s v="May-2023"/>
    <s v="Q2-2023"/>
    <s v="Asia"/>
    <x v="9"/>
    <s v="Shanghai"/>
    <s v="Non-Profit"/>
    <s v="Direct"/>
    <s v="J. Njeri"/>
    <x v="5"/>
    <s v="MON-5086"/>
    <n v="714.28"/>
    <s v="High"/>
    <n v="757.59"/>
    <n v="0.13600000000000001"/>
    <n v="12"/>
    <n v="5102.9222399999999"/>
    <n v="8571.36"/>
    <n v="-3468.4377600000007"/>
    <n v="-0.67969637726637211"/>
  </r>
  <r>
    <x v="457"/>
    <d v="2023-11-30T00:00:00"/>
    <d v="2023-12-10T00:00:00"/>
    <x v="24"/>
    <s v="Nov-2023"/>
    <s v="Q4-2023"/>
    <s v="Europe"/>
    <x v="6"/>
    <s v="Munich"/>
    <s v="Small Business"/>
    <s v="Direct"/>
    <s v="F. Müller"/>
    <x v="4"/>
    <s v="LAP-4899"/>
    <n v="174.74"/>
    <s v="High"/>
    <n v="415.96"/>
    <n v="0.125"/>
    <n v="21"/>
    <n v="35310.318749999999"/>
    <n v="3669.54"/>
    <n v="31640.778749999998"/>
    <n v="0.89607740371927391"/>
  </r>
  <r>
    <x v="458"/>
    <d v="2024-05-05T00:00:00"/>
    <d v="2024-05-18T00:00:00"/>
    <x v="19"/>
    <s v="May-2024"/>
    <s v="Q2-2024"/>
    <s v="Europe"/>
    <x v="7"/>
    <s v="Marseille"/>
    <s v="Corporate"/>
    <s v="Marketplace"/>
    <s v="A. Patel"/>
    <x v="0"/>
    <s v="CMP-3313"/>
    <n v="1264.04"/>
    <s v="High"/>
    <n v="1870.89"/>
    <n v="0"/>
    <n v="13"/>
    <n v="3774.29"/>
    <n v="16432.52"/>
    <n v="-12658.23"/>
    <n v="-3.3538042916681019"/>
  </r>
  <r>
    <x v="459"/>
    <d v="2023-07-09T00:00:00"/>
    <d v="2023-07-19T00:00:00"/>
    <x v="24"/>
    <s v="Jul-2023"/>
    <s v="Q3-2023"/>
    <s v="Asia"/>
    <x v="2"/>
    <s v="Tokyo"/>
    <s v="Enterprise"/>
    <s v="Distributor"/>
    <s v="N. Brown"/>
    <x v="0"/>
    <s v="CMP-6649"/>
    <n v="141.26"/>
    <s v="High"/>
    <n v="206.88"/>
    <n v="0.107"/>
    <n v="9"/>
    <n v="4845.6680399999996"/>
    <n v="1271.3399999999999"/>
    <n v="3574.3280399999994"/>
    <n v="0.737633698902742"/>
  </r>
  <r>
    <x v="460"/>
    <d v="2023-05-17T00:00:00"/>
    <d v="2023-06-15T00:00:00"/>
    <x v="11"/>
    <s v="May-2023"/>
    <s v="Q2-2023"/>
    <s v="Africa"/>
    <x v="11"/>
    <s v="Durban"/>
    <s v="Enterprise"/>
    <s v="Retail"/>
    <s v="K. Singh"/>
    <x v="6"/>
    <s v="ACC-5206"/>
    <n v="40.89"/>
    <s v="Medium"/>
    <n v="62.82"/>
    <n v="0.129"/>
    <n v="17"/>
    <n v="30761.5425"/>
    <n v="695.13"/>
    <n v="30066.412499999999"/>
    <n v="0.97740262862306071"/>
  </r>
  <r>
    <x v="461"/>
    <d v="2024-03-07T00:00:00"/>
    <d v="2024-04-03T00:00:00"/>
    <x v="29"/>
    <s v="Mar-2024"/>
    <s v="Q1-2024"/>
    <s v="Europe"/>
    <x v="6"/>
    <s v="Frankfurt"/>
    <s v="Corporate"/>
    <s v="Direct"/>
    <s v="M. Rossi"/>
    <x v="1"/>
    <s v="PRN-6911"/>
    <n v="738.16"/>
    <s v="High"/>
    <n v="956.49"/>
    <n v="0.152"/>
    <n v="5"/>
    <n v="733.01119999999992"/>
    <n v="3690.7999999999997"/>
    <n v="-2957.7887999999998"/>
    <n v="-4.0351208821911593"/>
  </r>
  <r>
    <x v="462"/>
    <d v="2025-04-10T00:00:00"/>
    <d v="2025-04-19T00:00:00"/>
    <x v="25"/>
    <s v="Apr-2025"/>
    <s v="Q2-2025"/>
    <s v="Africa"/>
    <x v="11"/>
    <s v="Durban"/>
    <s v="Enterprise"/>
    <s v="Not Provided"/>
    <s v="G. Dubois"/>
    <x v="2"/>
    <s v="NET-5270"/>
    <n v="113.74"/>
    <s v="Medium"/>
    <n v="165.7"/>
    <n v="0.124"/>
    <n v="13"/>
    <n v="31644.291119999994"/>
    <n v="1478.62"/>
    <n v="30165.671119999995"/>
    <n v="0.95327372022988777"/>
  </r>
  <r>
    <x v="463"/>
    <d v="2025-07-27T00:00:00"/>
    <d v="2025-08-15T00:00:00"/>
    <x v="7"/>
    <s v="Jul-2025"/>
    <s v="Q3-2025"/>
    <s v="Asia"/>
    <x v="2"/>
    <s v="Tokyo"/>
    <s v="Small Business"/>
    <s v="Marketplace"/>
    <s v="J. Njeri"/>
    <x v="0"/>
    <s v="CMP-5658"/>
    <n v="275.43"/>
    <s v="High"/>
    <n v="608.36"/>
    <n v="0.25700000000000001"/>
    <n v="4"/>
    <n v="919.74484000000007"/>
    <n v="1101.72"/>
    <n v="-181.97515999999996"/>
    <n v="-0.19785396132257718"/>
  </r>
  <r>
    <x v="464"/>
    <d v="2024-11-22T00:00:00"/>
    <d v="2024-12-15T00:00:00"/>
    <x v="21"/>
    <s v="Nov-2024"/>
    <s v="Q4-2024"/>
    <s v="Africa"/>
    <x v="0"/>
    <s v="Mombasa"/>
    <s v="Non-Profit"/>
    <s v="Distributor"/>
    <s v="C. Otieno"/>
    <x v="0"/>
    <s v="CMP-3938"/>
    <n v="1335.76"/>
    <s v="High"/>
    <n v="2665.91"/>
    <n v="0.21099999999999999"/>
    <n v="40"/>
    <n v="21031.899600000001"/>
    <n v="53430.400000000001"/>
    <n v="-32398.500400000001"/>
    <n v="-1.5404457522229709"/>
  </r>
  <r>
    <x v="465"/>
    <d v="2024-06-23T00:00:00"/>
    <d v="2024-06-28T00:00:00"/>
    <x v="16"/>
    <s v="Jun-2024"/>
    <s v="Q2-2024"/>
    <s v="Africa"/>
    <x v="1"/>
    <s v="Port Harcourt"/>
    <s v="Non-Profit"/>
    <s v="Direct"/>
    <s v="M. Rossi"/>
    <x v="6"/>
    <s v="ACC-7671"/>
    <n v="242.31"/>
    <s v="High"/>
    <n v="587.95000000000005"/>
    <n v="0.22900000000000001"/>
    <n v="6"/>
    <n v="3442.9930199999999"/>
    <n v="1453.8600000000001"/>
    <n v="1989.1330199999998"/>
    <n v="0.57773367777550699"/>
  </r>
  <r>
    <x v="466"/>
    <d v="2023-12-18T00:00:00"/>
    <d v="2024-01-14T00:00:00"/>
    <x v="29"/>
    <s v="Dec-2023"/>
    <s v="Q4-2023"/>
    <s v="Asia"/>
    <x v="4"/>
    <s v="Mumbai"/>
    <s v="Consumer"/>
    <s v="Distributor"/>
    <s v="D. Smith"/>
    <x v="2"/>
    <s v="NET-6014"/>
    <n v="1408.3"/>
    <s v="High"/>
    <n v="2193.13"/>
    <n v="7.0999999999999994E-2"/>
    <n v="7"/>
    <n v="82.523070000000004"/>
    <n v="9858.1"/>
    <n v="-9775.5769300000011"/>
    <n v="-118.45871621111527"/>
  </r>
  <r>
    <x v="467"/>
    <d v="2025-06-01T00:00:00"/>
    <d v="2025-06-05T00:00:00"/>
    <x v="3"/>
    <s v="Jun-2025"/>
    <s v="Q2-2025"/>
    <s v="Europe"/>
    <x v="6"/>
    <s v="Munich"/>
    <s v="Enterprise"/>
    <s v="Direct"/>
    <s v="M. Rossi"/>
    <x v="0"/>
    <s v="CMP-4159"/>
    <n v="1171.42"/>
    <s v="High"/>
    <n v="2187.8000000000002"/>
    <n v="0.23"/>
    <n v="15"/>
    <n v="7525.518"/>
    <n v="17571.300000000003"/>
    <n v="-10045.782000000003"/>
    <n v="-1.3348957506978261"/>
  </r>
  <r>
    <x v="468"/>
    <d v="2025-03-23T00:00:00"/>
    <d v="2025-04-02T00:00:00"/>
    <x v="24"/>
    <s v="Mar-2025"/>
    <s v="Q1-2025"/>
    <s v="Europe"/>
    <x v="6"/>
    <s v="Berlin"/>
    <s v="Enterprise"/>
    <s v="Online"/>
    <s v="E. Garcia"/>
    <x v="1"/>
    <s v="PRN-3159"/>
    <n v="663.61"/>
    <s v="High"/>
    <n v="1002.11"/>
    <n v="4.5999999999999999E-2"/>
    <n v="17"/>
    <n v="12231.93996"/>
    <n v="11281.37"/>
    <n v="950.5699599999989"/>
    <n v="7.7712117874064429E-2"/>
  </r>
  <r>
    <x v="469"/>
    <d v="2023-05-14T00:00:00"/>
    <d v="2023-05-22T00:00:00"/>
    <x v="12"/>
    <s v="May-2023"/>
    <s v="Q2-2023"/>
    <s v="Africa"/>
    <x v="0"/>
    <s v="Mombasa"/>
    <s v="Small Business"/>
    <s v="Distributor"/>
    <s v="F. Müller"/>
    <x v="1"/>
    <s v="PRN-9488"/>
    <n v="432.01"/>
    <s v="High"/>
    <n v="913.78"/>
    <n v="4.9000000000000002E-2"/>
    <n v="12"/>
    <n v="34019.286120000004"/>
    <n v="5184.12"/>
    <n v="28835.166120000005"/>
    <n v="0.84761232255981278"/>
  </r>
  <r>
    <x v="470"/>
    <d v="2023-08-29T00:00:00"/>
    <d v="2023-09-19T00:00:00"/>
    <x v="28"/>
    <s v="Aug-2023"/>
    <s v="Q3-2023"/>
    <s v="Europe"/>
    <x v="7"/>
    <s v="Lyon"/>
    <s v="Small Business"/>
    <s v="Direct"/>
    <s v="B. Chen"/>
    <x v="1"/>
    <s v="PRN-7079"/>
    <n v="784.46"/>
    <s v="High"/>
    <n v="1843.51"/>
    <n v="0.13800000000000001"/>
    <n v="23"/>
    <n v="19353.546419999999"/>
    <n v="18042.580000000002"/>
    <n v="1310.966419999997"/>
    <n v="6.7737787770268371E-2"/>
  </r>
  <r>
    <x v="471"/>
    <d v="2025-07-03T00:00:00"/>
    <d v="2025-07-23T00:00:00"/>
    <x v="9"/>
    <s v="Jul-2025"/>
    <s v="Q3-2025"/>
    <s v="Asia"/>
    <x v="9"/>
    <s v="Beijing"/>
    <s v="Small Business"/>
    <s v="Online"/>
    <s v="M. Rossi"/>
    <x v="0"/>
    <s v="CMP-1220"/>
    <n v="647.36"/>
    <s v="High"/>
    <n v="1383.6"/>
    <n v="7.3999999999999996E-2"/>
    <n v="12"/>
    <n v="12733.240800000001"/>
    <n v="7768.32"/>
    <n v="4964.9208000000017"/>
    <n v="0.38991807961410746"/>
  </r>
  <r>
    <x v="472"/>
    <d v="2024-02-06T00:00:00"/>
    <d v="2024-02-28T00:00:00"/>
    <x v="22"/>
    <s v="Feb-2024"/>
    <s v="Q1-2024"/>
    <s v="Africa"/>
    <x v="0"/>
    <s v="Kisumu"/>
    <s v="Non-Profit"/>
    <s v="Online"/>
    <s v="K. Singh"/>
    <x v="5"/>
    <s v="MON-2462"/>
    <n v="834.93"/>
    <s v="High"/>
    <n v="1588.53"/>
    <n v="0.126"/>
    <n v="6"/>
    <n v="8549.7651600000008"/>
    <n v="5009.58"/>
    <n v="3540.1851600000009"/>
    <n v="0.4140681169305942"/>
  </r>
  <r>
    <x v="473"/>
    <d v="2025-08-13T00:00:00"/>
    <d v="2025-09-03T00:00:00"/>
    <x v="28"/>
    <s v="Aug-2025"/>
    <s v="Q3-2025"/>
    <s v="Europe"/>
    <x v="7"/>
    <s v="Paris"/>
    <s v="Education"/>
    <s v="Retail"/>
    <s v="I. Johnson"/>
    <x v="3"/>
    <s v="PHN-9465"/>
    <n v="603.47"/>
    <s v="High"/>
    <n v="1344.05"/>
    <n v="0.20499999999999999"/>
    <n v="18"/>
    <n v="13790.9763"/>
    <n v="10862.460000000001"/>
    <n v="2928.5162999999993"/>
    <n v="0.21235018002315031"/>
  </r>
  <r>
    <x v="474"/>
    <d v="2023-05-23T00:00:00"/>
    <d v="2023-05-25T00:00:00"/>
    <x v="6"/>
    <s v="May-2023"/>
    <s v="Q2-2023"/>
    <s v="Americas"/>
    <x v="5"/>
    <s v="Rio de Janeiro"/>
    <s v="Enterprise"/>
    <s v="Retail"/>
    <s v="M. Rossi"/>
    <x v="1"/>
    <s v="PRN-1271"/>
    <n v="690.49"/>
    <s v="High"/>
    <n v="1290.29"/>
    <n v="4.2000000000000003E-2"/>
    <n v="22"/>
    <n v="18794.101480000001"/>
    <n v="15190.78"/>
    <n v="3603.3214800000005"/>
    <n v="0.19172619046643566"/>
  </r>
  <r>
    <x v="475"/>
    <d v="2024-05-10T00:00:00"/>
    <d v="2024-05-16T00:00:00"/>
    <x v="30"/>
    <s v="May-2024"/>
    <s v="Q2-2024"/>
    <s v="Europe"/>
    <x v="8"/>
    <s v="Birmingham"/>
    <s v="Non-Profit"/>
    <s v="Direct"/>
    <s v="G. Dubois"/>
    <x v="4"/>
    <s v="LAP-1066"/>
    <n v="210.76"/>
    <s v="High"/>
    <n v="221.58"/>
    <n v="8.8999999999999996E-2"/>
    <n v="5"/>
    <n v="7596.9201000000003"/>
    <n v="1053.8"/>
    <n v="6543.1201000000001"/>
    <n v="0.86128589137063583"/>
  </r>
  <r>
    <x v="476"/>
    <d v="2023-03-14T00:00:00"/>
    <d v="2023-03-18T00:00:00"/>
    <x v="3"/>
    <s v="Mar-2023"/>
    <s v="Q1-2023"/>
    <s v="Europe"/>
    <x v="6"/>
    <s v="Frankfurt"/>
    <s v="Enterprise"/>
    <s v="Direct"/>
    <s v="A. Patel"/>
    <x v="0"/>
    <s v="CMP-8675"/>
    <n v="472.33"/>
    <s v="High"/>
    <n v="360.34"/>
    <n v="0.16500000000000001"/>
    <n v="14"/>
    <n v="22462.4519"/>
    <n v="6612.62"/>
    <n v="15849.831900000001"/>
    <n v="0.70561450595693875"/>
  </r>
  <r>
    <x v="477"/>
    <d v="2023-07-16T00:00:00"/>
    <d v="2023-08-13T00:00:00"/>
    <x v="27"/>
    <s v="Jul-2023"/>
    <s v="Q3-2023"/>
    <s v="Europe"/>
    <x v="8"/>
    <s v="Manchester"/>
    <s v="Non-Profit"/>
    <s v="Online"/>
    <s v="J. Njeri"/>
    <x v="4"/>
    <s v="LAP-1178"/>
    <n v="1039.03"/>
    <s v="High"/>
    <n v="2545.81"/>
    <n v="0.216"/>
    <n v="21"/>
    <n v="20043.767520000001"/>
    <n v="21819.63"/>
    <n v="-1775.8624799999998"/>
    <n v="-8.8599235559283701E-2"/>
  </r>
  <r>
    <x v="478"/>
    <d v="2023-04-16T00:00:00"/>
    <d v="2023-04-19T00:00:00"/>
    <x v="4"/>
    <s v="Apr-2023"/>
    <s v="Q2-2023"/>
    <s v="Europe"/>
    <x v="6"/>
    <s v="Munich"/>
    <s v="Corporate"/>
    <s v="Direct"/>
    <s v="B. Chen"/>
    <x v="6"/>
    <s v="ACC-1731"/>
    <n v="553.61"/>
    <s v="High"/>
    <n v="699.47"/>
    <n v="0.02"/>
    <n v="33"/>
    <n v="31378.531800000001"/>
    <n v="18269.13"/>
    <n v="13109.4018"/>
    <n v="0.41778251078018885"/>
  </r>
  <r>
    <x v="479"/>
    <d v="2024-01-02T00:00:00"/>
    <d v="2024-01-15T00:00:00"/>
    <x v="19"/>
    <s v="Jan-2024"/>
    <s v="Q1-2024"/>
    <s v="Asia"/>
    <x v="2"/>
    <s v="Nagoya"/>
    <s v="Small Business"/>
    <s v="Marketplace"/>
    <s v="G. Dubois"/>
    <x v="2"/>
    <s v="NET-1893"/>
    <n v="1219.06"/>
    <s v="High"/>
    <n v="2738.69"/>
    <n v="7.5999999999999998E-2"/>
    <n v="16"/>
    <n v="24019.121280000003"/>
    <n v="19504.96"/>
    <n v="4514.1612800000039"/>
    <n v="0.18794031752355611"/>
  </r>
  <r>
    <x v="480"/>
    <d v="2024-09-03T00:00:00"/>
    <d v="2024-09-07T00:00:00"/>
    <x v="3"/>
    <s v="Sept-2024"/>
    <s v="Q3-2024"/>
    <s v="Asia"/>
    <x v="2"/>
    <s v="Tokyo"/>
    <s v="Small Business"/>
    <s v="Distributor"/>
    <s v="N. Brown"/>
    <x v="1"/>
    <s v="PRN-3917"/>
    <n v="43.23"/>
    <s v="Medium"/>
    <n v="94.78"/>
    <n v="9.0999999999999998E-2"/>
    <n v="55"/>
    <n v="130292.46945000002"/>
    <n v="2377.6499999999996"/>
    <n v="127914.81945000002"/>
    <n v="0.98175143958790023"/>
  </r>
  <r>
    <x v="481"/>
    <d v="2025-08-30T00:00:00"/>
    <d v="2025-09-03T00:00:00"/>
    <x v="3"/>
    <s v="Aug-2025"/>
    <s v="Q3-2025"/>
    <s v="Europe"/>
    <x v="7"/>
    <s v="Marseille"/>
    <s v="Small Business"/>
    <s v="Marketplace"/>
    <s v="J. Njeri"/>
    <x v="4"/>
    <s v="LAP-3220"/>
    <n v="1286.56"/>
    <s v="High"/>
    <n v="2777.35"/>
    <n v="0.13200000000000001"/>
    <n v="15"/>
    <n v="5660.0544"/>
    <n v="19298.399999999998"/>
    <n v="-13638.345599999997"/>
    <n v="-2.4095785369130014"/>
  </r>
  <r>
    <x v="482"/>
    <d v="2025-04-28T00:00:00"/>
    <d v="2025-05-19T00:00:00"/>
    <x v="28"/>
    <s v="Apr-2025"/>
    <s v="Q2-2025"/>
    <s v="Europe"/>
    <x v="6"/>
    <s v="Berlin"/>
    <s v="Corporate"/>
    <s v="Distributor"/>
    <s v="B. Chen"/>
    <x v="3"/>
    <s v="PHN-2462"/>
    <n v="350.76"/>
    <s v="High"/>
    <n v="492.18"/>
    <n v="5.2999999999999999E-2"/>
    <n v="11"/>
    <n v="19379.89097"/>
    <n v="3858.3599999999997"/>
    <n v="15521.53097"/>
    <n v="0.80090909665215726"/>
  </r>
  <r>
    <x v="483"/>
    <d v="2023-08-10T00:00:00"/>
    <d v="2023-08-15T00:00:00"/>
    <x v="16"/>
    <s v="Aug-2023"/>
    <s v="Q3-2023"/>
    <s v="Americas"/>
    <x v="5"/>
    <s v="São Paulo"/>
    <s v="Education"/>
    <s v="Direct"/>
    <s v="G. Dubois"/>
    <x v="2"/>
    <s v="NET-2894"/>
    <n v="1307.52"/>
    <s v="High"/>
    <n v="1921.65"/>
    <n v="0.123"/>
    <n v="13"/>
    <n v="9504.8996900000002"/>
    <n v="16997.759999999998"/>
    <n v="-7492.8603099999982"/>
    <n v="-0.78831555875157244"/>
  </r>
  <r>
    <x v="484"/>
    <d v="2024-12-08T00:00:00"/>
    <d v="2024-12-08T00:00:00"/>
    <x v="18"/>
    <s v="Dec-2024"/>
    <s v="Q4-2024"/>
    <s v="Europe"/>
    <x v="7"/>
    <s v="Lyon"/>
    <s v="Enterprise"/>
    <s v="Retail"/>
    <s v="H. Kim"/>
    <x v="0"/>
    <s v="CMP-2335"/>
    <n v="257.44"/>
    <s v="High"/>
    <n v="290.33"/>
    <n v="9.1999999999999998E-2"/>
    <n v="23"/>
    <n v="6964.3963200000007"/>
    <n v="5921.12"/>
    <n v="1043.2763200000009"/>
    <n v="0.14980140015926044"/>
  </r>
  <r>
    <x v="485"/>
    <d v="2023-10-25T00:00:00"/>
    <d v="2023-11-24T00:00:00"/>
    <x v="26"/>
    <s v="Oct-2023"/>
    <s v="Q4-2023"/>
    <s v="Europe"/>
    <x v="7"/>
    <s v="Paris"/>
    <s v="Enterprise"/>
    <s v="Distributor"/>
    <s v="C. Otieno"/>
    <x v="3"/>
    <s v="PHN-5938"/>
    <n v="287.85000000000002"/>
    <s v="High"/>
    <n v="602.91999999999996"/>
    <n v="0.222"/>
    <n v="11"/>
    <n v="15273.462600000001"/>
    <n v="3166.3500000000004"/>
    <n v="12107.1126"/>
    <n v="0.79268944554851628"/>
  </r>
  <r>
    <x v="486"/>
    <d v="2024-11-17T00:00:00"/>
    <d v="2024-11-28T00:00:00"/>
    <x v="23"/>
    <s v="Nov-2024"/>
    <s v="Q4-2024"/>
    <s v="Americas"/>
    <x v="3"/>
    <s v="Not Provided"/>
    <s v="Consumer"/>
    <s v="Distributor"/>
    <s v="A. Patel"/>
    <x v="1"/>
    <s v="PRN-1371"/>
    <n v="1008.16"/>
    <s v="High"/>
    <n v="2077.5"/>
    <n v="7.3999999999999996E-2"/>
    <n v="15"/>
    <n v="14894.108099999999"/>
    <n v="15122.4"/>
    <n v="-228.29190000000017"/>
    <n v="-1.5327665038230801E-2"/>
  </r>
  <r>
    <x v="487"/>
    <d v="2024-05-12T00:00:00"/>
    <d v="2024-05-24T00:00:00"/>
    <x v="8"/>
    <s v="May-2024"/>
    <s v="Q2-2024"/>
    <s v="Europe"/>
    <x v="8"/>
    <s v="Manchester"/>
    <s v="Education"/>
    <s v="Marketplace"/>
    <s v="K. Singh"/>
    <x v="1"/>
    <s v="PRN-5813"/>
    <n v="111.02"/>
    <s v="Medium"/>
    <n v="172.88"/>
    <n v="0.19700000000000001"/>
    <n v="29"/>
    <n v="70514.200349999999"/>
    <n v="3219.58"/>
    <n v="67294.620349999997"/>
    <n v="0.95434139529315387"/>
  </r>
  <r>
    <x v="488"/>
    <d v="2025-05-15T00:00:00"/>
    <d v="2025-06-05T00:00:00"/>
    <x v="28"/>
    <s v="May-2025"/>
    <s v="Q2-2025"/>
    <s v="Asia"/>
    <x v="2"/>
    <s v="Osaka"/>
    <s v="Enterprise"/>
    <s v="Direct"/>
    <s v="H. Kim"/>
    <x v="3"/>
    <s v="PHN-6480"/>
    <n v="1466.5"/>
    <s v="High"/>
    <n v="2778.74"/>
    <n v="0.13500000000000001"/>
    <n v="4"/>
    <n v="3415.8503999999998"/>
    <n v="5866"/>
    <n v="-2450.1496000000002"/>
    <n v="-0.71728832152602473"/>
  </r>
  <r>
    <x v="489"/>
    <d v="2024-04-21T00:00:00"/>
    <d v="2024-05-19T00:00:00"/>
    <x v="27"/>
    <s v="Apr-2024"/>
    <s v="Q2-2024"/>
    <s v="Africa"/>
    <x v="1"/>
    <s v="Lagos"/>
    <s v="Corporate"/>
    <s v="Distributor"/>
    <s v="A. Patel"/>
    <x v="6"/>
    <s v="ACC-2990"/>
    <n v="187.22"/>
    <s v="High"/>
    <n v="309.47000000000003"/>
    <n v="0"/>
    <n v="5"/>
    <n v="4877.1499999999996"/>
    <n v="936.1"/>
    <n v="3941.0499999999997"/>
    <n v="0.8080641358170243"/>
  </r>
  <r>
    <x v="490"/>
    <d v="2024-08-19T00:00:00"/>
    <d v="2024-09-07T00:00:00"/>
    <x v="7"/>
    <s v="Aug-2024"/>
    <s v="Q3-2024"/>
    <s v="Europe"/>
    <x v="7"/>
    <s v="Lyon"/>
    <s v="Corporate"/>
    <s v="Direct"/>
    <s v="J. Njeri"/>
    <x v="0"/>
    <s v="CMP-5435"/>
    <n v="297.58999999999997"/>
    <s v="High"/>
    <n v="666.41"/>
    <n v="0"/>
    <n v="10"/>
    <n v="1414.3000000000002"/>
    <n v="2975.8999999999996"/>
    <n v="-1561.5999999999995"/>
    <n v="-1.1041504631266346"/>
  </r>
  <r>
    <x v="491"/>
    <d v="2025-07-23T00:00:00"/>
    <d v="2025-08-19T00:00:00"/>
    <x v="29"/>
    <s v="Jul-2025"/>
    <s v="Q3-2025"/>
    <s v="Asia"/>
    <x v="2"/>
    <s v="Nagoya"/>
    <s v="Consumer"/>
    <s v="Marketplace"/>
    <s v="B. Chen"/>
    <x v="6"/>
    <s v="ACC-1596"/>
    <n v="896.09"/>
    <s v="High"/>
    <n v="744.27"/>
    <n v="8.3000000000000004E-2"/>
    <n v="11"/>
    <n v="16395.611540000002"/>
    <n v="9856.99"/>
    <n v="6538.6215400000019"/>
    <n v="0.3988031507118765"/>
  </r>
  <r>
    <x v="492"/>
    <d v="2024-03-01T00:00:00"/>
    <d v="2024-02-29T00:00:00"/>
    <x v="1"/>
    <s v="Mar-2024"/>
    <s v="Q1-2024"/>
    <s v="Americas"/>
    <x v="5"/>
    <s v="São Paulo"/>
    <s v="Non-Profit"/>
    <s v="Direct"/>
    <s v="I. Johnson"/>
    <x v="3"/>
    <s v="PHN-7852"/>
    <n v="5.34"/>
    <s v="Low"/>
    <n v="12.69"/>
    <n v="0.13200000000000001"/>
    <n v="10"/>
    <n v="2603.4792000000002"/>
    <n v="53.4"/>
    <n v="2550.0792000000001"/>
    <n v="0.97948898535467455"/>
  </r>
  <r>
    <x v="493"/>
    <d v="2024-05-27T00:00:00"/>
    <d v="2024-06-17T00:00:00"/>
    <x v="28"/>
    <s v="May-2024"/>
    <s v="Q2-2024"/>
    <s v="Asia"/>
    <x v="4"/>
    <s v="Delhi"/>
    <s v="Small Business"/>
    <s v="Online"/>
    <s v="H. Kim"/>
    <x v="6"/>
    <s v="ACC-7240"/>
    <n v="465.02"/>
    <s v="High"/>
    <n v="651.55999999999995"/>
    <n v="4.2000000000000003E-2"/>
    <n v="19"/>
    <n v="27375.07992"/>
    <n v="8835.3799999999992"/>
    <n v="18539.699919999999"/>
    <n v="0.67724733495499501"/>
  </r>
  <r>
    <x v="494"/>
    <d v="2024-08-04T00:00:00"/>
    <d v="2024-08-17T00:00:00"/>
    <x v="19"/>
    <s v="Aug-2024"/>
    <s v="Q3-2024"/>
    <s v="Americas"/>
    <x v="10"/>
    <s v="Austin"/>
    <s v="Consumer"/>
    <s v="Retail"/>
    <s v="D. Smith"/>
    <x v="5"/>
    <s v="MON-8867"/>
    <n v="352.79"/>
    <s v="High"/>
    <n v="754.22"/>
    <n v="0.113"/>
    <n v="7"/>
    <n v="19254.791990000002"/>
    <n v="2469.5300000000002"/>
    <n v="16785.261990000003"/>
    <n v="0.87174465445887173"/>
  </r>
  <r>
    <x v="495"/>
    <d v="2023-06-20T00:00:00"/>
    <d v="2023-07-04T00:00:00"/>
    <x v="17"/>
    <s v="Jun-2023"/>
    <s v="Q2-2023"/>
    <s v="Americas"/>
    <x v="5"/>
    <s v="Brasília"/>
    <s v="Non-Profit"/>
    <s v="Direct"/>
    <s v="C. Otieno"/>
    <x v="2"/>
    <s v="NET-1228"/>
    <n v="1292.8599999999999"/>
    <s v="High"/>
    <n v="2981.01"/>
    <n v="0.14199999999999999"/>
    <n v="12"/>
    <n v="10084.108319999999"/>
    <n v="15514.32"/>
    <n v="-5430.2116800000003"/>
    <n v="-0.5384920022358507"/>
  </r>
  <r>
    <x v="496"/>
    <d v="2024-09-09T00:00:00"/>
    <d v="2024-09-13T00:00:00"/>
    <x v="3"/>
    <s v="Sept-2024"/>
    <s v="Q3-2024"/>
    <s v="Europe"/>
    <x v="8"/>
    <s v="London"/>
    <s v="Consumer"/>
    <s v="Marketplace"/>
    <s v="F. Müller"/>
    <x v="2"/>
    <s v="NET-1145"/>
    <n v="1133.08"/>
    <s v="High"/>
    <n v="976.17"/>
    <n v="4.2000000000000003E-2"/>
    <n v="27"/>
    <n v="30683.801159999999"/>
    <n v="30593.159999999996"/>
    <n v="90.641160000002856"/>
    <n v="2.9540394792469337E-3"/>
  </r>
  <r>
    <x v="497"/>
    <d v="2023-10-25T00:00:00"/>
    <d v="2023-10-28T00:00:00"/>
    <x v="4"/>
    <s v="Oct-2023"/>
    <s v="Q4-2023"/>
    <s v="Americas"/>
    <x v="5"/>
    <s v="Brasília"/>
    <s v="Corporate"/>
    <s v="Distributor"/>
    <s v="L. Okafor"/>
    <x v="6"/>
    <s v="ACC-2867"/>
    <n v="509.31"/>
    <s v="High"/>
    <n v="1145.9000000000001"/>
    <n v="5.7000000000000002E-2"/>
    <n v="8"/>
    <n v="14622.761519999998"/>
    <n v="4074.48"/>
    <n v="10548.281519999999"/>
    <n v="0.7213604287789821"/>
  </r>
  <r>
    <x v="498"/>
    <d v="2025-09-08T00:00:00"/>
    <d v="2025-10-05T00:00:00"/>
    <x v="29"/>
    <s v="Sept-2025"/>
    <s v="Q3-2025"/>
    <s v="Americas"/>
    <x v="5"/>
    <s v="Rio de Janeiro"/>
    <s v="Education"/>
    <s v="Online"/>
    <s v="C. Otieno"/>
    <x v="5"/>
    <s v="MON-9274"/>
    <n v="660.78"/>
    <s v="High"/>
    <n v="1630.39"/>
    <n v="0.218"/>
    <n v="13"/>
    <n v="8401.8940200000015"/>
    <n v="8590.14"/>
    <n v="-188.24597999999787"/>
    <n v="-2.2405183825443903E-2"/>
  </r>
  <r>
    <x v="499"/>
    <d v="2023-05-02T00:00:00"/>
    <d v="2023-05-16T00:00:00"/>
    <x v="17"/>
    <s v="May-2023"/>
    <s v="Q2-2023"/>
    <s v="Asia"/>
    <x v="4"/>
    <s v="Bengaluru"/>
    <s v="Non-Profit"/>
    <s v="Retail"/>
    <s v="L. Okafor"/>
    <x v="5"/>
    <s v="MON-4830"/>
    <n v="475.37"/>
    <s v="High"/>
    <n v="963.73"/>
    <n v="4.1000000000000002E-2"/>
    <n v="22"/>
    <n v="2493.1506600000002"/>
    <n v="10458.14"/>
    <n v="-7964.9893399999992"/>
    <n v="-3.194748503485946"/>
  </r>
  <r>
    <x v="500"/>
    <d v="2024-04-26T00:00:00"/>
    <d v="2024-04-24T00:00:00"/>
    <x v="6"/>
    <s v="Apr-2024"/>
    <s v="Q2-2024"/>
    <s v="Europe"/>
    <x v="8"/>
    <s v="London"/>
    <s v="Non-Profit"/>
    <s v="Distributor"/>
    <s v="N. Brown"/>
    <x v="3"/>
    <s v="PHN-9107"/>
    <n v="1232.77"/>
    <s v="High"/>
    <n v="891.73"/>
    <n v="0.16700000000000001"/>
    <n v="10"/>
    <n v="11877.497099999999"/>
    <n v="12327.7"/>
    <n v="-450.20290000000205"/>
    <n v="-3.7903852655960836E-2"/>
  </r>
  <r>
    <x v="501"/>
    <d v="2023-02-23T00:00:00"/>
    <d v="2023-03-18T00:00:00"/>
    <x v="21"/>
    <s v="Feb-2023"/>
    <s v="Q1-2023"/>
    <s v="Asia"/>
    <x v="9"/>
    <s v="Beijing"/>
    <s v="Education"/>
    <s v="Distributor"/>
    <s v="K. Singh"/>
    <x v="1"/>
    <s v="PRN-1060"/>
    <n v="770.11"/>
    <s v="High"/>
    <n v="1667.82"/>
    <n v="6.9000000000000006E-2"/>
    <n v="7"/>
    <n v="10393.181259999999"/>
    <n v="5390.77"/>
    <n v="5002.4112599999989"/>
    <n v="0.48131665703288229"/>
  </r>
  <r>
    <x v="502"/>
    <d v="2025-03-24T00:00:00"/>
    <d v="2025-03-25T00:00:00"/>
    <x v="1"/>
    <s v="Mar-2025"/>
    <s v="Q1-2025"/>
    <s v="Asia"/>
    <x v="9"/>
    <s v="Beijing"/>
    <s v="Non-Profit"/>
    <s v="Online"/>
    <s v="G. Dubois"/>
    <x v="2"/>
    <s v="NET-8329"/>
    <n v="1133.03"/>
    <s v="High"/>
    <n v="1921.51"/>
    <n v="0.10100000000000001"/>
    <n v="5"/>
    <n v="15022.784449999999"/>
    <n v="5665.15"/>
    <n v="9357.6344499999996"/>
    <n v="0.62289614026912299"/>
  </r>
  <r>
    <x v="503"/>
    <d v="2025-03-10T00:00:00"/>
    <d v="2025-03-27T00:00:00"/>
    <x v="14"/>
    <s v="Mar-2025"/>
    <s v="Q1-2025"/>
    <s v="Americas"/>
    <x v="5"/>
    <s v="Rio de Janeiro"/>
    <s v="Enterprise"/>
    <s v="Direct"/>
    <s v="F. Müller"/>
    <x v="2"/>
    <s v="NET-6269"/>
    <n v="996.73"/>
    <s v="High"/>
    <n v="1217.43"/>
    <n v="7.0000000000000007E-2"/>
    <n v="9"/>
    <n v="8953.9748999999993"/>
    <n v="8970.57"/>
    <n v="-16.595100000000457"/>
    <n v="-1.8533779897015859E-3"/>
  </r>
  <r>
    <x v="504"/>
    <d v="2024-04-05T00:00:00"/>
    <d v="2024-04-09T00:00:00"/>
    <x v="3"/>
    <s v="Apr-2024"/>
    <s v="Q2-2024"/>
    <s v="Africa"/>
    <x v="1"/>
    <s v="Lagos"/>
    <s v="Non-Profit"/>
    <s v="Direct"/>
    <s v="K. Singh"/>
    <x v="0"/>
    <s v="CMP-6529"/>
    <n v="395.07"/>
    <s v="High"/>
    <n v="970.27"/>
    <n v="0.123"/>
    <n v="38"/>
    <n v="4692.9673199999997"/>
    <n v="15012.66"/>
    <n v="-10319.69268"/>
    <n v="-2.1989696446469185"/>
  </r>
  <r>
    <x v="505"/>
    <d v="2025-04-27T00:00:00"/>
    <d v="2025-05-17T00:00:00"/>
    <x v="9"/>
    <s v="Apr-2025"/>
    <s v="Q2-2025"/>
    <s v="Americas"/>
    <x v="10"/>
    <s v="Austin"/>
    <s v="Corporate"/>
    <s v="Direct"/>
    <s v="N. Brown"/>
    <x v="3"/>
    <s v="PHN-8776"/>
    <n v="932.26"/>
    <s v="High"/>
    <n v="1624.67"/>
    <n v="0.23499999999999999"/>
    <n v="28"/>
    <n v="1435.9968000000001"/>
    <n v="26103.279999999999"/>
    <n v="-24667.283199999998"/>
    <n v="-17.177812095402995"/>
  </r>
  <r>
    <x v="506"/>
    <d v="2024-10-24T00:00:00"/>
    <d v="2024-10-28T00:00:00"/>
    <x v="3"/>
    <s v="Oct-2024"/>
    <s v="Q4-2024"/>
    <s v="Asia"/>
    <x v="9"/>
    <s v="Shanghai"/>
    <s v="Small Business"/>
    <s v="Distributor"/>
    <s v="I. Johnson"/>
    <x v="2"/>
    <s v="NET-3728"/>
    <n v="1331.77"/>
    <s v="High"/>
    <n v="2606.11"/>
    <n v="0.02"/>
    <n v="6"/>
    <n v="7506.8196000000007"/>
    <n v="7990.62"/>
    <n v="-483.80039999999917"/>
    <n v="-6.444811861470591E-2"/>
  </r>
  <r>
    <x v="507"/>
    <d v="2023-04-13T00:00:00"/>
    <d v="2023-04-20T00:00:00"/>
    <x v="20"/>
    <s v="Apr-2023"/>
    <s v="Q2-2023"/>
    <s v="Europe"/>
    <x v="7"/>
    <s v="Lyon"/>
    <s v="Small Business"/>
    <s v="Online"/>
    <s v="A. Patel"/>
    <x v="4"/>
    <s v="LAP-3565"/>
    <n v="227.02"/>
    <s v="High"/>
    <n v="434.72"/>
    <n v="9.8000000000000004E-2"/>
    <n v="10"/>
    <n v="25448.667200000004"/>
    <n v="2270.2000000000003"/>
    <n v="23178.467200000003"/>
    <n v="0.91079297072186161"/>
  </r>
  <r>
    <x v="508"/>
    <d v="2024-11-12T00:00:00"/>
    <d v="2024-11-21T00:00:00"/>
    <x v="25"/>
    <s v="Nov-2024"/>
    <s v="Q4-2024"/>
    <s v="Asia"/>
    <x v="4"/>
    <s v="Mumbai"/>
    <s v="Corporate"/>
    <s v="Direct"/>
    <s v="H. Kim"/>
    <x v="4"/>
    <s v="LAP-5078"/>
    <n v="903.41"/>
    <s v="High"/>
    <n v="1860.41"/>
    <n v="0.108"/>
    <n v="5"/>
    <n v="6953.9874000000009"/>
    <n v="4517.05"/>
    <n v="2436.9374000000007"/>
    <n v="0.35043741954436103"/>
  </r>
  <r>
    <x v="509"/>
    <d v="2023-05-10T00:00:00"/>
    <d v="2023-05-14T00:00:00"/>
    <x v="3"/>
    <s v="May-2023"/>
    <s v="Q2-2023"/>
    <s v="Asia"/>
    <x v="4"/>
    <s v="Delhi"/>
    <s v="Non-Profit"/>
    <s v="Distributor"/>
    <s v="C. Otieno"/>
    <x v="5"/>
    <s v="MON-2465"/>
    <n v="622.6"/>
    <s v="High"/>
    <n v="833.69"/>
    <n v="0.20899999999999999"/>
    <n v="14"/>
    <n v="7271.8528400000005"/>
    <n v="8716.4"/>
    <n v="-1444.5471599999992"/>
    <n v="-0.19864911897749557"/>
  </r>
  <r>
    <x v="510"/>
    <d v="2024-03-02T00:00:00"/>
    <d v="2024-03-23T00:00:00"/>
    <x v="28"/>
    <s v="Mar-2024"/>
    <s v="Q1-2024"/>
    <s v="Americas"/>
    <x v="10"/>
    <s v="Chicago"/>
    <s v="Small Business"/>
    <s v="Online"/>
    <s v="F. Müller"/>
    <x v="0"/>
    <s v="CMP-3223"/>
    <n v="225.01"/>
    <s v="High"/>
    <n v="333.48"/>
    <n v="0.11899999999999999"/>
    <n v="12"/>
    <n v="28098.68448"/>
    <n v="2700.12"/>
    <n v="25398.564480000001"/>
    <n v="0.90390582157246957"/>
  </r>
  <r>
    <x v="511"/>
    <d v="2024-10-10T00:00:00"/>
    <d v="2024-10-11T00:00:00"/>
    <x v="1"/>
    <s v="Oct-2024"/>
    <s v="Q4-2024"/>
    <s v="Europe"/>
    <x v="8"/>
    <s v="Manchester"/>
    <s v="Non-Profit"/>
    <s v="Distributor"/>
    <s v="L. Okafor"/>
    <x v="0"/>
    <s v="CMP-8127"/>
    <n v="1389.46"/>
    <s v="High"/>
    <n v="1784.7"/>
    <n v="0.14599999999999999"/>
    <n v="33"/>
    <n v="40152.022679999995"/>
    <n v="45852.18"/>
    <n v="-5700.1573200000057"/>
    <n v="-0.14196438783242904"/>
  </r>
  <r>
    <x v="512"/>
    <d v="2023-06-01T00:00:00"/>
    <d v="2023-06-08T00:00:00"/>
    <x v="20"/>
    <s v="Jun-2023"/>
    <s v="Q2-2023"/>
    <s v="Europe"/>
    <x v="6"/>
    <s v="Frankfurt"/>
    <s v="Consumer"/>
    <s v="Online"/>
    <s v="A. Patel"/>
    <x v="3"/>
    <s v="PHN-1924"/>
    <n v="804.17"/>
    <s v="High"/>
    <n v="1072.29"/>
    <n v="3.2000000000000001E-2"/>
    <n v="5"/>
    <n v="11222.701599999999"/>
    <n v="4020.85"/>
    <n v="7201.8515999999981"/>
    <n v="0.64172174015568584"/>
  </r>
  <r>
    <x v="513"/>
    <d v="2025-01-04T00:00:00"/>
    <d v="2025-01-05T00:00:00"/>
    <x v="1"/>
    <s v="Jan-2025"/>
    <s v="Q1-2025"/>
    <s v="Asia"/>
    <x v="4"/>
    <s v="Delhi"/>
    <s v="Education"/>
    <s v="Retail"/>
    <s v="I. Johnson"/>
    <x v="0"/>
    <s v="CMP-1156"/>
    <n v="1428.33"/>
    <s v="High"/>
    <n v="3028.05"/>
    <n v="0"/>
    <n v="11"/>
    <n v="4033.7"/>
    <n v="15711.63"/>
    <n v="-11677.93"/>
    <n v="-2.8950913553313335"/>
  </r>
  <r>
    <x v="514"/>
    <d v="2025-08-05T00:00:00"/>
    <d v="2025-08-28T00:00:00"/>
    <x v="21"/>
    <s v="Aug-2025"/>
    <s v="Q3-2025"/>
    <s v="Asia"/>
    <x v="4"/>
    <s v="Mumbai"/>
    <s v="Non-Profit"/>
    <s v="Distributor"/>
    <s v="N. Brown"/>
    <x v="4"/>
    <s v="LAP-3905"/>
    <n v="638.54"/>
    <s v="High"/>
    <n v="987.24"/>
    <n v="0"/>
    <n v="11"/>
    <n v="30771.51"/>
    <n v="7023.94"/>
    <n v="23747.57"/>
    <n v="0.77173885844406076"/>
  </r>
  <r>
    <x v="515"/>
    <d v="2023-09-30T00:00:00"/>
    <d v="2023-10-30T00:00:00"/>
    <x v="18"/>
    <s v="Sept-2023"/>
    <s v="Q3-2023"/>
    <s v="Asia"/>
    <x v="2"/>
    <s v="Tokyo"/>
    <s v="Enterprise"/>
    <s v="Online"/>
    <s v="D. Smith"/>
    <x v="1"/>
    <s v="PRN-1786"/>
    <n v="649.13"/>
    <s v="High"/>
    <n v="975.43"/>
    <n v="0.157"/>
    <n v="27"/>
    <n v="50294.07125999999"/>
    <n v="17526.509999999998"/>
    <n v="32767.561259999991"/>
    <n v="0.65151936280133227"/>
  </r>
  <r>
    <x v="516"/>
    <d v="2025-05-17T00:00:00"/>
    <d v="2025-05-30T00:00:00"/>
    <x v="19"/>
    <s v="May-2025"/>
    <s v="Q2-2025"/>
    <s v="Africa"/>
    <x v="1"/>
    <s v="Lagos"/>
    <s v="Consumer"/>
    <s v="Distributor"/>
    <s v="F. Müller"/>
    <x v="6"/>
    <s v="ACC-3349"/>
    <n v="66.400000000000006"/>
    <s v="Medium"/>
    <n v="141.43"/>
    <n v="0.107"/>
    <n v="8"/>
    <n v="5994.1017599999996"/>
    <n v="531.20000000000005"/>
    <n v="5462.9017599999997"/>
    <n v="0.91137954921873066"/>
  </r>
  <r>
    <x v="517"/>
    <d v="2024-05-01T00:00:00"/>
    <d v="2024-05-26T00:00:00"/>
    <x v="2"/>
    <s v="May-2024"/>
    <s v="Q2-2024"/>
    <s v="Europe"/>
    <x v="6"/>
    <s v="Berlin"/>
    <s v="Non-Profit"/>
    <s v="Retail"/>
    <s v="B. Chen"/>
    <x v="2"/>
    <s v="NET-4228"/>
    <n v="930.71"/>
    <s v="High"/>
    <n v="1625.42"/>
    <n v="0.13800000000000001"/>
    <n v="7"/>
    <n v="6873.6311000000005"/>
    <n v="6514.97"/>
    <n v="358.66110000000026"/>
    <n v="5.2179276830844216E-2"/>
  </r>
  <r>
    <x v="518"/>
    <d v="2023-05-01T00:00:00"/>
    <d v="2023-05-18T00:00:00"/>
    <x v="14"/>
    <s v="May-2023"/>
    <s v="Q2-2023"/>
    <s v="Africa"/>
    <x v="1"/>
    <s v="Port Harcourt"/>
    <s v="Corporate"/>
    <s v="Direct"/>
    <s v="F. Müller"/>
    <x v="0"/>
    <s v="CMP-5633"/>
    <n v="327.97"/>
    <s v="High"/>
    <n v="299.94"/>
    <n v="4.9000000000000002E-2"/>
    <n v="3"/>
    <n v="4884.4215899999999"/>
    <n v="983.91000000000008"/>
    <n v="3900.5115900000001"/>
    <n v="0.79856161433435968"/>
  </r>
  <r>
    <x v="519"/>
    <d v="2024-07-09T00:00:00"/>
    <d v="2024-08-08T00:00:00"/>
    <x v="26"/>
    <s v="Jul-2024"/>
    <s v="Q3-2024"/>
    <s v="Europe"/>
    <x v="7"/>
    <s v="Marseille"/>
    <s v="Corporate"/>
    <s v="Direct"/>
    <s v="J. Njeri"/>
    <x v="0"/>
    <s v="CMP-5825"/>
    <n v="1062.3800000000001"/>
    <s v="High"/>
    <n v="1503.96"/>
    <n v="0.18"/>
    <n v="6"/>
    <n v="5187.1068000000005"/>
    <n v="6374.2800000000007"/>
    <n v="-1187.1732000000002"/>
    <n v="-0.22887001285572142"/>
  </r>
  <r>
    <x v="520"/>
    <d v="2023-05-10T00:00:00"/>
    <d v="2023-05-27T00:00:00"/>
    <x v="14"/>
    <s v="May-2023"/>
    <s v="Q2-2023"/>
    <s v="Asia"/>
    <x v="4"/>
    <s v="Mumbai"/>
    <s v="Consumer"/>
    <s v="Retail"/>
    <s v="M. Rossi"/>
    <x v="4"/>
    <s v="LAP-6499"/>
    <n v="1286.1600000000001"/>
    <s v="High"/>
    <n v="3101.11"/>
    <n v="0.1"/>
    <n v="23"/>
    <n v="50740.254000000001"/>
    <n v="29581.68"/>
    <n v="21158.574000000001"/>
    <n v="0.41699779429562966"/>
  </r>
  <r>
    <x v="521"/>
    <d v="2024-07-09T00:00:00"/>
    <d v="2024-07-12T00:00:00"/>
    <x v="4"/>
    <s v="Jul-2024"/>
    <s v="Q3-2024"/>
    <s v="Asia"/>
    <x v="9"/>
    <s v="Shanghai"/>
    <s v="Small Business"/>
    <s v="Retail"/>
    <s v="D. Smith"/>
    <x v="6"/>
    <s v="ACC-3721"/>
    <n v="748.39"/>
    <s v="High"/>
    <n v="979.42"/>
    <n v="0"/>
    <n v="23"/>
    <n v="28777.83"/>
    <n v="17212.97"/>
    <n v="11564.86"/>
    <n v="0.401866992751017"/>
  </r>
  <r>
    <x v="522"/>
    <d v="2024-04-24T00:00:00"/>
    <d v="2024-05-10T00:00:00"/>
    <x v="13"/>
    <s v="Apr-2024"/>
    <s v="Q2-2024"/>
    <s v="Africa"/>
    <x v="0"/>
    <s v="Kisumu"/>
    <s v="Non-Profit"/>
    <s v="Online"/>
    <s v="N. Brown"/>
    <x v="5"/>
    <s v="MON-6190"/>
    <n v="513.30999999999995"/>
    <s v="High"/>
    <n v="1186.26"/>
    <n v="9.4E-2"/>
    <n v="15"/>
    <n v="15014.232"/>
    <n v="7699.65"/>
    <n v="7314.5820000000003"/>
    <n v="0.48717656687335059"/>
  </r>
  <r>
    <x v="523"/>
    <d v="2024-01-13T00:00:00"/>
    <d v="2024-01-15T00:00:00"/>
    <x v="6"/>
    <s v="Jan-2024"/>
    <s v="Q1-2024"/>
    <s v="Americas"/>
    <x v="10"/>
    <s v="San Francisco"/>
    <s v="Non-Profit"/>
    <s v="Direct"/>
    <s v="E. Garcia"/>
    <x v="0"/>
    <s v="CMP-2410"/>
    <n v="1061.3699999999999"/>
    <s v="High"/>
    <n v="1938.33"/>
    <n v="0.17"/>
    <n v="4"/>
    <n v="7912.9211999999989"/>
    <n v="4245.4799999999996"/>
    <n v="3667.4411999999993"/>
    <n v="0.46347500591816837"/>
  </r>
  <r>
    <x v="524"/>
    <d v="2024-04-16T00:00:00"/>
    <d v="2024-04-27T00:00:00"/>
    <x v="23"/>
    <s v="Apr-2024"/>
    <s v="Q2-2024"/>
    <s v="Africa"/>
    <x v="0"/>
    <s v="Nakuru"/>
    <s v="Enterprise"/>
    <s v="Online"/>
    <s v="D. Smith"/>
    <x v="1"/>
    <s v="PRN-2641"/>
    <n v="401.3"/>
    <s v="High"/>
    <n v="826.47"/>
    <n v="0.22500000000000001"/>
    <n v="13"/>
    <n v="2146.5795000000003"/>
    <n v="5216.9000000000005"/>
    <n v="-3070.3205000000003"/>
    <n v="-1.4303316043034977"/>
  </r>
  <r>
    <x v="525"/>
    <d v="2025-02-07T00:00:00"/>
    <d v="2025-02-16T00:00:00"/>
    <x v="25"/>
    <s v="Feb-2025"/>
    <s v="Q1-2025"/>
    <s v="Africa"/>
    <x v="1"/>
    <s v="Lagos"/>
    <s v="Small Business"/>
    <s v="Distributor"/>
    <s v="C. Otieno"/>
    <x v="1"/>
    <s v="PRN-1882"/>
    <n v="90.68"/>
    <s v="Medium"/>
    <n v="118.17"/>
    <n v="0.13500000000000001"/>
    <n v="21"/>
    <n v="36886.575600000004"/>
    <n v="1904.2800000000002"/>
    <n v="34982.295600000005"/>
    <n v="0.94837471440422894"/>
  </r>
  <r>
    <x v="526"/>
    <d v="2023-01-12T00:00:00"/>
    <d v="2023-01-26T00:00:00"/>
    <x v="17"/>
    <s v="Jan-2023"/>
    <s v="Q1-2023"/>
    <s v="Asia"/>
    <x v="9"/>
    <s v="Shenzhen"/>
    <s v="Non-Profit"/>
    <s v="Retail"/>
    <s v="M. Rossi"/>
    <x v="1"/>
    <s v="PRN-1641"/>
    <n v="1083.0899999999999"/>
    <s v="High"/>
    <n v="1425.87"/>
    <n v="0"/>
    <n v="8"/>
    <n v="7653.6"/>
    <n v="8664.7199999999993"/>
    <n v="-1011.119999999999"/>
    <n v="-0.13211037942928805"/>
  </r>
  <r>
    <x v="527"/>
    <d v="2024-06-05T00:00:00"/>
    <d v="2024-06-23T00:00:00"/>
    <x v="5"/>
    <s v="Jun-2024"/>
    <s v="Q2-2024"/>
    <s v="Africa"/>
    <x v="0"/>
    <s v="Nairobi"/>
    <s v="Consumer"/>
    <s v="Distributor"/>
    <s v="D. Smith"/>
    <x v="4"/>
    <s v="LAP-1739"/>
    <n v="1208.74"/>
    <s v="High"/>
    <n v="1594.78"/>
    <n v="5.8999999999999997E-2"/>
    <n v="39"/>
    <n v="53128.40832000001"/>
    <n v="47140.86"/>
    <n v="5987.548320000009"/>
    <n v="0.11269956148387032"/>
  </r>
  <r>
    <x v="528"/>
    <d v="2023-08-24T00:00:00"/>
    <d v="2023-09-20T00:00:00"/>
    <x v="29"/>
    <s v="Aug-2023"/>
    <s v="Q3-2023"/>
    <s v="Africa"/>
    <x v="11"/>
    <s v="Durban"/>
    <s v="Small Business"/>
    <s v="Marketplace"/>
    <s v="M. Rossi"/>
    <x v="1"/>
    <s v="PRN-4732"/>
    <n v="1399.64"/>
    <s v="High"/>
    <n v="3342.11"/>
    <n v="0"/>
    <n v="10"/>
    <n v="29496.199999999997"/>
    <n v="13996.400000000001"/>
    <n v="15499.799999999996"/>
    <n v="0.52548463869922213"/>
  </r>
  <r>
    <x v="529"/>
    <d v="2024-01-25T00:00:00"/>
    <d v="2024-02-08T00:00:00"/>
    <x v="17"/>
    <s v="Jan-2024"/>
    <s v="Q1-2024"/>
    <s v="Asia"/>
    <x v="2"/>
    <s v="Osaka"/>
    <s v="Consumer"/>
    <s v="Marketplace"/>
    <s v="I. Johnson"/>
    <x v="2"/>
    <s v="NET-9569"/>
    <n v="937.16"/>
    <s v="High"/>
    <n v="1069.77"/>
    <n v="3.7999999999999999E-2"/>
    <n v="9"/>
    <n v="22342.575059999999"/>
    <n v="8434.44"/>
    <n v="13908.135059999999"/>
    <n v="0.62249472241450754"/>
  </r>
  <r>
    <x v="530"/>
    <d v="2025-03-11T00:00:00"/>
    <d v="2025-03-26T00:00:00"/>
    <x v="15"/>
    <s v="Mar-2025"/>
    <s v="Q1-2025"/>
    <s v="Europe"/>
    <x v="6"/>
    <s v="Berlin"/>
    <s v="Small Business"/>
    <s v="Online"/>
    <s v="I. Johnson"/>
    <x v="3"/>
    <s v="PHN-3007"/>
    <n v="116.97"/>
    <s v="Medium"/>
    <n v="140.82"/>
    <n v="0.122"/>
    <n v="5"/>
    <n v="8687.4149000000016"/>
    <n v="584.85"/>
    <n v="8102.5649000000012"/>
    <n v="0.93267847723032082"/>
  </r>
  <r>
    <x v="531"/>
    <d v="2025-04-22T00:00:00"/>
    <d v="2025-05-12T00:00:00"/>
    <x v="9"/>
    <s v="Apr-2025"/>
    <s v="Q2-2025"/>
    <s v="Europe"/>
    <x v="7"/>
    <s v="Lyon"/>
    <s v="Enterprise"/>
    <s v="Marketplace"/>
    <s v="K. Singh"/>
    <x v="5"/>
    <s v="MON-9216"/>
    <n v="59.51"/>
    <s v="Medium"/>
    <n v="67.040000000000006"/>
    <n v="0.114"/>
    <n v="9"/>
    <n v="11813.082300000002"/>
    <n v="535.59"/>
    <n v="11277.492300000002"/>
    <n v="0.95466128260191674"/>
  </r>
  <r>
    <x v="532"/>
    <d v="2023-08-17T00:00:00"/>
    <d v="2023-09-03T00:00:00"/>
    <x v="14"/>
    <s v="Aug-2023"/>
    <s v="Q3-2023"/>
    <s v="Africa"/>
    <x v="11"/>
    <s v="Durban"/>
    <s v="Enterprise"/>
    <s v="Retail"/>
    <s v="A. Patel"/>
    <x v="3"/>
    <s v="PHN-8072"/>
    <n v="676.37"/>
    <s v="High"/>
    <n v="1276.67"/>
    <n v="6.6000000000000003E-2"/>
    <n v="10"/>
    <n v="15494.3128"/>
    <n v="6763.7"/>
    <n v="8730.612799999999"/>
    <n v="0.56347208893317291"/>
  </r>
  <r>
    <x v="533"/>
    <d v="2025-06-24T00:00:00"/>
    <d v="2025-07-14T00:00:00"/>
    <x v="9"/>
    <s v="Jun-2025"/>
    <s v="Q2-2025"/>
    <s v="Africa"/>
    <x v="11"/>
    <s v="Johannesburg"/>
    <s v="Enterprise"/>
    <s v="Marketplace"/>
    <s v="J. Njeri"/>
    <x v="4"/>
    <s v="LAP-1308"/>
    <n v="1151.06"/>
    <s v="High"/>
    <n v="2821.36"/>
    <n v="0.248"/>
    <n v="20"/>
    <n v="9059.1936000000005"/>
    <n v="23021.199999999997"/>
    <n v="-13962.006399999997"/>
    <n v="-1.5411974858336173"/>
  </r>
  <r>
    <x v="534"/>
    <d v="2025-01-10T00:00:00"/>
    <d v="2025-02-06T00:00:00"/>
    <x v="29"/>
    <s v="Jan-2025"/>
    <s v="Q1-2025"/>
    <s v="Americas"/>
    <x v="5"/>
    <s v="Brasília"/>
    <s v="Non-Profit"/>
    <s v="Retail"/>
    <s v="B. Chen"/>
    <x v="4"/>
    <s v="LAP-7353"/>
    <n v="725.62"/>
    <s v="High"/>
    <n v="1559.19"/>
    <n v="0.19"/>
    <n v="12"/>
    <n v="5128.6608000000006"/>
    <n v="8707.44"/>
    <n v="-3578.7791999999999"/>
    <n v="-0.69779994028850567"/>
  </r>
  <r>
    <x v="535"/>
    <d v="2023-07-01T00:00:00"/>
    <d v="2023-07-11T00:00:00"/>
    <x v="24"/>
    <s v="Jul-2023"/>
    <s v="Q3-2023"/>
    <s v="Europe"/>
    <x v="7"/>
    <s v="Paris"/>
    <s v="Corporate"/>
    <s v="Direct"/>
    <s v="F. Müller"/>
    <x v="2"/>
    <s v="NET-6533"/>
    <n v="479.5"/>
    <s v="High"/>
    <n v="656.66"/>
    <n v="0.14899999999999999"/>
    <n v="14"/>
    <n v="21944.3966"/>
    <n v="6713"/>
    <n v="15231.3966"/>
    <n v="0.69409047228029042"/>
  </r>
  <r>
    <x v="536"/>
    <d v="2024-08-16T00:00:00"/>
    <d v="2024-08-26T00:00:00"/>
    <x v="24"/>
    <s v="Aug-2024"/>
    <s v="Q3-2024"/>
    <s v="Americas"/>
    <x v="10"/>
    <s v="Chicago"/>
    <s v="Corporate"/>
    <s v="Distributor"/>
    <s v="L. Okafor"/>
    <x v="4"/>
    <s v="LAP-5763"/>
    <n v="1291.7"/>
    <s v="High"/>
    <n v="2657.84"/>
    <n v="8.6999999999999994E-2"/>
    <n v="21"/>
    <n v="31548.788040000003"/>
    <n v="27125.7"/>
    <n v="4423.0880400000024"/>
    <n v="0.14019835038962727"/>
  </r>
  <r>
    <x v="537"/>
    <d v="2023-07-07T00:00:00"/>
    <d v="2023-07-13T00:00:00"/>
    <x v="30"/>
    <s v="Jul-2023"/>
    <s v="Q3-2023"/>
    <s v="Africa"/>
    <x v="11"/>
    <s v="Cape Town"/>
    <s v="Small Business"/>
    <s v="Marketplace"/>
    <s v="B. Chen"/>
    <x v="6"/>
    <s v="ACC-9445"/>
    <n v="612.59"/>
    <s v="High"/>
    <n v="1424.74"/>
    <n v="4.3999999999999997E-2"/>
    <n v="15"/>
    <n v="10428.334800000001"/>
    <n v="9188.85"/>
    <n v="1239.4848000000002"/>
    <n v="0.11885740377265219"/>
  </r>
  <r>
    <x v="538"/>
    <d v="2023-12-28T00:00:00"/>
    <d v="2024-01-01T00:00:00"/>
    <x v="3"/>
    <s v="Dec-2023"/>
    <s v="Q4-2023"/>
    <s v="Africa"/>
    <x v="11"/>
    <s v="Cape Town"/>
    <s v="Education"/>
    <s v="Distributor"/>
    <s v="A. Patel"/>
    <x v="1"/>
    <s v="PRN-1654"/>
    <n v="1141.8"/>
    <s v="High"/>
    <n v="2318.7399999999998"/>
    <n v="0.107"/>
    <n v="32"/>
    <n v="35256.783040000002"/>
    <n v="36537.599999999999"/>
    <n v="-1280.8169599999965"/>
    <n v="-3.6328242385213268E-2"/>
  </r>
  <r>
    <x v="539"/>
    <d v="2023-01-26T00:00:00"/>
    <d v="2023-02-15T00:00:00"/>
    <x v="9"/>
    <s v="Jan-2023"/>
    <s v="Q1-2023"/>
    <s v="Europe"/>
    <x v="6"/>
    <s v="Berlin"/>
    <s v="Small Business"/>
    <s v="Online"/>
    <s v="O. Wang"/>
    <x v="2"/>
    <s v="NET-8787"/>
    <n v="492.62"/>
    <s v="High"/>
    <n v="366.7"/>
    <n v="8.8999999999999996E-2"/>
    <n v="10"/>
    <n v="14063.653600000001"/>
    <n v="4926.2"/>
    <n v="9137.4536000000007"/>
    <n v="0.6497211791393952"/>
  </r>
  <r>
    <x v="540"/>
    <d v="2023-07-08T00:00:00"/>
    <d v="2023-07-09T00:00:00"/>
    <x v="1"/>
    <s v="Jul-2023"/>
    <s v="Q3-2023"/>
    <s v="Africa"/>
    <x v="0"/>
    <s v="Nairobi"/>
    <s v="Consumer"/>
    <s v="Online"/>
    <s v="D. Smith"/>
    <x v="4"/>
    <s v="LAP-1989"/>
    <n v="1258.72"/>
    <s v="High"/>
    <n v="2797.41"/>
    <n v="0"/>
    <n v="7"/>
    <n v="14806.33"/>
    <n v="8811.0400000000009"/>
    <n v="5995.2899999999991"/>
    <n v="0.40491397935882822"/>
  </r>
  <r>
    <x v="541"/>
    <d v="2024-06-07T00:00:00"/>
    <d v="2024-06-09T00:00:00"/>
    <x v="6"/>
    <s v="Jun-2024"/>
    <s v="Q2-2024"/>
    <s v="Asia"/>
    <x v="9"/>
    <s v="Shanghai"/>
    <s v="Corporate"/>
    <s v="Retail"/>
    <s v="O. Wang"/>
    <x v="5"/>
    <s v="MON-8688"/>
    <n v="1370.28"/>
    <s v="High"/>
    <n v="2209.66"/>
    <n v="0.13300000000000001"/>
    <n v="16"/>
    <n v="25485.499680000001"/>
    <n v="21924.48"/>
    <n v="3561.0196800000012"/>
    <n v="0.13972728511164123"/>
  </r>
  <r>
    <x v="542"/>
    <d v="2023-02-11T00:00:00"/>
    <d v="2023-02-12T00:00:00"/>
    <x v="1"/>
    <s v="Feb-2023"/>
    <s v="Q1-2023"/>
    <s v="Africa"/>
    <x v="1"/>
    <s v="Port Harcourt"/>
    <s v="Non-Profit"/>
    <s v="Direct"/>
    <s v="D. Smith"/>
    <x v="6"/>
    <s v="ACC-8242"/>
    <n v="944.61"/>
    <s v="High"/>
    <n v="839.04"/>
    <n v="5.8999999999999997E-2"/>
    <n v="6"/>
    <n v="16141.518779999999"/>
    <n v="5667.66"/>
    <n v="10473.858779999999"/>
    <n v="0.64887690698458544"/>
  </r>
  <r>
    <x v="543"/>
    <d v="2023-07-01T00:00:00"/>
    <d v="2023-07-08T00:00:00"/>
    <x v="20"/>
    <s v="Jul-2023"/>
    <s v="Q3-2023"/>
    <s v="Europe"/>
    <x v="6"/>
    <s v="Frankfurt"/>
    <s v="Small Business"/>
    <s v="Distributor"/>
    <s v="N. Brown"/>
    <x v="4"/>
    <s v="LAP-4666"/>
    <n v="460.21"/>
    <s v="High"/>
    <n v="1139.1500000000001"/>
    <n v="0.115"/>
    <n v="14"/>
    <n v="3592.1088"/>
    <n v="6442.94"/>
    <n v="-2850.8311999999996"/>
    <n v="-0.79363720831618456"/>
  </r>
  <r>
    <x v="544"/>
    <d v="2025-08-20T00:00:00"/>
    <d v="2025-08-26T00:00:00"/>
    <x v="30"/>
    <s v="Aug-2025"/>
    <s v="Q3-2025"/>
    <s v="Americas"/>
    <x v="10"/>
    <s v="New York"/>
    <s v="Corporate"/>
    <s v="Retail"/>
    <s v="M. Rossi"/>
    <x v="2"/>
    <s v="NET-5196"/>
    <n v="1304.95"/>
    <s v="High"/>
    <n v="1712.03"/>
    <n v="0.21199999999999999"/>
    <n v="8"/>
    <n v="6286.3488000000007"/>
    <n v="10439.6"/>
    <n v="-4153.2511999999997"/>
    <n v="-0.66067781666839731"/>
  </r>
  <r>
    <x v="545"/>
    <d v="2024-03-04T00:00:00"/>
    <d v="2024-03-16T00:00:00"/>
    <x v="8"/>
    <s v="Mar-2024"/>
    <s v="Q1-2024"/>
    <s v="Africa"/>
    <x v="11"/>
    <s v="Johannesburg"/>
    <s v="Enterprise"/>
    <s v="Distributor"/>
    <s v="M. Rossi"/>
    <x v="5"/>
    <s v="MON-8422"/>
    <n v="441.08"/>
    <s v="High"/>
    <n v="1054.29"/>
    <n v="0.23699999999999999"/>
    <n v="6"/>
    <n v="216.49362000000002"/>
    <n v="2646.48"/>
    <n v="-2429.9863799999998"/>
    <n v="-11.224286332317782"/>
  </r>
  <r>
    <x v="546"/>
    <d v="2023-09-08T00:00:00"/>
    <d v="2023-10-02T00:00:00"/>
    <x v="10"/>
    <s v="Sept-2023"/>
    <s v="Q3-2023"/>
    <s v="Americas"/>
    <x v="3"/>
    <s v="Toronto"/>
    <s v="Education"/>
    <s v="Direct"/>
    <s v="A. Patel"/>
    <x v="6"/>
    <s v="ACC-3415"/>
    <n v="1299.03"/>
    <s v="High"/>
    <n v="2451.2199999999998"/>
    <n v="0.20799999999999999"/>
    <n v="8"/>
    <n v="4778.8646400000007"/>
    <n v="10392.24"/>
    <n v="-5613.3753599999991"/>
    <n v="-1.1746253101657214"/>
  </r>
  <r>
    <x v="547"/>
    <d v="2023-02-28T00:00:00"/>
    <d v="2023-03-06T00:00:00"/>
    <x v="30"/>
    <s v="Feb-2023"/>
    <s v="Q1-2023"/>
    <s v="Europe"/>
    <x v="6"/>
    <s v="Frankfurt"/>
    <s v="Small Business"/>
    <s v="Marketplace"/>
    <s v="D. Smith"/>
    <x v="1"/>
    <s v="PRN-9624"/>
    <n v="880.02"/>
    <s v="High"/>
    <n v="1251.21"/>
    <n v="0.123"/>
    <n v="29"/>
    <n v="22927.340840000001"/>
    <n v="25520.579999999998"/>
    <n v="-2593.2391599999974"/>
    <n v="-0.1131068438375428"/>
  </r>
  <r>
    <x v="548"/>
    <d v="2024-07-13T00:00:00"/>
    <d v="2024-08-03T00:00:00"/>
    <x v="28"/>
    <s v="Jul-2024"/>
    <s v="Q3-2024"/>
    <s v="Americas"/>
    <x v="5"/>
    <s v="Rio de Janeiro"/>
    <s v="Corporate"/>
    <s v="Marketplace"/>
    <s v="M. Rossi"/>
    <x v="5"/>
    <s v="MON-6287"/>
    <n v="702.98"/>
    <s v="High"/>
    <n v="1104.8"/>
    <n v="0.17499999999999999"/>
    <n v="12"/>
    <n v="1119.492"/>
    <n v="8435.76"/>
    <n v="-7316.268"/>
    <n v="-6.5353463892551265"/>
  </r>
  <r>
    <x v="549"/>
    <d v="2024-12-07T00:00:00"/>
    <d v="2024-12-26T00:00:00"/>
    <x v="7"/>
    <s v="Dec-2024"/>
    <s v="Q4-2024"/>
    <s v="Europe"/>
    <x v="8"/>
    <s v="London"/>
    <s v="Enterprise"/>
    <s v="Online"/>
    <s v="D. Smith"/>
    <x v="2"/>
    <s v="NET-4491"/>
    <n v="1035.24"/>
    <s v="High"/>
    <n v="2383.41"/>
    <n v="0.17"/>
    <n v="15"/>
    <n v="10814.319"/>
    <n v="15528.6"/>
    <n v="-4714.2810000000009"/>
    <n v="-0.43592953009801183"/>
  </r>
  <r>
    <x v="550"/>
    <d v="2025-08-06T00:00:00"/>
    <d v="2025-08-23T00:00:00"/>
    <x v="14"/>
    <s v="Aug-2025"/>
    <s v="Q3-2025"/>
    <s v="Americas"/>
    <x v="5"/>
    <s v="Brasília"/>
    <s v="Consumer"/>
    <s v="Distributor"/>
    <s v="A. Patel"/>
    <x v="5"/>
    <s v="MON-4317"/>
    <n v="86.64"/>
    <s v="High"/>
    <n v="213.06"/>
    <n v="0.21199999999999999"/>
    <n v="11"/>
    <n v="3015.5971999999997"/>
    <n v="953.04"/>
    <n v="2062.5571999999997"/>
    <n v="0.68396309692819712"/>
  </r>
  <r>
    <x v="551"/>
    <d v="2023-03-03T00:00:00"/>
    <d v="2023-03-20T00:00:00"/>
    <x v="14"/>
    <s v="Mar-2023"/>
    <s v="Q1-2023"/>
    <s v="Asia"/>
    <x v="2"/>
    <s v="Nagoya"/>
    <s v="Small Business"/>
    <s v="Online"/>
    <s v="D. Smith"/>
    <x v="2"/>
    <s v="NET-7349"/>
    <n v="1171.17"/>
    <s v="High"/>
    <n v="2030.64"/>
    <n v="0.157"/>
    <n v="11"/>
    <n v="10310.463239999999"/>
    <n v="12882.87"/>
    <n v="-2572.4067600000017"/>
    <n v="-0.24949478021707217"/>
  </r>
  <r>
    <x v="552"/>
    <d v="2025-02-16T00:00:00"/>
    <d v="2025-03-17T00:00:00"/>
    <x v="1"/>
    <s v="Feb-2025"/>
    <s v="Q1-2025"/>
    <s v="Europe"/>
    <x v="6"/>
    <s v="Munich"/>
    <s v="Consumer"/>
    <s v="Retail"/>
    <s v="L. Okafor"/>
    <x v="6"/>
    <s v="ACC-5150"/>
    <n v="730.42"/>
    <s v="High"/>
    <n v="956.7"/>
    <n v="4.2000000000000003E-2"/>
    <n v="22"/>
    <n v="6907.0267199999998"/>
    <n v="16069.24"/>
    <n v="-9162.2132799999999"/>
    <n v="-1.3265061293986133"/>
  </r>
  <r>
    <x v="553"/>
    <d v="2025-02-15T00:00:00"/>
    <d v="2025-03-01T00:00:00"/>
    <x v="17"/>
    <s v="Feb-2025"/>
    <s v="Q1-2025"/>
    <s v="Africa"/>
    <x v="0"/>
    <s v="Mombasa"/>
    <s v="Education"/>
    <s v="Direct"/>
    <s v="L. Okafor"/>
    <x v="6"/>
    <s v="ACC-5144"/>
    <n v="1162.8599999999999"/>
    <s v="High"/>
    <n v="1447.68"/>
    <n v="8.6999999999999994E-2"/>
    <n v="12"/>
    <n v="5326.0402800000002"/>
    <n v="13954.32"/>
    <n v="-8628.2797199999986"/>
    <n v="-1.6200177367040112"/>
  </r>
  <r>
    <x v="554"/>
    <d v="2024-08-31T00:00:00"/>
    <d v="2024-09-26T00:00:00"/>
    <x v="0"/>
    <s v="Aug-2024"/>
    <s v="Q3-2024"/>
    <s v="Asia"/>
    <x v="2"/>
    <s v="Tokyo"/>
    <s v="Education"/>
    <s v="Online"/>
    <s v="I. Johnson"/>
    <x v="3"/>
    <s v="PHN-6111"/>
    <n v="1189.03"/>
    <s v="High"/>
    <n v="2949.62"/>
    <n v="0.125"/>
    <n v="13"/>
    <n v="23507.575000000001"/>
    <n v="15457.39"/>
    <n v="8050.1850000000013"/>
    <n v="0.34245067813247437"/>
  </r>
  <r>
    <x v="555"/>
    <d v="2023-05-07T00:00:00"/>
    <d v="2023-05-20T00:00:00"/>
    <x v="19"/>
    <s v="May-2023"/>
    <s v="Q2-2023"/>
    <s v="Asia"/>
    <x v="4"/>
    <s v="Mumbai"/>
    <s v="Enterprise"/>
    <s v="Retail"/>
    <s v="D. Smith"/>
    <x v="6"/>
    <s v="ACC-9283"/>
    <n v="1443.28"/>
    <s v="High"/>
    <n v="2580.5700000000002"/>
    <n v="0"/>
    <n v="18"/>
    <n v="1551.6000000000001"/>
    <n v="25979.040000000001"/>
    <n v="-24427.440000000002"/>
    <n v="-15.74338747099768"/>
  </r>
  <r>
    <x v="556"/>
    <d v="2025-05-14T00:00:00"/>
    <d v="2025-05-12T00:00:00"/>
    <x v="6"/>
    <s v="May-2025"/>
    <s v="Q2-2025"/>
    <s v="Americas"/>
    <x v="3"/>
    <s v="Vancouver"/>
    <s v="Non-Profit"/>
    <s v="Distributor"/>
    <s v="F. Müller"/>
    <x v="1"/>
    <s v="PRN-2407"/>
    <n v="883.5"/>
    <s v="High"/>
    <n v="1978.91"/>
    <n v="5.3999999999999999E-2"/>
    <n v="27"/>
    <n v="58944.550499999998"/>
    <n v="23854.5"/>
    <n v="35090.050499999998"/>
    <n v="0.59530610043416987"/>
  </r>
  <r>
    <x v="557"/>
    <d v="2024-03-11T00:00:00"/>
    <d v="2024-03-29T00:00:00"/>
    <x v="5"/>
    <s v="Mar-2024"/>
    <s v="Q1-2024"/>
    <s v="Americas"/>
    <x v="10"/>
    <s v="New York"/>
    <s v="Corporate"/>
    <s v="Retail"/>
    <s v="M. Rossi"/>
    <x v="5"/>
    <s v="MON-7099"/>
    <n v="710.98"/>
    <s v="High"/>
    <n v="1481.45"/>
    <n v="0.21099999999999999"/>
    <n v="9"/>
    <n v="7902.0638099999996"/>
    <n v="6398.82"/>
    <n v="1503.2438099999999"/>
    <n v="0.19023432942893434"/>
  </r>
  <r>
    <x v="558"/>
    <d v="2024-05-18T00:00:00"/>
    <d v="2024-05-22T00:00:00"/>
    <x v="3"/>
    <s v="May-2024"/>
    <s v="Q2-2024"/>
    <s v="Africa"/>
    <x v="0"/>
    <s v="Nairobi"/>
    <s v="Corporate"/>
    <s v="Direct"/>
    <s v="H. Kim"/>
    <x v="6"/>
    <s v="ACC-7354"/>
    <n v="857.42"/>
    <s v="High"/>
    <n v="1658.92"/>
    <n v="0.122"/>
    <n v="9"/>
    <n v="8897.572979999999"/>
    <n v="7716.78"/>
    <n v="1180.7929799999993"/>
    <n v="0.13270955828675871"/>
  </r>
  <r>
    <x v="559"/>
    <d v="2024-01-08T00:00:00"/>
    <d v="2024-01-12T00:00:00"/>
    <x v="3"/>
    <s v="Jan-2024"/>
    <s v="Q1-2024"/>
    <s v="Asia"/>
    <x v="4"/>
    <s v="Bengaluru"/>
    <s v="Corporate"/>
    <s v="Direct"/>
    <s v="E. Garcia"/>
    <x v="1"/>
    <s v="PRN-6585"/>
    <n v="802.32"/>
    <s v="High"/>
    <n v="602.34"/>
    <n v="0.12"/>
    <n v="25"/>
    <n v="2719.64"/>
    <n v="20058"/>
    <n v="-17338.36"/>
    <n v="-6.3752408406995045"/>
  </r>
  <r>
    <x v="560"/>
    <d v="2024-10-25T00:00:00"/>
    <d v="2024-11-05T00:00:00"/>
    <x v="23"/>
    <s v="Oct-2024"/>
    <s v="Q4-2024"/>
    <s v="Americas"/>
    <x v="10"/>
    <s v="New York"/>
    <s v="Corporate"/>
    <s v="Distributor"/>
    <s v="N. Brown"/>
    <x v="0"/>
    <s v="CMP-9498"/>
    <n v="446.66"/>
    <s v="High"/>
    <n v="527.64"/>
    <n v="0.14499999999999999"/>
    <n v="15"/>
    <n v="22209.693749999999"/>
    <n v="6699.9000000000005"/>
    <n v="15509.793749999997"/>
    <n v="0.6983344266059498"/>
  </r>
  <r>
    <x v="561"/>
    <d v="2024-11-30T00:00:00"/>
    <d v="2024-12-19T00:00:00"/>
    <x v="7"/>
    <s v="Nov-2024"/>
    <s v="Q4-2024"/>
    <s v="Africa"/>
    <x v="0"/>
    <s v="Kisumu"/>
    <s v="Corporate"/>
    <s v="Online"/>
    <s v="L. Okafor"/>
    <x v="3"/>
    <s v="PHN-1919"/>
    <n v="1195.98"/>
    <s v="High"/>
    <n v="1841.9"/>
    <n v="5.5E-2"/>
    <n v="19"/>
    <n v="54978.38955"/>
    <n v="22723.62"/>
    <n v="32254.769550000001"/>
    <n v="0.58668087250293055"/>
  </r>
  <r>
    <x v="562"/>
    <d v="2023-04-13T00:00:00"/>
    <d v="2023-05-02T00:00:00"/>
    <x v="7"/>
    <s v="Apr-2023"/>
    <s v="Q2-2023"/>
    <s v="Americas"/>
    <x v="3"/>
    <s v="Montreal"/>
    <s v="Consumer"/>
    <s v="Distributor"/>
    <s v="E. Garcia"/>
    <x v="5"/>
    <s v="MON-6053"/>
    <n v="671.05"/>
    <s v="High"/>
    <n v="1645.48"/>
    <n v="0.13700000000000001"/>
    <n v="6"/>
    <n v="11393.722979999999"/>
    <n v="4026.2999999999997"/>
    <n v="7367.4229799999994"/>
    <n v="0.64662121353419111"/>
  </r>
  <r>
    <x v="563"/>
    <d v="2025-02-04T00:00:00"/>
    <d v="2025-02-08T00:00:00"/>
    <x v="3"/>
    <s v="Feb-2025"/>
    <s v="Q1-2025"/>
    <s v="Europe"/>
    <x v="8"/>
    <s v="Manchester"/>
    <s v="Enterprise"/>
    <s v="Marketplace"/>
    <s v="L. Okafor"/>
    <x v="2"/>
    <s v="NET-2502"/>
    <n v="586.21"/>
    <s v="High"/>
    <n v="727.22"/>
    <n v="6.8000000000000005E-2"/>
    <n v="15"/>
    <n v="8408.8302000000003"/>
    <n v="8793.1500000000015"/>
    <n v="-384.31980000000112"/>
    <n v="-4.5704312117041096E-2"/>
  </r>
  <r>
    <x v="564"/>
    <d v="2024-01-24T00:00:00"/>
    <d v="2024-02-04T00:00:00"/>
    <x v="23"/>
    <s v="Jan-2024"/>
    <s v="Q1-2024"/>
    <s v="Europe"/>
    <x v="8"/>
    <s v="Manchester"/>
    <s v="Consumer"/>
    <s v="Retail"/>
    <s v="B. Chen"/>
    <x v="4"/>
    <s v="LAP-5689"/>
    <n v="525.34"/>
    <s v="High"/>
    <n v="1233.79"/>
    <n v="0.14299999999999999"/>
    <n v="4"/>
    <n v="3248.9555599999999"/>
    <n v="2101.36"/>
    <n v="1147.5955599999998"/>
    <n v="0.35321983905498533"/>
  </r>
  <r>
    <x v="565"/>
    <d v="2024-02-08T00:00:00"/>
    <d v="2024-02-09T00:00:00"/>
    <x v="1"/>
    <s v="Feb-2024"/>
    <s v="Q1-2024"/>
    <s v="Africa"/>
    <x v="0"/>
    <s v="Mombasa"/>
    <s v="Corporate"/>
    <s v="Direct"/>
    <s v="F. Müller"/>
    <x v="0"/>
    <s v="CMP-5911"/>
    <n v="1233.52"/>
    <s v="High"/>
    <n v="1543.76"/>
    <n v="0.126"/>
    <n v="13"/>
    <n v="26490.27576"/>
    <n v="16035.76"/>
    <n v="10454.51576"/>
    <n v="0.39465484824382968"/>
  </r>
  <r>
    <x v="566"/>
    <d v="2025-06-26T00:00:00"/>
    <d v="2025-07-11T00:00:00"/>
    <x v="15"/>
    <s v="Jun-2025"/>
    <s v="Q2-2025"/>
    <s v="Africa"/>
    <x v="1"/>
    <s v="Port Harcourt"/>
    <s v="Small Business"/>
    <s v="Online"/>
    <s v="A. Patel"/>
    <x v="4"/>
    <s v="LAP-7523"/>
    <n v="1170.1500000000001"/>
    <s v="High"/>
    <n v="2115.19"/>
    <n v="9.1999999999999998E-2"/>
    <n v="23"/>
    <n v="29597.640160000003"/>
    <n v="26913.45"/>
    <n v="2684.1901600000019"/>
    <n v="9.0689330145569333E-2"/>
  </r>
  <r>
    <x v="567"/>
    <d v="2024-11-04T00:00:00"/>
    <d v="2024-11-07T00:00:00"/>
    <x v="4"/>
    <s v="Nov-2024"/>
    <s v="Q4-2024"/>
    <s v="Europe"/>
    <x v="7"/>
    <s v="Lyon"/>
    <s v="Corporate"/>
    <s v="Online"/>
    <s v="O. Wang"/>
    <x v="5"/>
    <s v="MON-1118"/>
    <n v="740.68"/>
    <s v="High"/>
    <n v="1837.19"/>
    <n v="0.19700000000000001"/>
    <n v="17"/>
    <n v="9548.8744999999999"/>
    <n v="12591.56"/>
    <n v="-3042.6854999999996"/>
    <n v="-0.31864336472324561"/>
  </r>
  <r>
    <x v="568"/>
    <d v="2024-02-20T00:00:00"/>
    <d v="2024-02-20T00:00:00"/>
    <x v="18"/>
    <s v="Feb-2024"/>
    <s v="Q1-2024"/>
    <s v="Americas"/>
    <x v="10"/>
    <s v="New York"/>
    <s v="Enterprise"/>
    <s v="Online"/>
    <s v="C. Otieno"/>
    <x v="2"/>
    <s v="NET-9177"/>
    <n v="1407.05"/>
    <s v="High"/>
    <n v="2858.93"/>
    <n v="0"/>
    <n v="12"/>
    <n v="21446.400000000001"/>
    <n v="16884.599999999999"/>
    <n v="4561.8000000000029"/>
    <n v="0.2127070277529097"/>
  </r>
  <r>
    <x v="569"/>
    <d v="2025-04-13T00:00:00"/>
    <d v="2025-04-14T00:00:00"/>
    <x v="1"/>
    <s v="Apr-2025"/>
    <s v="Q2-2025"/>
    <s v="Asia"/>
    <x v="2"/>
    <s v="Osaka"/>
    <s v="Enterprise"/>
    <s v="Online"/>
    <s v="G. Dubois"/>
    <x v="0"/>
    <s v="CMP-6495"/>
    <n v="138.9"/>
    <s v="High"/>
    <n v="289.92"/>
    <n v="2.9000000000000001E-2"/>
    <n v="12"/>
    <n v="19793.834999999999"/>
    <n v="1666.8000000000002"/>
    <n v="18127.035"/>
    <n v="0.91579196249741401"/>
  </r>
  <r>
    <x v="570"/>
    <d v="2023-06-01T00:00:00"/>
    <d v="2023-06-01T00:00:00"/>
    <x v="18"/>
    <s v="Jun-2023"/>
    <s v="Q2-2023"/>
    <s v="Asia"/>
    <x v="4"/>
    <s v="Bengaluru"/>
    <s v="Corporate"/>
    <s v="Retail"/>
    <s v="E. Garcia"/>
    <x v="6"/>
    <s v="ACC-4587"/>
    <n v="669.37"/>
    <s v="High"/>
    <n v="997.2"/>
    <n v="8.2000000000000003E-2"/>
    <n v="5"/>
    <n v="3326.373"/>
    <n v="3346.85"/>
    <n v="-20.476999999999862"/>
    <n v="-6.1559542480653434E-3"/>
  </r>
  <r>
    <x v="571"/>
    <d v="2025-03-24T00:00:00"/>
    <d v="2025-04-04T00:00:00"/>
    <x v="23"/>
    <s v="Mar-2025"/>
    <s v="Q1-2025"/>
    <s v="Asia"/>
    <x v="4"/>
    <s v="Mumbai"/>
    <s v="Education"/>
    <s v="Marketplace"/>
    <s v="J. Njeri"/>
    <x v="3"/>
    <s v="PHN-4395"/>
    <n v="23.83"/>
    <s v="Low"/>
    <n v="47.29"/>
    <n v="6.4000000000000001E-2"/>
    <n v="19"/>
    <n v="24114.036959999998"/>
    <n v="452.77"/>
    <n v="23661.266959999997"/>
    <n v="0.98122379920247083"/>
  </r>
  <r>
    <x v="572"/>
    <d v="2024-01-02T00:00:00"/>
    <d v="2024-01-02T00:00:00"/>
    <x v="18"/>
    <s v="Jan-2024"/>
    <s v="Q1-2024"/>
    <s v="Americas"/>
    <x v="3"/>
    <s v="Vancouver"/>
    <s v="Education"/>
    <s v="Direct"/>
    <s v="A. Patel"/>
    <x v="4"/>
    <s v="LAP-3581"/>
    <n v="444.41"/>
    <s v="High"/>
    <n v="754.24"/>
    <n v="0.20699999999999999"/>
    <n v="32"/>
    <n v="6980.1763200000005"/>
    <n v="14221.12"/>
    <n v="-7240.9436800000003"/>
    <n v="-1.0373582769324659"/>
  </r>
  <r>
    <x v="573"/>
    <d v="2023-12-19T00:00:00"/>
    <d v="2024-01-01T00:00:00"/>
    <x v="19"/>
    <s v="Dec-2023"/>
    <s v="Q4-2023"/>
    <s v="Americas"/>
    <x v="3"/>
    <s v="Toronto"/>
    <s v="Enterprise"/>
    <s v="Retail"/>
    <s v="K. Singh"/>
    <x v="5"/>
    <s v="MON-6065"/>
    <n v="856.1"/>
    <s v="High"/>
    <n v="901.48"/>
    <n v="5.6000000000000001E-2"/>
    <n v="17"/>
    <n v="28925.557119999998"/>
    <n v="14553.7"/>
    <n v="14371.857119999997"/>
    <n v="0.49685670911634278"/>
  </r>
  <r>
    <x v="574"/>
    <d v="2023-04-26T00:00:00"/>
    <d v="2023-04-26T00:00:00"/>
    <x v="18"/>
    <s v="Apr-2023"/>
    <s v="Q2-2023"/>
    <s v="Europe"/>
    <x v="7"/>
    <s v="Marseille"/>
    <s v="Consumer"/>
    <s v="Direct"/>
    <s v="M. Rossi"/>
    <x v="0"/>
    <s v="CMP-4945"/>
    <n v="81.489999999999995"/>
    <s v="Medium"/>
    <n v="113.08"/>
    <n v="0.121"/>
    <n v="5"/>
    <n v="5580.6830999999993"/>
    <n v="407.45"/>
    <n v="5173.2330999999995"/>
    <n v="0.92698922467036338"/>
  </r>
  <r>
    <x v="575"/>
    <d v="2025-08-03T00:00:00"/>
    <d v="2025-08-16T00:00:00"/>
    <x v="19"/>
    <s v="Aug-2025"/>
    <s v="Q3-2025"/>
    <s v="Americas"/>
    <x v="3"/>
    <s v="Montreal"/>
    <s v="Enterprise"/>
    <s v="Distributor"/>
    <s v="O. Wang"/>
    <x v="2"/>
    <s v="NET-3785"/>
    <n v="698.66"/>
    <s v="High"/>
    <n v="868.62"/>
    <n v="7.1999999999999995E-2"/>
    <n v="15"/>
    <n v="7960.848"/>
    <n v="10479.9"/>
    <n v="-2519.0519999999997"/>
    <n v="-0.31643010895321699"/>
  </r>
  <r>
    <x v="576"/>
    <d v="2023-08-02T00:00:00"/>
    <d v="2023-08-19T00:00:00"/>
    <x v="14"/>
    <s v="Aug-2023"/>
    <s v="Q3-2023"/>
    <s v="Americas"/>
    <x v="3"/>
    <s v="Vancouver"/>
    <s v="Corporate"/>
    <s v="Online"/>
    <s v="F. Müller"/>
    <x v="2"/>
    <s v="NET-3689"/>
    <n v="175.38"/>
    <s v="High"/>
    <n v="347.9"/>
    <n v="7.1999999999999995E-2"/>
    <n v="43"/>
    <n v="109937.11616000001"/>
    <n v="7541.34"/>
    <n v="102395.77616000001"/>
    <n v="0.93140314878712571"/>
  </r>
  <r>
    <x v="577"/>
    <d v="2023-06-15T00:00:00"/>
    <d v="2023-07-12T00:00:00"/>
    <x v="29"/>
    <s v="Jun-2023"/>
    <s v="Q2-2023"/>
    <s v="Europe"/>
    <x v="8"/>
    <s v="Manchester"/>
    <s v="Consumer"/>
    <s v="Direct"/>
    <s v="I. Johnson"/>
    <x v="6"/>
    <s v="ACC-3833"/>
    <n v="751.28"/>
    <s v="High"/>
    <n v="1111.8800000000001"/>
    <n v="0.13500000000000001"/>
    <n v="7"/>
    <n v="5827.9980499999992"/>
    <n v="5258.96"/>
    <n v="569.0380499999992"/>
    <n v="9.7638682291597417E-2"/>
  </r>
  <r>
    <x v="578"/>
    <d v="2024-11-11T00:00:00"/>
    <d v="2024-11-24T00:00:00"/>
    <x v="19"/>
    <s v="Nov-2024"/>
    <s v="Q4-2024"/>
    <s v="Europe"/>
    <x v="8"/>
    <s v="London"/>
    <s v="Corporate"/>
    <s v="Retail"/>
    <s v="E. Garcia"/>
    <x v="2"/>
    <s v="NET-2932"/>
    <n v="164.53"/>
    <s v="High"/>
    <n v="327.72"/>
    <n v="6.7000000000000004E-2"/>
    <n v="14"/>
    <n v="8728.9427399999986"/>
    <n v="2303.42"/>
    <n v="6425.5227399999985"/>
    <n v="0.73611695383855846"/>
  </r>
  <r>
    <x v="579"/>
    <d v="2025-07-11T00:00:00"/>
    <d v="2025-08-03T00:00:00"/>
    <x v="21"/>
    <s v="Jul-2025"/>
    <s v="Q3-2025"/>
    <s v="Africa"/>
    <x v="0"/>
    <s v="Nakuru"/>
    <s v="Small Business"/>
    <s v="Retail"/>
    <s v="C. Otieno"/>
    <x v="3"/>
    <s v="PHN-7636"/>
    <n v="389.93"/>
    <s v="High"/>
    <n v="486.13"/>
    <n v="0.13200000000000001"/>
    <n v="17"/>
    <n v="20722.29348"/>
    <n v="6628.81"/>
    <n v="14093.483479999999"/>
    <n v="0.6801121455789747"/>
  </r>
  <r>
    <x v="580"/>
    <d v="2023-06-03T00:00:00"/>
    <d v="2023-07-01T00:00:00"/>
    <x v="27"/>
    <s v="Jun-2023"/>
    <s v="Q2-2023"/>
    <s v="Americas"/>
    <x v="5"/>
    <s v="Brasília"/>
    <s v="Small Business"/>
    <s v="Marketplace"/>
    <s v="A. Patel"/>
    <x v="0"/>
    <s v="CMP-1223"/>
    <n v="860.4"/>
    <s v="High"/>
    <n v="2066.6"/>
    <n v="0.01"/>
    <n v="3"/>
    <n v="10661.9733"/>
    <n v="2581.1999999999998"/>
    <n v="8080.7732999999998"/>
    <n v="0.7579059778737206"/>
  </r>
  <r>
    <x v="581"/>
    <d v="2023-01-29T00:00:00"/>
    <d v="2023-02-06T00:00:00"/>
    <x v="12"/>
    <s v="Jan-2023"/>
    <s v="Q1-2023"/>
    <s v="Americas"/>
    <x v="5"/>
    <s v="Brasília"/>
    <s v="Corporate"/>
    <s v="Marketplace"/>
    <s v="D. Smith"/>
    <x v="5"/>
    <s v="MON-7207"/>
    <n v="41.84"/>
    <s v="Medium"/>
    <n v="86.2"/>
    <n v="0.22600000000000001"/>
    <n v="27"/>
    <n v="4879.8919799999994"/>
    <n v="1129.68"/>
    <n v="3750.2119799999991"/>
    <n v="0.76850307247989524"/>
  </r>
  <r>
    <x v="582"/>
    <d v="2024-09-06T00:00:00"/>
    <d v="2024-09-04T00:00:00"/>
    <x v="6"/>
    <s v="Sept-2024"/>
    <s v="Q3-2024"/>
    <s v="Asia"/>
    <x v="2"/>
    <s v="Osaka"/>
    <s v="Corporate"/>
    <s v="Direct"/>
    <s v="A. Patel"/>
    <x v="4"/>
    <s v="LAP-4483"/>
    <n v="1368.17"/>
    <s v="High"/>
    <n v="2307.75"/>
    <n v="0.16300000000000001"/>
    <n v="21"/>
    <n v="2183.9422500000001"/>
    <n v="28731.57"/>
    <n v="-26547.62775"/>
    <n v="-12.155828639699607"/>
  </r>
  <r>
    <x v="583"/>
    <d v="2024-08-03T00:00:00"/>
    <d v="2024-08-09T00:00:00"/>
    <x v="30"/>
    <s v="Aug-2024"/>
    <s v="Q3-2024"/>
    <s v="Africa"/>
    <x v="0"/>
    <s v="Mombasa"/>
    <s v="Consumer"/>
    <s v="Marketplace"/>
    <s v="H. Kim"/>
    <x v="4"/>
    <s v="LAP-1969"/>
    <n v="643.21"/>
    <s v="High"/>
    <n v="1112.81"/>
    <n v="0.14099999999999999"/>
    <n v="4"/>
    <n v="4918.1873199999991"/>
    <n v="2572.84"/>
    <n v="2345.3473199999989"/>
    <n v="0.47687230424562183"/>
  </r>
  <r>
    <x v="584"/>
    <d v="2025-04-17T00:00:00"/>
    <d v="2025-04-17T00:00:00"/>
    <x v="18"/>
    <s v="Apr-2025"/>
    <s v="Q2-2025"/>
    <s v="Americas"/>
    <x v="5"/>
    <s v="São Paulo"/>
    <s v="Corporate"/>
    <s v="Distributor"/>
    <s v="L. Okafor"/>
    <x v="3"/>
    <s v="PHN-4566"/>
    <n v="719.41"/>
    <s v="High"/>
    <n v="1125.99"/>
    <n v="4.1000000000000002E-2"/>
    <n v="21"/>
    <n v="32132.177279999996"/>
    <n v="15107.609999999999"/>
    <n v="17024.567279999996"/>
    <n v="0.52982924660373332"/>
  </r>
  <r>
    <x v="585"/>
    <d v="2023-05-03T00:00:00"/>
    <d v="2023-05-16T00:00:00"/>
    <x v="19"/>
    <s v="May-2023"/>
    <s v="Q2-2023"/>
    <s v="Americas"/>
    <x v="10"/>
    <s v="New York"/>
    <s v="Corporate"/>
    <s v="Marketplace"/>
    <s v="L. Okafor"/>
    <x v="3"/>
    <s v="PHN-5366"/>
    <n v="64.5"/>
    <s v="Medium"/>
    <n v="123.62"/>
    <n v="0"/>
    <n v="3"/>
    <n v="3085.38"/>
    <n v="193.5"/>
    <n v="2891.88"/>
    <n v="0.93728487252785719"/>
  </r>
  <r>
    <x v="586"/>
    <d v="2024-03-13T00:00:00"/>
    <d v="2024-04-06T00:00:00"/>
    <x v="10"/>
    <s v="Mar-2024"/>
    <s v="Q1-2024"/>
    <s v="Africa"/>
    <x v="1"/>
    <s v="Abuja"/>
    <s v="Consumer"/>
    <s v="Distributor"/>
    <s v="L. Okafor"/>
    <x v="0"/>
    <s v="CMP-9001"/>
    <n v="1232.78"/>
    <s v="High"/>
    <n v="1731.75"/>
    <n v="9.2999999999999999E-2"/>
    <n v="16"/>
    <n v="46878.839200000002"/>
    <n v="19724.48"/>
    <n v="27154.359200000003"/>
    <n v="0.5792455543566446"/>
  </r>
  <r>
    <x v="587"/>
    <d v="2024-06-16T00:00:00"/>
    <d v="2024-06-21T00:00:00"/>
    <x v="16"/>
    <s v="Jun-2024"/>
    <s v="Q2-2024"/>
    <s v="Asia"/>
    <x v="2"/>
    <s v="Tokyo"/>
    <s v="Small Business"/>
    <s v="Distributor"/>
    <s v="F. Müller"/>
    <x v="3"/>
    <s v="PHN-9677"/>
    <n v="1367.13"/>
    <s v="High"/>
    <n v="3062.01"/>
    <n v="0.10299999999999999"/>
    <n v="25"/>
    <n v="62557.004249999998"/>
    <n v="34178.25"/>
    <n v="28378.754249999998"/>
    <n v="0.45364631171576603"/>
  </r>
  <r>
    <x v="588"/>
    <d v="2025-02-15T00:00:00"/>
    <d v="2025-02-27T00:00:00"/>
    <x v="8"/>
    <s v="Feb-2025"/>
    <s v="Q1-2025"/>
    <s v="Europe"/>
    <x v="7"/>
    <s v="Lyon"/>
    <s v="Non-Profit"/>
    <s v="Direct"/>
    <s v="K. Singh"/>
    <x v="6"/>
    <s v="ACC-1604"/>
    <n v="1027.26"/>
    <s v="High"/>
    <n v="2200.41"/>
    <n v="8.7999999999999995E-2"/>
    <n v="6"/>
    <n v="10384.433280000001"/>
    <n v="6163.5599999999995"/>
    <n v="4220.8732800000016"/>
    <n v="0.40646159171047236"/>
  </r>
  <r>
    <x v="589"/>
    <d v="2023-04-03T00:00:00"/>
    <d v="2023-04-16T00:00:00"/>
    <x v="19"/>
    <s v="Apr-2023"/>
    <s v="Q2-2023"/>
    <s v="Europe"/>
    <x v="7"/>
    <s v="Marseille"/>
    <s v="Non-Profit"/>
    <s v="Marketplace"/>
    <s v="M. Rossi"/>
    <x v="6"/>
    <s v="ACC-4815"/>
    <n v="790.54"/>
    <s v="High"/>
    <n v="601.49"/>
    <n v="0"/>
    <n v="15"/>
    <n v="13537.050000000001"/>
    <n v="11858.099999999999"/>
    <n v="1678.9500000000025"/>
    <n v="0.12402628342216379"/>
  </r>
  <r>
    <x v="590"/>
    <d v="2025-08-30T00:00:00"/>
    <d v="2025-09-22T00:00:00"/>
    <x v="21"/>
    <s v="Aug-2025"/>
    <s v="Q3-2025"/>
    <s v="Europe"/>
    <x v="7"/>
    <s v="Marseille"/>
    <s v="Corporate"/>
    <s v="Direct"/>
    <s v="E. Garcia"/>
    <x v="0"/>
    <s v="CMP-5311"/>
    <n v="663.9"/>
    <s v="High"/>
    <n v="947.77"/>
    <n v="0.17399999999999999"/>
    <n v="15"/>
    <n v="-417.04740000000004"/>
    <n v="9958.5"/>
    <n v="-10375.547399999999"/>
    <n v="24.878580708092169"/>
  </r>
  <r>
    <x v="591"/>
    <d v="2023-02-27T00:00:00"/>
    <d v="2023-02-26T00:00:00"/>
    <x v="1"/>
    <s v="Feb-2023"/>
    <s v="Q1-2023"/>
    <s v="Americas"/>
    <x v="10"/>
    <s v="San Francisco"/>
    <s v="Non-Profit"/>
    <s v="Online"/>
    <s v="L. Okafor"/>
    <x v="2"/>
    <s v="NET-1282"/>
    <n v="1015.91"/>
    <s v="High"/>
    <n v="2331.48"/>
    <n v="0.14599999999999999"/>
    <n v="26"/>
    <n v="24128.64272"/>
    <n v="26413.66"/>
    <n v="-2285.01728"/>
    <n v="-9.4701442866737429E-2"/>
  </r>
  <r>
    <x v="592"/>
    <d v="2024-07-31T00:00:00"/>
    <d v="2024-08-15T00:00:00"/>
    <x v="15"/>
    <s v="Jul-2024"/>
    <s v="Q3-2024"/>
    <s v="Asia"/>
    <x v="2"/>
    <s v="Tokyo"/>
    <s v="Corporate"/>
    <s v="Marketplace"/>
    <s v="F. Müller"/>
    <x v="5"/>
    <s v="MON-1564"/>
    <n v="1252.52"/>
    <s v="High"/>
    <n v="1417.24"/>
    <n v="0.192"/>
    <n v="5"/>
    <n v="4083.4300000000003"/>
    <n v="6262.6"/>
    <n v="-2179.17"/>
    <n v="-0.53366165209150151"/>
  </r>
  <r>
    <x v="593"/>
    <d v="2025-06-15T00:00:00"/>
    <d v="2025-07-12T00:00:00"/>
    <x v="29"/>
    <s v="Jun-2025"/>
    <s v="Q2-2025"/>
    <s v="Europe"/>
    <x v="7"/>
    <s v="Marseille"/>
    <s v="Consumer"/>
    <s v="Direct"/>
    <s v="C. Otieno"/>
    <x v="6"/>
    <s v="ACC-7906"/>
    <n v="318.83"/>
    <s v="High"/>
    <n v="699.5"/>
    <n v="0.08"/>
    <n v="13"/>
    <n v="4921.3008"/>
    <n v="4144.79"/>
    <n v="776.51080000000002"/>
    <n v="0.15778568137919957"/>
  </r>
  <r>
    <x v="594"/>
    <d v="2024-06-30T00:00:00"/>
    <d v="2024-07-21T00:00:00"/>
    <x v="28"/>
    <s v="Jun-2024"/>
    <s v="Q2-2024"/>
    <s v="Africa"/>
    <x v="0"/>
    <s v="Kisumu"/>
    <s v="Small Business"/>
    <s v="Retail"/>
    <s v="K. Singh"/>
    <x v="4"/>
    <s v="LAP-6577"/>
    <n v="753.43"/>
    <s v="High"/>
    <n v="1787.2"/>
    <n v="7.2999999999999995E-2"/>
    <n v="9"/>
    <n v="3448.4956200000001"/>
    <n v="6780.87"/>
    <n v="-3332.3743799999997"/>
    <n v="-0.9663269863744236"/>
  </r>
  <r>
    <x v="595"/>
    <d v="2025-02-17T00:00:00"/>
    <d v="2025-02-15T00:00:00"/>
    <x v="6"/>
    <s v="Feb-2025"/>
    <s v="Q1-2025"/>
    <s v="Americas"/>
    <x v="3"/>
    <s v="Toronto"/>
    <s v="Small Business"/>
    <s v="Retail"/>
    <s v="D. Smith"/>
    <x v="0"/>
    <s v="CMP-5065"/>
    <n v="1133.47"/>
    <s v="High"/>
    <n v="1698.75"/>
    <n v="4.2999999999999997E-2"/>
    <n v="5"/>
    <n v="7459.2886500000004"/>
    <n v="5667.35"/>
    <n v="1791.9386500000001"/>
    <n v="0.24022916045754578"/>
  </r>
  <r>
    <x v="596"/>
    <d v="2023-01-07T00:00:00"/>
    <d v="2023-01-30T00:00:00"/>
    <x v="21"/>
    <s v="Jan-2023"/>
    <s v="Q1-2023"/>
    <s v="Africa"/>
    <x v="11"/>
    <s v="Cape Town"/>
    <s v="Consumer"/>
    <s v="Online"/>
    <s v="A. Patel"/>
    <x v="1"/>
    <s v="PRN-4787"/>
    <n v="299.02"/>
    <s v="High"/>
    <n v="724.7"/>
    <n v="0.14000000000000001"/>
    <n v="5"/>
    <n v="3702.9880000000003"/>
    <n v="1495.1"/>
    <n v="2207.8880000000004"/>
    <n v="0.59624497837962209"/>
  </r>
  <r>
    <x v="597"/>
    <d v="2025-03-10T00:00:00"/>
    <d v="2025-04-04T00:00:00"/>
    <x v="2"/>
    <s v="Mar-2025"/>
    <s v="Q1-2025"/>
    <s v="Asia"/>
    <x v="2"/>
    <s v="Osaka"/>
    <s v="Corporate"/>
    <s v="Direct"/>
    <s v="H. Kim"/>
    <x v="1"/>
    <s v="PRN-9867"/>
    <n v="783.72"/>
    <s v="High"/>
    <n v="1355.94"/>
    <n v="0.187"/>
    <n v="4"/>
    <n v="7467.4049999999997"/>
    <n v="3134.88"/>
    <n v="4332.5249999999996"/>
    <n v="0.58019151231251009"/>
  </r>
  <r>
    <x v="598"/>
    <d v="2024-08-17T00:00:00"/>
    <d v="2024-08-15T00:00:00"/>
    <x v="6"/>
    <s v="Aug-2024"/>
    <s v="Q3-2024"/>
    <s v="Americas"/>
    <x v="5"/>
    <s v="Rio de Janeiro"/>
    <s v="Consumer"/>
    <s v="Direct"/>
    <s v="M. Rossi"/>
    <x v="5"/>
    <s v="MON-2849"/>
    <n v="165.3"/>
    <s v="High"/>
    <n v="275.07"/>
    <n v="0.13300000000000001"/>
    <n v="25"/>
    <n v="57148.305"/>
    <n v="4132.5"/>
    <n v="53015.805"/>
    <n v="0.92768814403156841"/>
  </r>
  <r>
    <x v="599"/>
    <d v="2024-03-09T00:00:00"/>
    <d v="2024-03-22T00:00:00"/>
    <x v="19"/>
    <s v="Mar-2024"/>
    <s v="Q1-2024"/>
    <s v="Europe"/>
    <x v="8"/>
    <s v="Manchester"/>
    <s v="Consumer"/>
    <s v="Online"/>
    <s v="E. Garcia"/>
    <x v="4"/>
    <s v="LAP-8633"/>
    <n v="985.45"/>
    <s v="High"/>
    <n v="1802.44"/>
    <n v="8.9999999999999993E-3"/>
    <n v="19"/>
    <n v="18416.456609999997"/>
    <n v="18723.55"/>
    <n v="-307.09339000000182"/>
    <n v="-1.6674944399089911E-2"/>
  </r>
  <r>
    <x v="600"/>
    <d v="2024-08-19T00:00:00"/>
    <d v="2024-09-02T00:00:00"/>
    <x v="17"/>
    <s v="Aug-2024"/>
    <s v="Q3-2024"/>
    <s v="Americas"/>
    <x v="3"/>
    <s v="Toronto"/>
    <s v="Consumer"/>
    <s v="Distributor"/>
    <s v="C. Otieno"/>
    <x v="1"/>
    <s v="PRN-9793"/>
    <n v="1337.01"/>
    <s v="High"/>
    <n v="1269.78"/>
    <n v="0.16"/>
    <n v="7"/>
    <n v="3208.8335999999999"/>
    <n v="9359.07"/>
    <n v="-6150.2363999999998"/>
    <n v="-1.916657940754547"/>
  </r>
  <r>
    <x v="601"/>
    <d v="2025-08-11T00:00:00"/>
    <d v="2025-08-28T00:00:00"/>
    <x v="14"/>
    <s v="Aug-2025"/>
    <s v="Q3-2025"/>
    <s v="Europe"/>
    <x v="7"/>
    <s v="Paris"/>
    <s v="Education"/>
    <s v="Online"/>
    <s v="F. Müller"/>
    <x v="2"/>
    <s v="NET-6218"/>
    <n v="416.16"/>
    <s v="High"/>
    <n v="571.9"/>
    <n v="7.0999999999999994E-2"/>
    <n v="2"/>
    <n v="2667.2333200000003"/>
    <n v="832.32"/>
    <n v="1834.9133200000001"/>
    <n v="0.6879463098488886"/>
  </r>
  <r>
    <x v="602"/>
    <d v="2025-05-16T00:00:00"/>
    <d v="2025-05-18T00:00:00"/>
    <x v="6"/>
    <s v="May-2025"/>
    <s v="Q2-2025"/>
    <s v="Asia"/>
    <x v="2"/>
    <s v="Tokyo"/>
    <s v="Enterprise"/>
    <s v="Retail"/>
    <s v="J. Njeri"/>
    <x v="1"/>
    <s v="PRN-6131"/>
    <n v="1144.3800000000001"/>
    <s v="High"/>
    <n v="2755.04"/>
    <n v="0.15"/>
    <n v="17"/>
    <n v="34640.985000000001"/>
    <n v="19454.460000000003"/>
    <n v="15186.524999999998"/>
    <n v="0.4383976090749151"/>
  </r>
  <r>
    <x v="603"/>
    <d v="2023-04-10T00:00:00"/>
    <d v="2023-04-25T00:00:00"/>
    <x v="15"/>
    <s v="Apr-2023"/>
    <s v="Q2-2023"/>
    <s v="Europe"/>
    <x v="8"/>
    <s v="London"/>
    <s v="Small Business"/>
    <s v="Retail"/>
    <s v="D. Smith"/>
    <x v="1"/>
    <s v="PRN-5067"/>
    <n v="405.66"/>
    <s v="High"/>
    <n v="962.51"/>
    <n v="0.19"/>
    <n v="7"/>
    <n v="10511.386199999999"/>
    <n v="2839.6200000000003"/>
    <n v="7671.7661999999982"/>
    <n v="0.72985294746377016"/>
  </r>
  <r>
    <x v="604"/>
    <d v="2023-09-17T00:00:00"/>
    <d v="2023-10-02T00:00:00"/>
    <x v="15"/>
    <s v="Sept-2023"/>
    <s v="Q3-2023"/>
    <s v="Americas"/>
    <x v="5"/>
    <s v="Rio de Janeiro"/>
    <s v="Small Business"/>
    <s v="Retail"/>
    <s v="B. Chen"/>
    <x v="4"/>
    <s v="LAP-4932"/>
    <n v="689.33"/>
    <s v="High"/>
    <n v="668.27"/>
    <n v="0.186"/>
    <n v="13"/>
    <n v="486.56036000000006"/>
    <n v="8961.2900000000009"/>
    <n v="-8474.7296400000014"/>
    <n v="-17.417632706453933"/>
  </r>
  <r>
    <x v="605"/>
    <d v="2023-04-22T00:00:00"/>
    <d v="2023-05-14T00:00:00"/>
    <x v="22"/>
    <s v="Apr-2023"/>
    <s v="Q2-2023"/>
    <s v="Asia"/>
    <x v="2"/>
    <s v="Nagoya"/>
    <s v="Enterprise"/>
    <s v="Retail"/>
    <s v="A. Patel"/>
    <x v="6"/>
    <s v="ACC-7713"/>
    <n v="1209.22"/>
    <s v="High"/>
    <n v="1404.33"/>
    <n v="0.10299999999999999"/>
    <n v="11"/>
    <n v="0"/>
    <n v="13301.42"/>
    <n v="-13301.42"/>
    <n v="0"/>
  </r>
  <r>
    <x v="606"/>
    <d v="2025-06-19T00:00:00"/>
    <d v="2025-06-21T00:00:00"/>
    <x v="6"/>
    <s v="Jun-2025"/>
    <s v="Q2-2025"/>
    <s v="Africa"/>
    <x v="11"/>
    <s v="Johannesburg"/>
    <s v="Small Business"/>
    <s v="Not Provided"/>
    <s v="H. Kim"/>
    <x v="3"/>
    <s v="PHN-7379"/>
    <n v="1466.27"/>
    <s v="High"/>
    <n v="3589.89"/>
    <n v="9.7000000000000003E-2"/>
    <n v="9"/>
    <n v="0"/>
    <n v="13196.43"/>
    <n v="-13196.43"/>
    <n v="0"/>
  </r>
  <r>
    <x v="607"/>
    <d v="2024-11-27T00:00:00"/>
    <d v="2024-12-24T00:00:00"/>
    <x v="29"/>
    <s v="Nov-2024"/>
    <s v="Q4-2024"/>
    <s v="Africa"/>
    <x v="0"/>
    <s v="Mombasa"/>
    <s v="Corporate"/>
    <s v="Distributor"/>
    <s v="B. Chen"/>
    <x v="1"/>
    <s v="PRN-5569"/>
    <n v="143.33000000000001"/>
    <s v="High"/>
    <n v="233.51"/>
    <n v="0.16300000000000001"/>
    <n v="14"/>
    <n v="0"/>
    <n v="2006.6200000000001"/>
    <n v="-2006.6200000000001"/>
    <n v="0"/>
  </r>
  <r>
    <x v="608"/>
    <d v="2024-01-28T00:00:00"/>
    <d v="2024-01-27T00:00:00"/>
    <x v="1"/>
    <s v="Jan-2024"/>
    <s v="Q1-2024"/>
    <s v="Africa"/>
    <x v="11"/>
    <s v="Cape Town"/>
    <s v="Enterprise"/>
    <s v="Direct"/>
    <s v="O. Wang"/>
    <x v="0"/>
    <s v="CMP-1470"/>
    <n v="109.75"/>
    <s v="Medium"/>
    <n v="124.25"/>
    <n v="0.12"/>
    <n v="19"/>
    <n v="0"/>
    <n v="2085.25"/>
    <n v="-2085.25"/>
    <n v="0"/>
  </r>
  <r>
    <x v="609"/>
    <d v="2023-04-16T00:00:00"/>
    <d v="2023-04-23T00:00:00"/>
    <x v="20"/>
    <s v="Apr-2023"/>
    <s v="Q2-2023"/>
    <s v="Americas"/>
    <x v="10"/>
    <s v="Austin"/>
    <s v="Corporate"/>
    <s v="Distributor"/>
    <s v="O. Wang"/>
    <x v="1"/>
    <s v="PRN-9249"/>
    <n v="1099.1500000000001"/>
    <s v="High"/>
    <n v="1431.37"/>
    <n v="0.104"/>
    <n v="8"/>
    <n v="0"/>
    <n v="8793.2000000000007"/>
    <n v="-8793.2000000000007"/>
    <n v="0"/>
  </r>
  <r>
    <x v="610"/>
    <d v="2024-02-01T00:00:00"/>
    <d v="2024-02-01T00:00:00"/>
    <x v="18"/>
    <s v="Feb-2024"/>
    <s v="Q1-2024"/>
    <s v="Americas"/>
    <x v="10"/>
    <s v="Austin"/>
    <s v="Consumer"/>
    <s v="Distributor"/>
    <s v="H. Kim"/>
    <x v="1"/>
    <s v="PRN-4906"/>
    <n v="714.43"/>
    <s v="High"/>
    <n v="1595.52"/>
    <n v="0.19400000000000001"/>
    <n v="14"/>
    <n v="0"/>
    <n v="10002.019999999999"/>
    <n v="-10002.019999999999"/>
    <n v="0"/>
  </r>
  <r>
    <x v="611"/>
    <d v="2024-10-19T00:00:00"/>
    <d v="2024-11-06T00:00:00"/>
    <x v="5"/>
    <s v="Oct-2024"/>
    <s v="Q4-2024"/>
    <s v="Americas"/>
    <x v="10"/>
    <s v="Chicago"/>
    <s v="Education"/>
    <s v="Not Provided"/>
    <s v="C. Otieno"/>
    <x v="5"/>
    <s v="MON-8129"/>
    <n v="942.02"/>
    <s v="High"/>
    <n v="1028.46"/>
    <n v="0"/>
    <n v="9"/>
    <n v="0"/>
    <n v="8478.18"/>
    <n v="-8478.18"/>
    <n v="0"/>
  </r>
  <r>
    <x v="612"/>
    <d v="2024-06-25T00:00:00"/>
    <d v="2024-06-30T00:00:00"/>
    <x v="16"/>
    <s v="Jun-2024"/>
    <s v="Q2-2024"/>
    <s v="Africa"/>
    <x v="0"/>
    <s v="Kisumu"/>
    <s v="Education"/>
    <s v="Direct"/>
    <s v="M. Rossi"/>
    <x v="2"/>
    <s v="NET-5987"/>
    <n v="1323.55"/>
    <s v="High"/>
    <n v="3230.35"/>
    <n v="2.1999999999999999E-2"/>
    <n v="26"/>
    <n v="0"/>
    <n v="34412.299999999996"/>
    <n v="-34412.299999999996"/>
    <n v="0"/>
  </r>
  <r>
    <x v="613"/>
    <d v="2023-07-30T00:00:00"/>
    <d v="2023-08-19T00:00:00"/>
    <x v="9"/>
    <s v="Jul-2023"/>
    <s v="Q3-2023"/>
    <s v="Europe"/>
    <x v="7"/>
    <s v="Paris"/>
    <s v="Enterprise"/>
    <s v="Marketplace"/>
    <s v="G. Dubois"/>
    <x v="2"/>
    <s v="NET-5423"/>
    <n v="1418.51"/>
    <s v="High"/>
    <n v="2789.61"/>
    <n v="0.17100000000000001"/>
    <n v="8"/>
    <n v="0"/>
    <n v="11348.08"/>
    <n v="-11348.08"/>
    <n v="0"/>
  </r>
  <r>
    <x v="614"/>
    <d v="2025-03-11T00:00:00"/>
    <d v="2025-03-27T00:00:00"/>
    <x v="13"/>
    <s v="Mar-2025"/>
    <s v="Q1-2025"/>
    <s v="Asia"/>
    <x v="2"/>
    <s v="Tokyo"/>
    <s v="Enterprise"/>
    <s v="Distributor"/>
    <s v="B. Chen"/>
    <x v="1"/>
    <s v="PRN-5264"/>
    <n v="1317.58"/>
    <s v="High"/>
    <n v="1897.74"/>
    <n v="8.1000000000000003E-2"/>
    <n v="6"/>
    <n v="0"/>
    <n v="7905.48"/>
    <n v="-7905.48"/>
    <n v="0"/>
  </r>
  <r>
    <x v="615"/>
    <d v="2023-10-09T00:00:00"/>
    <d v="2023-10-11T00:00:00"/>
    <x v="6"/>
    <s v="Oct-2023"/>
    <s v="Q4-2023"/>
    <s v="Africa"/>
    <x v="1"/>
    <s v="Port Harcourt"/>
    <s v="Education"/>
    <s v="Marketplace"/>
    <s v="K. Singh"/>
    <x v="2"/>
    <s v="NET-8856"/>
    <n v="391.16"/>
    <s v="High"/>
    <n v="902.47"/>
    <n v="4.0000000000000001E-3"/>
    <n v="12"/>
    <n v="0"/>
    <n v="4693.92"/>
    <n v="-4693.92"/>
    <n v="0"/>
  </r>
  <r>
    <x v="616"/>
    <d v="2024-12-17T00:00:00"/>
    <d v="2025-01-16T00:00:00"/>
    <x v="26"/>
    <s v="Dec-2024"/>
    <s v="Q4-2024"/>
    <s v="Europe"/>
    <x v="8"/>
    <s v="Manchester"/>
    <s v="Corporate"/>
    <s v="Retail"/>
    <s v="D. Smith"/>
    <x v="5"/>
    <s v="MON-4215"/>
    <n v="722.87"/>
    <s v="Low"/>
    <n v="-33.659999999999997"/>
    <n v="0.10199999999999999"/>
    <n v="28"/>
    <n v="0"/>
    <n v="20240.36"/>
    <n v="-20240.36"/>
    <n v="0"/>
  </r>
  <r>
    <x v="617"/>
    <d v="2025-07-11T00:00:00"/>
    <d v="2025-07-16T00:00:00"/>
    <x v="16"/>
    <s v="Jul-2025"/>
    <s v="Q3-2025"/>
    <s v="Europe"/>
    <x v="8"/>
    <s v="London"/>
    <s v="Enterprise"/>
    <s v="Online"/>
    <s v="K. Singh"/>
    <x v="1"/>
    <s v="PRN-5753"/>
    <n v="930.03"/>
    <s v="High"/>
    <n v="1086.68"/>
    <n v="0.109"/>
    <n v="26"/>
    <n v="0"/>
    <n v="24180.78"/>
    <n v="-24180.78"/>
    <n v="0"/>
  </r>
  <r>
    <x v="618"/>
    <d v="2024-10-13T00:00:00"/>
    <d v="2024-10-24T00:00:00"/>
    <x v="23"/>
    <s v="Oct-2024"/>
    <s v="Q4-2024"/>
    <s v="Europe"/>
    <x v="7"/>
    <s v="Paris"/>
    <s v="Education"/>
    <s v="Distributor"/>
    <s v="F. Müller"/>
    <x v="0"/>
    <s v="CMP-5006"/>
    <n v="816.7"/>
    <s v="High"/>
    <n v="1010.75"/>
    <n v="4.7E-2"/>
    <n v="43"/>
    <n v="0"/>
    <n v="35118.1"/>
    <n v="-35118.1"/>
    <n v="0"/>
  </r>
  <r>
    <x v="619"/>
    <d v="2023-09-08T00:00:00"/>
    <d v="2023-09-14T00:00:00"/>
    <x v="30"/>
    <s v="Sept-2023"/>
    <s v="Q3-2023"/>
    <s v="Africa"/>
    <x v="0"/>
    <s v="Nakuru"/>
    <s v="Education"/>
    <s v="Direct"/>
    <s v="I. Johnson"/>
    <x v="6"/>
    <s v="ACC-4766"/>
    <n v="251.03"/>
    <s v="High"/>
    <n v="411.48"/>
    <n v="0.16500000000000001"/>
    <n v="3"/>
    <n v="0"/>
    <n v="753.09"/>
    <n v="-753.09"/>
    <n v="0"/>
  </r>
  <r>
    <x v="620"/>
    <d v="2025-04-17T00:00:00"/>
    <d v="2025-05-03T00:00:00"/>
    <x v="13"/>
    <s v="Apr-2025"/>
    <s v="Q2-2025"/>
    <s v="Americas"/>
    <x v="5"/>
    <s v="Rio de Janeiro"/>
    <s v="Consumer"/>
    <s v="Marketplace"/>
    <s v="J. Njeri"/>
    <x v="2"/>
    <s v="NET-8610"/>
    <n v="168.68"/>
    <s v="High"/>
    <n v="413.34"/>
    <n v="0.186"/>
    <n v="7"/>
    <n v="0"/>
    <n v="1180.76"/>
    <n v="-1180.76"/>
    <n v="0"/>
  </r>
  <r>
    <x v="621"/>
    <d v="2024-07-28T00:00:00"/>
    <d v="2024-08-23T00:00:00"/>
    <x v="0"/>
    <s v="Jul-2024"/>
    <s v="Q3-2024"/>
    <s v="Asia"/>
    <x v="4"/>
    <s v="Hyderabad"/>
    <s v="Corporate"/>
    <s v="Retail"/>
    <s v="J. Njeri"/>
    <x v="2"/>
    <s v="NET-4675"/>
    <n v="1339.24"/>
    <s v="High"/>
    <n v="1558.89"/>
    <n v="0.192"/>
    <n v="24"/>
    <n v="0"/>
    <n v="32141.760000000002"/>
    <n v="-32141.760000000002"/>
    <n v="0"/>
  </r>
  <r>
    <x v="622"/>
    <d v="2025-07-19T00:00:00"/>
    <d v="2025-07-31T00:00:00"/>
    <x v="8"/>
    <s v="Jul-2025"/>
    <s v="Q3-2025"/>
    <s v="Africa"/>
    <x v="0"/>
    <s v="Nairobi"/>
    <s v="Small Business"/>
    <s v="Marketplace"/>
    <s v="O. Wang"/>
    <x v="6"/>
    <s v="ACC-1028"/>
    <n v="619.64"/>
    <s v="High"/>
    <n v="861.16"/>
    <n v="0.113"/>
    <n v="14"/>
    <n v="0"/>
    <n v="8674.9599999999991"/>
    <n v="-8674.9599999999991"/>
    <n v="0"/>
  </r>
  <r>
    <x v="623"/>
    <d v="2023-08-03T00:00:00"/>
    <d v="2023-08-02T00:00:00"/>
    <x v="1"/>
    <s v="Aug-2023"/>
    <s v="Q3-2023"/>
    <s v="Asia"/>
    <x v="9"/>
    <s v="Shanghai"/>
    <s v="Non-Profit"/>
    <s v="Direct"/>
    <s v="J. Njeri"/>
    <x v="2"/>
    <s v="NET-4735"/>
    <n v="1021.97"/>
    <s v="High"/>
    <n v="2296.25"/>
    <n v="0.161"/>
    <n v="26"/>
    <n v="0"/>
    <n v="26571.22"/>
    <n v="-26571.22"/>
    <n v="0"/>
  </r>
  <r>
    <x v="624"/>
    <d v="2023-11-19T00:00:00"/>
    <d v="2023-12-12T00:00:00"/>
    <x v="21"/>
    <s v="Nov-2023"/>
    <s v="Q4-2023"/>
    <s v="Asia"/>
    <x v="4"/>
    <s v="Delhi"/>
    <s v="Small Business"/>
    <s v="Direct"/>
    <s v="C. Otieno"/>
    <x v="2"/>
    <s v="NET-2460"/>
    <n v="1349.04"/>
    <s v="High"/>
    <n v="2636.6"/>
    <n v="0.114"/>
    <n v="14"/>
    <n v="0"/>
    <n v="18886.559999999998"/>
    <n v="-18886.559999999998"/>
    <n v="0"/>
  </r>
  <r>
    <x v="625"/>
    <d v="2023-12-22T00:00:00"/>
    <d v="2024-01-16T00:00:00"/>
    <x v="2"/>
    <s v="Dec-2023"/>
    <s v="Q4-2023"/>
    <s v="Asia"/>
    <x v="4"/>
    <s v="Hyderabad"/>
    <s v="Small Business"/>
    <s v="Retail"/>
    <s v="A. Patel"/>
    <x v="0"/>
    <s v="CMP-1555"/>
    <n v="1346.81"/>
    <s v="High"/>
    <n v="978.09"/>
    <n v="0.159"/>
    <n v="17"/>
    <n v="0"/>
    <n v="22895.77"/>
    <n v="-22895.77"/>
    <n v="0"/>
  </r>
  <r>
    <x v="626"/>
    <d v="2023-08-03T00:00:00"/>
    <d v="2023-08-30T00:00:00"/>
    <x v="29"/>
    <s v="Aug-2023"/>
    <s v="Q3-2023"/>
    <s v="Asia"/>
    <x v="9"/>
    <s v="Shanghai"/>
    <s v="Consumer"/>
    <s v="Distributor"/>
    <s v="N. Brown"/>
    <x v="5"/>
    <s v="MON-3773"/>
    <n v="226.04"/>
    <s v="High"/>
    <n v="545.72"/>
    <n v="0.151"/>
    <n v="11"/>
    <n v="0"/>
    <n v="2486.44"/>
    <n v="-2486.44"/>
    <n v="0"/>
  </r>
  <r>
    <x v="627"/>
    <d v="2023-06-23T00:00:00"/>
    <d v="2023-07-18T00:00:00"/>
    <x v="2"/>
    <s v="Jun-2023"/>
    <s v="Q2-2023"/>
    <s v="Americas"/>
    <x v="3"/>
    <s v="Vancouver"/>
    <s v="Enterprise"/>
    <s v="Online"/>
    <s v="N. Brown"/>
    <x v="3"/>
    <s v="PHN-4677"/>
    <n v="807.02"/>
    <s v="High"/>
    <n v="1435.54"/>
    <n v="0"/>
    <n v="23"/>
    <n v="0"/>
    <n v="18561.46"/>
    <n v="-18561.46"/>
    <n v="0"/>
  </r>
  <r>
    <x v="628"/>
    <d v="2023-12-07T00:00:00"/>
    <d v="2024-01-02T00:00:00"/>
    <x v="0"/>
    <s v="Dec-2023"/>
    <s v="Q4-2023"/>
    <s v="Europe"/>
    <x v="6"/>
    <s v="Frankfurt"/>
    <s v="Enterprise"/>
    <s v="Distributor"/>
    <s v="E. Garcia"/>
    <x v="0"/>
    <s v="CMP-1940"/>
    <n v="1071.99"/>
    <s v="High"/>
    <n v="2397.3000000000002"/>
    <n v="6.2E-2"/>
    <n v="18"/>
    <n v="0"/>
    <n v="19295.82"/>
    <n v="-19295.82"/>
    <n v="0"/>
  </r>
  <r>
    <x v="629"/>
    <d v="2023-11-19T00:00:00"/>
    <d v="2023-12-19T00:00:00"/>
    <x v="18"/>
    <s v="Nov-2023"/>
    <s v="Q4-2023"/>
    <s v="Asia"/>
    <x v="2"/>
    <s v="Nagoya"/>
    <s v="Consumer"/>
    <s v="Retail"/>
    <s v="Not Provided"/>
    <x v="3"/>
    <s v="PHN-9184"/>
    <n v="807.11"/>
    <s v="High"/>
    <n v="1853.86"/>
    <n v="0.13900000000000001"/>
    <n v="8"/>
    <n v="0"/>
    <n v="6456.88"/>
    <n v="-6456.88"/>
    <n v="0"/>
  </r>
  <r>
    <x v="630"/>
    <d v="2025-02-28T00:00:00"/>
    <d v="2025-03-10T00:00:00"/>
    <x v="24"/>
    <s v="Feb-2025"/>
    <s v="Q1-2025"/>
    <s v="Asia"/>
    <x v="2"/>
    <s v="Osaka"/>
    <s v="Education"/>
    <s v="Distributor"/>
    <s v="N. Brown"/>
    <x v="4"/>
    <s v="LAP-3017"/>
    <n v="51.86"/>
    <s v="Low"/>
    <n v="45.98"/>
    <n v="0.17299999999999999"/>
    <n v="7"/>
    <n v="0"/>
    <n v="363.02"/>
    <n v="-363.02"/>
    <n v="0"/>
  </r>
  <r>
    <x v="631"/>
    <m/>
    <m/>
    <x v="31"/>
    <m/>
    <m/>
    <m/>
    <x v="12"/>
    <m/>
    <m/>
    <m/>
    <m/>
    <x v="7"/>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d v="2024-04-06T00:00:00"/>
    <n v="26"/>
    <x v="0"/>
    <s v="Q1-2024"/>
    <x v="0"/>
    <s v="Kenya"/>
    <s v="Kisumu"/>
    <s v="Corporate"/>
    <x v="0"/>
    <s v="C. Otieno"/>
    <s v="Components"/>
    <s v="CMP-8270"/>
    <n v="279.24"/>
    <s v="High"/>
    <n v="608.9"/>
    <n v="0.112"/>
    <n v="9"/>
    <n v="1403.9546399999999"/>
    <n v="2513.16"/>
    <n v="-1109.2053599999999"/>
    <n v="-0.79005783263766982"/>
  </r>
  <r>
    <s v="ORD-2024-358795"/>
    <d v="2024-10-23T00:00:00"/>
    <d v="2024-10-22T00:00:00"/>
    <n v="1"/>
    <x v="1"/>
    <s v="Q4-2024"/>
    <x v="0"/>
    <s v="Nigeria"/>
    <s v="Port Harcourt"/>
    <s v="Education"/>
    <x v="1"/>
    <s v="J. Njeri"/>
    <s v="Printers"/>
    <s v="PRN-9322"/>
    <n v="1084.3900000000001"/>
    <s v="High"/>
    <n v="759.33"/>
    <n v="0.23699999999999999"/>
    <n v="31"/>
    <n v="17934.41419"/>
    <n v="33616.090000000004"/>
    <n v="-15681.675810000004"/>
    <n v="-0.87439018882166253"/>
  </r>
  <r>
    <s v="ORD-2023-373538"/>
    <d v="2023-02-28T00:00:00"/>
    <d v="2023-03-25T00:00:00"/>
    <n v="25"/>
    <x v="2"/>
    <s v="Q1-2023"/>
    <x v="0"/>
    <s v="Kenya"/>
    <s v="Nairobi"/>
    <s v="Corporate"/>
    <x v="0"/>
    <s v="I. Johnson"/>
    <s v="Networking"/>
    <s v="NET-9666"/>
    <n v="1460.76"/>
    <s v="Low"/>
    <n v="-30.66"/>
    <n v="0.13100000000000001"/>
    <n v="12"/>
    <n v="4534.0944"/>
    <n v="17529.12"/>
    <n v="-12995.025599999999"/>
    <n v="-2.8660686023652264"/>
  </r>
  <r>
    <s v="ORD-2025-168148"/>
    <d v="2025-03-29T00:00:00"/>
    <d v="2025-04-02T00:00:00"/>
    <n v="4"/>
    <x v="3"/>
    <s v="Q1-2025"/>
    <x v="0"/>
    <s v="Nigeria"/>
    <s v="Lagos"/>
    <s v="Non-Profit"/>
    <x v="2"/>
    <s v="G. Dubois"/>
    <s v="Phones"/>
    <s v="PHN-4556"/>
    <n v="259.93"/>
    <s v="High"/>
    <n v="255.94"/>
    <n v="7.1999999999999995E-2"/>
    <n v="22"/>
    <n v="34016.730880000003"/>
    <n v="5718.46"/>
    <n v="28298.270880000004"/>
    <n v="0.83189272301994943"/>
  </r>
  <r>
    <s v="ORD-2023-824839"/>
    <d v="2023-12-06T00:00:00"/>
    <d v="2023-12-31T00:00:00"/>
    <n v="25"/>
    <x v="4"/>
    <s v="Q4-2023"/>
    <x v="1"/>
    <s v="Japan"/>
    <s v="Osaka"/>
    <s v="Consumer"/>
    <x v="0"/>
    <s v="L. Okafor"/>
    <s v="Printers"/>
    <s v="PRN-8041"/>
    <n v="663.03"/>
    <s v="High"/>
    <n v="813.51"/>
    <n v="0.10199999999999999"/>
    <n v="15"/>
    <n v="8510.0765999999985"/>
    <n v="9945.4499999999989"/>
    <n v="-1435.3734000000004"/>
    <n v="-0.16866750647109341"/>
  </r>
  <r>
    <s v="ORD-2023-723587"/>
    <d v="2023-01-02T00:00:00"/>
    <d v="2023-01-05T00:00:00"/>
    <n v="3"/>
    <x v="5"/>
    <s v="Q1-2023"/>
    <x v="2"/>
    <s v="Canada"/>
    <s v="Toronto"/>
    <s v="Corporate"/>
    <x v="3"/>
    <s v="B. Chen"/>
    <s v="Laptops"/>
    <s v="LAP-8555"/>
    <n v="315.87"/>
    <s v="High"/>
    <n v="591.67999999999995"/>
    <n v="0"/>
    <n v="7"/>
    <n v="12558.49"/>
    <n v="2211.09"/>
    <n v="10347.4"/>
    <n v="0.82393663569425946"/>
  </r>
  <r>
    <s v="ORD-2024-336584"/>
    <d v="2024-12-27T00:00:00"/>
    <d v="2025-01-14T00:00:00"/>
    <n v="18"/>
    <x v="6"/>
    <s v="Q4-2024"/>
    <x v="1"/>
    <s v="India"/>
    <s v="Bengaluru"/>
    <s v="Small Business"/>
    <x v="2"/>
    <s v="E. Garcia"/>
    <s v="Monitors"/>
    <s v="MON-8629"/>
    <n v="586.07000000000005"/>
    <s v="High"/>
    <n v="845.97"/>
    <n v="0.14699999999999999"/>
    <n v="4"/>
    <n v="8983.864239999999"/>
    <n v="2344.2800000000002"/>
    <n v="6639.5842399999983"/>
    <n v="0.73905660889639613"/>
  </r>
  <r>
    <s v="ORD-2023-112666"/>
    <d v="2023-01-15T00:00:00"/>
    <d v="2023-01-13T00:00:00"/>
    <n v="2"/>
    <x v="5"/>
    <s v="Q1-2023"/>
    <x v="0"/>
    <s v="Nigeria"/>
    <s v="Abuja"/>
    <s v="Education"/>
    <x v="1"/>
    <s v="O. Wang"/>
    <s v="Printers"/>
    <s v="PRN-6276"/>
    <n v="28.38"/>
    <s v="Low"/>
    <n v="47.22"/>
    <n v="0.19400000000000001"/>
    <n v="18"/>
    <n v="19177.399799999999"/>
    <n v="510.84"/>
    <n v="18666.559799999999"/>
    <n v="0.97336239504168864"/>
  </r>
  <r>
    <s v="ORD-2024-589570"/>
    <d v="2024-05-04T00:00:00"/>
    <d v="2024-05-29T00:00:00"/>
    <n v="25"/>
    <x v="7"/>
    <s v="Q2-2024"/>
    <x v="0"/>
    <s v="Nigeria"/>
    <s v="Abuja"/>
    <s v="Non-Profit"/>
    <x v="2"/>
    <s v="O. Wang"/>
    <s v="Monitors"/>
    <s v="MON-6892"/>
    <n v="1295.3399999999999"/>
    <s v="High"/>
    <n v="2530.81"/>
    <n v="3.1E-2"/>
    <n v="6"/>
    <n v="17656.36218"/>
    <n v="7772.0399999999991"/>
    <n v="9884.322180000001"/>
    <n v="0.55981646044825306"/>
  </r>
  <r>
    <s v="ORD-2025-997421"/>
    <d v="2025-05-21T00:00:00"/>
    <d v="2025-06-09T00:00:00"/>
    <n v="19"/>
    <x v="8"/>
    <s v="Q2-2025"/>
    <x v="2"/>
    <s v="Brazil"/>
    <s v="São Paulo"/>
    <s v="Non-Profit"/>
    <x v="1"/>
    <s v="A. Patel"/>
    <s v="Components"/>
    <s v="CMP-3731"/>
    <n v="1331.38"/>
    <s v="High"/>
    <n v="2309.56"/>
    <n v="0.14899999999999999"/>
    <n v="31"/>
    <n v="5259.5799699999998"/>
    <n v="41272.780000000006"/>
    <n v="-36013.200030000007"/>
    <n v="-6.8471627459635354"/>
  </r>
  <r>
    <s v="ORD-2024-210687"/>
    <d v="2024-01-28T00:00:00"/>
    <d v="2024-02-09T00:00:00"/>
    <n v="12"/>
    <x v="9"/>
    <s v="Q1-2024"/>
    <x v="3"/>
    <s v="Germany"/>
    <s v="Berlin"/>
    <s v="Corporate"/>
    <x v="1"/>
    <s v="G. Dubois"/>
    <s v="Accessories"/>
    <s v="ACC-7938"/>
    <n v="644.16999999999996"/>
    <s v="High"/>
    <n v="700.12"/>
    <n v="6.0000000000000001E-3"/>
    <n v="23"/>
    <n v="21204.733619999999"/>
    <n v="14815.91"/>
    <n v="6388.8236199999992"/>
    <n v="0.30129233097152197"/>
  </r>
  <r>
    <s v="ORD-2025-515515"/>
    <d v="2025-01-03T00:00:00"/>
    <d v="2025-01-23T00:00:00"/>
    <n v="20"/>
    <x v="10"/>
    <s v="Q1-2025"/>
    <x v="1"/>
    <s v="Japan"/>
    <s v="Osaka"/>
    <s v="Corporate"/>
    <x v="3"/>
    <s v="F. Müller"/>
    <s v="Phones"/>
    <s v="PHN-7019"/>
    <n v="908.6"/>
    <s v="High"/>
    <n v="691.37"/>
    <n v="0.25"/>
    <n v="20"/>
    <n v="26031.15"/>
    <n v="18172"/>
    <n v="7859.1500000000015"/>
    <n v="0.30191328466087747"/>
  </r>
  <r>
    <s v="ORD-2025-487261"/>
    <d v="2025-03-06T00:00:00"/>
    <d v="2025-03-31T00:00:00"/>
    <n v="25"/>
    <x v="3"/>
    <s v="Q1-2025"/>
    <x v="2"/>
    <s v="Brazil"/>
    <s v="Brasília"/>
    <s v="Non-Profit"/>
    <x v="1"/>
    <s v="J. Njeri"/>
    <s v="Components"/>
    <s v="CMP-3693"/>
    <n v="331.57"/>
    <s v="High"/>
    <n v="548.4"/>
    <n v="9.4E-2"/>
    <n v="10"/>
    <n v="12644.498400000002"/>
    <n v="3315.7"/>
    <n v="9328.7984000000033"/>
    <n v="0.73777528415045723"/>
  </r>
  <r>
    <s v="ORD-2024-890180"/>
    <d v="2024-01-20T00:00:00"/>
    <d v="2024-02-13T00:00:00"/>
    <n v="24"/>
    <x v="9"/>
    <s v="Q1-2024"/>
    <x v="3"/>
    <s v="France"/>
    <s v="Marseille"/>
    <s v="Corporate"/>
    <x v="0"/>
    <s v="H. Kim"/>
    <s v="Printers"/>
    <s v="PRN-8392"/>
    <n v="643.53"/>
    <s v="High"/>
    <n v="1439.01"/>
    <n v="0"/>
    <n v="15"/>
    <n v="6816.3"/>
    <n v="9652.9499999999989"/>
    <n v="-2836.6499999999987"/>
    <n v="-0.4161568592931647"/>
  </r>
  <r>
    <s v="ORD-2025-840976"/>
    <d v="2025-09-01T00:00:00"/>
    <d v="2025-09-30T00:00:00"/>
    <n v="29"/>
    <x v="11"/>
    <s v="Q3-2025"/>
    <x v="2"/>
    <s v="Brazil"/>
    <s v="Brasília"/>
    <s v="Education"/>
    <x v="0"/>
    <s v="K. Singh"/>
    <s v="Accessories"/>
    <s v="ACC-1663"/>
    <n v="780.59"/>
    <s v="High"/>
    <n v="631.57000000000005"/>
    <n v="0"/>
    <n v="12"/>
    <n v="18971.64"/>
    <n v="9367.08"/>
    <n v="9604.56"/>
    <n v="0.50625881579030596"/>
  </r>
  <r>
    <s v="ORD-2023-937291"/>
    <d v="2023-04-23T00:00:00"/>
    <d v="2023-04-22T00:00:00"/>
    <n v="1"/>
    <x v="12"/>
    <s v="Q2-2023"/>
    <x v="0"/>
    <s v="Kenya"/>
    <s v="Nairobi"/>
    <s v="Small Business"/>
    <x v="4"/>
    <s v="E. Garcia"/>
    <s v="Laptops"/>
    <s v="LAP-1698"/>
    <n v="756.51"/>
    <s v="High"/>
    <n v="850.8"/>
    <n v="7.3999999999999996E-2"/>
    <n v="9"/>
    <n v="14666.089860000002"/>
    <n v="6808.59"/>
    <n v="7857.4998600000017"/>
    <n v="0.53575969702943038"/>
  </r>
  <r>
    <s v="ORD-2024-206081"/>
    <d v="2024-12-10T00:00:00"/>
    <d v="2025-01-08T00:00:00"/>
    <n v="29"/>
    <x v="6"/>
    <s v="Q4-2024"/>
    <x v="3"/>
    <s v="France"/>
    <s v="Marseille"/>
    <s v="Small Business"/>
    <x v="0"/>
    <s v="K. Singh"/>
    <s v="Printers"/>
    <s v="PRN-6791"/>
    <n v="891.08"/>
    <s v="High"/>
    <n v="1040.0999999999999"/>
    <n v="0.109"/>
    <n v="28"/>
    <n v="79945.865999999995"/>
    <n v="24950.240000000002"/>
    <n v="54995.625999999989"/>
    <n v="0.68791081705212864"/>
  </r>
  <r>
    <s v="ORD-2025-233883"/>
    <d v="2025-09-08T00:00:00"/>
    <d v="2025-09-16T00:00:00"/>
    <n v="8"/>
    <x v="11"/>
    <s v="Q3-2025"/>
    <x v="1"/>
    <s v="Japan"/>
    <s v="Osaka"/>
    <s v="Corporate"/>
    <x v="3"/>
    <s v="C. Otieno"/>
    <s v="Phones"/>
    <s v="PHN-1197"/>
    <n v="1225.57"/>
    <s v="High"/>
    <n v="2705.57"/>
    <n v="0.183"/>
    <n v="16"/>
    <n v="14842.34096"/>
    <n v="19609.12"/>
    <n v="-4766.7790399999994"/>
    <n v="-0.32116086356232038"/>
  </r>
  <r>
    <s v="ORD-2025-843974"/>
    <d v="2025-07-20T00:00:00"/>
    <d v="2025-08-05T00:00:00"/>
    <n v="16"/>
    <x v="13"/>
    <s v="Q3-2025"/>
    <x v="2"/>
    <s v="Brazil"/>
    <s v="Brasília"/>
    <s v="Enterprise"/>
    <x v="2"/>
    <s v="G. Dubois"/>
    <s v="Accessories"/>
    <s v="ACC-8098"/>
    <n v="1068.17"/>
    <s v="High"/>
    <n v="2375.37"/>
    <n v="0.109"/>
    <n v="18"/>
    <n v="15979.62168"/>
    <n v="19227.060000000001"/>
    <n v="-3247.4383200000011"/>
    <n v="-0.20322372988745258"/>
  </r>
  <r>
    <s v="ORD-2025-745263"/>
    <d v="2025-05-21T00:00:00"/>
    <d v="2025-05-19T00:00:00"/>
    <n v="2"/>
    <x v="8"/>
    <s v="Q2-2025"/>
    <x v="3"/>
    <s v="United Kingdom"/>
    <s v="Birmingham"/>
    <s v="Enterprise"/>
    <x v="1"/>
    <s v="M. Rossi"/>
    <s v="Laptops"/>
    <s v="LAP-3385"/>
    <n v="1015.16"/>
    <s v="High"/>
    <n v="2148.14"/>
    <n v="3.7999999999999999E-2"/>
    <n v="19"/>
    <n v="25535.279900000001"/>
    <n v="19288.04"/>
    <n v="6247.2399000000005"/>
    <n v="0.24465131866441769"/>
  </r>
  <r>
    <s v="ORD-2024-798002"/>
    <d v="2024-07-25T00:00:00"/>
    <d v="2024-07-24T00:00:00"/>
    <n v="1"/>
    <x v="14"/>
    <s v="Q3-2024"/>
    <x v="0"/>
    <s v="Kenya"/>
    <s v="Mombasa"/>
    <s v="Non-Profit"/>
    <x v="4"/>
    <s v="J. Njeri"/>
    <s v="Laptops"/>
    <s v="LAP-9815"/>
    <n v="1494.4"/>
    <s v="High"/>
    <n v="3661.07"/>
    <n v="7.1999999999999995E-2"/>
    <n v="7"/>
    <n v="3565.5894400000002"/>
    <n v="10460.800000000001"/>
    <n v="-6895.2105600000014"/>
    <n v="-1.9338206700544864"/>
  </r>
  <r>
    <s v="ORD-2023-867836"/>
    <d v="2023-05-11T00:00:00"/>
    <d v="2023-05-28T00:00:00"/>
    <n v="17"/>
    <x v="15"/>
    <s v="Q2-2023"/>
    <x v="1"/>
    <s v="China"/>
    <s v="Shenzhen"/>
    <s v="Enterprise"/>
    <x v="2"/>
    <s v="E. Garcia"/>
    <s v="Networking"/>
    <s v="NET-3255"/>
    <n v="1331.19"/>
    <s v="High"/>
    <n v="2903.09"/>
    <n v="0.14299999999999999"/>
    <n v="8"/>
    <n v="24160.543999999998"/>
    <n v="10649.52"/>
    <n v="13511.023999999998"/>
    <n v="0.55921853415221112"/>
  </r>
  <r>
    <s v="ORD-2025-580047"/>
    <d v="2025-06-14T00:00:00"/>
    <d v="2025-06-29T00:00:00"/>
    <n v="15"/>
    <x v="16"/>
    <s v="Q2-2025"/>
    <x v="0"/>
    <s v="Nigeria"/>
    <s v="Port Harcourt"/>
    <s v="Consumer"/>
    <x v="2"/>
    <s v="M. Rossi"/>
    <s v="Accessories"/>
    <s v="ACC-3961"/>
    <n v="730.99"/>
    <s v="High"/>
    <n v="1242.8399999999999"/>
    <n v="0.12"/>
    <n v="10"/>
    <n v="16065.367999999999"/>
    <n v="7309.9"/>
    <n v="8755.4679999999989"/>
    <n v="0.54499019256826231"/>
  </r>
  <r>
    <s v="ORD-2024-500109"/>
    <d v="2024-05-18T00:00:00"/>
    <d v="2024-05-23T00:00:00"/>
    <n v="5"/>
    <x v="7"/>
    <s v="Q2-2024"/>
    <x v="2"/>
    <s v="USA"/>
    <s v="Chicago"/>
    <s v="Enterprise"/>
    <x v="0"/>
    <s v="H. Kim"/>
    <s v="Laptops"/>
    <s v="LAP-4987"/>
    <n v="1274.5899999999999"/>
    <s v="High"/>
    <n v="2553.69"/>
    <n v="0.01"/>
    <n v="8"/>
    <n v="14187.650399999999"/>
    <n v="10196.719999999999"/>
    <n v="3990.9303999999993"/>
    <n v="0.28129607704458237"/>
  </r>
  <r>
    <s v="ORD-2023-271836"/>
    <d v="2023-02-07T00:00:00"/>
    <d v="2023-02-12T00:00:00"/>
    <n v="5"/>
    <x v="2"/>
    <s v="Q1-2023"/>
    <x v="2"/>
    <s v="Brazil"/>
    <s v="São Paulo"/>
    <s v="Education"/>
    <x v="1"/>
    <s v="N. Brown"/>
    <s v="Components"/>
    <s v="CMP-2693"/>
    <n v="948.55"/>
    <s v="High"/>
    <n v="2089.16"/>
    <n v="7.0000000000000001E-3"/>
    <n v="12"/>
    <n v="31336.100999999999"/>
    <n v="11382.599999999999"/>
    <n v="19953.501"/>
    <n v="0.63675761703729516"/>
  </r>
  <r>
    <s v="ORD-2024-215294"/>
    <d v="2024-06-30T00:00:00"/>
    <d v="2024-07-14T00:00:00"/>
    <n v="14"/>
    <x v="17"/>
    <s v="Q2-2024"/>
    <x v="2"/>
    <s v="Brazil"/>
    <s v="Brasília"/>
    <s v="Education"/>
    <x v="0"/>
    <s v="C. Otieno"/>
    <s v="Accessories"/>
    <s v="ACC-8683"/>
    <n v="1491.85"/>
    <s v="High"/>
    <n v="2583.02"/>
    <n v="0.16800000000000001"/>
    <n v="4"/>
    <n v="353.76639999999998"/>
    <n v="5967.4"/>
    <n v="-5613.6335999999992"/>
    <n v="-15.868193248426079"/>
  </r>
  <r>
    <s v="ORD-2024-788105"/>
    <d v="2024-11-30T00:00:00"/>
    <d v="2024-12-30T00:00:00"/>
    <n v="0"/>
    <x v="18"/>
    <s v="Q4-2024"/>
    <x v="3"/>
    <s v="France"/>
    <s v="Marseille"/>
    <s v="Consumer"/>
    <x v="2"/>
    <s v="F. Müller"/>
    <s v="Printers"/>
    <s v="PRN-4170"/>
    <n v="117.64"/>
    <s v="Medium"/>
    <n v="175.67"/>
    <n v="0"/>
    <n v="10"/>
    <n v="3857.2000000000003"/>
    <n v="1176.4000000000001"/>
    <n v="2680.8"/>
    <n v="0.69501192574924819"/>
  </r>
  <r>
    <s v="ORD-2024-855073"/>
    <d v="2024-07-19T00:00:00"/>
    <d v="2024-07-19T00:00:00"/>
    <n v="0"/>
    <x v="14"/>
    <s v="Q3-2024"/>
    <x v="0"/>
    <s v="Kenya"/>
    <s v="Kisumu"/>
    <s v="Small Business"/>
    <x v="0"/>
    <s v="A. Patel"/>
    <s v="Phones"/>
    <s v="PHN-6854"/>
    <n v="857.24"/>
    <s v="High"/>
    <n v="758.23"/>
    <n v="0.125"/>
    <n v="6"/>
    <n v="1243.5675000000001"/>
    <n v="5143.4400000000005"/>
    <n v="-3899.8725000000004"/>
    <n v="-3.1360360414694015"/>
  </r>
  <r>
    <s v="ORD-2023-897079"/>
    <d v="2023-04-14T00:00:00"/>
    <d v="2023-05-14T00:00:00"/>
    <n v="0"/>
    <x v="12"/>
    <s v="Q2-2023"/>
    <x v="0"/>
    <s v="Kenya"/>
    <s v="Nakuru"/>
    <s v="Consumer"/>
    <x v="2"/>
    <s v="M. Rossi"/>
    <s v="Phones"/>
    <s v="PHN-1784"/>
    <n v="209.25"/>
    <s v="High"/>
    <n v="434.8"/>
    <n v="0"/>
    <n v="9"/>
    <n v="377.09999999999997"/>
    <n v="1883.25"/>
    <n v="-1506.15"/>
    <n v="-3.9940334128878288"/>
  </r>
  <r>
    <s v="ORD-2025-548982"/>
    <d v="2025-04-07T00:00:00"/>
    <d v="2025-04-11T00:00:00"/>
    <n v="4"/>
    <x v="19"/>
    <s v="Q2-2025"/>
    <x v="3"/>
    <s v="France"/>
    <s v="Lyon"/>
    <s v="Education"/>
    <x v="0"/>
    <s v="E. Garcia"/>
    <s v="Networking"/>
    <s v="NET-9716"/>
    <n v="754.77"/>
    <s v="High"/>
    <n v="1666.18"/>
    <n v="0.13900000000000001"/>
    <n v="14"/>
    <n v="11781.338519999999"/>
    <n v="10566.779999999999"/>
    <n v="1214.5585200000005"/>
    <n v="0.10309172577786183"/>
  </r>
  <r>
    <s v="ORD-2024-170313"/>
    <d v="2024-12-27T00:00:00"/>
    <d v="2025-01-15T00:00:00"/>
    <n v="19"/>
    <x v="6"/>
    <s v="Q4-2024"/>
    <x v="1"/>
    <s v="India"/>
    <s v="Delhi"/>
    <s v="Non-Profit"/>
    <x v="3"/>
    <s v="G. Dubois"/>
    <s v="Components"/>
    <s v="CMP-6919"/>
    <n v="495.59"/>
    <s v="High"/>
    <n v="631.78"/>
    <n v="8.6999999999999994E-2"/>
    <n v="17"/>
    <n v="43367.691729999999"/>
    <n v="8425.0299999999988"/>
    <n v="34942.66173"/>
    <n v="0.8057302645376464"/>
  </r>
  <r>
    <s v="ORD-2023-562894"/>
    <d v="2023-02-23T00:00:00"/>
    <d v="2023-03-25T00:00:00"/>
    <n v="2"/>
    <x v="2"/>
    <s v="Q1-2023"/>
    <x v="2"/>
    <s v="Canada"/>
    <s v="Montreal"/>
    <s v="Enterprise"/>
    <x v="1"/>
    <s v="D. Smith"/>
    <s v="Phones"/>
    <s v="PHN-4854"/>
    <n v="1242.6600000000001"/>
    <s v="High"/>
    <n v="1794.07"/>
    <n v="8.8999999999999996E-2"/>
    <n v="16"/>
    <n v="10231.623200000002"/>
    <n v="19882.560000000001"/>
    <n v="-9650.9367999999995"/>
    <n v="-0.94324591624914389"/>
  </r>
  <r>
    <s v="ORD-2025-474710"/>
    <d v="2025-07-24T00:00:00"/>
    <d v="2025-08-06T00:00:00"/>
    <n v="13"/>
    <x v="13"/>
    <s v="Q3-2025"/>
    <x v="0"/>
    <s v="South Africa"/>
    <s v="Johannesburg"/>
    <s v="Education"/>
    <x v="2"/>
    <s v="D. Smith"/>
    <s v="Networking"/>
    <s v="NET-7966"/>
    <n v="1463.9"/>
    <s v="High"/>
    <n v="2633.02"/>
    <n v="8.4000000000000005E-2"/>
    <n v="4"/>
    <n v="-19.309279999999998"/>
    <n v="5855.6"/>
    <n v="-5874.9092800000008"/>
    <n v="304.25315081660227"/>
  </r>
  <r>
    <s v="ORD-2024-629525"/>
    <d v="2024-04-18T00:00:00"/>
    <d v="2024-05-08T00:00:00"/>
    <n v="20"/>
    <x v="20"/>
    <s v="Q2-2024"/>
    <x v="3"/>
    <s v="United Kingdom"/>
    <s v="London"/>
    <s v="Non-Profit"/>
    <x v="5"/>
    <s v="D. Smith"/>
    <s v="Laptops"/>
    <s v="LAP-9932"/>
    <n v="645.33000000000004"/>
    <s v="High"/>
    <n v="1321.85"/>
    <n v="0"/>
    <n v="10"/>
    <n v="14370.599999999999"/>
    <n v="6453.3"/>
    <n v="7917.2999999999984"/>
    <n v="0.55093733038286496"/>
  </r>
  <r>
    <s v="ORD-2024-167215"/>
    <d v="2024-08-23T00:00:00"/>
    <d v="2024-08-21T00:00:00"/>
    <n v="2"/>
    <x v="21"/>
    <s v="Q3-2024"/>
    <x v="0"/>
    <s v="South Africa"/>
    <s v="Johannesburg"/>
    <s v="Education"/>
    <x v="0"/>
    <s v="E. Garcia"/>
    <s v="Components"/>
    <s v="CMP-1559"/>
    <n v="1432.52"/>
    <s v="High"/>
    <n v="3036.87"/>
    <n v="0"/>
    <n v="9"/>
    <n v="17207.010000000002"/>
    <n v="12892.68"/>
    <n v="4314.3300000000017"/>
    <n v="0.25073095209452434"/>
  </r>
  <r>
    <s v="ORD-2023-864121"/>
    <d v="2023-03-27T00:00:00"/>
    <d v="2023-04-22T00:00:00"/>
    <n v="26"/>
    <x v="22"/>
    <s v="Q1-2023"/>
    <x v="1"/>
    <s v="India"/>
    <s v="Delhi"/>
    <s v="Non-Profit"/>
    <x v="2"/>
    <s v="J. Njeri"/>
    <s v="Printers"/>
    <s v="PRN-4506"/>
    <n v="178.53"/>
    <s v="Medium"/>
    <n v="199.37"/>
    <n v="0.10100000000000001"/>
    <n v="37"/>
    <n v="86276.904139999999"/>
    <n v="6605.61"/>
    <n v="79671.294139999998"/>
    <n v="0.92343709981432354"/>
  </r>
  <r>
    <s v="ORD-2024-692673"/>
    <d v="2024-03-07T00:00:00"/>
    <d v="2024-03-25T00:00:00"/>
    <n v="18"/>
    <x v="0"/>
    <s v="Q1-2024"/>
    <x v="3"/>
    <s v="Germany"/>
    <s v="Munich"/>
    <s v="Corporate"/>
    <x v="1"/>
    <s v="B. Chen"/>
    <s v="Components"/>
    <s v="CMP-7617"/>
    <n v="712.84"/>
    <s v="High"/>
    <n v="927.51"/>
    <n v="0.24299999999999999"/>
    <n v="27"/>
    <n v="25427.751119999997"/>
    <n v="19246.68"/>
    <n v="6181.0711199999969"/>
    <n v="0.24308367227718869"/>
  </r>
  <r>
    <s v="ORD-2025-718992"/>
    <d v="2025-06-24T00:00:00"/>
    <d v="2025-07-10T00:00:00"/>
    <n v="16"/>
    <x v="16"/>
    <s v="Q2-2025"/>
    <x v="1"/>
    <s v="China"/>
    <s v="Shanghai"/>
    <s v="Enterprise"/>
    <x v="4"/>
    <s v="N. Brown"/>
    <s v="Components"/>
    <s v="CMP-8390"/>
    <n v="757.19"/>
    <s v="High"/>
    <n v="1735.41"/>
    <n v="0.13600000000000001"/>
    <n v="8"/>
    <n v="13219.269119999999"/>
    <n v="6057.52"/>
    <n v="7161.7491199999986"/>
    <n v="0.54176589151700383"/>
  </r>
  <r>
    <s v="ORD-2024-599522"/>
    <d v="2024-04-19T00:00:00"/>
    <d v="2024-05-06T00:00:00"/>
    <n v="17"/>
    <x v="20"/>
    <s v="Q2-2024"/>
    <x v="0"/>
    <s v="Nigeria"/>
    <s v="Port Harcourt"/>
    <s v="Non-Profit"/>
    <x v="1"/>
    <s v="A. Patel"/>
    <s v="Printers"/>
    <s v="PRN-7303"/>
    <n v="865.33"/>
    <s v="High"/>
    <n v="1395.64"/>
    <n v="0.17499999999999999"/>
    <n v="13"/>
    <n v="8106.7057499999992"/>
    <n v="11249.29"/>
    <n v="-3142.5842500000017"/>
    <n v="-0.38765243822991874"/>
  </r>
  <r>
    <s v="ORD-2023-651638"/>
    <d v="2023-06-17T00:00:00"/>
    <d v="2023-06-24T00:00:00"/>
    <n v="7"/>
    <x v="23"/>
    <s v="Q2-2023"/>
    <x v="2"/>
    <s v="USA"/>
    <s v="San Francisco"/>
    <s v="Corporate"/>
    <x v="0"/>
    <s v="I. Johnson"/>
    <s v="Printers"/>
    <s v="PRN-6536"/>
    <n v="313.99"/>
    <s v="High"/>
    <n v="454.42"/>
    <n v="0.129"/>
    <n v="9"/>
    <n v="8980.9071300000014"/>
    <n v="2825.91"/>
    <n v="6154.9971300000016"/>
    <n v="0.68534247608904963"/>
  </r>
  <r>
    <s v="ORD-2024-635626"/>
    <d v="2024-08-27T00:00:00"/>
    <d v="2024-09-19T00:00:00"/>
    <n v="23"/>
    <x v="21"/>
    <s v="Q3-2024"/>
    <x v="3"/>
    <s v="Germany"/>
    <s v="Berlin"/>
    <s v="Small Business"/>
    <x v="4"/>
    <s v="D. Smith"/>
    <s v="Monitors"/>
    <s v="MON-9967"/>
    <n v="1024.01"/>
    <s v="High"/>
    <n v="1580.97"/>
    <n v="3.6999999999999998E-2"/>
    <n v="27"/>
    <n v="32087.834099999996"/>
    <n v="27648.27"/>
    <n v="4439.564099999996"/>
    <n v="0.13835661472707492"/>
  </r>
  <r>
    <s v="ORD-2024-296582"/>
    <d v="2024-01-11T00:00:00"/>
    <d v="2024-02-02T00:00:00"/>
    <n v="22"/>
    <x v="9"/>
    <s v="Q1-2024"/>
    <x v="0"/>
    <s v="South Africa"/>
    <s v="Durban"/>
    <s v="Consumer"/>
    <x v="1"/>
    <s v="K. Singh"/>
    <s v="Networking"/>
    <s v="NET-1412"/>
    <n v="1206.2"/>
    <s v="High"/>
    <n v="1759.79"/>
    <n v="0"/>
    <n v="6"/>
    <n v="7368.0599999999995"/>
    <n v="7237.2000000000007"/>
    <n v="130.85999999999876"/>
    <n v="1.7760441690214082E-2"/>
  </r>
  <r>
    <s v="ORD-2024-998320"/>
    <d v="2024-10-25T00:00:00"/>
    <d v="2024-11-14T00:00:00"/>
    <n v="20"/>
    <x v="1"/>
    <s v="Q4-2024"/>
    <x v="0"/>
    <s v="Kenya"/>
    <s v="Mombasa"/>
    <s v="Corporate"/>
    <x v="4"/>
    <s v="H. Kim"/>
    <s v="Printers"/>
    <s v="PRN-3143"/>
    <n v="1396.48"/>
    <s v="High"/>
    <n v="3204.5"/>
    <n v="0.318"/>
    <n v="14"/>
    <n v="5778.7360400000007"/>
    <n v="19550.72"/>
    <n v="-13771.983960000001"/>
    <n v="-2.3832173445319715"/>
  </r>
  <r>
    <s v="ORD-2025-820255"/>
    <d v="2025-05-29T00:00:00"/>
    <d v="2025-06-20T00:00:00"/>
    <n v="22"/>
    <x v="8"/>
    <s v="Q2-2025"/>
    <x v="3"/>
    <s v="Germany"/>
    <s v="Berlin"/>
    <s v="Corporate"/>
    <x v="4"/>
    <s v="A. Patel"/>
    <s v="Printers"/>
    <s v="PRN-9787"/>
    <n v="483.47"/>
    <s v="High"/>
    <n v="1135.43"/>
    <n v="0.14599999999999999"/>
    <n v="11"/>
    <n v="17662.129100000002"/>
    <n v="5318.17"/>
    <n v="12343.959100000002"/>
    <n v="0.6988941723905755"/>
  </r>
  <r>
    <s v="ORD-2024-389336"/>
    <d v="2024-05-20T00:00:00"/>
    <d v="2024-06-02T00:00:00"/>
    <n v="13"/>
    <x v="7"/>
    <s v="Q2-2024"/>
    <x v="2"/>
    <s v="Canada"/>
    <s v="Vancouver"/>
    <s v="Enterprise"/>
    <x v="2"/>
    <s v="K. Singh"/>
    <s v="Components"/>
    <s v="CMP-5946"/>
    <n v="675.43"/>
    <s v="High"/>
    <n v="996.36"/>
    <n v="0.182"/>
    <n v="22"/>
    <n v="22844.122400000004"/>
    <n v="14859.46"/>
    <n v="7984.6624000000047"/>
    <n v="0.34952808692707771"/>
  </r>
  <r>
    <s v="ORD-2023-308124"/>
    <d v="2023-04-19T00:00:00"/>
    <d v="2023-04-30T00:00:00"/>
    <n v="11"/>
    <x v="12"/>
    <s v="Q2-2023"/>
    <x v="1"/>
    <s v="India"/>
    <s v="Delhi"/>
    <s v="Small Business"/>
    <x v="0"/>
    <s v="A. Patel"/>
    <s v="Networking"/>
    <s v="NET-2062"/>
    <n v="826.55"/>
    <s v="High"/>
    <n v="1397.05"/>
    <n v="0.16900000000000001"/>
    <n v="28"/>
    <n v="14447.799239999997"/>
    <n v="23143.399999999998"/>
    <n v="-8695.6007600000012"/>
    <n v="-0.6018633437212686"/>
  </r>
  <r>
    <s v="ORD-2023-128295"/>
    <d v="2023-06-23T00:00:00"/>
    <d v="2023-07-03T00:00:00"/>
    <n v="10"/>
    <x v="23"/>
    <s v="Q2-2023"/>
    <x v="0"/>
    <s v="Nigeria"/>
    <s v="Abuja"/>
    <s v="Consumer"/>
    <x v="1"/>
    <s v="J. Njeri"/>
    <s v="Printers"/>
    <s v="PRN-2542"/>
    <n v="337.75"/>
    <s v="High"/>
    <n v="548.89"/>
    <n v="0"/>
    <n v="13"/>
    <n v="18926.830000000002"/>
    <n v="4390.75"/>
    <n v="14536.080000000002"/>
    <n v="0.76801450639119173"/>
  </r>
  <r>
    <s v="ORD-2024-548345"/>
    <d v="2024-05-14T00:00:00"/>
    <d v="2024-05-28T00:00:00"/>
    <n v="14"/>
    <x v="7"/>
    <s v="Q2-2024"/>
    <x v="3"/>
    <s v="United Kingdom"/>
    <s v="Birmingham"/>
    <s v="Consumer"/>
    <x v="0"/>
    <s v="B. Chen"/>
    <s v="Networking"/>
    <s v="NET-2365"/>
    <n v="1421.14"/>
    <s v="High"/>
    <n v="3524"/>
    <n v="0"/>
    <n v="31"/>
    <n v="16939.329999999998"/>
    <n v="44055.340000000004"/>
    <n v="-27116.010000000006"/>
    <n v="-1.6007722855626527"/>
  </r>
  <r>
    <s v="ORD-2024-966651"/>
    <d v="2024-10-14T00:00:00"/>
    <d v="2024-11-08T00:00:00"/>
    <n v="25"/>
    <x v="1"/>
    <s v="Q4-2024"/>
    <x v="0"/>
    <s v="Nigeria"/>
    <s v="Lagos"/>
    <s v="Enterprise"/>
    <x v="1"/>
    <s v="O. Wang"/>
    <s v="Networking"/>
    <s v="NET-5268"/>
    <n v="859.35"/>
    <s v="High"/>
    <n v="1825.61"/>
    <n v="0.187"/>
    <n v="24"/>
    <n v="26300.615040000001"/>
    <n v="20624.400000000001"/>
    <n v="5676.2150399999991"/>
    <n v="0.21582061983596865"/>
  </r>
  <r>
    <s v="ORD-2023-292714"/>
    <d v="2023-07-10T00:00:00"/>
    <d v="2023-08-01T00:00:00"/>
    <n v="22"/>
    <x v="24"/>
    <s v="Q3-2023"/>
    <x v="3"/>
    <s v="France"/>
    <s v="Marseille"/>
    <s v="Consumer"/>
    <x v="2"/>
    <s v="B. Chen"/>
    <s v="Printers"/>
    <s v="PRN-1504"/>
    <n v="1303.56"/>
    <s v="High"/>
    <n v="1791.37"/>
    <n v="0.126"/>
    <n v="22"/>
    <n v="21312.892040000002"/>
    <n v="28678.32"/>
    <n v="-7365.4279599999973"/>
    <n v="-0.34558557075110097"/>
  </r>
  <r>
    <s v="ORD-2024-468501"/>
    <d v="2024-11-06T00:00:00"/>
    <d v="2024-11-22T00:00:00"/>
    <n v="16"/>
    <x v="18"/>
    <s v="Q4-2024"/>
    <x v="2"/>
    <s v="Canada"/>
    <s v="Toronto"/>
    <s v="Non-Profit"/>
    <x v="3"/>
    <s v="D. Smith"/>
    <s v="Accessories"/>
    <s v="ACC-6348"/>
    <n v="1454.11"/>
    <s v="High"/>
    <n v="2629.75"/>
    <n v="0.29199999999999998"/>
    <n v="8"/>
    <n v="17808.182399999998"/>
    <n v="11632.88"/>
    <n v="6175.3023999999987"/>
    <n v="0.34676769707839467"/>
  </r>
  <r>
    <s v="ORD-2024-260775"/>
    <d v="2024-10-17T00:00:00"/>
    <d v="2024-11-06T00:00:00"/>
    <n v="20"/>
    <x v="1"/>
    <s v="Q4-2024"/>
    <x v="1"/>
    <s v="India"/>
    <s v="Bengaluru"/>
    <s v="Enterprise"/>
    <x v="3"/>
    <s v="O. Wang"/>
    <s v="Monitors"/>
    <s v="MON-4330"/>
    <n v="72.94"/>
    <s v="Medium"/>
    <n v="106.3"/>
    <n v="0.29499999999999998"/>
    <n v="8"/>
    <n v="11819.917200000002"/>
    <n v="583.52"/>
    <n v="11236.397200000001"/>
    <n v="0.95063247989588284"/>
  </r>
  <r>
    <s v="ORD-2023-419187"/>
    <d v="2023-03-31T00:00:00"/>
    <d v="2023-04-05T00:00:00"/>
    <n v="5"/>
    <x v="22"/>
    <s v="Q1-2023"/>
    <x v="0"/>
    <s v="Kenya"/>
    <s v="Nakuru"/>
    <s v="Education"/>
    <x v="2"/>
    <s v="B. Chen"/>
    <s v="Laptops"/>
    <s v="LAP-7819"/>
    <n v="533.26"/>
    <s v="High"/>
    <n v="385.72"/>
    <n v="0"/>
    <n v="15"/>
    <n v="10554.3"/>
    <n v="7998.9"/>
    <n v="2555.3999999999996"/>
    <n v="0.24211932577243397"/>
  </r>
  <r>
    <s v="ORD-2025-578007"/>
    <d v="2025-01-21T00:00:00"/>
    <d v="2025-02-16T00:00:00"/>
    <n v="26"/>
    <x v="10"/>
    <s v="Q1-2025"/>
    <x v="3"/>
    <s v="France"/>
    <s v="Lyon"/>
    <s v="Corporate"/>
    <x v="3"/>
    <s v="O. Wang"/>
    <s v="Laptops"/>
    <s v="LAP-3779"/>
    <n v="204.11"/>
    <s v="High"/>
    <n v="236.87"/>
    <n v="0.182"/>
    <n v="13"/>
    <n v="21238.118460000002"/>
    <n v="2653.4300000000003"/>
    <n v="18584.688460000001"/>
    <n v="0.87506284961177294"/>
  </r>
  <r>
    <s v="ORD-2023-235230"/>
    <d v="2023-08-30T00:00:00"/>
    <d v="2023-09-01T00:00:00"/>
    <n v="2"/>
    <x v="25"/>
    <s v="Q3-2023"/>
    <x v="3"/>
    <s v="Germany"/>
    <s v="Munich"/>
    <s v="Corporate"/>
    <x v="4"/>
    <s v="N. Brown"/>
    <s v="Networking"/>
    <s v="NET-9989"/>
    <n v="44.42"/>
    <s v="Low"/>
    <n v="41.9"/>
    <n v="0.14399999999999999"/>
    <n v="6"/>
    <n v="14195.647199999998"/>
    <n v="266.52"/>
    <n v="13929.127199999997"/>
    <n v="0.9812252307876459"/>
  </r>
  <r>
    <s v="ORD-2025-765220"/>
    <d v="2025-04-06T00:00:00"/>
    <d v="2025-04-30T00:00:00"/>
    <n v="24"/>
    <x v="19"/>
    <s v="Q2-2025"/>
    <x v="2"/>
    <s v="Brazil"/>
    <s v="Brasília"/>
    <s v="Education"/>
    <x v="1"/>
    <s v="K. Singh"/>
    <s v="Monitors"/>
    <s v="MON-4925"/>
    <n v="855.78"/>
    <s v="High"/>
    <n v="977.38"/>
    <n v="0.14699999999999999"/>
    <n v="38"/>
    <n v="48735.421419999999"/>
    <n v="32519.64"/>
    <n v="16215.781419999999"/>
    <n v="0.33273091619036216"/>
  </r>
  <r>
    <s v="ORD-2025-931538"/>
    <d v="2025-02-09T00:00:00"/>
    <d v="2025-03-01T00:00:00"/>
    <n v="20"/>
    <x v="26"/>
    <s v="Q1-2025"/>
    <x v="2"/>
    <s v="Brazil"/>
    <s v="São Paulo"/>
    <s v="Corporate"/>
    <x v="3"/>
    <s v="B. Chen"/>
    <s v="Laptops"/>
    <s v="LAP-6989"/>
    <n v="1154.6400000000001"/>
    <s v="High"/>
    <n v="2794.13"/>
    <n v="3.5000000000000003E-2"/>
    <n v="11"/>
    <n v="4119.0446000000002"/>
    <n v="12701.04"/>
    <n v="-8581.9953999999998"/>
    <n v="-2.0834917398078185"/>
  </r>
  <r>
    <s v="ORD-2024-289089"/>
    <d v="2024-12-17T00:00:00"/>
    <d v="2024-12-18T00:00:00"/>
    <n v="1"/>
    <x v="6"/>
    <s v="Q4-2024"/>
    <x v="3"/>
    <s v="Germany"/>
    <s v="Munich"/>
    <s v="Education"/>
    <x v="0"/>
    <s v="L. Okafor"/>
    <s v="Accessories"/>
    <s v="ACC-5780"/>
    <n v="346.82"/>
    <s v="High"/>
    <n v="701.95"/>
    <n v="0.14699999999999999"/>
    <n v="8"/>
    <n v="304.14567999999997"/>
    <n v="2774.56"/>
    <n v="-2470.4143199999999"/>
    <n v="-8.122470521363315"/>
  </r>
  <r>
    <s v="ORD-2025-639542"/>
    <d v="2025-06-09T00:00:00"/>
    <d v="2025-06-18T00:00:00"/>
    <n v="9"/>
    <x v="16"/>
    <s v="Q2-2025"/>
    <x v="3"/>
    <s v="France"/>
    <s v="Marseille"/>
    <s v="Small Business"/>
    <x v="2"/>
    <s v="H. Kim"/>
    <s v="Accessories"/>
    <s v="ACC-1770"/>
    <n v="1225.5"/>
    <s v="Low"/>
    <n v="-5.27"/>
    <n v="7.4999999999999997E-2"/>
    <n v="56"/>
    <n v="93667.868000000002"/>
    <n v="68628"/>
    <n v="25039.868000000002"/>
    <n v="0.2673261229774121"/>
  </r>
  <r>
    <s v="ORD-2025-762301"/>
    <d v="2025-05-02T00:00:00"/>
    <d v="2025-05-13T00:00:00"/>
    <n v="11"/>
    <x v="8"/>
    <s v="Q2-2025"/>
    <x v="0"/>
    <s v="Kenya"/>
    <s v="Nakuru"/>
    <s v="Small Business"/>
    <x v="1"/>
    <s v="A. Patel"/>
    <s v="Accessories"/>
    <s v="ACC-2252"/>
    <n v="1057.5999999999999"/>
    <s v="High"/>
    <n v="1437.06"/>
    <n v="0.20499999999999999"/>
    <n v="4"/>
    <n v="4086.5861999999997"/>
    <n v="4230.3999999999996"/>
    <n v="-143.8137999999999"/>
    <n v="-3.5191671718560573E-2"/>
  </r>
  <r>
    <s v="ORD-2024-906395"/>
    <d v="2024-03-10T00:00:00"/>
    <d v="2024-04-09T00:00:00"/>
    <n v="30"/>
    <x v="0"/>
    <s v="Q1-2024"/>
    <x v="3"/>
    <s v="France"/>
    <s v="Lyon"/>
    <s v="Corporate"/>
    <x v="4"/>
    <s v="I. Johnson"/>
    <s v="Components"/>
    <s v="CMP-8002"/>
    <n v="1176.56"/>
    <s v="High"/>
    <n v="1911.89"/>
    <n v="0.11899999999999999"/>
    <n v="20"/>
    <n v="29568.826800000003"/>
    <n v="23531.199999999997"/>
    <n v="6037.6268000000055"/>
    <n v="0.20418891966319086"/>
  </r>
  <r>
    <s v="ORD-2025-779574"/>
    <d v="2025-09-10T00:00:00"/>
    <d v="2025-09-12T00:00:00"/>
    <n v="2"/>
    <x v="11"/>
    <s v="Q3-2025"/>
    <x v="1"/>
    <s v="Japan"/>
    <s v="Tokyo"/>
    <s v="Consumer"/>
    <x v="1"/>
    <s v="O. Wang"/>
    <s v="Components"/>
    <s v="CMP-6971"/>
    <n v="1470.15"/>
    <s v="High"/>
    <n v="2593.7800000000002"/>
    <n v="0.11"/>
    <n v="12"/>
    <n v="7255.4580000000005"/>
    <n v="17641.800000000003"/>
    <n v="-10386.342000000002"/>
    <n v="-1.4315212078961799"/>
  </r>
  <r>
    <s v="ORD-2025-526650"/>
    <d v="2025-04-27T00:00:00"/>
    <d v="2025-05-25T00:00:00"/>
    <n v="28"/>
    <x v="19"/>
    <s v="Q2-2025"/>
    <x v="3"/>
    <s v="France"/>
    <s v="Paris"/>
    <s v="Small Business"/>
    <x v="2"/>
    <s v="I. Johnson"/>
    <s v="Phones"/>
    <s v="PHN-8350"/>
    <n v="603.45000000000005"/>
    <s v="High"/>
    <n v="1244.08"/>
    <n v="0.2"/>
    <n v="11"/>
    <n v="9767.2960000000003"/>
    <n v="6637.9500000000007"/>
    <n v="3129.3459999999995"/>
    <n v="0.32039020830330106"/>
  </r>
  <r>
    <s v="ORD-2024-247979"/>
    <d v="2024-11-02T00:00:00"/>
    <d v="2024-11-18T00:00:00"/>
    <n v="16"/>
    <x v="18"/>
    <s v="Q4-2024"/>
    <x v="1"/>
    <s v="India"/>
    <s v="Mumbai"/>
    <s v="Small Business"/>
    <x v="3"/>
    <s v="O. Wang"/>
    <s v="Monitors"/>
    <s v="MON-5188"/>
    <n v="1233.58"/>
    <s v="High"/>
    <n v="1912.51"/>
    <n v="0.255"/>
    <n v="51"/>
    <n v="3175.2421499999996"/>
    <n v="62912.579999999994"/>
    <n v="-59737.337849999996"/>
    <n v="-18.813474698299782"/>
  </r>
  <r>
    <s v="ORD-2023-480975"/>
    <d v="2023-02-15T00:00:00"/>
    <d v="2023-02-26T00:00:00"/>
    <n v="11"/>
    <x v="2"/>
    <s v="Q1-2023"/>
    <x v="0"/>
    <s v="South Africa"/>
    <s v="Johannesburg"/>
    <s v="Non-Profit"/>
    <x v="0"/>
    <s v="K. Singh"/>
    <s v="Laptops"/>
    <s v="LAP-3393"/>
    <n v="498.5"/>
    <s v="High"/>
    <n v="755.87"/>
    <n v="0.13"/>
    <n v="40"/>
    <n v="44693.64"/>
    <n v="19940"/>
    <n v="24753.64"/>
    <n v="0.55385150996875621"/>
  </r>
  <r>
    <s v="ORD-2023-239789"/>
    <d v="2023-12-03T00:00:00"/>
    <d v="2023-12-26T00:00:00"/>
    <n v="23"/>
    <x v="4"/>
    <s v="Q4-2023"/>
    <x v="2"/>
    <s v="Brazil"/>
    <s v="Rio de Janeiro"/>
    <s v="Education"/>
    <x v="0"/>
    <s v="O. Wang"/>
    <s v="Phones"/>
    <s v="PHN-4644"/>
    <n v="1303.1099999999999"/>
    <s v="High"/>
    <n v="1145.67"/>
    <n v="0.184"/>
    <n v="13"/>
    <n v="9671.5257600000004"/>
    <n v="16940.43"/>
    <n v="-7268.9042399999998"/>
    <n v="-0.75157781929952694"/>
  </r>
  <r>
    <s v="ORD-2023-548874"/>
    <d v="2023-03-19T00:00:00"/>
    <d v="2023-04-09T00:00:00"/>
    <n v="21"/>
    <x v="22"/>
    <s v="Q1-2023"/>
    <x v="3"/>
    <s v="United Kingdom"/>
    <s v="Manchester"/>
    <s v="Consumer"/>
    <x v="0"/>
    <s v="L. Okafor"/>
    <s v="Accessories"/>
    <s v="ACC-9150"/>
    <n v="1082.17"/>
    <s v="High"/>
    <n v="1234.0999999999999"/>
    <n v="0.189"/>
    <n v="16"/>
    <n v="18232.188319999997"/>
    <n v="17314.72"/>
    <n v="917.46831999999631"/>
    <n v="5.0321349467061474E-2"/>
  </r>
  <r>
    <s v="ORD-2024-347736"/>
    <d v="2024-05-22T00:00:00"/>
    <d v="2024-06-06T00:00:00"/>
    <n v="15"/>
    <x v="7"/>
    <s v="Q2-2024"/>
    <x v="1"/>
    <s v="Japan"/>
    <s v="Nagoya"/>
    <s v="Corporate"/>
    <x v="3"/>
    <s v="C. Otieno"/>
    <s v="Monitors"/>
    <s v="MON-6870"/>
    <n v="673.88"/>
    <s v="High"/>
    <n v="1228.01"/>
    <n v="0.105"/>
    <n v="13"/>
    <n v="11273.616900000001"/>
    <n v="8760.44"/>
    <n v="2513.1769000000004"/>
    <n v="0.22292551913840536"/>
  </r>
  <r>
    <s v="ORD-2023-749324"/>
    <d v="2023-08-19T00:00:00"/>
    <d v="2023-09-07T00:00:00"/>
    <n v="19"/>
    <x v="25"/>
    <s v="Q3-2023"/>
    <x v="0"/>
    <s v="South Africa"/>
    <s v="Johannesburg"/>
    <s v="Enterprise"/>
    <x v="0"/>
    <s v="D. Smith"/>
    <s v="Monitors"/>
    <s v="MON-2296"/>
    <n v="494.61"/>
    <s v="High"/>
    <n v="605.23"/>
    <n v="0.20399999999999999"/>
    <n v="18"/>
    <n v="15600.46968"/>
    <n v="8902.98"/>
    <n v="6697.4896800000006"/>
    <n v="0.42931333590464055"/>
  </r>
  <r>
    <s v="ORD-2023-809913"/>
    <d v="2023-04-21T00:00:00"/>
    <d v="2023-05-10T00:00:00"/>
    <n v="19"/>
    <x v="12"/>
    <s v="Q2-2023"/>
    <x v="1"/>
    <s v="China"/>
    <s v="Shanghai"/>
    <s v="Corporate"/>
    <x v="0"/>
    <s v="A. Patel"/>
    <s v="Components"/>
    <s v="CMP-7371"/>
    <n v="882.33"/>
    <s v="High"/>
    <n v="1880.15"/>
    <n v="0.05"/>
    <n v="5"/>
    <n v="11803.702499999998"/>
    <n v="4411.6500000000005"/>
    <n v="7392.0524999999971"/>
    <n v="0.6262486283435218"/>
  </r>
  <r>
    <s v="ORD-2024-287210"/>
    <d v="2024-03-18T00:00:00"/>
    <d v="2024-03-21T00:00:00"/>
    <n v="3"/>
    <x v="0"/>
    <s v="Q1-2024"/>
    <x v="3"/>
    <s v="Germany"/>
    <s v="Munich"/>
    <s v="Small Business"/>
    <x v="1"/>
    <s v="M. Rossi"/>
    <s v="Accessories"/>
    <s v="ACC-2761"/>
    <n v="910.63"/>
    <s v="High"/>
    <n v="1269.4000000000001"/>
    <n v="6.8000000000000005E-2"/>
    <n v="9"/>
    <n v="240.65172000000001"/>
    <n v="8195.67"/>
    <n v="-7955.0182800000002"/>
    <n v="-33.05614553679483"/>
  </r>
  <r>
    <s v="ORD-2025-640677"/>
    <d v="2025-04-09T00:00:00"/>
    <d v="2025-05-06T00:00:00"/>
    <n v="27"/>
    <x v="19"/>
    <s v="Q2-2025"/>
    <x v="2"/>
    <s v="Brazil"/>
    <s v="Brasília"/>
    <s v="Enterprise"/>
    <x v="2"/>
    <s v="F. Müller"/>
    <s v="Laptops"/>
    <s v="LAP-4517"/>
    <n v="264.19"/>
    <s v="High"/>
    <n v="620.92999999999995"/>
    <n v="0.14199999999999999"/>
    <n v="12"/>
    <n v="19527.59952"/>
    <n v="3170.2799999999997"/>
    <n v="16357.319520000001"/>
    <n v="0.83765132028885447"/>
  </r>
  <r>
    <s v="ORD-2024-939873"/>
    <d v="2024-04-12T00:00:00"/>
    <d v="2024-05-07T00:00:00"/>
    <n v="25"/>
    <x v="20"/>
    <s v="Q2-2024"/>
    <x v="0"/>
    <s v="South Africa"/>
    <s v="Johannesburg"/>
    <s v="Education"/>
    <x v="3"/>
    <s v="A. Patel"/>
    <s v="Laptops"/>
    <s v="LAP-8489"/>
    <n v="1376.51"/>
    <s v="High"/>
    <n v="1455.91"/>
    <n v="0.185"/>
    <n v="17"/>
    <n v="5807.6003499999997"/>
    <n v="23400.67"/>
    <n v="-17593.069649999998"/>
    <n v="-3.0293182364037841"/>
  </r>
  <r>
    <s v="ORD-2024-800947"/>
    <d v="2024-12-15T00:00:00"/>
    <d v="2024-12-20T00:00:00"/>
    <n v="5"/>
    <x v="6"/>
    <s v="Q4-2024"/>
    <x v="1"/>
    <s v="China"/>
    <s v="Shenzhen"/>
    <s v="Small Business"/>
    <x v="4"/>
    <s v="J. Njeri"/>
    <s v="Networking"/>
    <s v="NET-1846"/>
    <n v="717.55"/>
    <s v="High"/>
    <n v="546.42999999999995"/>
    <n v="4.7E-2"/>
    <n v="18"/>
    <n v="34328.070179999995"/>
    <n v="12915.9"/>
    <n v="21412.170179999994"/>
    <n v="0.62375106050893059"/>
  </r>
  <r>
    <s v="ORD-2023-382272"/>
    <d v="2023-05-20T00:00:00"/>
    <d v="2023-05-18T00:00:00"/>
    <n v="2"/>
    <x v="15"/>
    <s v="Q2-2023"/>
    <x v="0"/>
    <s v="South Africa"/>
    <s v="Durban"/>
    <s v="Corporate"/>
    <x v="3"/>
    <s v="A. Patel"/>
    <s v="Components"/>
    <s v="CMP-5208"/>
    <n v="917.88"/>
    <s v="High"/>
    <n v="1347.92"/>
    <n v="0.34300000000000003"/>
    <n v="5"/>
    <n v="10198.97235"/>
    <n v="4589.3999999999996"/>
    <n v="5609.5723500000004"/>
    <n v="0.55001348738826616"/>
  </r>
  <r>
    <s v="ORD-2023-722117"/>
    <d v="2023-09-18T00:00:00"/>
    <d v="2023-10-08T00:00:00"/>
    <n v="20"/>
    <x v="27"/>
    <s v="Q3-2023"/>
    <x v="1"/>
    <s v="India"/>
    <s v="Delhi"/>
    <s v="Small Business"/>
    <x v="4"/>
    <s v="B. Chen"/>
    <s v="Components"/>
    <s v="CMP-1009"/>
    <n v="825.64"/>
    <s v="High"/>
    <n v="1108.43"/>
    <n v="0.114"/>
    <n v="7"/>
    <n v="2073.2045600000001"/>
    <n v="5779.48"/>
    <n v="-3706.2754399999994"/>
    <n v="-1.7877036890175464"/>
  </r>
  <r>
    <s v="ORD-2024-446699"/>
    <d v="2024-08-28T00:00:00"/>
    <d v="2024-09-25T00:00:00"/>
    <n v="28"/>
    <x v="21"/>
    <s v="Q3-2024"/>
    <x v="2"/>
    <s v="Brazil"/>
    <s v="Rio de Janeiro"/>
    <s v="Non-Profit"/>
    <x v="1"/>
    <s v="Not Provided"/>
    <s v="Accessories"/>
    <s v="ACC-4490"/>
    <n v="1394.65"/>
    <s v="High"/>
    <n v="3144.1"/>
    <n v="0.13400000000000001"/>
    <n v="13"/>
    <n v="21984.960139999999"/>
    <n v="18130.45"/>
    <n v="3854.5101399999985"/>
    <n v="0.17532486370020767"/>
  </r>
  <r>
    <s v="ORD-2024-451005"/>
    <d v="2024-06-30T00:00:00"/>
    <d v="2024-06-28T00:00:00"/>
    <n v="2"/>
    <x v="17"/>
    <s v="Q2-2024"/>
    <x v="2"/>
    <s v="Brazil"/>
    <s v="Rio de Janeiro"/>
    <s v="Small Business"/>
    <x v="4"/>
    <s v="L. Okafor"/>
    <s v="Accessories"/>
    <s v="ACC-9162"/>
    <n v="1112.98"/>
    <s v="High"/>
    <n v="2095.73"/>
    <n v="7.1999999999999995E-2"/>
    <n v="17"/>
    <n v="3822.3670400000005"/>
    <n v="18920.66"/>
    <n v="-15098.292959999999"/>
    <n v="-3.9499851275402365"/>
  </r>
  <r>
    <s v="ORD-2023-290279"/>
    <d v="2023-06-14T00:00:00"/>
    <d v="2023-06-16T00:00:00"/>
    <n v="2"/>
    <x v="23"/>
    <s v="Q2-2023"/>
    <x v="3"/>
    <s v="United Kingdom"/>
    <s v="Manchester"/>
    <s v="Non-Profit"/>
    <x v="4"/>
    <s v="K. Singh"/>
    <s v="Components"/>
    <s v="CMP-5820"/>
    <n v="357.36"/>
    <s v="High"/>
    <n v="703.62"/>
    <n v="0.25700000000000001"/>
    <n v="20"/>
    <n v="44117.408199999998"/>
    <n v="7147.2000000000007"/>
    <n v="36970.208199999994"/>
    <n v="0.83799592288832592"/>
  </r>
  <r>
    <s v="ORD-2024-192263"/>
    <d v="2024-11-21T00:00:00"/>
    <d v="2024-12-21T00:00:00"/>
    <n v="0"/>
    <x v="18"/>
    <s v="Q4-2024"/>
    <x v="3"/>
    <s v="France"/>
    <s v="Marseille"/>
    <s v="Small Business"/>
    <x v="4"/>
    <s v="I. Johnson"/>
    <s v="Monitors"/>
    <s v="MON-7943"/>
    <n v="1122.68"/>
    <s v="High"/>
    <n v="1997.19"/>
    <n v="0.186"/>
    <n v="3"/>
    <n v="3404.8806"/>
    <n v="3368.04"/>
    <n v="36.840599999999995"/>
    <n v="1.081993888420052E-2"/>
  </r>
  <r>
    <s v="ORD-2023-159379"/>
    <d v="2023-02-08T00:00:00"/>
    <d v="2023-02-11T00:00:00"/>
    <n v="3"/>
    <x v="2"/>
    <s v="Q1-2023"/>
    <x v="0"/>
    <s v="South Africa"/>
    <s v="Cape Town"/>
    <s v="Corporate"/>
    <x v="4"/>
    <s v="M. Rossi"/>
    <s v="Networking"/>
    <s v="NET-5018"/>
    <n v="1410.05"/>
    <s v="High"/>
    <n v="2763.95"/>
    <n v="0.161"/>
    <n v="26"/>
    <n v="336.15374000000003"/>
    <n v="36661.299999999996"/>
    <n v="-36325.146259999994"/>
    <n v="-108.06110995522462"/>
  </r>
  <r>
    <s v="ORD-2023-343322"/>
    <d v="2023-08-19T00:00:00"/>
    <d v="2023-09-12T00:00:00"/>
    <n v="24"/>
    <x v="25"/>
    <s v="Q3-2023"/>
    <x v="2"/>
    <s v="Canada"/>
    <s v="Vancouver"/>
    <s v="Enterprise"/>
    <x v="0"/>
    <s v="I. Johnson"/>
    <s v="Printers"/>
    <s v="PRN-9669"/>
    <n v="1183.95"/>
    <s v="High"/>
    <n v="1503.53"/>
    <n v="0.24099999999999999"/>
    <n v="16"/>
    <n v="27333.836640000001"/>
    <n v="18943.2"/>
    <n v="8390.6366400000006"/>
    <n v="0.30696885879976488"/>
  </r>
  <r>
    <s v="ORD-2025-114382"/>
    <d v="2025-05-14T00:00:00"/>
    <d v="2025-05-24T00:00:00"/>
    <n v="10"/>
    <x v="8"/>
    <s v="Q2-2025"/>
    <x v="3"/>
    <s v="France"/>
    <s v="Paris"/>
    <s v="Small Business"/>
    <x v="2"/>
    <s v="K. Singh"/>
    <s v="Components"/>
    <s v="CMP-2865"/>
    <n v="170.39"/>
    <s v="High"/>
    <n v="388.04"/>
    <n v="8.4000000000000005E-2"/>
    <n v="15"/>
    <n v="2281.3896"/>
    <n v="2555.85"/>
    <n v="-274.46039999999994"/>
    <n v="-0.12030404627074653"/>
  </r>
  <r>
    <s v="ORD-2025-488349"/>
    <d v="2025-04-23T00:00:00"/>
    <d v="2025-04-22T00:00:00"/>
    <n v="1"/>
    <x v="19"/>
    <s v="Q2-2025"/>
    <x v="2"/>
    <s v="USA"/>
    <s v="San Francisco"/>
    <s v="Non-Profit"/>
    <x v="3"/>
    <s v="D. Smith"/>
    <s v="Monitors"/>
    <s v="MON-3371"/>
    <n v="23.24"/>
    <s v="Low"/>
    <n v="44.57"/>
    <n v="0.215"/>
    <n v="15"/>
    <n v="4198.3762500000003"/>
    <n v="348.59999999999997"/>
    <n v="3849.7762500000003"/>
    <n v="0.91696789919674304"/>
  </r>
  <r>
    <s v="ORD-2025-330203"/>
    <d v="2025-03-25T00:00:00"/>
    <d v="2025-04-17T00:00:00"/>
    <n v="23"/>
    <x v="3"/>
    <s v="Q1-2025"/>
    <x v="3"/>
    <s v="United Kingdom"/>
    <s v="London"/>
    <s v="Consumer"/>
    <x v="0"/>
    <s v="H. Kim"/>
    <s v="Networking"/>
    <s v="NET-7166"/>
    <n v="1421.19"/>
    <s v="High"/>
    <n v="1808.26"/>
    <n v="0.104"/>
    <n v="13"/>
    <n v="11939.7824"/>
    <n v="18475.47"/>
    <n v="-6535.6876000000011"/>
    <n v="-0.54738749677716081"/>
  </r>
  <r>
    <s v="ORD-2023-841426"/>
    <d v="2023-12-22T00:00:00"/>
    <d v="2023-12-23T00:00:00"/>
    <n v="1"/>
    <x v="4"/>
    <s v="Q4-2023"/>
    <x v="0"/>
    <s v="South Africa"/>
    <s v="Cape Town"/>
    <s v="Non-Profit"/>
    <x v="2"/>
    <s v="D. Smith"/>
    <s v="Components"/>
    <s v="CMP-4531"/>
    <n v="1186.18"/>
    <s v="High"/>
    <n v="1285.0899999999999"/>
    <n v="7.0000000000000007E-2"/>
    <n v="11"/>
    <n v="18364.589100000001"/>
    <n v="13047.980000000001"/>
    <n v="5316.6090999999997"/>
    <n v="0.28950329740838032"/>
  </r>
  <r>
    <s v="ORD-2024-594592"/>
    <d v="2024-04-06T00:00:00"/>
    <d v="2024-04-25T00:00:00"/>
    <n v="19"/>
    <x v="20"/>
    <s v="Q2-2024"/>
    <x v="1"/>
    <s v="China"/>
    <s v="Shanghai"/>
    <s v="Corporate"/>
    <x v="0"/>
    <s v="K. Singh"/>
    <s v="Components"/>
    <s v="CMP-8196"/>
    <n v="1366.48"/>
    <s v="High"/>
    <n v="1678.14"/>
    <n v="0.154"/>
    <n v="10"/>
    <n v="36.970199999999998"/>
    <n v="13664.8"/>
    <n v="-13627.8298"/>
    <n v="-368.61661013464897"/>
  </r>
  <r>
    <s v="ORD-2025-863978"/>
    <d v="2025-08-07T00:00:00"/>
    <d v="2025-08-19T00:00:00"/>
    <n v="12"/>
    <x v="28"/>
    <s v="Q3-2025"/>
    <x v="0"/>
    <s v="Kenya"/>
    <s v="Nakuru"/>
    <s v="Corporate"/>
    <x v="5"/>
    <s v="M. Rossi"/>
    <s v="Components"/>
    <s v="CMP-2854"/>
    <n v="601.51"/>
    <s v="High"/>
    <n v="679.35"/>
    <n v="0.188"/>
    <n v="3"/>
    <n v="532.26600000000008"/>
    <n v="1804.53"/>
    <n v="-1272.2639999999999"/>
    <n v="-2.3902785449380568"/>
  </r>
  <r>
    <s v="ORD-2024-604471"/>
    <d v="2024-01-21T00:00:00"/>
    <d v="2024-01-25T00:00:00"/>
    <n v="4"/>
    <x v="9"/>
    <s v="Q1-2024"/>
    <x v="1"/>
    <s v="India"/>
    <s v="Delhi"/>
    <s v="Consumer"/>
    <x v="4"/>
    <s v="C. Otieno"/>
    <s v="Monitors"/>
    <s v="MON-8973"/>
    <n v="523.70000000000005"/>
    <s v="High"/>
    <n v="1109.92"/>
    <n v="0.03"/>
    <n v="11"/>
    <n v="2666.1129000000001"/>
    <n v="5760.7000000000007"/>
    <n v="-3094.5871000000006"/>
    <n v="-1.160711198689298"/>
  </r>
  <r>
    <s v="ORD-2023-258768"/>
    <d v="2023-06-29T00:00:00"/>
    <d v="2023-07-02T00:00:00"/>
    <n v="3"/>
    <x v="23"/>
    <s v="Q2-2023"/>
    <x v="1"/>
    <s v="Japan"/>
    <s v="Nagoya"/>
    <s v="Education"/>
    <x v="2"/>
    <s v="F. Müller"/>
    <s v="Monitors"/>
    <s v="MON-2990"/>
    <n v="55.65"/>
    <s v="Medium"/>
    <n v="83.57"/>
    <n v="6.6000000000000003E-2"/>
    <n v="8"/>
    <n v="25677.677439999999"/>
    <n v="445.2"/>
    <n v="25232.477439999999"/>
    <n v="0.98266198331059018"/>
  </r>
  <r>
    <s v="ORD-2025-626047"/>
    <d v="2025-04-28T00:00:00"/>
    <d v="2025-05-15T00:00:00"/>
    <n v="17"/>
    <x v="19"/>
    <s v="Q2-2025"/>
    <x v="1"/>
    <s v="Japan"/>
    <s v="Nagoya"/>
    <s v="Education"/>
    <x v="4"/>
    <s v="N. Brown"/>
    <s v="Networking"/>
    <s v="NET-1966"/>
    <n v="691.19"/>
    <s v="High"/>
    <n v="1284.3"/>
    <n v="7.3999999999999996E-2"/>
    <n v="7"/>
    <n v="346.46290000000005"/>
    <n v="4838.33"/>
    <n v="-4491.8670999999995"/>
    <n v="-12.964929578318483"/>
  </r>
  <r>
    <s v="ORD-2025-526752"/>
    <d v="2025-06-09T00:00:00"/>
    <d v="2025-06-25T00:00:00"/>
    <n v="16"/>
    <x v="16"/>
    <s v="Q2-2025"/>
    <x v="1"/>
    <s v="India"/>
    <s v="Hyderabad"/>
    <s v="Enterprise"/>
    <x v="3"/>
    <s v="M. Rossi"/>
    <s v="Phones"/>
    <s v="PHN-3482"/>
    <n v="527.33000000000004"/>
    <s v="High"/>
    <n v="911.72"/>
    <n v="0.14399999999999999"/>
    <n v="25"/>
    <n v="74251.58"/>
    <n v="13183.250000000002"/>
    <n v="61068.33"/>
    <n v="0.82245158958233622"/>
  </r>
  <r>
    <s v="ORD-2023-374486"/>
    <d v="2023-06-24T00:00:00"/>
    <d v="2023-06-23T00:00:00"/>
    <n v="1"/>
    <x v="23"/>
    <s v="Q2-2023"/>
    <x v="2"/>
    <s v="Brazil"/>
    <s v="Rio de Janeiro"/>
    <s v="Non-Profit"/>
    <x v="0"/>
    <s v="E. Garcia"/>
    <s v="Printers"/>
    <s v="PRN-6490"/>
    <n v="804.01"/>
    <s v="High"/>
    <n v="1405.07"/>
    <n v="9.6000000000000002E-2"/>
    <n v="8"/>
    <n v="4491.2166399999996"/>
    <n v="6432.08"/>
    <n v="-1940.8633600000003"/>
    <n v="-0.43214645731273393"/>
  </r>
  <r>
    <s v="ORD-2024-997336"/>
    <d v="2024-10-04T00:00:00"/>
    <d v="2024-11-02T00:00:00"/>
    <n v="29"/>
    <x v="1"/>
    <s v="Q4-2024"/>
    <x v="0"/>
    <s v="Nigeria"/>
    <s v="Abuja"/>
    <s v="Corporate"/>
    <x v="3"/>
    <s v="F. Müller"/>
    <s v="Accessories"/>
    <s v="ACC-9038"/>
    <n v="412.09"/>
    <s v="High"/>
    <n v="968.94"/>
    <n v="9.9000000000000005E-2"/>
    <n v="23"/>
    <n v="1834.19273"/>
    <n v="9478.07"/>
    <n v="-7643.87727"/>
    <n v="-4.1674340678473847"/>
  </r>
  <r>
    <s v="ORD-2025-725646"/>
    <d v="2025-09-10T00:00:00"/>
    <d v="2025-09-30T00:00:00"/>
    <n v="20"/>
    <x v="11"/>
    <s v="Q3-2025"/>
    <x v="0"/>
    <s v="Kenya"/>
    <s v="Mombasa"/>
    <s v="Corporate"/>
    <x v="4"/>
    <s v="L. Okafor"/>
    <s v="Phones"/>
    <s v="PHN-6954"/>
    <n v="1009.48"/>
    <s v="High"/>
    <n v="1088.81"/>
    <n v="0.16"/>
    <n v="6"/>
    <n v="9873.8135999999995"/>
    <n v="6056.88"/>
    <n v="3816.9335999999994"/>
    <n v="0.38657136488782812"/>
  </r>
  <r>
    <s v="ORD-2023-868734"/>
    <d v="2023-04-06T00:00:00"/>
    <d v="2023-04-27T00:00:00"/>
    <n v="21"/>
    <x v="12"/>
    <s v="Q2-2023"/>
    <x v="3"/>
    <s v="United Kingdom"/>
    <s v="Manchester"/>
    <s v="Enterprise"/>
    <x v="3"/>
    <s v="I. Johnson"/>
    <s v="Printers"/>
    <s v="PRN-8970"/>
    <n v="1084.79"/>
    <s v="High"/>
    <n v="2484.9899999999998"/>
    <n v="3.4000000000000002E-2"/>
    <n v="18"/>
    <n v="47694.762360000001"/>
    <n v="19526.22"/>
    <n v="28168.542359999999"/>
    <n v="0.59060032939013052"/>
  </r>
  <r>
    <s v="ORD-2025-262491"/>
    <d v="2025-08-01T00:00:00"/>
    <d v="2025-08-16T00:00:00"/>
    <n v="15"/>
    <x v="28"/>
    <s v="Q3-2025"/>
    <x v="1"/>
    <s v="India"/>
    <s v="Not Provided"/>
    <s v="Enterprise"/>
    <x v="4"/>
    <s v="O. Wang"/>
    <s v="Monitors"/>
    <s v="MON-1822"/>
    <n v="24.44"/>
    <s v="Low"/>
    <n v="28.69"/>
    <n v="0.14599999999999999"/>
    <n v="6"/>
    <n v="8605.3480799999998"/>
    <n v="146.64000000000001"/>
    <n v="8458.7080800000003"/>
    <n v="0.98295943422197984"/>
  </r>
  <r>
    <s v="ORD-2024-638884"/>
    <d v="2024-05-28T00:00:00"/>
    <d v="2024-05-26T00:00:00"/>
    <n v="2"/>
    <x v="7"/>
    <s v="Q2-2024"/>
    <x v="0"/>
    <s v="Nigeria"/>
    <s v="Abuja"/>
    <s v="Enterprise"/>
    <x v="1"/>
    <s v="F. Müller"/>
    <s v="Accessories"/>
    <s v="ACC-5177"/>
    <n v="1227.08"/>
    <s v="High"/>
    <n v="1896.62"/>
    <n v="0"/>
    <n v="18"/>
    <n v="25810.2"/>
    <n v="22087.439999999999"/>
    <n v="3722.760000000002"/>
    <n v="0.14423599972104059"/>
  </r>
  <r>
    <s v="ORD-2025-541501"/>
    <d v="2025-07-22T00:00:00"/>
    <d v="2025-08-18T00:00:00"/>
    <n v="27"/>
    <x v="13"/>
    <s v="Q3-2025"/>
    <x v="1"/>
    <s v="China"/>
    <s v="Shenzhen"/>
    <s v="Non-Profit"/>
    <x v="2"/>
    <s v="M. Rossi"/>
    <s v="Networking"/>
    <s v="NET-1804"/>
    <n v="547.32000000000005"/>
    <s v="High"/>
    <n v="419.17"/>
    <n v="9.1999999999999998E-2"/>
    <n v="14"/>
    <n v="3615.67416"/>
    <n v="7662.4800000000005"/>
    <n v="-4046.8058400000004"/>
    <n v="-1.1192396385630061"/>
  </r>
  <r>
    <s v="ORD-2023-422918"/>
    <d v="2023-02-28T00:00:00"/>
    <d v="2023-03-20T00:00:00"/>
    <n v="20"/>
    <x v="2"/>
    <s v="Q1-2023"/>
    <x v="3"/>
    <s v="Germany"/>
    <s v="Berlin"/>
    <s v="Small Business"/>
    <x v="4"/>
    <s v="H. Kim"/>
    <s v="Laptops"/>
    <s v="LAP-3679"/>
    <n v="1200.78"/>
    <s v="High"/>
    <n v="2001.17"/>
    <n v="0.29199999999999998"/>
    <n v="18"/>
    <n v="8854.276319999999"/>
    <n v="21614.04"/>
    <n v="-12759.763680000002"/>
    <n v="-1.4410848745682701"/>
  </r>
  <r>
    <s v="ORD-2025-328504"/>
    <d v="2025-01-27T00:00:00"/>
    <d v="2025-02-15T00:00:00"/>
    <n v="19"/>
    <x v="10"/>
    <s v="Q1-2025"/>
    <x v="1"/>
    <s v="China"/>
    <s v="Shenzhen"/>
    <s v="Non-Profit"/>
    <x v="4"/>
    <s v="L. Okafor"/>
    <s v="Phones"/>
    <s v="PHN-8368"/>
    <n v="1253.22"/>
    <s v="High"/>
    <n v="3104.71"/>
    <n v="0"/>
    <n v="17"/>
    <n v="31422.63"/>
    <n v="21304.74"/>
    <n v="10117.89"/>
    <n v="0.3219937350883742"/>
  </r>
  <r>
    <s v="ORD-2024-851883"/>
    <d v="2024-01-13T00:00:00"/>
    <d v="2024-01-22T00:00:00"/>
    <n v="9"/>
    <x v="9"/>
    <s v="Q1-2024"/>
    <x v="1"/>
    <s v="India"/>
    <s v="Mumbai"/>
    <s v="Enterprise"/>
    <x v="2"/>
    <s v="J. Njeri"/>
    <s v="Components"/>
    <s v="CMP-8141"/>
    <n v="313.60000000000002"/>
    <s v="High"/>
    <n v="334.28"/>
    <n v="0.14000000000000001"/>
    <n v="22"/>
    <n v="854.99479999999994"/>
    <n v="6899.2000000000007"/>
    <n v="-6044.2052000000003"/>
    <n v="-7.0692888424584579"/>
  </r>
  <r>
    <s v="ORD-2025-662997"/>
    <d v="2025-03-31T00:00:00"/>
    <d v="2025-04-04T00:00:00"/>
    <n v="4"/>
    <x v="3"/>
    <s v="Q1-2025"/>
    <x v="0"/>
    <s v="Kenya"/>
    <s v="Nakuru"/>
    <s v="Corporate"/>
    <x v="4"/>
    <s v="C. Otieno"/>
    <s v="Laptops"/>
    <s v="LAP-7136"/>
    <n v="862.08"/>
    <s v="High"/>
    <n v="1952.83"/>
    <n v="0"/>
    <n v="7"/>
    <n v="2527.7000000000003"/>
    <n v="6034.56"/>
    <n v="-3506.86"/>
    <n v="-1.3873719191359732"/>
  </r>
  <r>
    <s v="ORD-2024-478165"/>
    <d v="2024-12-05T00:00:00"/>
    <d v="2024-12-28T00:00:00"/>
    <n v="23"/>
    <x v="6"/>
    <s v="Q4-2024"/>
    <x v="2"/>
    <s v="Canada"/>
    <s v="Vancouver"/>
    <s v="Corporate"/>
    <x v="4"/>
    <s v="F. Müller"/>
    <s v="Accessories"/>
    <s v="ACC-2386"/>
    <n v="107.03"/>
    <s v="High"/>
    <n v="242.29"/>
    <n v="0.18"/>
    <n v="30"/>
    <n v="24706.764000000003"/>
    <n v="3210.9"/>
    <n v="21495.864000000001"/>
    <n v="0.87003963772835646"/>
  </r>
  <r>
    <s v="ORD-2024-771210"/>
    <d v="2024-09-14T00:00:00"/>
    <d v="2024-10-05T00:00:00"/>
    <n v="21"/>
    <x v="29"/>
    <s v="Q3-2024"/>
    <x v="1"/>
    <s v="China"/>
    <s v="Shanghai"/>
    <s v="Small Business"/>
    <x v="1"/>
    <s v="H. Kim"/>
    <s v="Laptops"/>
    <s v="LAP-5150"/>
    <n v="1405.56"/>
    <s v="High"/>
    <n v="2968.87"/>
    <n v="0.16900000000000001"/>
    <n v="5"/>
    <n v="4270.2181499999997"/>
    <n v="7027.7999999999993"/>
    <n v="-2757.5818499999996"/>
    <n v="-0.64577072016800818"/>
  </r>
  <r>
    <s v="ORD-2024-155337"/>
    <d v="2024-05-21T00:00:00"/>
    <d v="2024-05-27T00:00:00"/>
    <n v="6"/>
    <x v="7"/>
    <s v="Q2-2024"/>
    <x v="0"/>
    <s v="South Africa"/>
    <s v="Johannesburg"/>
    <s v="Non-Profit"/>
    <x v="1"/>
    <s v="M. Rossi"/>
    <s v="Components"/>
    <s v="CMP-8101"/>
    <n v="1157.51"/>
    <s v="High"/>
    <n v="1394.3"/>
    <n v="0.27800000000000002"/>
    <n v="12"/>
    <n v="4055.5317599999998"/>
    <n v="13890.119999999999"/>
    <n v="-9834.5882399999991"/>
    <n v="-2.4249811916156712"/>
  </r>
  <r>
    <s v="ORD-2023-251563"/>
    <d v="2023-05-11T00:00:00"/>
    <d v="2023-06-07T00:00:00"/>
    <n v="27"/>
    <x v="15"/>
    <s v="Q2-2023"/>
    <x v="0"/>
    <s v="Kenya"/>
    <s v="Mombasa"/>
    <s v="Corporate"/>
    <x v="1"/>
    <s v="J. Njeri"/>
    <s v="Phones"/>
    <s v="PHN-8970"/>
    <n v="12.85"/>
    <s v="Low"/>
    <n v="15.41"/>
    <n v="0.13700000000000001"/>
    <n v="39"/>
    <n v="22483.549139999999"/>
    <n v="501.15"/>
    <n v="21982.399139999998"/>
    <n v="0.97771036961827273"/>
  </r>
  <r>
    <s v="ORD-2024-286833"/>
    <d v="2024-08-14T00:00:00"/>
    <d v="2024-09-04T00:00:00"/>
    <n v="21"/>
    <x v="21"/>
    <s v="Q3-2024"/>
    <x v="3"/>
    <s v="United Kingdom"/>
    <s v="Manchester"/>
    <s v="Non-Profit"/>
    <x v="1"/>
    <s v="J. Njeri"/>
    <s v="Phones"/>
    <s v="PHN-2341"/>
    <n v="1138.8"/>
    <s v="High"/>
    <n v="2250.81"/>
    <n v="0.123"/>
    <n v="12"/>
    <n v="5654.22948"/>
    <n v="13665.599999999999"/>
    <n v="-8011.3705199999986"/>
    <n v="-1.4168810353979475"/>
  </r>
  <r>
    <s v="ORD-2024-792558"/>
    <d v="2024-10-16T00:00:00"/>
    <d v="2024-11-08T00:00:00"/>
    <n v="23"/>
    <x v="1"/>
    <s v="Q4-2024"/>
    <x v="1"/>
    <s v="Japan"/>
    <s v="Osaka"/>
    <s v="Small Business"/>
    <x v="0"/>
    <s v="J. Njeri"/>
    <s v="Networking"/>
    <s v="NET-6387"/>
    <n v="82.14"/>
    <s v="Medium"/>
    <n v="166.04"/>
    <n v="0"/>
    <n v="10"/>
    <n v="5727.1"/>
    <n v="821.4"/>
    <n v="4905.7000000000007"/>
    <n v="0.85657662691414516"/>
  </r>
  <r>
    <s v="ORD-2024-166150"/>
    <d v="2024-06-02T00:00:00"/>
    <d v="2024-06-08T00:00:00"/>
    <n v="6"/>
    <x v="17"/>
    <s v="Q2-2024"/>
    <x v="0"/>
    <s v="Kenya"/>
    <s v="Kisumu"/>
    <s v="Consumer"/>
    <x v="2"/>
    <s v="A. Patel"/>
    <s v="Accessories"/>
    <s v="ACC-9820"/>
    <n v="292.94"/>
    <s v="High"/>
    <n v="356.55"/>
    <n v="0.22900000000000001"/>
    <n v="2"/>
    <n v="3583.4075399999997"/>
    <n v="585.88"/>
    <n v="2997.5275399999996"/>
    <n v="0.83650199050482543"/>
  </r>
  <r>
    <s v="ORD-2024-909942"/>
    <d v="2024-06-09T00:00:00"/>
    <d v="2024-07-07T00:00:00"/>
    <n v="28"/>
    <x v="17"/>
    <s v="Q2-2024"/>
    <x v="1"/>
    <s v="China"/>
    <s v="Shenzhen"/>
    <s v="Corporate"/>
    <x v="1"/>
    <s v="J. Njeri"/>
    <s v="Components"/>
    <s v="CMP-6392"/>
    <n v="550.22"/>
    <s v="High"/>
    <n v="1025.05"/>
    <n v="0"/>
    <n v="27"/>
    <n v="44038.080000000002"/>
    <n v="14855.94"/>
    <n v="29182.14"/>
    <n v="0.66265695507161071"/>
  </r>
  <r>
    <s v="ORD-2024-223618"/>
    <d v="2024-06-10T00:00:00"/>
    <d v="2024-06-11T00:00:00"/>
    <n v="1"/>
    <x v="17"/>
    <s v="Q2-2024"/>
    <x v="3"/>
    <s v="United Kingdom"/>
    <s v="Birmingham"/>
    <s v="Small Business"/>
    <x v="2"/>
    <s v="M. Rossi"/>
    <s v="Laptops"/>
    <s v="LAP-9230"/>
    <n v="1187.1300000000001"/>
    <s v="High"/>
    <n v="1795.17"/>
    <n v="1.2E-2"/>
    <n v="17"/>
    <n v="6606.0347600000005"/>
    <n v="20181.210000000003"/>
    <n v="-13575.175240000002"/>
    <n v="-2.0549657598229172"/>
  </r>
  <r>
    <s v="ORD-2024-919471"/>
    <d v="2024-06-29T00:00:00"/>
    <d v="2024-07-26T00:00:00"/>
    <n v="27"/>
    <x v="17"/>
    <s v="Q2-2024"/>
    <x v="0"/>
    <s v="South Africa"/>
    <s v="Durban"/>
    <s v="Enterprise"/>
    <x v="3"/>
    <s v="B. Chen"/>
    <s v="Networking"/>
    <s v="NET-4241"/>
    <n v="5.36"/>
    <s v="Low"/>
    <n v="4.37"/>
    <n v="0.11799999999999999"/>
    <n v="9"/>
    <n v="14734.198080000002"/>
    <n v="48.24"/>
    <n v="14685.958080000002"/>
    <n v="0.99672598401771995"/>
  </r>
  <r>
    <s v="ORD-2025-649239"/>
    <d v="2025-01-17T00:00:00"/>
    <d v="2025-01-24T00:00:00"/>
    <n v="7"/>
    <x v="10"/>
    <s v="Q1-2025"/>
    <x v="2"/>
    <s v="USA"/>
    <s v="Austin"/>
    <s v="Enterprise"/>
    <x v="1"/>
    <s v="G. Dubois"/>
    <s v="Accessories"/>
    <s v="ACC-4511"/>
    <n v="142.09"/>
    <s v="High"/>
    <n v="218.5"/>
    <n v="0.11899999999999999"/>
    <n v="11"/>
    <n v="822.7659000000001"/>
    <n v="1562.99"/>
    <n v="-740.22409999999991"/>
    <n v="-0.89967766043779862"/>
  </r>
  <r>
    <s v="ORD-2023-975863"/>
    <d v="2023-11-20T00:00:00"/>
    <d v="2023-12-05T00:00:00"/>
    <n v="15"/>
    <x v="30"/>
    <s v="Q4-2023"/>
    <x v="1"/>
    <s v="Japan"/>
    <s v="Tokyo"/>
    <s v="Enterprise"/>
    <x v="0"/>
    <s v="L. Okafor"/>
    <s v="Networking"/>
    <s v="NET-3033"/>
    <n v="354.24"/>
    <s v="High"/>
    <n v="249.87"/>
    <n v="0"/>
    <n v="6"/>
    <n v="13513.439999999999"/>
    <n v="2125.44"/>
    <n v="11387.999999999998"/>
    <n v="0.84271658437821895"/>
  </r>
  <r>
    <s v="ORD-2023-869884"/>
    <d v="2023-03-02T00:00:00"/>
    <d v="2023-03-05T00:00:00"/>
    <n v="3"/>
    <x v="22"/>
    <s v="Q1-2023"/>
    <x v="2"/>
    <s v="Brazil"/>
    <s v="Brasília"/>
    <s v="Enterprise"/>
    <x v="4"/>
    <s v="G. Dubois"/>
    <s v="Monitors"/>
    <s v="MON-2828"/>
    <n v="1473.58"/>
    <s v="High"/>
    <n v="3436.52"/>
    <n v="0.108"/>
    <n v="8"/>
    <n v="6576.6803200000004"/>
    <n v="11788.64"/>
    <n v="-5211.959679999999"/>
    <n v="-0.79249095689662452"/>
  </r>
  <r>
    <s v="ORD-2025-698069"/>
    <d v="2025-06-03T00:00:00"/>
    <d v="2025-06-10T00:00:00"/>
    <n v="7"/>
    <x v="16"/>
    <s v="Q2-2025"/>
    <x v="2"/>
    <s v="Canada"/>
    <s v="Toronto"/>
    <s v="Consumer"/>
    <x v="3"/>
    <s v="O. Wang"/>
    <s v="Printers"/>
    <s v="PRN-6429"/>
    <n v="75.180000000000007"/>
    <s v="Medium"/>
    <n v="53.45"/>
    <n v="0.157"/>
    <n v="17"/>
    <n v="23548.41258"/>
    <n v="1278.0600000000002"/>
    <n v="22270.352579999999"/>
    <n v="0.94572627791117114"/>
  </r>
  <r>
    <s v="ORD-2024-474999"/>
    <d v="2024-12-27T00:00:00"/>
    <d v="2025-01-02T00:00:00"/>
    <n v="6"/>
    <x v="6"/>
    <s v="Q4-2024"/>
    <x v="3"/>
    <s v="Germany"/>
    <s v="Frankfurt"/>
    <s v="Education"/>
    <x v="4"/>
    <s v="F. Müller"/>
    <s v="Laptops"/>
    <s v="LAP-8214"/>
    <n v="1391.99"/>
    <s v="High"/>
    <n v="3469.7"/>
    <n v="0.184"/>
    <n v="23"/>
    <n v="27535.846560000005"/>
    <n v="32015.77"/>
    <n v="-4479.923439999995"/>
    <n v="-0.16269423314218215"/>
  </r>
  <r>
    <s v="ORD-2023-427304"/>
    <d v="2023-06-09T00:00:00"/>
    <d v="2023-06-19T00:00:00"/>
    <n v="10"/>
    <x v="23"/>
    <s v="Q2-2023"/>
    <x v="1"/>
    <s v="China"/>
    <s v="Beijing"/>
    <s v="Enterprise"/>
    <x v="0"/>
    <s v="F. Müller"/>
    <s v="Monitors"/>
    <s v="MON-9194"/>
    <n v="339.61"/>
    <s v="High"/>
    <n v="621.02"/>
    <n v="7.0999999999999994E-2"/>
    <n v="10"/>
    <n v="9278.4804000000004"/>
    <n v="3396.1000000000004"/>
    <n v="5882.3804"/>
    <n v="0.63398101266668616"/>
  </r>
  <r>
    <s v="ORD-2025-956101"/>
    <d v="2025-07-09T00:00:00"/>
    <d v="2025-07-18T00:00:00"/>
    <n v="9"/>
    <x v="13"/>
    <s v="Q3-2025"/>
    <x v="2"/>
    <s v="Canada"/>
    <s v="Vancouver"/>
    <s v="Education"/>
    <x v="3"/>
    <s v="I. Johnson"/>
    <s v="Laptops"/>
    <s v="LAP-2218"/>
    <n v="57.96"/>
    <s v="Medium"/>
    <n v="88.51"/>
    <n v="4.2999999999999997E-2"/>
    <n v="7"/>
    <n v="4225.1932799999995"/>
    <n v="405.72"/>
    <n v="3819.4732799999992"/>
    <n v="0.90397599041907017"/>
  </r>
  <r>
    <s v="ORD-2025-184082"/>
    <d v="2025-06-19T00:00:00"/>
    <d v="2025-07-12T00:00:00"/>
    <n v="23"/>
    <x v="16"/>
    <s v="Q2-2025"/>
    <x v="3"/>
    <s v="United Kingdom"/>
    <s v="Not Provided"/>
    <s v="Non-Profit"/>
    <x v="4"/>
    <s v="Not Provided"/>
    <s v="Networking"/>
    <s v="NET-6370"/>
    <n v="801.24"/>
    <s v="High"/>
    <n v="1959.09"/>
    <n v="0.123"/>
    <n v="23"/>
    <n v="14696.792309999999"/>
    <n v="18428.52"/>
    <n v="-3731.7276900000015"/>
    <n v="-0.25391443325091134"/>
  </r>
  <r>
    <s v="ORD-2023-576840"/>
    <d v="2023-11-19T00:00:00"/>
    <d v="2023-12-13T00:00:00"/>
    <n v="24"/>
    <x v="30"/>
    <s v="Q4-2023"/>
    <x v="3"/>
    <s v="France"/>
    <s v="Lyon"/>
    <s v="Non-Profit"/>
    <x v="4"/>
    <s v="H. Kim"/>
    <s v="Monitors"/>
    <s v="MON-3745"/>
    <n v="1297.42"/>
    <s v="High"/>
    <n v="2742.97"/>
    <n v="6.9000000000000006E-2"/>
    <n v="9"/>
    <n v="7972.7022900000002"/>
    <n v="11676.78"/>
    <n v="-3704.0777100000005"/>
    <n v="-0.46459501123551927"/>
  </r>
  <r>
    <s v="ORD-2023-178249"/>
    <d v="2023-12-29T00:00:00"/>
    <d v="2024-01-20T00:00:00"/>
    <n v="22"/>
    <x v="4"/>
    <s v="Q4-2023"/>
    <x v="0"/>
    <s v="Kenya"/>
    <s v="Kisumu"/>
    <s v="Corporate"/>
    <x v="4"/>
    <s v="L. Okafor"/>
    <s v="Phones"/>
    <s v="PHN-7924"/>
    <n v="1395.49"/>
    <s v="High"/>
    <n v="1679.42"/>
    <n v="0.20300000000000001"/>
    <n v="12"/>
    <n v="7009.2643199999993"/>
    <n v="16745.88"/>
    <n v="-9736.6156800000026"/>
    <n v="-1.3891066502111884"/>
  </r>
  <r>
    <s v="ORD-2024-588972"/>
    <d v="2024-11-02T00:00:00"/>
    <d v="2024-11-29T00:00:00"/>
    <n v="27"/>
    <x v="18"/>
    <s v="Q4-2024"/>
    <x v="2"/>
    <s v="Brazil"/>
    <s v="Brasília"/>
    <s v="Small Business"/>
    <x v="4"/>
    <s v="I. Johnson"/>
    <s v="Networking"/>
    <s v="NET-8561"/>
    <n v="1363.51"/>
    <s v="High"/>
    <n v="1433.9"/>
    <n v="5.7000000000000002E-2"/>
    <n v="8"/>
    <n v="18192.506879999997"/>
    <n v="10908.08"/>
    <n v="7284.4268799999973"/>
    <n v="0.4004080871343883"/>
  </r>
  <r>
    <s v="ORD-2023-603238"/>
    <d v="2023-08-21T00:00:00"/>
    <d v="2023-09-04T00:00:00"/>
    <n v="14"/>
    <x v="25"/>
    <s v="Q3-2023"/>
    <x v="2"/>
    <s v="Canada"/>
    <s v="Montreal"/>
    <s v="Education"/>
    <x v="3"/>
    <s v="F. Müller"/>
    <s v="Components"/>
    <s v="CMP-2136"/>
    <n v="178.19"/>
    <s v="High"/>
    <n v="284.43"/>
    <n v="8.8999999999999996E-2"/>
    <n v="8"/>
    <n v="4141.6975199999997"/>
    <n v="1425.52"/>
    <n v="2716.1775199999997"/>
    <n v="0.65581262438498888"/>
  </r>
  <r>
    <s v="ORD-2023-883066"/>
    <d v="2023-08-12T00:00:00"/>
    <d v="2023-09-06T00:00:00"/>
    <n v="25"/>
    <x v="25"/>
    <s v="Q3-2023"/>
    <x v="1"/>
    <s v="China"/>
    <s v="Shanghai"/>
    <s v="Small Business"/>
    <x v="0"/>
    <s v="B. Chen"/>
    <s v="Components"/>
    <s v="CMP-6352"/>
    <n v="950.77"/>
    <s v="High"/>
    <n v="694.78"/>
    <n v="8.4000000000000005E-2"/>
    <n v="14"/>
    <n v="16093.478800000001"/>
    <n v="13310.779999999999"/>
    <n v="2782.6988000000019"/>
    <n v="0.17290847023081185"/>
  </r>
  <r>
    <s v="ORD-2024-584090"/>
    <d v="2024-06-07T00:00:00"/>
    <d v="2024-06-26T00:00:00"/>
    <n v="19"/>
    <x v="17"/>
    <s v="Q2-2024"/>
    <x v="3"/>
    <s v="Germany"/>
    <s v="Berlin"/>
    <s v="Non-Profit"/>
    <x v="2"/>
    <s v="M. Rossi"/>
    <s v="Components"/>
    <s v="CMP-2040"/>
    <n v="1064.32"/>
    <s v="High"/>
    <n v="1848.39"/>
    <n v="7.2999999999999995E-2"/>
    <n v="38"/>
    <n v="29785.344300000001"/>
    <n v="40444.159999999996"/>
    <n v="-10658.815699999996"/>
    <n v="-0.35785437269563458"/>
  </r>
  <r>
    <s v="ORD-2025-537785"/>
    <d v="2025-08-05T00:00:00"/>
    <d v="2025-08-14T00:00:00"/>
    <n v="9"/>
    <x v="28"/>
    <s v="Q3-2025"/>
    <x v="3"/>
    <s v="United Kingdom"/>
    <s v="London"/>
    <s v="Non-Profit"/>
    <x v="4"/>
    <s v="E. Garcia"/>
    <s v="Components"/>
    <s v="CMP-6346"/>
    <n v="41.76"/>
    <s v="Low"/>
    <n v="45.19"/>
    <n v="0.17899999999999999"/>
    <n v="23"/>
    <n v="40507.245110000003"/>
    <n v="960.4799999999999"/>
    <n v="39546.76511"/>
    <n v="0.97628868619942533"/>
  </r>
  <r>
    <s v="ORD-2024-605518"/>
    <d v="2024-05-30T00:00:00"/>
    <d v="2024-06-13T00:00:00"/>
    <n v="14"/>
    <x v="7"/>
    <s v="Q2-2024"/>
    <x v="2"/>
    <s v="USA"/>
    <s v="San Francisco"/>
    <s v="Small Business"/>
    <x v="0"/>
    <s v="F. Müller"/>
    <s v="Phones"/>
    <s v="PHN-4356"/>
    <n v="157.78"/>
    <s v="High"/>
    <n v="361.1"/>
    <n v="0.187"/>
    <n v="9"/>
    <n v="9877.5109800000009"/>
    <n v="1420.02"/>
    <n v="8457.4909800000005"/>
    <n v="0.85623706185948478"/>
  </r>
  <r>
    <s v="ORD-2023-521818"/>
    <d v="2023-01-22T00:00:00"/>
    <d v="2023-01-30T00:00:00"/>
    <n v="8"/>
    <x v="5"/>
    <s v="Q1-2023"/>
    <x v="2"/>
    <s v="USA"/>
    <s v="San Francisco"/>
    <s v="Small Business"/>
    <x v="1"/>
    <s v="A. Patel"/>
    <s v="Networking"/>
    <s v="NET-4155"/>
    <n v="413.52"/>
    <s v="High"/>
    <n v="1004.34"/>
    <n v="0.111"/>
    <n v="18"/>
    <n v="8440.7349599999998"/>
    <n v="7443.36"/>
    <n v="997.3749600000001"/>
    <n v="0.11816209900281008"/>
  </r>
  <r>
    <s v="ORD-2025-650719"/>
    <d v="2025-02-12T00:00:00"/>
    <d v="2025-02-28T00:00:00"/>
    <n v="16"/>
    <x v="26"/>
    <s v="Q1-2025"/>
    <x v="2"/>
    <s v="Brazil"/>
    <s v="São Paulo"/>
    <s v="Non-Profit"/>
    <x v="4"/>
    <s v="B. Chen"/>
    <s v="Monitors"/>
    <s v="MON-5179"/>
    <n v="414.95"/>
    <s v="High"/>
    <n v="1027.73"/>
    <n v="6.3E-2"/>
    <n v="8"/>
    <n v="10997.906320000002"/>
    <n v="3319.6"/>
    <n v="7678.3063200000015"/>
    <n v="0.69816073137818835"/>
  </r>
  <r>
    <s v="ORD-2025-501927"/>
    <d v="2025-03-03T00:00:00"/>
    <d v="2025-03-24T00:00:00"/>
    <n v="21"/>
    <x v="3"/>
    <s v="Q1-2025"/>
    <x v="0"/>
    <s v="Nigeria"/>
    <s v="Abuja"/>
    <s v="Enterprise"/>
    <x v="4"/>
    <s v="H. Kim"/>
    <s v="Accessories"/>
    <s v="ACC-4056"/>
    <n v="555.95000000000005"/>
    <s v="High"/>
    <n v="468.09"/>
    <n v="0.14199999999999999"/>
    <n v="11"/>
    <n v="15583.45932"/>
    <n v="6115.4500000000007"/>
    <n v="9468.0093199999992"/>
    <n v="0.60756787858063332"/>
  </r>
  <r>
    <s v="ORD-2023-430904"/>
    <d v="2023-01-27T00:00:00"/>
    <d v="2023-01-31T00:00:00"/>
    <n v="4"/>
    <x v="5"/>
    <s v="Q1-2023"/>
    <x v="3"/>
    <s v="United Kingdom"/>
    <s v="Manchester"/>
    <s v="Enterprise"/>
    <x v="1"/>
    <s v="N. Brown"/>
    <s v="Laptops"/>
    <s v="LAP-9782"/>
    <n v="941.2"/>
    <s v="High"/>
    <n v="668.02"/>
    <n v="0.22"/>
    <n v="16"/>
    <n v="24737.606400000001"/>
    <n v="15059.2"/>
    <n v="9678.4063999999998"/>
    <n v="0.3912426385763822"/>
  </r>
  <r>
    <s v="ORD-2025-354346"/>
    <d v="2025-01-09T00:00:00"/>
    <d v="2025-01-15T00:00:00"/>
    <n v="6"/>
    <x v="10"/>
    <s v="Q1-2025"/>
    <x v="1"/>
    <s v="China"/>
    <s v="Beijing"/>
    <s v="Education"/>
    <x v="1"/>
    <s v="C. Otieno"/>
    <s v="Phones"/>
    <s v="PHN-2875"/>
    <n v="304.77999999999997"/>
    <s v="High"/>
    <n v="537.27"/>
    <n v="0.187"/>
    <n v="8"/>
    <n v="16599.638879999999"/>
    <n v="2438.2399999999998"/>
    <n v="14161.398879999999"/>
    <n v="0.85311487691833454"/>
  </r>
  <r>
    <s v="ORD-2024-164288"/>
    <d v="2024-12-21T00:00:00"/>
    <d v="2024-12-26T00:00:00"/>
    <n v="5"/>
    <x v="6"/>
    <s v="Q4-2024"/>
    <x v="2"/>
    <s v="USA"/>
    <s v="San Francisco"/>
    <s v="Consumer"/>
    <x v="2"/>
    <s v="M. Rossi"/>
    <s v="Printers"/>
    <s v="PRN-4788"/>
    <n v="699.57"/>
    <s v="High"/>
    <n v="572.71"/>
    <n v="0.192"/>
    <n v="26"/>
    <n v="10987.39408"/>
    <n v="18188.82"/>
    <n v="-7201.4259199999997"/>
    <n v="-0.65542619729172391"/>
  </r>
  <r>
    <s v="ORD-2023-867285"/>
    <d v="2023-04-12T00:00:00"/>
    <d v="2023-04-17T00:00:00"/>
    <n v="5"/>
    <x v="12"/>
    <s v="Q2-2023"/>
    <x v="3"/>
    <s v="France"/>
    <s v="Lyon"/>
    <s v="Enterprise"/>
    <x v="4"/>
    <s v="E. Garcia"/>
    <s v="Monitors"/>
    <s v="MON-3043"/>
    <n v="1087.81"/>
    <s v="High"/>
    <n v="2323.87"/>
    <n v="9.4E-2"/>
    <n v="13"/>
    <n v="14342.18838"/>
    <n v="14141.529999999999"/>
    <n v="200.65838000000076"/>
    <n v="1.399077844213902E-2"/>
  </r>
  <r>
    <s v="ORD-2024-836421"/>
    <d v="2024-12-14T00:00:00"/>
    <d v="2025-01-12T00:00:00"/>
    <n v="29"/>
    <x v="6"/>
    <s v="Q4-2024"/>
    <x v="1"/>
    <s v="China"/>
    <s v="Shenzhen"/>
    <s v="Education"/>
    <x v="1"/>
    <s v="J. Njeri"/>
    <s v="Components"/>
    <s v="CMP-3720"/>
    <n v="1412.15"/>
    <s v="High"/>
    <n v="1631.04"/>
    <n v="8.9999999999999993E-3"/>
    <n v="6"/>
    <n v="7989.2834400000002"/>
    <n v="8472.9000000000015"/>
    <n v="-483.6165600000013"/>
    <n v="-6.0533158403002073E-2"/>
  </r>
  <r>
    <s v="ORD-2023-613287"/>
    <d v="2023-03-31T00:00:00"/>
    <d v="2023-04-12T00:00:00"/>
    <n v="12"/>
    <x v="22"/>
    <s v="Q1-2023"/>
    <x v="0"/>
    <s v="Kenya"/>
    <s v="Mombasa"/>
    <s v="Small Business"/>
    <x v="1"/>
    <s v="C. Otieno"/>
    <s v="Phones"/>
    <s v="PHN-8014"/>
    <n v="304.22000000000003"/>
    <s v="High"/>
    <n v="393.31"/>
    <n v="0.26500000000000001"/>
    <n v="15"/>
    <n v="3326.2424999999998"/>
    <n v="4563.3"/>
    <n v="-1237.0575000000003"/>
    <n v="-0.3719083921271526"/>
  </r>
  <r>
    <s v="ORD-2024-783321"/>
    <d v="2024-11-20T00:00:00"/>
    <d v="2024-12-15T00:00:00"/>
    <n v="25"/>
    <x v="18"/>
    <s v="Q4-2024"/>
    <x v="3"/>
    <s v="France"/>
    <s v="Paris"/>
    <s v="Corporate"/>
    <x v="1"/>
    <s v="G. Dubois"/>
    <s v="Printers"/>
    <s v="PRN-4911"/>
    <n v="1203.58"/>
    <s v="High"/>
    <n v="1856.16"/>
    <n v="0.129"/>
    <n v="22"/>
    <n v="28967.387020000002"/>
    <n v="26478.76"/>
    <n v="2488.6270200000035"/>
    <n v="8.591133947572753E-2"/>
  </r>
  <r>
    <s v="ORD-2024-232632"/>
    <d v="2024-02-14T00:00:00"/>
    <d v="2024-02-14T00:00:00"/>
    <n v="0"/>
    <x v="31"/>
    <s v="Q1-2024"/>
    <x v="1"/>
    <s v="China"/>
    <s v="Beijing"/>
    <s v="Corporate"/>
    <x v="3"/>
    <s v="L. Okafor"/>
    <s v="Accessories"/>
    <s v="ACC-1021"/>
    <n v="65.930000000000007"/>
    <s v="Medium"/>
    <n v="84.9"/>
    <n v="0.25900000000000001"/>
    <n v="23"/>
    <n v="35027.455319999994"/>
    <n v="1516.39"/>
    <n v="33511.065319999994"/>
    <n v="0.95670853088964847"/>
  </r>
  <r>
    <s v="ORD-2023-906481"/>
    <d v="2023-05-02T00:00:00"/>
    <d v="2023-05-18T00:00:00"/>
    <n v="16"/>
    <x v="15"/>
    <s v="Q2-2023"/>
    <x v="1"/>
    <s v="India"/>
    <s v="Delhi"/>
    <s v="Small Business"/>
    <x v="2"/>
    <s v="K. Singh"/>
    <s v="Monitors"/>
    <s v="MON-2266"/>
    <n v="1463.92"/>
    <s v="High"/>
    <n v="2252.2399999999998"/>
    <n v="0.11799999999999999"/>
    <n v="44"/>
    <n v="15179.749199999998"/>
    <n v="64412.480000000003"/>
    <n v="-49232.730800000005"/>
    <n v="-3.2433164837795876"/>
  </r>
  <r>
    <s v="ORD-2024-902741"/>
    <d v="2024-12-23T00:00:00"/>
    <d v="2025-01-11T00:00:00"/>
    <n v="19"/>
    <x v="6"/>
    <s v="Q4-2024"/>
    <x v="3"/>
    <s v="Germany"/>
    <s v="Berlin"/>
    <s v="Education"/>
    <x v="0"/>
    <s v="K. Singh"/>
    <s v="Phones"/>
    <s v="PHN-8057"/>
    <n v="501.81"/>
    <s v="High"/>
    <n v="921.62"/>
    <n v="0.01"/>
    <n v="9"/>
    <n v="16474.322700000001"/>
    <n v="4516.29"/>
    <n v="11958.0327"/>
    <n v="0.72585883606614066"/>
  </r>
  <r>
    <s v="ORD-2023-912395"/>
    <d v="2023-07-26T00:00:00"/>
    <d v="2023-08-25T00:00:00"/>
    <n v="30"/>
    <x v="24"/>
    <s v="Q3-2023"/>
    <x v="2"/>
    <s v="USA"/>
    <s v="New York"/>
    <s v="Consumer"/>
    <x v="0"/>
    <s v="M. Rossi"/>
    <s v="Accessories"/>
    <s v="ACC-7078"/>
    <n v="1261.48"/>
    <s v="High"/>
    <n v="1643.18"/>
    <n v="0.151"/>
    <n v="23"/>
    <n v="27251.100119999996"/>
    <n v="29014.04"/>
    <n v="-1762.9398800000054"/>
    <n v="-6.4692429745475011E-2"/>
  </r>
  <r>
    <s v="ORD-2024-389102"/>
    <d v="2024-06-15T00:00:00"/>
    <d v="2024-07-06T00:00:00"/>
    <n v="21"/>
    <x v="17"/>
    <s v="Q2-2024"/>
    <x v="2"/>
    <s v="Canada"/>
    <s v="Toronto"/>
    <s v="Enterprise"/>
    <x v="3"/>
    <s v="L. Okafor"/>
    <s v="Printers"/>
    <s v="PRN-4453"/>
    <n v="817.23"/>
    <s v="High"/>
    <n v="1467.17"/>
    <n v="0.245"/>
    <n v="9"/>
    <n v="3655.9817999999996"/>
    <n v="7355.07"/>
    <n v="-3699.0882000000001"/>
    <n v="-1.0117906495048745"/>
  </r>
  <r>
    <s v="ORD-2023-309373"/>
    <d v="2023-07-05T00:00:00"/>
    <d v="2023-07-14T00:00:00"/>
    <n v="9"/>
    <x v="24"/>
    <s v="Q3-2023"/>
    <x v="2"/>
    <s v="Brazil"/>
    <s v="Brasília"/>
    <s v="Enterprise"/>
    <x v="4"/>
    <s v="B. Chen"/>
    <s v="Networking"/>
    <s v="NET-2394"/>
    <n v="578.85"/>
    <s v="High"/>
    <n v="998.76"/>
    <n v="8.2000000000000003E-2"/>
    <n v="28"/>
    <n v="31331.119680000003"/>
    <n v="16207.800000000001"/>
    <n v="15123.319680000002"/>
    <n v="0.4826932402819254"/>
  </r>
  <r>
    <s v="ORD-2023-825495"/>
    <d v="2023-11-30T00:00:00"/>
    <d v="2023-11-29T00:00:00"/>
    <n v="1"/>
    <x v="30"/>
    <s v="Q4-2023"/>
    <x v="0"/>
    <s v="South Africa"/>
    <s v="Durban"/>
    <s v="Small Business"/>
    <x v="2"/>
    <s v="E. Garcia"/>
    <s v="Laptops"/>
    <s v="LAP-1525"/>
    <n v="275.56"/>
    <s v="High"/>
    <n v="630.72"/>
    <n v="0.107"/>
    <n v="23"/>
    <n v="42353.882679999995"/>
    <n v="6337.88"/>
    <n v="36016.002679999998"/>
    <n v="0.85035893762361436"/>
  </r>
  <r>
    <s v="ORD-2025-244832"/>
    <d v="2025-09-11T00:00:00"/>
    <d v="2025-09-28T00:00:00"/>
    <n v="17"/>
    <x v="11"/>
    <s v="Q3-2025"/>
    <x v="0"/>
    <s v="Kenya"/>
    <s v="Nairobi"/>
    <s v="Non-Profit"/>
    <x v="3"/>
    <s v="J. Njeri"/>
    <s v="Laptops"/>
    <s v="LAP-3278"/>
    <n v="891.46"/>
    <s v="High"/>
    <n v="728.61"/>
    <n v="0.185"/>
    <n v="6"/>
    <n v="49.780199999999994"/>
    <n v="5348.76"/>
    <n v="-5298.9798000000001"/>
    <n v="-106.44753938312824"/>
  </r>
  <r>
    <s v="ORD-2024-211453"/>
    <d v="2024-04-04T00:00:00"/>
    <d v="2024-04-24T00:00:00"/>
    <n v="20"/>
    <x v="20"/>
    <s v="Q2-2024"/>
    <x v="3"/>
    <s v="Germany"/>
    <s v="Frankfurt"/>
    <s v="Non-Profit"/>
    <x v="4"/>
    <s v="O. Wang"/>
    <s v="Accessories"/>
    <s v="ACC-6543"/>
    <n v="683.42"/>
    <s v="High"/>
    <n v="951.51"/>
    <n v="0"/>
    <n v="14"/>
    <n v="31944.079999999998"/>
    <n v="9567.8799999999992"/>
    <n v="22376.199999999997"/>
    <n v="0.7004803393930894"/>
  </r>
  <r>
    <s v="ORD-2023-192324"/>
    <d v="2023-09-14T00:00:00"/>
    <d v="2023-09-16T00:00:00"/>
    <n v="2"/>
    <x v="27"/>
    <s v="Q3-2023"/>
    <x v="3"/>
    <s v="France"/>
    <s v="Lyon"/>
    <s v="Non-Profit"/>
    <x v="4"/>
    <s v="B. Chen"/>
    <s v="Printers"/>
    <s v="PRN-4432"/>
    <n v="376.83"/>
    <s v="High"/>
    <n v="732.88"/>
    <n v="0.188"/>
    <n v="25"/>
    <n v="5066.2710000000006"/>
    <n v="9420.75"/>
    <n v="-4354.4789999999994"/>
    <n v="-0.85950376519534755"/>
  </r>
  <r>
    <s v="ORD-2024-438404"/>
    <d v="2024-09-23T00:00:00"/>
    <d v="2024-10-18T00:00:00"/>
    <n v="25"/>
    <x v="29"/>
    <s v="Q3-2024"/>
    <x v="2"/>
    <s v="Canada"/>
    <s v="Vancouver"/>
    <s v="Small Business"/>
    <x v="1"/>
    <s v="N. Brown"/>
    <s v="Phones"/>
    <s v="PHN-4568"/>
    <n v="1297"/>
    <s v="High"/>
    <n v="2411.52"/>
    <n v="2.1000000000000001E-2"/>
    <n v="18"/>
    <n v="57712.049999999996"/>
    <n v="23346"/>
    <n v="34366.049999999996"/>
    <n v="0.59547442865051581"/>
  </r>
  <r>
    <s v="ORD-2025-246470"/>
    <d v="2025-04-16T00:00:00"/>
    <d v="2025-05-16T00:00:00"/>
    <n v="0"/>
    <x v="19"/>
    <s v="Q2-2025"/>
    <x v="2"/>
    <s v="Canada"/>
    <s v="Montreal"/>
    <s v="Enterprise"/>
    <x v="3"/>
    <s v="K. Singh"/>
    <s v="Printers"/>
    <s v="PRN-6178"/>
    <n v="763.32"/>
    <s v="High"/>
    <n v="568.29"/>
    <n v="0.13100000000000001"/>
    <n v="16"/>
    <n v="26608.919040000001"/>
    <n v="12213.12"/>
    <n v="14395.79904"/>
    <n v="0.54101404940048248"/>
  </r>
  <r>
    <s v="ORD-2023-497686"/>
    <d v="2023-07-03T00:00:00"/>
    <d v="2023-07-23T00:00:00"/>
    <n v="20"/>
    <x v="24"/>
    <s v="Q3-2023"/>
    <x v="0"/>
    <s v="South Africa"/>
    <s v="Johannesburg"/>
    <s v="Small Business"/>
    <x v="3"/>
    <s v="F. Müller"/>
    <s v="Laptops"/>
    <s v="LAP-6342"/>
    <n v="1001.96"/>
    <s v="High"/>
    <n v="1254.95"/>
    <n v="4.4999999999999998E-2"/>
    <n v="18"/>
    <n v="517.24709999999993"/>
    <n v="18035.28"/>
    <n v="-17518.032899999998"/>
    <n v="-33.867822361884677"/>
  </r>
  <r>
    <s v="ORD-2023-596758"/>
    <d v="2023-12-07T00:00:00"/>
    <d v="2023-12-05T00:00:00"/>
    <n v="2"/>
    <x v="4"/>
    <s v="Q4-2023"/>
    <x v="1"/>
    <s v="Japan"/>
    <s v="Tokyo"/>
    <s v="Non-Profit"/>
    <x v="2"/>
    <s v="H. Kim"/>
    <s v="Printers"/>
    <s v="PRN-8175"/>
    <n v="1097.5899999999999"/>
    <s v="High"/>
    <n v="845.55"/>
    <n v="0.184"/>
    <n v="6"/>
    <n v="2454.4137600000004"/>
    <n v="6585.5399999999991"/>
    <n v="-4131.1262399999987"/>
    <n v="-1.6831417372757875"/>
  </r>
  <r>
    <s v="ORD-2024-201376"/>
    <d v="2024-02-18T00:00:00"/>
    <d v="2024-03-04T00:00:00"/>
    <n v="15"/>
    <x v="31"/>
    <s v="Q1-2024"/>
    <x v="0"/>
    <s v="Kenya"/>
    <s v="Kisumu"/>
    <s v="Education"/>
    <x v="4"/>
    <s v="K. Singh"/>
    <s v="Printers"/>
    <s v="PRN-7089"/>
    <n v="928.68"/>
    <s v="High"/>
    <n v="2145.17"/>
    <n v="0.13600000000000001"/>
    <n v="16"/>
    <n v="5684.1523200000001"/>
    <n v="14858.88"/>
    <n v="-9174.72768"/>
    <n v="-1.6140889904934848"/>
  </r>
  <r>
    <s v="ORD-2023-842488"/>
    <d v="2023-10-31T00:00:00"/>
    <d v="2023-11-02T00:00:00"/>
    <n v="2"/>
    <x v="32"/>
    <s v="Q4-2023"/>
    <x v="0"/>
    <s v="Kenya"/>
    <s v="Kisumu"/>
    <s v="Education"/>
    <x v="0"/>
    <s v="O. Wang"/>
    <s v="Accessories"/>
    <s v="ACC-4124"/>
    <n v="867.89"/>
    <s v="High"/>
    <n v="1349.94"/>
    <n v="0.184"/>
    <n v="10"/>
    <n v="48.307200000000009"/>
    <n v="8678.9"/>
    <n v="-8630.5928000000004"/>
    <n v="-178.66058889772123"/>
  </r>
  <r>
    <s v="ORD-2024-136321"/>
    <d v="2024-08-07T00:00:00"/>
    <d v="2024-08-17T00:00:00"/>
    <n v="10"/>
    <x v="21"/>
    <s v="Q3-2024"/>
    <x v="1"/>
    <s v="Japan"/>
    <s v="Osaka"/>
    <s v="Consumer"/>
    <x v="1"/>
    <s v="K. Singh"/>
    <s v="Networking"/>
    <s v="NET-7924"/>
    <n v="436.58"/>
    <s v="High"/>
    <n v="527.48"/>
    <n v="0.111"/>
    <n v="19"/>
    <n v="37272.187330000001"/>
    <n v="8295.02"/>
    <n v="28977.16733"/>
    <n v="0.77744745897101064"/>
  </r>
  <r>
    <s v="ORD-2024-764468"/>
    <d v="2024-02-01T00:00:00"/>
    <d v="2024-02-21T00:00:00"/>
    <n v="20"/>
    <x v="31"/>
    <s v="Q1-2024"/>
    <x v="3"/>
    <s v="France"/>
    <s v="Paris"/>
    <s v="Small Business"/>
    <x v="2"/>
    <s v="A. Patel"/>
    <s v="Networking"/>
    <s v="NET-8761"/>
    <n v="656.2"/>
    <s v="High"/>
    <n v="1467.17"/>
    <n v="1.7999999999999999E-2"/>
    <n v="5"/>
    <n v="9391.848"/>
    <n v="3281"/>
    <n v="6110.848"/>
    <n v="0.65065448248310664"/>
  </r>
  <r>
    <s v="ORD-2024-553449"/>
    <d v="2024-08-27T00:00:00"/>
    <d v="2024-09-18T00:00:00"/>
    <n v="22"/>
    <x v="21"/>
    <s v="Q3-2024"/>
    <x v="1"/>
    <s v="India"/>
    <s v="Delhi"/>
    <s v="Consumer"/>
    <x v="4"/>
    <s v="B. Chen"/>
    <s v="Components"/>
    <s v="CMP-3875"/>
    <n v="896.75"/>
    <s v="High"/>
    <n v="1651.14"/>
    <n v="2.5000000000000001E-2"/>
    <n v="15"/>
    <n v="20216.283749999999"/>
    <n v="13451.25"/>
    <n v="6765.0337499999987"/>
    <n v="0.3346329045267778"/>
  </r>
  <r>
    <s v="ORD-2025-766923"/>
    <d v="2025-02-15T00:00:00"/>
    <d v="2025-02-15T00:00:00"/>
    <n v="0"/>
    <x v="26"/>
    <s v="Q1-2025"/>
    <x v="3"/>
    <s v="Germany"/>
    <s v="Frankfurt"/>
    <s v="Small Business"/>
    <x v="2"/>
    <s v="L. Okafor"/>
    <s v="Accessories"/>
    <s v="ACC-3989"/>
    <n v="815.83"/>
    <s v="High"/>
    <n v="1982.18"/>
    <n v="0.127"/>
    <n v="6"/>
    <n v="7100.6851799999995"/>
    <n v="4894.9800000000005"/>
    <n v="2205.705179999999"/>
    <n v="0.31063272403804826"/>
  </r>
  <r>
    <s v="ORD-2025-418232"/>
    <d v="2025-08-01T00:00:00"/>
    <d v="2025-08-21T00:00:00"/>
    <n v="20"/>
    <x v="28"/>
    <s v="Q3-2025"/>
    <x v="1"/>
    <s v="China"/>
    <s v="Shanghai"/>
    <s v="Corporate"/>
    <x v="4"/>
    <s v="I. Johnson"/>
    <s v="Phones"/>
    <s v="PHN-9234"/>
    <n v="1220.4100000000001"/>
    <s v="High"/>
    <n v="2552.2199999999998"/>
    <n v="0.18099999999999999"/>
    <n v="14"/>
    <n v="10180.661399999999"/>
    <n v="17085.740000000002"/>
    <n v="-6905.0786000000026"/>
    <n v="-0.6782544206803699"/>
  </r>
  <r>
    <s v="ORD-2023-848013"/>
    <d v="2023-02-20T00:00:00"/>
    <d v="2023-03-04T00:00:00"/>
    <n v="12"/>
    <x v="2"/>
    <s v="Q1-2023"/>
    <x v="1"/>
    <s v="India"/>
    <s v="Delhi"/>
    <s v="Consumer"/>
    <x v="3"/>
    <s v="M. Rossi"/>
    <s v="Monitors"/>
    <s v="MON-9906"/>
    <n v="299.75"/>
    <s v="High"/>
    <n v="523.01"/>
    <n v="0.157"/>
    <n v="50"/>
    <n v="43022.083500000001"/>
    <n v="14987.5"/>
    <n v="28034.583500000001"/>
    <n v="0.65163239943969709"/>
  </r>
  <r>
    <s v="ORD-2024-357368"/>
    <d v="2024-10-30T00:00:00"/>
    <d v="2024-11-24T00:00:00"/>
    <n v="25"/>
    <x v="1"/>
    <s v="Q4-2024"/>
    <x v="1"/>
    <s v="China"/>
    <s v="Shenzhen"/>
    <s v="Small Business"/>
    <x v="1"/>
    <s v="E. Garcia"/>
    <s v="Components"/>
    <s v="CMP-4610"/>
    <n v="811.05"/>
    <s v="High"/>
    <n v="1217.71"/>
    <n v="7.1999999999999995E-2"/>
    <n v="5"/>
    <n v="6475.2592000000004"/>
    <n v="4055.25"/>
    <n v="2420.0092000000004"/>
    <n v="0.37373163378540897"/>
  </r>
  <r>
    <s v="ORD-2024-219735"/>
    <d v="2024-04-03T00:00:00"/>
    <d v="2024-04-07T00:00:00"/>
    <n v="4"/>
    <x v="20"/>
    <s v="Q2-2024"/>
    <x v="2"/>
    <s v="Brazil"/>
    <s v="Brasília"/>
    <s v="Non-Profit"/>
    <x v="4"/>
    <s v="N. Brown"/>
    <s v="Phones"/>
    <s v="PHN-5445"/>
    <n v="1023.27"/>
    <s v="High"/>
    <n v="1343.64"/>
    <n v="0.13300000000000001"/>
    <n v="7"/>
    <n v="13797.385980000001"/>
    <n v="7162.8899999999994"/>
    <n v="6634.4959800000015"/>
    <n v="0.48085166201895302"/>
  </r>
  <r>
    <s v="ORD-2023-240507"/>
    <d v="2023-03-25T00:00:00"/>
    <d v="2023-03-26T00:00:00"/>
    <n v="1"/>
    <x v="22"/>
    <s v="Q1-2023"/>
    <x v="1"/>
    <s v="Japan"/>
    <s v="Osaka"/>
    <s v="Small Business"/>
    <x v="3"/>
    <s v="I. Johnson"/>
    <s v="Monitors"/>
    <s v="MON-9227"/>
    <n v="135.12"/>
    <s v="High"/>
    <n v="301.7"/>
    <n v="0.14000000000000001"/>
    <n v="47"/>
    <n v="50207.703000000001"/>
    <n v="6350.64"/>
    <n v="43857.063000000002"/>
    <n v="0.87351263609888707"/>
  </r>
  <r>
    <s v="ORD-2024-134084"/>
    <d v="2024-06-04T00:00:00"/>
    <d v="2024-06-16T00:00:00"/>
    <n v="12"/>
    <x v="17"/>
    <s v="Q2-2024"/>
    <x v="1"/>
    <s v="China"/>
    <s v="Shanghai"/>
    <s v="Corporate"/>
    <x v="0"/>
    <s v="J. Njeri"/>
    <s v="Printers"/>
    <s v="PRN-4097"/>
    <n v="918.42"/>
    <s v="High"/>
    <n v="1511.71"/>
    <n v="0.02"/>
    <n v="8"/>
    <n v="10272.6736"/>
    <n v="7347.36"/>
    <n v="2925.3136000000004"/>
    <n v="0.28476652855007489"/>
  </r>
  <r>
    <s v="ORD-2023-884625"/>
    <d v="2023-02-19T00:00:00"/>
    <d v="2023-03-12T00:00:00"/>
    <n v="21"/>
    <x v="2"/>
    <s v="Q1-2023"/>
    <x v="3"/>
    <s v="Germany"/>
    <s v="Berlin"/>
    <s v="Small Business"/>
    <x v="4"/>
    <s v="L. Okafor"/>
    <s v="Monitors"/>
    <s v="MON-6699"/>
    <n v="1234.81"/>
    <s v="High"/>
    <n v="2055.2399999999998"/>
    <n v="5.2999999999999999E-2"/>
    <n v="44"/>
    <n v="40303.373"/>
    <n v="54331.64"/>
    <n v="-14028.267"/>
    <n v="-0.34806682309195314"/>
  </r>
  <r>
    <s v="ORD-2023-157993"/>
    <d v="2023-04-18T00:00:00"/>
    <d v="2023-05-18T00:00:00"/>
    <n v="0"/>
    <x v="12"/>
    <s v="Q2-2023"/>
    <x v="1"/>
    <s v="China"/>
    <s v="Shenzhen"/>
    <s v="Non-Profit"/>
    <x v="0"/>
    <s v="H. Kim"/>
    <s v="Laptops"/>
    <s v="LAP-1482"/>
    <n v="329.03"/>
    <s v="High"/>
    <n v="391.15"/>
    <n v="0.19700000000000001"/>
    <n v="46"/>
    <n v="32735.194359999998"/>
    <n v="15135.38"/>
    <n v="17599.814359999997"/>
    <n v="0.53764196926552166"/>
  </r>
  <r>
    <s v="ORD-2024-329104"/>
    <d v="2024-05-23T00:00:00"/>
    <d v="2024-06-14T00:00:00"/>
    <n v="22"/>
    <x v="7"/>
    <s v="Q2-2024"/>
    <x v="3"/>
    <s v="France"/>
    <s v="Marseille"/>
    <s v="Small Business"/>
    <x v="1"/>
    <s v="N. Brown"/>
    <s v="Monitors"/>
    <s v="MON-2100"/>
    <n v="1481.74"/>
    <s v="High"/>
    <n v="1848.97"/>
    <n v="0.254"/>
    <n v="9"/>
    <n v="5308.1555399999997"/>
    <n v="13335.66"/>
    <n v="-8027.5044600000001"/>
    <n v="-1.5122963898680333"/>
  </r>
  <r>
    <s v="ORD-2023-304451"/>
    <d v="2023-10-07T00:00:00"/>
    <d v="2023-10-23T00:00:00"/>
    <n v="16"/>
    <x v="32"/>
    <s v="Q4-2023"/>
    <x v="1"/>
    <s v="India"/>
    <s v="Hyderabad"/>
    <s v="Consumer"/>
    <x v="0"/>
    <s v="G. Dubois"/>
    <s v="Monitors"/>
    <s v="MON-7602"/>
    <n v="906.81"/>
    <s v="High"/>
    <n v="1395.56"/>
    <n v="0.185"/>
    <n v="6"/>
    <n v="1766.9036999999998"/>
    <n v="5440.86"/>
    <n v="-3673.9562999999998"/>
    <n v="-2.079318923832691"/>
  </r>
  <r>
    <s v="ORD-2024-942981"/>
    <d v="2024-10-09T00:00:00"/>
    <d v="2024-11-08T00:00:00"/>
    <n v="30"/>
    <x v="1"/>
    <s v="Q4-2024"/>
    <x v="3"/>
    <s v="United Kingdom"/>
    <s v="Manchester"/>
    <s v="Small Business"/>
    <x v="3"/>
    <s v="J. Njeri"/>
    <s v="Components"/>
    <s v="CMP-1072"/>
    <n v="343.85"/>
    <s v="High"/>
    <n v="538.04"/>
    <n v="0.13900000000000001"/>
    <n v="5"/>
    <n v="8403.5321999999996"/>
    <n v="1719.25"/>
    <n v="6684.2821999999996"/>
    <n v="0.79541340961363838"/>
  </r>
  <r>
    <s v="ORD-2024-605629"/>
    <d v="2024-07-15T00:00:00"/>
    <d v="2024-07-15T00:00:00"/>
    <n v="0"/>
    <x v="14"/>
    <s v="Q3-2024"/>
    <x v="1"/>
    <s v="Japan"/>
    <s v="Tokyo"/>
    <s v="Small Business"/>
    <x v="2"/>
    <s v="G. Dubois"/>
    <s v="Accessories"/>
    <s v="ACC-2735"/>
    <n v="801.77"/>
    <s v="High"/>
    <n v="1218.92"/>
    <n v="0.254"/>
    <n v="16"/>
    <n v="18676.97536"/>
    <n v="12828.32"/>
    <n v="5848.6553600000007"/>
    <n v="0.31314788648947495"/>
  </r>
  <r>
    <s v="ORD-2023-450877"/>
    <d v="2023-09-21T00:00:00"/>
    <d v="2023-10-10T00:00:00"/>
    <n v="19"/>
    <x v="27"/>
    <s v="Q3-2023"/>
    <x v="1"/>
    <s v="Japan"/>
    <s v="Tokyo"/>
    <s v="Education"/>
    <x v="1"/>
    <s v="D. Smith"/>
    <s v="Components"/>
    <s v="CMP-5211"/>
    <n v="845.63"/>
    <s v="High"/>
    <n v="2062.12"/>
    <n v="0.13400000000000001"/>
    <n v="5"/>
    <n v="3691.4982"/>
    <n v="4228.1499999999996"/>
    <n v="-536.65179999999964"/>
    <n v="-0.1453750674996942"/>
  </r>
  <r>
    <s v="ORD-2023-286994"/>
    <d v="2023-02-24T00:00:00"/>
    <d v="2023-03-09T00:00:00"/>
    <n v="13"/>
    <x v="2"/>
    <s v="Q1-2023"/>
    <x v="2"/>
    <s v="USA"/>
    <s v="New York"/>
    <s v="Enterprise"/>
    <x v="1"/>
    <s v="M. Rossi"/>
    <s v="Components"/>
    <s v="CMP-1632"/>
    <n v="6.85"/>
    <s v="Low"/>
    <n v="10.18"/>
    <n v="4.7E-2"/>
    <n v="10"/>
    <n v="13964.213699999998"/>
    <n v="68.5"/>
    <n v="13895.713699999998"/>
    <n v="0.99509460385871928"/>
  </r>
  <r>
    <s v="ORD-2025-700847"/>
    <d v="2025-05-21T00:00:00"/>
    <d v="2025-05-19T00:00:00"/>
    <n v="2"/>
    <x v="8"/>
    <s v="Q2-2025"/>
    <x v="0"/>
    <s v="South Africa"/>
    <s v="Johannesburg"/>
    <s v="Non-Profit"/>
    <x v="3"/>
    <s v="O. Wang"/>
    <s v="Laptops"/>
    <s v="LAP-7099"/>
    <n v="1263.8399999999999"/>
    <s v="High"/>
    <n v="2281.7199999999998"/>
    <n v="7.8E-2"/>
    <n v="15"/>
    <n v="36583.530899999998"/>
    <n v="18957.599999999999"/>
    <n v="17625.930899999999"/>
    <n v="0.48179960945213191"/>
  </r>
  <r>
    <s v="ORD-2024-970848"/>
    <d v="2024-05-23T00:00:00"/>
    <d v="2024-06-03T00:00:00"/>
    <n v="11"/>
    <x v="7"/>
    <s v="Q2-2024"/>
    <x v="0"/>
    <s v="South Africa"/>
    <s v="Johannesburg"/>
    <s v="Small Business"/>
    <x v="3"/>
    <s v="F. Müller"/>
    <s v="Printers"/>
    <s v="PRN-3785"/>
    <n v="180.89"/>
    <s v="High"/>
    <n v="249.57"/>
    <n v="2.1999999999999999E-2"/>
    <n v="8"/>
    <n v="6897.4036800000003"/>
    <n v="1447.12"/>
    <n v="5450.2836800000005"/>
    <n v="0.79019351815000627"/>
  </r>
  <r>
    <s v="ORD-2025-845715"/>
    <d v="2025-04-14T00:00:00"/>
    <d v="2025-05-04T00:00:00"/>
    <n v="20"/>
    <x v="19"/>
    <s v="Q2-2025"/>
    <x v="3"/>
    <s v="United Kingdom"/>
    <s v="Birmingham"/>
    <s v="Enterprise"/>
    <x v="2"/>
    <s v="K. Singh"/>
    <s v="Monitors"/>
    <s v="MON-6962"/>
    <n v="1413.87"/>
    <s v="High"/>
    <n v="3275"/>
    <n v="0.255"/>
    <n v="38"/>
    <n v="17694.882399999999"/>
    <n v="53727.06"/>
    <n v="-36032.177599999995"/>
    <n v="-2.0363050053387188"/>
  </r>
  <r>
    <s v="ORD-2023-664749"/>
    <d v="2023-08-27T00:00:00"/>
    <d v="2023-09-11T00:00:00"/>
    <n v="15"/>
    <x v="25"/>
    <s v="Q3-2023"/>
    <x v="3"/>
    <s v="United Kingdom"/>
    <s v="London"/>
    <s v="Consumer"/>
    <x v="2"/>
    <s v="N. Brown"/>
    <s v="Printers"/>
    <s v="PRN-5107"/>
    <n v="943.79"/>
    <s v="High"/>
    <n v="1913.76"/>
    <n v="9.0999999999999998E-2"/>
    <n v="9"/>
    <n v="7960.4402400000008"/>
    <n v="8494.11"/>
    <n v="-533.66975999999977"/>
    <n v="-6.7040231935715122E-2"/>
  </r>
  <r>
    <s v="ORD-2024-960952"/>
    <d v="2024-02-03T00:00:00"/>
    <d v="2024-02-21T00:00:00"/>
    <n v="18"/>
    <x v="31"/>
    <s v="Q1-2024"/>
    <x v="3"/>
    <s v="Germany"/>
    <s v="Frankfurt"/>
    <s v="Corporate"/>
    <x v="0"/>
    <s v="H. Kim"/>
    <s v="Components"/>
    <s v="CMP-9264"/>
    <n v="39.229999999999997"/>
    <s v="Low"/>
    <n v="30.09"/>
    <n v="0.17699999999999999"/>
    <n v="13"/>
    <n v="16533.592659999998"/>
    <n v="509.98999999999995"/>
    <n v="16023.602659999999"/>
    <n v="0.96915431446222655"/>
  </r>
  <r>
    <s v="ORD-2023-987700"/>
    <d v="2023-04-05T00:00:00"/>
    <d v="2023-04-16T00:00:00"/>
    <n v="11"/>
    <x v="12"/>
    <s v="Q2-2023"/>
    <x v="2"/>
    <s v="Canada"/>
    <s v="Vancouver"/>
    <s v="Non-Profit"/>
    <x v="1"/>
    <s v="O. Wang"/>
    <s v="Monitors"/>
    <s v="MON-5259"/>
    <n v="213.1"/>
    <s v="High"/>
    <n v="501.31"/>
    <n v="5.6000000000000001E-2"/>
    <n v="15"/>
    <n v="31908.427200000002"/>
    <n v="3196.5"/>
    <n v="28711.927200000002"/>
    <n v="0.89982270263700115"/>
  </r>
  <r>
    <s v="ORD-2025-652467"/>
    <d v="2025-08-21T00:00:00"/>
    <d v="2025-09-12T00:00:00"/>
    <n v="22"/>
    <x v="28"/>
    <s v="Q3-2025"/>
    <x v="1"/>
    <s v="China"/>
    <s v="Shenzhen"/>
    <s v="Education"/>
    <x v="0"/>
    <s v="B. Chen"/>
    <s v="Printers"/>
    <s v="PRN-8137"/>
    <n v="352.66"/>
    <s v="High"/>
    <n v="411.18"/>
    <n v="0.17299999999999999"/>
    <n v="13"/>
    <n v="26302.966559999997"/>
    <n v="4584.58"/>
    <n v="21718.386559999999"/>
    <n v="0.82570102921501043"/>
  </r>
  <r>
    <s v="ORD-2025-667201"/>
    <d v="2025-09-15T00:00:00"/>
    <d v="2025-09-18T00:00:00"/>
    <n v="3"/>
    <x v="11"/>
    <s v="Q3-2025"/>
    <x v="2"/>
    <s v="Brazil"/>
    <s v="Rio de Janeiro"/>
    <s v="Non-Profit"/>
    <x v="4"/>
    <s v="L. Okafor"/>
    <s v="Accessories"/>
    <s v="ACC-6777"/>
    <n v="5.5"/>
    <s v="Low"/>
    <n v="5.92"/>
    <n v="0.21199999999999999"/>
    <n v="4"/>
    <n v="593.52160000000003"/>
    <n v="22"/>
    <n v="571.52160000000003"/>
    <n v="0.96293310976382329"/>
  </r>
  <r>
    <s v="ORD-2024-237478"/>
    <d v="2024-10-03T00:00:00"/>
    <d v="2024-10-11T00:00:00"/>
    <n v="8"/>
    <x v="1"/>
    <s v="Q4-2024"/>
    <x v="1"/>
    <s v="China"/>
    <s v="Beijing"/>
    <s v="Enterprise"/>
    <x v="4"/>
    <s v="B. Chen"/>
    <s v="Phones"/>
    <s v="PHN-7488"/>
    <n v="1132.6099999999999"/>
    <s v="High"/>
    <n v="2206.63"/>
    <n v="6.3E-2"/>
    <n v="20"/>
    <n v="48027.621600000006"/>
    <n v="22652.199999999997"/>
    <n v="25375.421600000009"/>
    <n v="0.52835057732694402"/>
  </r>
  <r>
    <s v="ORD-2025-898843"/>
    <d v="2025-02-02T00:00:00"/>
    <d v="2025-03-04T00:00:00"/>
    <n v="2"/>
    <x v="26"/>
    <s v="Q1-2025"/>
    <x v="1"/>
    <s v="Japan"/>
    <s v="Osaka"/>
    <s v="Education"/>
    <x v="3"/>
    <s v="L. Okafor"/>
    <s v="Accessories"/>
    <s v="ACC-9591"/>
    <n v="766.59"/>
    <s v="High"/>
    <n v="1912.8"/>
    <n v="0.19600000000000001"/>
    <n v="5"/>
    <n v="7256.5421999999999"/>
    <n v="3832.9500000000003"/>
    <n v="3423.5921999999996"/>
    <n v="0.47179388001078526"/>
  </r>
  <r>
    <s v="ORD-2023-334213"/>
    <d v="2023-08-19T00:00:00"/>
    <d v="2023-08-23T00:00:00"/>
    <n v="4"/>
    <x v="25"/>
    <s v="Q3-2023"/>
    <x v="0"/>
    <s v="Nigeria"/>
    <s v="Abuja"/>
    <s v="Small Business"/>
    <x v="1"/>
    <s v="J. Njeri"/>
    <s v="Monitors"/>
    <s v="MON-5517"/>
    <n v="790.63"/>
    <s v="High"/>
    <n v="1382.31"/>
    <n v="0.10100000000000001"/>
    <n v="7"/>
    <n v="12999.63889"/>
    <n v="5534.41"/>
    <n v="7465.2288900000003"/>
    <n v="0.57426432789164961"/>
  </r>
  <r>
    <s v="ORD-2024-640340"/>
    <d v="2024-10-22T00:00:00"/>
    <d v="2024-10-29T00:00:00"/>
    <n v="7"/>
    <x v="1"/>
    <s v="Q4-2024"/>
    <x v="0"/>
    <s v="Nigeria"/>
    <s v="Port Harcourt"/>
    <s v="Enterprise"/>
    <x v="3"/>
    <s v="M. Rossi"/>
    <s v="Monitors"/>
    <s v="MON-8758"/>
    <n v="1023.06"/>
    <s v="High"/>
    <n v="1355.61"/>
    <n v="0.153"/>
    <n v="23"/>
    <n v="46101.981310000003"/>
    <n v="23530.379999999997"/>
    <n v="22571.601310000005"/>
    <n v="0.4896015457171683"/>
  </r>
  <r>
    <s v="ORD-2023-399631"/>
    <d v="2023-06-22T00:00:00"/>
    <d v="2023-07-21T00:00:00"/>
    <n v="29"/>
    <x v="23"/>
    <s v="Q2-2023"/>
    <x v="3"/>
    <s v="France"/>
    <s v="Lyon"/>
    <s v="Corporate"/>
    <x v="0"/>
    <s v="J. Njeri"/>
    <s v="Accessories"/>
    <s v="ACC-3385"/>
    <n v="734.34"/>
    <s v="High"/>
    <n v="887.9"/>
    <n v="2.5000000000000001E-2"/>
    <n v="12"/>
    <n v="1541.5919999999999"/>
    <n v="8812.08"/>
    <n v="-7270.4880000000003"/>
    <n v="-4.7162206342534221"/>
  </r>
  <r>
    <s v="ORD-2025-542939"/>
    <d v="2025-01-13T00:00:00"/>
    <d v="2025-02-08T00:00:00"/>
    <n v="26"/>
    <x v="10"/>
    <s v="Q1-2025"/>
    <x v="3"/>
    <s v="France"/>
    <s v="Paris"/>
    <s v="Non-Profit"/>
    <x v="5"/>
    <s v="E. Garcia"/>
    <s v="Monitors"/>
    <s v="MON-1593"/>
    <n v="594.74"/>
    <s v="High"/>
    <n v="1020.69"/>
    <n v="0.21099999999999999"/>
    <n v="6"/>
    <n v="6319.9846800000005"/>
    <n v="3568.44"/>
    <n v="2751.5446800000004"/>
    <n v="0.43537204903477711"/>
  </r>
  <r>
    <s v="ORD-2023-521818"/>
    <d v="2023-01-29T00:00:00"/>
    <d v="2023-02-28T00:00:00"/>
    <n v="30"/>
    <x v="5"/>
    <s v="Q1-2023"/>
    <x v="1"/>
    <s v="India"/>
    <s v="Bengaluru"/>
    <s v="Non-Profit"/>
    <x v="0"/>
    <s v="B. Chen"/>
    <s v="Accessories"/>
    <s v="ACC-4631"/>
    <n v="1262.0999999999999"/>
    <s v="High"/>
    <n v="1395.53"/>
    <n v="0.23300000000000001"/>
    <n v="25"/>
    <n v="51608.553749999999"/>
    <n v="31552.499999999996"/>
    <n v="20056.053750000003"/>
    <n v="0.38861879073679723"/>
  </r>
  <r>
    <s v="ORD-2023-825836"/>
    <d v="2023-07-19T00:00:00"/>
    <d v="2023-07-31T00:00:00"/>
    <n v="12"/>
    <x v="24"/>
    <s v="Q3-2023"/>
    <x v="2"/>
    <s v="Brazil"/>
    <s v="Rio de Janeiro"/>
    <s v="Corporate"/>
    <x v="0"/>
    <s v="C. Otieno"/>
    <s v="Monitors"/>
    <s v="MON-7869"/>
    <n v="1334.64"/>
    <s v="High"/>
    <n v="2273.42"/>
    <n v="0.11799999999999999"/>
    <n v="14"/>
    <n v="9587.7280800000008"/>
    <n v="18684.960000000003"/>
    <n v="-9097.231920000002"/>
    <n v="-0.94884125249409468"/>
  </r>
  <r>
    <s v="ORD-2024-503082"/>
    <d v="2024-05-19T00:00:00"/>
    <d v="2024-06-08T00:00:00"/>
    <n v="20"/>
    <x v="7"/>
    <s v="Q2-2024"/>
    <x v="2"/>
    <s v="Brazil"/>
    <s v="Brasília"/>
    <s v="Small Business"/>
    <x v="0"/>
    <s v="E. Garcia"/>
    <s v="Monitors"/>
    <s v="MON-4271"/>
    <n v="1075.9000000000001"/>
    <s v="High"/>
    <n v="1242.1500000000001"/>
    <n v="1.2E-2"/>
    <n v="7"/>
    <n v="2200.4637200000002"/>
    <n v="7531.3000000000011"/>
    <n v="-5330.8362800000014"/>
    <n v="-2.4225967606500691"/>
  </r>
  <r>
    <s v="ORD-2024-760799"/>
    <d v="2024-02-03T00:00:00"/>
    <d v="2024-02-19T00:00:00"/>
    <n v="16"/>
    <x v="31"/>
    <s v="Q1-2024"/>
    <x v="1"/>
    <s v="China"/>
    <s v="Shenzhen"/>
    <s v="Small Business"/>
    <x v="1"/>
    <s v="H. Kim"/>
    <s v="Laptops"/>
    <s v="LAP-5531"/>
    <n v="993.75"/>
    <s v="High"/>
    <n v="1310.29"/>
    <n v="0.215"/>
    <n v="19"/>
    <n v="18590.205150000002"/>
    <n v="18881.25"/>
    <n v="-291.04484999999841"/>
    <n v="-1.5655817009636301E-2"/>
  </r>
  <r>
    <s v="ORD-2023-197661"/>
    <d v="2023-08-08T00:00:00"/>
    <d v="2023-08-22T00:00:00"/>
    <n v="14"/>
    <x v="25"/>
    <s v="Q3-2023"/>
    <x v="3"/>
    <s v="United Kingdom"/>
    <s v="Birmingham"/>
    <s v="Non-Profit"/>
    <x v="4"/>
    <s v="N. Brown"/>
    <s v="Monitors"/>
    <s v="MON-7511"/>
    <n v="446.69"/>
    <s v="High"/>
    <n v="967.25"/>
    <n v="9.4E-2"/>
    <n v="10"/>
    <n v="3143.4576000000002"/>
    <n v="4466.8999999999996"/>
    <n v="-1323.4423999999995"/>
    <n v="-0.42101487228585471"/>
  </r>
  <r>
    <s v="ORD-2024-212990"/>
    <d v="2024-08-12T00:00:00"/>
    <d v="2024-09-03T00:00:00"/>
    <n v="22"/>
    <x v="21"/>
    <s v="Q3-2024"/>
    <x v="2"/>
    <s v="USA"/>
    <s v="Austin"/>
    <s v="Consumer"/>
    <x v="3"/>
    <s v="I. Johnson"/>
    <s v="Laptops"/>
    <s v="LAP-7979"/>
    <n v="797.8"/>
    <s v="High"/>
    <n v="886.22"/>
    <n v="0.23599999999999999"/>
    <n v="36"/>
    <n v="13882.919040000001"/>
    <n v="28720.799999999999"/>
    <n v="-14837.880959999999"/>
    <n v="-1.06878682482038"/>
  </r>
  <r>
    <s v="ORD-2023-925146"/>
    <d v="2023-10-15T00:00:00"/>
    <d v="2023-11-13T00:00:00"/>
    <n v="29"/>
    <x v="32"/>
    <s v="Q4-2023"/>
    <x v="1"/>
    <s v="China"/>
    <s v="Shenzhen"/>
    <s v="Non-Profit"/>
    <x v="3"/>
    <s v="J. Njeri"/>
    <s v="Printers"/>
    <s v="PRN-4983"/>
    <n v="986.44"/>
    <s v="High"/>
    <n v="790.61"/>
    <n v="7.1999999999999995E-2"/>
    <n v="6"/>
    <n v="5219.7772800000002"/>
    <n v="5918.64"/>
    <n v="-698.86272000000008"/>
    <n v="-0.13388745965804888"/>
  </r>
  <r>
    <s v="ORD-2023-177794"/>
    <d v="2023-05-04T00:00:00"/>
    <d v="2023-05-26T00:00:00"/>
    <n v="22"/>
    <x v="15"/>
    <s v="Q2-2023"/>
    <x v="2"/>
    <s v="USA"/>
    <s v="San Francisco"/>
    <s v="Enterprise"/>
    <x v="1"/>
    <s v="J. Njeri"/>
    <s v="Networking"/>
    <s v="NET-5941"/>
    <n v="249.71"/>
    <s v="High"/>
    <n v="361.33"/>
    <n v="9.4E-2"/>
    <n v="12"/>
    <n v="14139.90576"/>
    <n v="2996.52"/>
    <n v="11143.385759999999"/>
    <n v="0.7880806243789279"/>
  </r>
  <r>
    <s v="ORD-2024-444710"/>
    <d v="2024-09-22T00:00:00"/>
    <d v="2024-10-01T00:00:00"/>
    <n v="9"/>
    <x v="29"/>
    <s v="Q3-2024"/>
    <x v="2"/>
    <s v="Brazil"/>
    <s v="São Paulo"/>
    <s v="Non-Profit"/>
    <x v="1"/>
    <s v="K. Singh"/>
    <s v="Monitors"/>
    <s v="MON-6341"/>
    <n v="1378.8"/>
    <s v="High"/>
    <n v="1952.04"/>
    <n v="0.159"/>
    <n v="19"/>
    <n v="3645.6088500000001"/>
    <n v="26197.200000000001"/>
    <n v="-22551.59115"/>
    <n v="-6.1859601723317077"/>
  </r>
  <r>
    <s v="ORD-2024-668926"/>
    <d v="2024-10-23T00:00:00"/>
    <d v="2024-11-14T00:00:00"/>
    <n v="22"/>
    <x v="1"/>
    <s v="Q4-2024"/>
    <x v="1"/>
    <s v="Japan"/>
    <s v="Osaka"/>
    <s v="Non-Profit"/>
    <x v="4"/>
    <s v="B. Chen"/>
    <s v="Phones"/>
    <s v="PHN-9789"/>
    <n v="1406.4"/>
    <s v="High"/>
    <n v="1564.76"/>
    <n v="0.185"/>
    <n v="17"/>
    <n v="6879.2846"/>
    <n v="23908.800000000003"/>
    <n v="-17029.515400000004"/>
    <n v="-2.4754776681284567"/>
  </r>
  <r>
    <s v="ORD-2024-968374"/>
    <d v="2024-02-11T00:00:00"/>
    <d v="2024-03-03T00:00:00"/>
    <n v="21"/>
    <x v="31"/>
    <s v="Q1-2024"/>
    <x v="0"/>
    <s v="Kenya"/>
    <s v="Kisumu"/>
    <s v="Enterprise"/>
    <x v="1"/>
    <s v="B. Chen"/>
    <s v="Phones"/>
    <s v="PHN-5082"/>
    <n v="516.86"/>
    <s v="High"/>
    <n v="852.54"/>
    <n v="5.0999999999999997E-2"/>
    <n v="14"/>
    <n v="39076.783199999991"/>
    <n v="7236.04"/>
    <n v="31840.74319999999"/>
    <n v="0.81482508519278518"/>
  </r>
  <r>
    <s v="ORD-2023-575584"/>
    <d v="2023-01-30T00:00:00"/>
    <d v="2023-02-21T00:00:00"/>
    <n v="22"/>
    <x v="5"/>
    <s v="Q1-2023"/>
    <x v="3"/>
    <s v="Germany"/>
    <s v="Munich"/>
    <s v="Small Business"/>
    <x v="2"/>
    <s v="G. Dubois"/>
    <s v="Networking"/>
    <s v="NET-3460"/>
    <n v="1142.8800000000001"/>
    <s v="High"/>
    <n v="1465.29"/>
    <n v="0.186"/>
    <n v="7"/>
    <n v="6200.5636000000013"/>
    <n v="8000.1600000000008"/>
    <n v="-1799.5963999999994"/>
    <n v="-0.29023110092766391"/>
  </r>
  <r>
    <s v="ORD-2023-701153"/>
    <d v="2023-04-14T00:00:00"/>
    <d v="2023-05-13T00:00:00"/>
    <n v="29"/>
    <x v="12"/>
    <s v="Q2-2023"/>
    <x v="3"/>
    <s v="Germany"/>
    <s v="Frankfurt"/>
    <s v="Consumer"/>
    <x v="4"/>
    <s v="J. Njeri"/>
    <s v="Printers"/>
    <s v="PRN-7019"/>
    <n v="1320.33"/>
    <s v="High"/>
    <n v="2645.23"/>
    <n v="0.155"/>
    <n v="25"/>
    <n v="53428.293749999997"/>
    <n v="33008.25"/>
    <n v="20420.043749999997"/>
    <n v="0.38219531856189959"/>
  </r>
  <r>
    <s v="ORD-2023-382017"/>
    <d v="2023-01-13T00:00:00"/>
    <d v="2023-01-19T00:00:00"/>
    <n v="6"/>
    <x v="5"/>
    <s v="Q1-2023"/>
    <x v="2"/>
    <s v="USA"/>
    <s v="Chicago"/>
    <s v="Corporate"/>
    <x v="4"/>
    <s v="H. Kim"/>
    <s v="Phones"/>
    <s v="PHN-3159"/>
    <n v="833.57"/>
    <s v="High"/>
    <n v="881.57"/>
    <n v="5.7000000000000002E-2"/>
    <n v="18"/>
    <n v="45796.021740000004"/>
    <n v="15004.26"/>
    <n v="30791.761740000002"/>
    <n v="0.67236761120464961"/>
  </r>
  <r>
    <s v="ORD-2024-999607"/>
    <d v="2024-01-12T00:00:00"/>
    <d v="2024-01-29T00:00:00"/>
    <n v="17"/>
    <x v="9"/>
    <s v="Q1-2024"/>
    <x v="2"/>
    <s v="USA"/>
    <s v="Chicago"/>
    <s v="Education"/>
    <x v="3"/>
    <s v="A. Patel"/>
    <s v="Printers"/>
    <s v="PRN-8604"/>
    <n v="493.76"/>
    <s v="High"/>
    <n v="625.04"/>
    <n v="0.25800000000000001"/>
    <n v="10"/>
    <n v="11002.004999999999"/>
    <n v="4937.6000000000004"/>
    <n v="6064.4049999999988"/>
    <n v="0.55120907507313432"/>
  </r>
  <r>
    <s v="ORD-2023-133848"/>
    <d v="2023-08-15T00:00:00"/>
    <d v="2023-09-07T00:00:00"/>
    <n v="23"/>
    <x v="25"/>
    <s v="Q3-2023"/>
    <x v="2"/>
    <s v="USA"/>
    <s v="New York"/>
    <s v="Enterprise"/>
    <x v="1"/>
    <s v="K. Singh"/>
    <s v="Phones"/>
    <s v="PHN-2013"/>
    <n v="590.33000000000004"/>
    <s v="High"/>
    <n v="973.04"/>
    <n v="0"/>
    <n v="26"/>
    <n v="37877.06"/>
    <n v="15348.580000000002"/>
    <n v="22528.479999999996"/>
    <n v="0.59477900343902079"/>
  </r>
  <r>
    <s v="ORD-2023-586275"/>
    <d v="2023-01-20T00:00:00"/>
    <d v="2023-02-03T00:00:00"/>
    <n v="14"/>
    <x v="5"/>
    <s v="Q1-2023"/>
    <x v="0"/>
    <s v="Kenya"/>
    <s v="Kisumu"/>
    <s v="Corporate"/>
    <x v="0"/>
    <s v="M. Rossi"/>
    <s v="Networking"/>
    <s v="NET-6036"/>
    <n v="884.36"/>
    <s v="High"/>
    <n v="1545.34"/>
    <n v="0.24299999999999999"/>
    <n v="41"/>
    <n v="28497.86303"/>
    <n v="36258.76"/>
    <n v="-7760.8969700000016"/>
    <n v="-0.27233259426610423"/>
  </r>
  <r>
    <s v="ORD-2025-964661"/>
    <d v="2025-02-04T00:00:00"/>
    <d v="2025-02-25T00:00:00"/>
    <n v="21"/>
    <x v="26"/>
    <s v="Q1-2025"/>
    <x v="3"/>
    <s v="United Kingdom"/>
    <s v="Birmingham"/>
    <s v="Corporate"/>
    <x v="2"/>
    <s v="D. Smith"/>
    <s v="Monitors"/>
    <s v="MON-4959"/>
    <n v="1016.32"/>
    <s v="High"/>
    <n v="2253.42"/>
    <n v="5.5E-2"/>
    <n v="12"/>
    <n v="554.97959999999989"/>
    <n v="12195.84"/>
    <n v="-11640.8604"/>
    <n v="-20.97529422703105"/>
  </r>
  <r>
    <s v="ORD-2023-390998"/>
    <d v="2023-04-19T00:00:00"/>
    <d v="2023-04-28T00:00:00"/>
    <n v="9"/>
    <x v="12"/>
    <s v="Q2-2023"/>
    <x v="3"/>
    <s v="Germany"/>
    <s v="Berlin"/>
    <s v="Education"/>
    <x v="1"/>
    <s v="E. Garcia"/>
    <s v="Monitors"/>
    <s v="MON-1663"/>
    <n v="1178.42"/>
    <s v="High"/>
    <n v="2446.56"/>
    <n v="2.9000000000000001E-2"/>
    <n v="11"/>
    <n v="9957.7894899999992"/>
    <n v="12962.62"/>
    <n v="-3004.8305100000016"/>
    <n v="-0.30175678176542792"/>
  </r>
  <r>
    <s v="ORD-2023-920483"/>
    <d v="2023-07-02T00:00:00"/>
    <d v="2023-08-01T00:00:00"/>
    <n v="30"/>
    <x v="24"/>
    <s v="Q3-2023"/>
    <x v="3"/>
    <s v="United Kingdom"/>
    <s v="Birmingham"/>
    <s v="Small Business"/>
    <x v="0"/>
    <s v="B. Chen"/>
    <s v="Components"/>
    <s v="CMP-7256"/>
    <n v="137.46"/>
    <s v="Medium"/>
    <n v="188.3"/>
    <n v="3.7999999999999999E-2"/>
    <n v="37"/>
    <n v="11596.169260000001"/>
    <n v="5086.0200000000004"/>
    <n v="6510.1492600000001"/>
    <n v="0.56140516010370822"/>
  </r>
  <r>
    <s v="ORD-2025-146850"/>
    <d v="2025-01-21T00:00:00"/>
    <d v="2025-02-14T00:00:00"/>
    <n v="24"/>
    <x v="10"/>
    <s v="Q1-2025"/>
    <x v="0"/>
    <s v="Kenya"/>
    <s v="Nairobi"/>
    <s v="Small Business"/>
    <x v="0"/>
    <s v="J. Njeri"/>
    <s v="Accessories"/>
    <s v="ACC-1659"/>
    <n v="1030.44"/>
    <s v="High"/>
    <n v="2562.84"/>
    <n v="0.14799999999999999"/>
    <n v="13"/>
    <n v="4496.5237200000001"/>
    <n v="13395.720000000001"/>
    <n v="-8899.1962800000001"/>
    <n v="-1.9791280629561541"/>
  </r>
  <r>
    <s v="ORD-2024-687100"/>
    <d v="2024-09-10T00:00:00"/>
    <d v="2024-10-07T00:00:00"/>
    <n v="27"/>
    <x v="29"/>
    <s v="Q3-2024"/>
    <x v="0"/>
    <s v="Kenya"/>
    <s v="Kisumu"/>
    <s v="Consumer"/>
    <x v="0"/>
    <s v="L. Okafor"/>
    <s v="Printers"/>
    <s v="PRN-6068"/>
    <n v="1248.3900000000001"/>
    <s v="High"/>
    <n v="1805.11"/>
    <n v="0.20300000000000001"/>
    <n v="11"/>
    <n v="13931.376689999999"/>
    <n v="13732.29"/>
    <n v="199.08668999999827"/>
    <n v="1.4290525224467122E-2"/>
  </r>
  <r>
    <s v="ORD-2025-629393"/>
    <d v="2025-07-21T00:00:00"/>
    <d v="2025-08-07T00:00:00"/>
    <n v="17"/>
    <x v="13"/>
    <s v="Q3-2025"/>
    <x v="0"/>
    <s v="Nigeria"/>
    <s v="Lagos"/>
    <s v="Enterprise"/>
    <x v="4"/>
    <s v="M. Rossi"/>
    <s v="Accessories"/>
    <s v="ACC-8999"/>
    <n v="1204.95"/>
    <s v="High"/>
    <n v="2065.73"/>
    <n v="0.13600000000000001"/>
    <n v="10"/>
    <n v="12379.392"/>
    <n v="12049.5"/>
    <n v="329.89199999999983"/>
    <n v="2.6648481605558643E-2"/>
  </r>
  <r>
    <s v="ORD-2024-686712"/>
    <d v="2024-10-02T00:00:00"/>
    <d v="2024-10-23T00:00:00"/>
    <n v="21"/>
    <x v="1"/>
    <s v="Q4-2024"/>
    <x v="0"/>
    <s v="South Africa"/>
    <s v="Durban"/>
    <s v="Corporate"/>
    <x v="2"/>
    <s v="A. Patel"/>
    <s v="Components"/>
    <s v="CMP-3978"/>
    <n v="1095.6099999999999"/>
    <s v="High"/>
    <n v="2366.5100000000002"/>
    <n v="0.152"/>
    <n v="9"/>
    <n v="13476.28032"/>
    <n v="9860.49"/>
    <n v="3615.7903200000001"/>
    <n v="0.26830774027710341"/>
  </r>
  <r>
    <s v="ORD-2025-586799"/>
    <d v="2025-07-14T00:00:00"/>
    <d v="2025-08-04T00:00:00"/>
    <n v="21"/>
    <x v="13"/>
    <s v="Q3-2025"/>
    <x v="2"/>
    <s v="Canada"/>
    <s v="Montreal"/>
    <s v="Consumer"/>
    <x v="1"/>
    <s v="H. Kim"/>
    <s v="Monitors"/>
    <s v="MON-7868"/>
    <n v="90.3"/>
    <s v="Medium"/>
    <n v="131.76"/>
    <n v="0.10199999999999999"/>
    <n v="15"/>
    <n v="37144.063799999996"/>
    <n v="1354.5"/>
    <n v="35789.563799999996"/>
    <n v="0.96353387697982573"/>
  </r>
  <r>
    <s v="ORD-2024-988736"/>
    <d v="2024-09-09T00:00:00"/>
    <d v="2024-10-01T00:00:00"/>
    <n v="22"/>
    <x v="29"/>
    <s v="Q3-2024"/>
    <x v="1"/>
    <s v="China"/>
    <s v="Shenzhen"/>
    <s v="Consumer"/>
    <x v="4"/>
    <s v="L. Okafor"/>
    <s v="Printers"/>
    <s v="PRN-3014"/>
    <n v="1166.18"/>
    <s v="High"/>
    <n v="1335.02"/>
    <n v="0.128"/>
    <n v="6"/>
    <n v="4571.46"/>
    <n v="6997.08"/>
    <n v="-2425.62"/>
    <n v="-0.53060072712000106"/>
  </r>
  <r>
    <s v="ORD-2025-564184"/>
    <d v="2025-01-29T00:00:00"/>
    <d v="2025-02-06T00:00:00"/>
    <n v="8"/>
    <x v="10"/>
    <s v="Q1-2025"/>
    <x v="0"/>
    <s v="Kenya"/>
    <s v="Kisumu"/>
    <s v="Education"/>
    <x v="0"/>
    <s v="B. Chen"/>
    <s v="Phones"/>
    <s v="PHN-1671"/>
    <n v="1445.27"/>
    <s v="High"/>
    <n v="2691.45"/>
    <n v="0"/>
    <n v="9"/>
    <n v="2326.6799999999998"/>
    <n v="13007.43"/>
    <n v="-10680.75"/>
    <n v="-4.5905539223270928"/>
  </r>
  <r>
    <s v="ORD-2023-653343"/>
    <d v="2023-11-10T00:00:00"/>
    <d v="2023-11-28T00:00:00"/>
    <n v="18"/>
    <x v="30"/>
    <s v="Q4-2023"/>
    <x v="2"/>
    <s v="Brazil"/>
    <s v="Brasília"/>
    <s v="Education"/>
    <x v="2"/>
    <s v="L. Okafor"/>
    <s v="Accessories"/>
    <s v="ACC-5260"/>
    <n v="388.51"/>
    <s v="High"/>
    <n v="776.46"/>
    <n v="0.157"/>
    <n v="12"/>
    <n v="6137.98416"/>
    <n v="4662.12"/>
    <n v="1475.8641600000001"/>
    <n v="0.24044769773403912"/>
  </r>
  <r>
    <s v="ORD-2024-197852"/>
    <d v="2024-02-29T00:00:00"/>
    <d v="2024-03-30T00:00:00"/>
    <n v="1"/>
    <x v="31"/>
    <s v="Q1-2024"/>
    <x v="1"/>
    <s v="Japan"/>
    <s v="Nagoya"/>
    <s v="Small Business"/>
    <x v="4"/>
    <s v="I. Johnson"/>
    <s v="Networking"/>
    <s v="NET-7588"/>
    <n v="231.11"/>
    <s v="High"/>
    <n v="318.17"/>
    <n v="0.20100000000000001"/>
    <n v="60"/>
    <n v="64128.8586"/>
    <n v="13866.6"/>
    <n v="50262.258600000001"/>
    <n v="0.7837697363913475"/>
  </r>
  <r>
    <s v="ORD-2023-431328"/>
    <d v="2023-12-20T00:00:00"/>
    <d v="2024-01-14T00:00:00"/>
    <n v="25"/>
    <x v="4"/>
    <s v="Q4-2023"/>
    <x v="1"/>
    <s v="India"/>
    <s v="Mumbai"/>
    <s v="Non-Profit"/>
    <x v="2"/>
    <s v="L. Okafor"/>
    <s v="Monitors"/>
    <s v="MON-1572"/>
    <n v="1085.6099999999999"/>
    <s v="High"/>
    <n v="1246.4100000000001"/>
    <n v="0.113"/>
    <n v="7"/>
    <n v="11133.23372"/>
    <n v="7599.2699999999995"/>
    <n v="3533.9637200000006"/>
    <n v="0.31742473111397151"/>
  </r>
  <r>
    <s v="ORD-2023-613317"/>
    <d v="2023-01-22T00:00:00"/>
    <d v="2023-01-21T00:00:00"/>
    <n v="1"/>
    <x v="5"/>
    <s v="Q1-2023"/>
    <x v="3"/>
    <s v="Germany"/>
    <s v="Munich"/>
    <s v="Corporate"/>
    <x v="4"/>
    <s v="F. Müller"/>
    <s v="Monitors"/>
    <s v="MON-2537"/>
    <n v="150.86000000000001"/>
    <s v="High"/>
    <n v="346.96"/>
    <n v="0.19600000000000001"/>
    <n v="8"/>
    <n v="789.46368000000007"/>
    <n v="1206.8800000000001"/>
    <n v="-417.41632000000004"/>
    <n v="-0.52873403878440617"/>
  </r>
  <r>
    <s v="ORD-2024-720756"/>
    <d v="2024-10-11T00:00:00"/>
    <d v="2024-11-09T00:00:00"/>
    <n v="29"/>
    <x v="1"/>
    <s v="Q4-2024"/>
    <x v="1"/>
    <s v="China"/>
    <s v="Shanghai"/>
    <s v="Non-Profit"/>
    <x v="1"/>
    <s v="F. Müller"/>
    <s v="Printers"/>
    <s v="PRN-5666"/>
    <n v="391.64"/>
    <s v="High"/>
    <n v="504.76"/>
    <n v="4.0000000000000001E-3"/>
    <n v="13"/>
    <n v="12014.83764"/>
    <n v="5091.32"/>
    <n v="6923.51764"/>
    <n v="0.57624729084562143"/>
  </r>
  <r>
    <s v="ORD-2024-777623"/>
    <d v="2024-09-19T00:00:00"/>
    <d v="2024-10-14T00:00:00"/>
    <n v="25"/>
    <x v="29"/>
    <s v="Q3-2024"/>
    <x v="2"/>
    <s v="Brazil"/>
    <s v="Rio de Janeiro"/>
    <s v="Small Business"/>
    <x v="0"/>
    <s v="K. Singh"/>
    <s v="Printers"/>
    <s v="PRN-2749"/>
    <n v="386.96"/>
    <s v="High"/>
    <n v="937.46"/>
    <n v="0.26600000000000001"/>
    <n v="41"/>
    <n v="4570.6767199999995"/>
    <n v="15865.359999999999"/>
    <n v="-11294.683279999999"/>
    <n v="-2.4711183861631763"/>
  </r>
  <r>
    <s v="ORD-2025-762212"/>
    <d v="2025-08-25T00:00:00"/>
    <d v="2025-09-24T00:00:00"/>
    <n v="30"/>
    <x v="28"/>
    <s v="Q3-2025"/>
    <x v="0"/>
    <s v="Kenya"/>
    <s v="Nairobi"/>
    <s v="Consumer"/>
    <x v="4"/>
    <s v="B. Chen"/>
    <s v="Components"/>
    <s v="CMP-4970"/>
    <n v="589.14"/>
    <s v="High"/>
    <n v="1300.58"/>
    <n v="5.5E-2"/>
    <n v="11"/>
    <n v="22977.108"/>
    <n v="6480.54"/>
    <n v="16496.567999999999"/>
    <n v="0.71795667235406646"/>
  </r>
  <r>
    <s v="ORD-2023-271918"/>
    <d v="2023-09-25T00:00:00"/>
    <d v="2023-10-02T00:00:00"/>
    <n v="7"/>
    <x v="27"/>
    <s v="Q3-2023"/>
    <x v="2"/>
    <s v="USA"/>
    <s v="New York"/>
    <s v="Education"/>
    <x v="2"/>
    <s v="I. Johnson"/>
    <s v="Accessories"/>
    <s v="ACC-3551"/>
    <n v="145.58000000000001"/>
    <s v="High"/>
    <n v="228.15"/>
    <n v="0.20399999999999999"/>
    <n v="5"/>
    <n v="158.16520000000003"/>
    <n v="727.90000000000009"/>
    <n v="-569.73480000000006"/>
    <n v="-3.602150156924532"/>
  </r>
  <r>
    <s v="ORD-2023-713375"/>
    <d v="2023-08-26T00:00:00"/>
    <d v="2023-09-10T00:00:00"/>
    <n v="15"/>
    <x v="25"/>
    <s v="Q3-2023"/>
    <x v="0"/>
    <s v="South Africa"/>
    <s v="Cape Town"/>
    <s v="Non-Profit"/>
    <x v="4"/>
    <s v="N. Brown"/>
    <s v="Components"/>
    <s v="CMP-7063"/>
    <n v="241.14"/>
    <s v="High"/>
    <n v="496.52"/>
    <n v="9.2999999999999999E-2"/>
    <n v="10"/>
    <n v="9151.630000000001"/>
    <n v="2411.3999999999996"/>
    <n v="6740.2300000000014"/>
    <n v="0.73650595576962796"/>
  </r>
  <r>
    <s v="ORD-2025-678688"/>
    <d v="2025-07-16T00:00:00"/>
    <d v="2025-07-17T00:00:00"/>
    <n v="1"/>
    <x v="13"/>
    <s v="Q3-2025"/>
    <x v="0"/>
    <s v="South Africa"/>
    <s v="Durban"/>
    <s v="Small Business"/>
    <x v="3"/>
    <s v="B. Chen"/>
    <s v="Networking"/>
    <s v="NET-1612"/>
    <n v="1198.9000000000001"/>
    <s v="High"/>
    <n v="2941.2"/>
    <n v="5.0999999999999997E-2"/>
    <n v="24"/>
    <n v="37663.304640000002"/>
    <n v="28773.600000000002"/>
    <n v="8889.7046399999999"/>
    <n v="0.23603092519286697"/>
  </r>
  <r>
    <s v="ORD-2023-501220"/>
    <d v="2023-04-19T00:00:00"/>
    <d v="2023-05-07T00:00:00"/>
    <n v="18"/>
    <x v="12"/>
    <s v="Q2-2023"/>
    <x v="3"/>
    <s v="United Kingdom"/>
    <s v="Birmingham"/>
    <s v="Enterprise"/>
    <x v="0"/>
    <s v="N. Brown"/>
    <s v="Laptops"/>
    <s v="LAP-9766"/>
    <n v="1089.1500000000001"/>
    <s v="High"/>
    <n v="1088.2"/>
    <n v="5.0999999999999997E-2"/>
    <n v="15"/>
    <n v="14458.4895"/>
    <n v="16337.250000000002"/>
    <n v="-1878.7605000000021"/>
    <n v="-0.12994168581718044"/>
  </r>
  <r>
    <s v="ORD-2023-195665"/>
    <d v="2023-12-19T00:00:00"/>
    <d v="2023-12-20T00:00:00"/>
    <n v="1"/>
    <x v="4"/>
    <s v="Q4-2023"/>
    <x v="2"/>
    <s v="Brazil"/>
    <s v="Rio de Janeiro"/>
    <s v="Consumer"/>
    <x v="3"/>
    <s v="J. Njeri"/>
    <s v="Phones"/>
    <s v="PHN-7274"/>
    <n v="1080.43"/>
    <s v="High"/>
    <n v="2529.15"/>
    <n v="0.14699999999999999"/>
    <n v="10"/>
    <n v="7783.1984999999995"/>
    <n v="10804.300000000001"/>
    <n v="-3021.1015000000016"/>
    <n v="-0.38815680982567796"/>
  </r>
  <r>
    <s v="ORD-2023-290237"/>
    <d v="2023-07-30T00:00:00"/>
    <d v="2023-08-07T00:00:00"/>
    <n v="8"/>
    <x v="24"/>
    <s v="Q3-2023"/>
    <x v="1"/>
    <s v="Japan"/>
    <s v="Nagoya"/>
    <s v="Education"/>
    <x v="2"/>
    <s v="A. Patel"/>
    <s v="Networking"/>
    <s v="NET-1645"/>
    <n v="1352.44"/>
    <s v="High"/>
    <n v="2698.01"/>
    <n v="0.13100000000000001"/>
    <n v="13"/>
    <n v="9209.201430000001"/>
    <n v="17581.72"/>
    <n v="-8372.5185700000002"/>
    <n v="-0.90914707791335603"/>
  </r>
  <r>
    <s v="ORD-2023-302041"/>
    <d v="2023-10-04T00:00:00"/>
    <d v="2023-10-29T00:00:00"/>
    <n v="25"/>
    <x v="32"/>
    <s v="Q4-2023"/>
    <x v="2"/>
    <s v="USA"/>
    <s v="San Francisco"/>
    <s v="Small Business"/>
    <x v="3"/>
    <s v="O. Wang"/>
    <s v="Accessories"/>
    <s v="ACC-5079"/>
    <n v="1239.8399999999999"/>
    <s v="High"/>
    <n v="1482.75"/>
    <n v="6.7000000000000004E-2"/>
    <n v="4"/>
    <n v="6770.0719200000003"/>
    <n v="4959.3599999999997"/>
    <n v="1810.7119200000006"/>
    <n v="0.26745829902498297"/>
  </r>
  <r>
    <s v="ORD-2025-289139"/>
    <d v="2025-08-10T00:00:00"/>
    <d v="2025-08-30T00:00:00"/>
    <n v="20"/>
    <x v="28"/>
    <s v="Q3-2025"/>
    <x v="2"/>
    <s v="USA"/>
    <s v="San Francisco"/>
    <s v="Corporate"/>
    <x v="2"/>
    <s v="K. Singh"/>
    <s v="Printers"/>
    <s v="PRN-2098"/>
    <n v="933.29"/>
    <s v="High"/>
    <n v="1456.81"/>
    <n v="0.123"/>
    <n v="13"/>
    <n v="8652.4469199999985"/>
    <n v="12132.77"/>
    <n v="-3480.3230800000019"/>
    <n v="-0.4022357042093247"/>
  </r>
  <r>
    <s v="ORD-2023-949710"/>
    <d v="2023-03-07T00:00:00"/>
    <d v="2023-04-01T00:00:00"/>
    <n v="25"/>
    <x v="22"/>
    <s v="Q1-2023"/>
    <x v="0"/>
    <s v="Kenya"/>
    <s v="Nairobi"/>
    <s v="Consumer"/>
    <x v="2"/>
    <s v="D. Smith"/>
    <s v="Printers"/>
    <s v="PRN-7049"/>
    <n v="1024.0999999999999"/>
    <s v="High"/>
    <n v="918.19"/>
    <n v="0.189"/>
    <n v="10"/>
    <n v="13522.938400000001"/>
    <n v="10241"/>
    <n v="3281.9384000000009"/>
    <n v="0.24269417658517181"/>
  </r>
  <r>
    <s v="ORD-2023-603650"/>
    <d v="2023-05-23T00:00:00"/>
    <d v="2023-06-10T00:00:00"/>
    <n v="18"/>
    <x v="15"/>
    <s v="Q2-2023"/>
    <x v="1"/>
    <s v="China"/>
    <s v="Shanghai"/>
    <s v="Corporate"/>
    <x v="3"/>
    <s v="E. Garcia"/>
    <s v="Components"/>
    <s v="CMP-6925"/>
    <n v="54.62"/>
    <s v="Low"/>
    <n v="48.94"/>
    <n v="0.14799999999999999"/>
    <n v="16"/>
    <n v="34932.681600000004"/>
    <n v="873.92"/>
    <n v="34058.761600000005"/>
    <n v="0.9749827393726338"/>
  </r>
  <r>
    <s v="ORD-2025-757957"/>
    <d v="2025-04-24T00:00:00"/>
    <d v="2025-05-06T00:00:00"/>
    <n v="12"/>
    <x v="19"/>
    <s v="Q2-2025"/>
    <x v="2"/>
    <s v="Brazil"/>
    <s v="Brasília"/>
    <s v="Consumer"/>
    <x v="1"/>
    <s v="C. Otieno"/>
    <s v="Phones"/>
    <s v="PHN-2787"/>
    <n v="394.13"/>
    <s v="High"/>
    <n v="932.29"/>
    <n v="0.109"/>
    <n v="7"/>
    <n v="4648.9350599999998"/>
    <n v="2758.91"/>
    <n v="1890.0250599999999"/>
    <n v="0.40655010999443819"/>
  </r>
  <r>
    <s v="ORD-2024-423853"/>
    <d v="2024-09-03T00:00:00"/>
    <d v="2024-09-08T00:00:00"/>
    <n v="5"/>
    <x v="29"/>
    <s v="Q3-2024"/>
    <x v="0"/>
    <s v="Nigeria"/>
    <s v="Lagos"/>
    <s v="Small Business"/>
    <x v="4"/>
    <s v="K. Singh"/>
    <s v="Printers"/>
    <s v="PRN-1141"/>
    <n v="197.63"/>
    <s v="High"/>
    <n v="325.79000000000002"/>
    <n v="0.11600000000000001"/>
    <n v="10"/>
    <n v="6081.4780000000001"/>
    <n v="1976.3"/>
    <n v="4105.1779999999999"/>
    <n v="0.67502965561990025"/>
  </r>
  <r>
    <s v="ORD-2024-569164"/>
    <d v="2024-09-05T00:00:00"/>
    <d v="2024-09-25T00:00:00"/>
    <n v="20"/>
    <x v="29"/>
    <s v="Q3-2024"/>
    <x v="1"/>
    <s v="Japan"/>
    <s v="Osaka"/>
    <s v="Enterprise"/>
    <x v="3"/>
    <s v="D. Smith"/>
    <s v="Monitors"/>
    <s v="MON-5249"/>
    <n v="195.54"/>
    <s v="High"/>
    <n v="405.97"/>
    <n v="0.187"/>
    <n v="16"/>
    <n v="7155.3105599999999"/>
    <n v="3128.64"/>
    <n v="4026.67056"/>
    <n v="0.56275273116866642"/>
  </r>
  <r>
    <s v="ORD-2023-946143"/>
    <d v="2023-03-14T00:00:00"/>
    <d v="2023-03-30T00:00:00"/>
    <n v="16"/>
    <x v="22"/>
    <s v="Q1-2023"/>
    <x v="0"/>
    <s v="South Africa"/>
    <s v="Cape Town"/>
    <s v="Consumer"/>
    <x v="3"/>
    <s v="K. Singh"/>
    <s v="Components"/>
    <s v="CMP-8230"/>
    <n v="1309.77"/>
    <s v="High"/>
    <n v="1589.07"/>
    <n v="0.10199999999999999"/>
    <n v="10"/>
    <n v="18572.525799999999"/>
    <n v="13097.7"/>
    <n v="5474.8257999999987"/>
    <n v="0.29478089619883574"/>
  </r>
  <r>
    <s v="ORD-2024-281211"/>
    <d v="2024-01-11T00:00:00"/>
    <d v="2024-02-02T00:00:00"/>
    <n v="22"/>
    <x v="9"/>
    <s v="Q1-2024"/>
    <x v="1"/>
    <s v="Japan"/>
    <s v="Nagoya"/>
    <s v="Small Business"/>
    <x v="1"/>
    <s v="Not Provided"/>
    <s v="Printers"/>
    <s v="PRN-7816"/>
    <n v="1237.68"/>
    <s v="High"/>
    <n v="1432.8"/>
    <n v="6.8000000000000005E-2"/>
    <n v="13"/>
    <n v="31218.691400000003"/>
    <n v="16089.84"/>
    <n v="15128.851400000003"/>
    <n v="0.48460876230065175"/>
  </r>
  <r>
    <s v="ORD-2024-805860"/>
    <d v="2024-09-13T00:00:00"/>
    <d v="2024-10-02T00:00:00"/>
    <n v="19"/>
    <x v="29"/>
    <s v="Q3-2024"/>
    <x v="0"/>
    <s v="Kenya"/>
    <s v="Mombasa"/>
    <s v="Small Business"/>
    <x v="0"/>
    <s v="M. Rossi"/>
    <s v="Phones"/>
    <s v="PHN-8804"/>
    <n v="1338.99"/>
    <s v="High"/>
    <n v="1765.76"/>
    <n v="0.126"/>
    <n v="24"/>
    <n v="21901.880639999999"/>
    <n v="32135.760000000002"/>
    <n v="-10233.879360000003"/>
    <n v="-0.46726030189889678"/>
  </r>
  <r>
    <s v="ORD-2025-132174"/>
    <d v="2025-07-17T00:00:00"/>
    <d v="2025-07-23T00:00:00"/>
    <n v="6"/>
    <x v="13"/>
    <s v="Q3-2025"/>
    <x v="2"/>
    <s v="Canada"/>
    <s v="Vancouver"/>
    <s v="Consumer"/>
    <x v="1"/>
    <s v="H. Kim"/>
    <s v="Components"/>
    <s v="CMP-8851"/>
    <n v="1364.89"/>
    <s v="High"/>
    <n v="2757.54"/>
    <n v="0.17199999999999999"/>
    <n v="61"/>
    <n v="5002.3123200000009"/>
    <n v="83258.290000000008"/>
    <n v="-78255.977680000011"/>
    <n v="-15.643960767327698"/>
  </r>
  <r>
    <s v="ORD-2023-964434"/>
    <d v="2023-11-28T00:00:00"/>
    <d v="2023-12-07T00:00:00"/>
    <n v="9"/>
    <x v="30"/>
    <s v="Q4-2023"/>
    <x v="1"/>
    <s v="India"/>
    <s v="Delhi"/>
    <s v="Enterprise"/>
    <x v="2"/>
    <s v="L. Okafor"/>
    <s v="Phones"/>
    <s v="PHN-2447"/>
    <n v="699.33"/>
    <s v="High"/>
    <n v="873.75"/>
    <n v="0.23499999999999999"/>
    <n v="10"/>
    <n v="15275.5965"/>
    <n v="6993.3"/>
    <n v="8282.2965000000004"/>
    <n v="0.5421913638527962"/>
  </r>
  <r>
    <s v="ORD-2024-897622"/>
    <d v="2024-03-30T00:00:00"/>
    <d v="2024-04-24T00:00:00"/>
    <n v="25"/>
    <x v="0"/>
    <s v="Q1-2024"/>
    <x v="2"/>
    <s v="USA"/>
    <s v="Austin"/>
    <s v="Non-Profit"/>
    <x v="1"/>
    <s v="G. Dubois"/>
    <s v="Laptops"/>
    <s v="LAP-2846"/>
    <n v="160.82"/>
    <s v="High"/>
    <n v="258.52"/>
    <n v="0.13"/>
    <n v="17"/>
    <n v="13631.647199999999"/>
    <n v="2733.94"/>
    <n v="10897.707199999999"/>
    <n v="0.79944169916604058"/>
  </r>
  <r>
    <s v="ORD-2023-517216"/>
    <d v="2023-09-19T00:00:00"/>
    <d v="2023-10-08T00:00:00"/>
    <n v="19"/>
    <x v="27"/>
    <s v="Q3-2023"/>
    <x v="1"/>
    <s v="India"/>
    <s v="Bengaluru"/>
    <s v="Education"/>
    <x v="4"/>
    <s v="J. Njeri"/>
    <s v="Printers"/>
    <s v="PRN-5005"/>
    <n v="385.32"/>
    <s v="High"/>
    <n v="606.76"/>
    <n v="8.5999999999999993E-2"/>
    <n v="8"/>
    <n v="18307.712480000002"/>
    <n v="3082.56"/>
    <n v="15225.152480000002"/>
    <n v="0.8316250594732959"/>
  </r>
  <r>
    <s v="ORD-2025-509940"/>
    <d v="2025-05-16T00:00:00"/>
    <d v="2025-05-27T00:00:00"/>
    <n v="11"/>
    <x v="8"/>
    <s v="Q2-2025"/>
    <x v="1"/>
    <s v="China"/>
    <s v="Beijing"/>
    <s v="Enterprise"/>
    <x v="1"/>
    <s v="F. Müller"/>
    <s v="Phones"/>
    <s v="PHN-3800"/>
    <n v="918.12"/>
    <s v="High"/>
    <n v="1337.69"/>
    <n v="9.5000000000000001E-2"/>
    <n v="8"/>
    <n v="17830.4548"/>
    <n v="7344.96"/>
    <n v="10485.4948"/>
    <n v="0.58806659267042372"/>
  </r>
  <r>
    <s v="ORD-2025-646342"/>
    <d v="2025-08-02T00:00:00"/>
    <d v="2025-08-08T00:00:00"/>
    <n v="6"/>
    <x v="28"/>
    <s v="Q3-2025"/>
    <x v="1"/>
    <s v="Japan"/>
    <s v="Osaka"/>
    <s v="Consumer"/>
    <x v="4"/>
    <s v="N. Brown"/>
    <s v="Laptops"/>
    <s v="LAP-4828"/>
    <n v="1225.94"/>
    <s v="High"/>
    <n v="1793.08"/>
    <n v="0.13600000000000001"/>
    <n v="22"/>
    <n v="9431.7695999999996"/>
    <n v="26970.68"/>
    <n v="-17538.910400000001"/>
    <n v="-1.8595567050323198"/>
  </r>
  <r>
    <s v="ORD-2024-866535"/>
    <d v="2024-12-04T00:00:00"/>
    <d v="2024-12-12T00:00:00"/>
    <n v="8"/>
    <x v="6"/>
    <s v="Q4-2024"/>
    <x v="3"/>
    <s v="Germany"/>
    <s v="Frankfurt"/>
    <s v="Enterprise"/>
    <x v="2"/>
    <s v="B. Chen"/>
    <s v="Printers"/>
    <s v="PRN-5492"/>
    <n v="72.06"/>
    <s v="Medium"/>
    <n v="122.74"/>
    <n v="0.23799999999999999"/>
    <n v="8"/>
    <n v="5532.6686399999999"/>
    <n v="576.48"/>
    <n v="4956.1886400000003"/>
    <n v="0.89580435093615152"/>
  </r>
  <r>
    <s v="ORD-2023-747341"/>
    <d v="2023-04-19T00:00:00"/>
    <d v="2023-04-28T00:00:00"/>
    <n v="9"/>
    <x v="12"/>
    <s v="Q2-2023"/>
    <x v="2"/>
    <s v="Brazil"/>
    <s v="Rio de Janeiro"/>
    <s v="Corporate"/>
    <x v="3"/>
    <s v="M. Rossi"/>
    <s v="Phones"/>
    <s v="PHN-7132"/>
    <n v="1013.54"/>
    <s v="High"/>
    <n v="927.93"/>
    <n v="0.17499999999999999"/>
    <n v="16"/>
    <n v="4411.308"/>
    <n v="16216.64"/>
    <n v="-11805.331999999999"/>
    <n v="-2.6761522886182507"/>
  </r>
  <r>
    <s v="ORD-2024-853298"/>
    <d v="2024-03-06T00:00:00"/>
    <d v="2024-03-26T00:00:00"/>
    <n v="20"/>
    <x v="0"/>
    <s v="Q1-2024"/>
    <x v="0"/>
    <s v="Nigeria"/>
    <s v="Port Harcourt"/>
    <s v="Consumer"/>
    <x v="2"/>
    <s v="I. Johnson"/>
    <s v="Phones"/>
    <s v="PHN-4741"/>
    <n v="65.64"/>
    <s v="Medium"/>
    <n v="151.88"/>
    <n v="0.16700000000000001"/>
    <n v="23"/>
    <n v="10322.677609999999"/>
    <n v="1509.72"/>
    <n v="8812.9576099999995"/>
    <n v="0.8537472488206479"/>
  </r>
  <r>
    <s v="ORD-2024-544865"/>
    <d v="2024-02-16T00:00:00"/>
    <d v="2024-03-04T00:00:00"/>
    <n v="17"/>
    <x v="31"/>
    <s v="Q1-2024"/>
    <x v="2"/>
    <s v="Canada"/>
    <s v="Montreal"/>
    <s v="Non-Profit"/>
    <x v="0"/>
    <s v="D. Smith"/>
    <s v="Laptops"/>
    <s v="LAP-2774"/>
    <n v="1350.98"/>
    <s v="High"/>
    <n v="2210.4"/>
    <n v="0.26300000000000001"/>
    <n v="6"/>
    <n v="6352.3798799999995"/>
    <n v="8105.88"/>
    <n v="-1753.5001200000006"/>
    <n v="-0.27603829637468102"/>
  </r>
  <r>
    <s v="ORD-2025-946490"/>
    <d v="2025-04-22T00:00:00"/>
    <d v="2025-05-02T00:00:00"/>
    <n v="10"/>
    <x v="19"/>
    <s v="Q2-2025"/>
    <x v="3"/>
    <s v="Germany"/>
    <s v="Berlin"/>
    <s v="Corporate"/>
    <x v="2"/>
    <s v="C. Otieno"/>
    <s v="Monitors"/>
    <s v="MON-2842"/>
    <n v="20.149999999999999"/>
    <s v="Low"/>
    <n v="39.74"/>
    <n v="0.151"/>
    <n v="18"/>
    <n v="26996.417099999999"/>
    <n v="362.7"/>
    <n v="26633.717099999998"/>
    <n v="0.98656488382675045"/>
  </r>
  <r>
    <s v="ORD-2024-320972"/>
    <d v="2024-11-08T00:00:00"/>
    <d v="2024-11-08T00:00:00"/>
    <n v="0"/>
    <x v="18"/>
    <s v="Q4-2024"/>
    <x v="0"/>
    <s v="Kenya"/>
    <s v="Nakuru"/>
    <s v="Enterprise"/>
    <x v="2"/>
    <s v="M. Rossi"/>
    <s v="Networking"/>
    <s v="NET-2628"/>
    <n v="803.28"/>
    <s v="High"/>
    <n v="1009"/>
    <n v="0.11"/>
    <n v="4"/>
    <n v="2237.6023999999998"/>
    <n v="3213.12"/>
    <n v="-975.51760000000013"/>
    <n v="-0.43596556743056775"/>
  </r>
  <r>
    <s v="ORD-2025-248586"/>
    <d v="2025-09-12T00:00:00"/>
    <d v="2025-09-30T00:00:00"/>
    <n v="18"/>
    <x v="11"/>
    <s v="Q3-2025"/>
    <x v="1"/>
    <s v="Japan"/>
    <s v="Nagoya"/>
    <s v="Non-Profit"/>
    <x v="2"/>
    <s v="F. Müller"/>
    <s v="Monitors"/>
    <s v="MON-2998"/>
    <n v="1212.99"/>
    <s v="High"/>
    <n v="1653.64"/>
    <n v="0.107"/>
    <n v="8"/>
    <n v="11792.958000000001"/>
    <n v="9703.92"/>
    <n v="2089.0380000000005"/>
    <n v="0.17714283388442495"/>
  </r>
  <r>
    <s v="ORD-2024-664046"/>
    <d v="2024-09-02T00:00:00"/>
    <d v="2024-09-08T00:00:00"/>
    <n v="6"/>
    <x v="29"/>
    <s v="Q3-2024"/>
    <x v="2"/>
    <s v="USA"/>
    <s v="Austin"/>
    <s v="Consumer"/>
    <x v="4"/>
    <s v="H. Kim"/>
    <s v="Components"/>
    <s v="CMP-7563"/>
    <n v="462.94"/>
    <s v="High"/>
    <n v="1015.7"/>
    <n v="0.14299999999999999"/>
    <n v="14"/>
    <n v="26961.185719999998"/>
    <n v="6481.16"/>
    <n v="20480.025719999998"/>
    <n v="0.75961146266678359"/>
  </r>
  <r>
    <s v="ORD-2023-276806"/>
    <d v="2023-03-04T00:00:00"/>
    <d v="2023-03-24T00:00:00"/>
    <n v="20"/>
    <x v="22"/>
    <s v="Q1-2023"/>
    <x v="2"/>
    <s v="Canada"/>
    <s v="Montreal"/>
    <s v="Consumer"/>
    <x v="3"/>
    <s v="I. Johnson"/>
    <s v="Laptops"/>
    <s v="LAP-6160"/>
    <n v="481.71"/>
    <s v="High"/>
    <n v="912.45"/>
    <n v="0.20300000000000001"/>
    <n v="24"/>
    <n v="17084.938320000001"/>
    <n v="11561.039999999999"/>
    <n v="5523.8983200000021"/>
    <n v="0.3233197695266834"/>
  </r>
  <r>
    <s v="ORD-2024-220234"/>
    <d v="2024-03-15T00:00:00"/>
    <d v="2024-04-09T00:00:00"/>
    <n v="25"/>
    <x v="0"/>
    <s v="Q1-2024"/>
    <x v="2"/>
    <s v="Canada"/>
    <s v="Vancouver"/>
    <s v="Consumer"/>
    <x v="1"/>
    <s v="F. Müller"/>
    <s v="Monitors"/>
    <s v="MON-4361"/>
    <n v="648.64"/>
    <s v="High"/>
    <n v="815.19"/>
    <n v="0.22500000000000001"/>
    <n v="28"/>
    <n v="50537.130000000005"/>
    <n v="18161.919999999998"/>
    <n v="32375.210000000006"/>
    <n v="0.64062225140208795"/>
  </r>
  <r>
    <s v="ORD-2024-301260"/>
    <d v="2024-07-29T00:00:00"/>
    <d v="2024-07-31T00:00:00"/>
    <n v="2"/>
    <x v="14"/>
    <s v="Q3-2024"/>
    <x v="2"/>
    <s v="USA"/>
    <s v="New York"/>
    <s v="Education"/>
    <x v="2"/>
    <s v="I. Johnson"/>
    <s v="Printers"/>
    <s v="PRN-2829"/>
    <n v="798.97"/>
    <s v="High"/>
    <n v="1814.06"/>
    <n v="0.122"/>
    <n v="16"/>
    <n v="29033.704000000002"/>
    <n v="12783.52"/>
    <n v="16250.184000000001"/>
    <n v="0.55970068441835741"/>
  </r>
  <r>
    <s v="ORD-2024-350100"/>
    <d v="2024-10-27T00:00:00"/>
    <d v="2024-11-20T00:00:00"/>
    <n v="24"/>
    <x v="1"/>
    <s v="Q4-2024"/>
    <x v="1"/>
    <s v="Japan"/>
    <s v="Nagoya"/>
    <s v="Non-Profit"/>
    <x v="1"/>
    <s v="H. Kim"/>
    <s v="Monitors"/>
    <s v="MON-8939"/>
    <n v="317.25"/>
    <s v="High"/>
    <n v="758.92"/>
    <n v="5.2999999999999999E-2"/>
    <n v="9"/>
    <n v="18599.828130000002"/>
    <n v="2855.25"/>
    <n v="15744.578130000002"/>
    <n v="0.84649051700672895"/>
  </r>
  <r>
    <s v="ORD-2024-855600"/>
    <d v="2024-04-29T00:00:00"/>
    <d v="2024-05-19T00:00:00"/>
    <n v="20"/>
    <x v="20"/>
    <s v="Q2-2024"/>
    <x v="3"/>
    <s v="Germany"/>
    <s v="Frankfurt"/>
    <s v="Enterprise"/>
    <x v="2"/>
    <s v="C. Otieno"/>
    <s v="Laptops"/>
    <s v="LAP-5009"/>
    <n v="668.97"/>
    <s v="High"/>
    <n v="1667.44"/>
    <n v="3.4000000000000002E-2"/>
    <n v="15"/>
    <n v="39508.723799999992"/>
    <n v="10034.550000000001"/>
    <n v="29474.17379999999"/>
    <n v="0.74601685311839905"/>
  </r>
  <r>
    <s v="ORD-2023-474313"/>
    <d v="2023-10-05T00:00:00"/>
    <d v="2023-10-06T00:00:00"/>
    <n v="1"/>
    <x v="32"/>
    <s v="Q4-2023"/>
    <x v="1"/>
    <s v="India"/>
    <s v="Bengaluru"/>
    <s v="Non-Profit"/>
    <x v="1"/>
    <s v="I. Johnson"/>
    <s v="Components"/>
    <s v="CMP-4807"/>
    <n v="1470.26"/>
    <s v="High"/>
    <n v="2562.5500000000002"/>
    <n v="0.17299999999999999"/>
    <n v="9"/>
    <n v="828.33146999999997"/>
    <n v="13232.34"/>
    <n v="-12404.008530000001"/>
    <n v="-14.974691870634834"/>
  </r>
  <r>
    <s v="ORD-2023-256951"/>
    <d v="2023-04-19T00:00:00"/>
    <d v="2023-05-07T00:00:00"/>
    <n v="18"/>
    <x v="12"/>
    <s v="Q2-2023"/>
    <x v="3"/>
    <s v="United Kingdom"/>
    <s v="London"/>
    <s v="Non-Profit"/>
    <x v="4"/>
    <s v="H. Kim"/>
    <s v="Networking"/>
    <s v="NET-2439"/>
    <n v="516.96"/>
    <s v="High"/>
    <n v="745.38"/>
    <n v="0.19700000000000001"/>
    <n v="4"/>
    <n v="3533.4890799999994"/>
    <n v="2067.84"/>
    <n v="1465.6490799999992"/>
    <n v="0.41478805985159561"/>
  </r>
  <r>
    <s v="ORD-2025-184754"/>
    <d v="2025-06-27T00:00:00"/>
    <d v="2025-07-05T00:00:00"/>
    <n v="8"/>
    <x v="16"/>
    <s v="Q2-2025"/>
    <x v="3"/>
    <s v="Germany"/>
    <s v="Munich"/>
    <s v="Small Business"/>
    <x v="4"/>
    <s v="G. Dubois"/>
    <s v="Monitors"/>
    <s v="MON-7626"/>
    <n v="314.93"/>
    <s v="High"/>
    <n v="687.95"/>
    <n v="0.20499999999999999"/>
    <n v="8"/>
    <n v="9725.3304000000007"/>
    <n v="2519.44"/>
    <n v="7205.8904000000002"/>
    <n v="0.74094042090333501"/>
  </r>
  <r>
    <s v="ORD-2023-888140"/>
    <d v="2023-10-11T00:00:00"/>
    <d v="2023-10-13T00:00:00"/>
    <n v="2"/>
    <x v="32"/>
    <s v="Q4-2023"/>
    <x v="2"/>
    <s v="Brazil"/>
    <s v="Brasília"/>
    <s v="Consumer"/>
    <x v="3"/>
    <s v="Not Provided"/>
    <s v="Accessories"/>
    <s v="ACC-3567"/>
    <n v="715.94"/>
    <s v="High"/>
    <n v="550.07000000000005"/>
    <n v="0.14000000000000001"/>
    <n v="16"/>
    <n v="10026.7744"/>
    <n v="11455.04"/>
    <n v="-1428.2656000000006"/>
    <n v="-0.14244517159975201"/>
  </r>
  <r>
    <s v="ORD-2023-638181"/>
    <d v="2023-05-20T00:00:00"/>
    <d v="2023-06-07T00:00:00"/>
    <n v="18"/>
    <x v="15"/>
    <s v="Q2-2023"/>
    <x v="0"/>
    <s v="Nigeria"/>
    <s v="Port Harcourt"/>
    <s v="Enterprise"/>
    <x v="3"/>
    <s v="E. Garcia"/>
    <s v="Components"/>
    <s v="CMP-4630"/>
    <n v="1120.06"/>
    <s v="High"/>
    <n v="2068.21"/>
    <n v="7.8E-2"/>
    <n v="12"/>
    <n v="69.481920000000002"/>
    <n v="13440.72"/>
    <n v="-13371.238079999999"/>
    <n v="-192.44197742376721"/>
  </r>
  <r>
    <s v="ORD-2023-521280"/>
    <d v="2023-05-27T00:00:00"/>
    <d v="2023-06-19T00:00:00"/>
    <n v="23"/>
    <x v="15"/>
    <s v="Q2-2023"/>
    <x v="3"/>
    <s v="Germany"/>
    <s v="Berlin"/>
    <s v="Education"/>
    <x v="0"/>
    <s v="O. Wang"/>
    <s v="Accessories"/>
    <s v="ACC-1882"/>
    <n v="1471.58"/>
    <s v="High"/>
    <n v="2576.65"/>
    <n v="4.0000000000000001E-3"/>
    <n v="7"/>
    <n v="17916.436439999998"/>
    <n v="10301.06"/>
    <n v="7615.3764399999982"/>
    <n v="0.42504972824830334"/>
  </r>
  <r>
    <s v="ORD-2023-630430"/>
    <d v="2023-08-04T00:00:00"/>
    <d v="2023-08-24T00:00:00"/>
    <n v="20"/>
    <x v="25"/>
    <s v="Q3-2023"/>
    <x v="2"/>
    <s v="Brazil"/>
    <s v="Brasília"/>
    <s v="Non-Profit"/>
    <x v="4"/>
    <s v="Not Provided"/>
    <s v="Networking"/>
    <s v="NET-9125"/>
    <n v="582.88"/>
    <s v="High"/>
    <n v="1044.1400000000001"/>
    <n v="0.216"/>
    <n v="10"/>
    <n v="12481.436800000001"/>
    <n v="5828.8"/>
    <n v="6652.6368000000011"/>
    <n v="0.53300248253470306"/>
  </r>
  <r>
    <s v="ORD-2025-908258"/>
    <d v="2025-06-21T00:00:00"/>
    <d v="2025-06-27T00:00:00"/>
    <n v="6"/>
    <x v="16"/>
    <s v="Q2-2025"/>
    <x v="0"/>
    <s v="South Africa"/>
    <s v="Durban"/>
    <s v="Enterprise"/>
    <x v="3"/>
    <s v="N. Brown"/>
    <s v="Phones"/>
    <s v="PHN-3819"/>
    <n v="93.91"/>
    <s v="Medium"/>
    <n v="99.04"/>
    <n v="5.7000000000000002E-2"/>
    <n v="6"/>
    <n v="5632.3692599999995"/>
    <n v="563.46"/>
    <n v="5068.9092599999994"/>
    <n v="0.89996039428707486"/>
  </r>
  <r>
    <s v="ORD-2025-440093"/>
    <d v="2025-04-16T00:00:00"/>
    <d v="2025-04-26T00:00:00"/>
    <n v="10"/>
    <x v="19"/>
    <s v="Q2-2025"/>
    <x v="0"/>
    <s v="Nigeria"/>
    <s v="Port Harcourt"/>
    <s v="Enterprise"/>
    <x v="2"/>
    <s v="F. Müller"/>
    <s v="Laptops"/>
    <s v="LAP-3490"/>
    <n v="1457.44"/>
    <s v="High"/>
    <n v="1996.81"/>
    <n v="0.126"/>
    <n v="23"/>
    <n v="24932.711619999998"/>
    <n v="33521.120000000003"/>
    <n v="-8588.4083800000044"/>
    <n v="-0.3444634707566559"/>
  </r>
  <r>
    <s v="ORD-2025-898022"/>
    <d v="2025-09-02T00:00:00"/>
    <d v="2025-09-11T00:00:00"/>
    <n v="9"/>
    <x v="11"/>
    <s v="Q3-2025"/>
    <x v="2"/>
    <s v="Canada"/>
    <s v="Toronto"/>
    <s v="Corporate"/>
    <x v="3"/>
    <s v="M. Rossi"/>
    <s v="Printers"/>
    <s v="PRN-1276"/>
    <n v="1207.6300000000001"/>
    <s v="High"/>
    <n v="921.68"/>
    <n v="0.19600000000000001"/>
    <n v="17"/>
    <n v="1617.8811600000001"/>
    <n v="20529.710000000003"/>
    <n v="-18911.828840000002"/>
    <n v="-11.689257102171831"/>
  </r>
  <r>
    <s v="ORD-2024-500511"/>
    <d v="2024-10-08T00:00:00"/>
    <d v="2024-10-08T00:00:00"/>
    <n v="0"/>
    <x v="1"/>
    <s v="Q4-2024"/>
    <x v="3"/>
    <s v="United Kingdom"/>
    <s v="London"/>
    <s v="Corporate"/>
    <x v="1"/>
    <s v="E. Garcia"/>
    <s v="Monitors"/>
    <s v="MON-9733"/>
    <n v="1108.1099999999999"/>
    <s v="High"/>
    <n v="2503.79"/>
    <n v="0.184"/>
    <n v="19"/>
    <n v="32644.137120000007"/>
    <n v="21054.089999999997"/>
    <n v="11590.04712000001"/>
    <n v="0.35504222633898824"/>
  </r>
  <r>
    <s v="ORD-2023-632893"/>
    <d v="2023-05-07T00:00:00"/>
    <d v="2023-05-05T00:00:00"/>
    <n v="2"/>
    <x v="15"/>
    <s v="Q2-2023"/>
    <x v="0"/>
    <s v="Nigeria"/>
    <s v="Port Harcourt"/>
    <s v="Non-Profit"/>
    <x v="2"/>
    <s v="A. Patel"/>
    <s v="Components"/>
    <s v="CMP-9392"/>
    <n v="1269.6500000000001"/>
    <s v="High"/>
    <n v="2462.77"/>
    <n v="0.107"/>
    <n v="8"/>
    <n v="3736.3119999999999"/>
    <n v="10157.200000000001"/>
    <n v="-6420.8880000000008"/>
    <n v="-1.7185095891349547"/>
  </r>
  <r>
    <s v="ORD-2023-967239"/>
    <d v="2023-12-24T00:00:00"/>
    <d v="2024-01-01T00:00:00"/>
    <n v="8"/>
    <x v="4"/>
    <s v="Q4-2023"/>
    <x v="2"/>
    <s v="Brazil"/>
    <s v="São Paulo"/>
    <s v="Education"/>
    <x v="4"/>
    <s v="C. Otieno"/>
    <s v="Phones"/>
    <s v="PHN-3014"/>
    <n v="526.49"/>
    <s v="High"/>
    <n v="496.2"/>
    <n v="0"/>
    <n v="14"/>
    <n v="15054.199999999999"/>
    <n v="7370.8600000000006"/>
    <n v="7683.3399999999983"/>
    <n v="0.51037849902352828"/>
  </r>
  <r>
    <s v="ORD-2024-885858"/>
    <d v="2024-01-10T00:00:00"/>
    <d v="2024-01-23T00:00:00"/>
    <n v="13"/>
    <x v="9"/>
    <s v="Q1-2024"/>
    <x v="3"/>
    <s v="France"/>
    <s v="Marseille"/>
    <s v="Corporate"/>
    <x v="4"/>
    <s v="A. Patel"/>
    <s v="Printers"/>
    <s v="PRN-6776"/>
    <n v="720"/>
    <s v="High"/>
    <n v="907.59"/>
    <n v="0.154"/>
    <n v="10"/>
    <n v="27872.062200000004"/>
    <n v="7200"/>
    <n v="20672.062200000004"/>
    <n v="0.7416768106954067"/>
  </r>
  <r>
    <s v="ORD-2023-253245"/>
    <d v="2023-08-03T00:00:00"/>
    <d v="2023-08-14T00:00:00"/>
    <n v="11"/>
    <x v="25"/>
    <s v="Q3-2023"/>
    <x v="2"/>
    <s v="Brazil"/>
    <s v="Brasília"/>
    <s v="Corporate"/>
    <x v="4"/>
    <s v="J. Njeri"/>
    <s v="Accessories"/>
    <s v="ACC-3951"/>
    <n v="232.73"/>
    <s v="High"/>
    <n v="334.19"/>
    <n v="0.13400000000000001"/>
    <n v="25"/>
    <n v="10046.682500000001"/>
    <n v="5818.25"/>
    <n v="4228.4325000000008"/>
    <n v="0.42087848401698774"/>
  </r>
  <r>
    <s v="ORD-2025-484073"/>
    <d v="2025-02-19T00:00:00"/>
    <d v="2025-03-09T00:00:00"/>
    <n v="18"/>
    <x v="26"/>
    <s v="Q1-2025"/>
    <x v="1"/>
    <s v="India"/>
    <s v="Delhi"/>
    <s v="Small Business"/>
    <x v="4"/>
    <s v="O. Wang"/>
    <s v="Monitors"/>
    <s v="MON-1436"/>
    <n v="325.87"/>
    <s v="High"/>
    <n v="538.79"/>
    <n v="0.17399999999999999"/>
    <n v="16"/>
    <n v="6753.7724800000005"/>
    <n v="5213.92"/>
    <n v="1539.8524800000005"/>
    <n v="0.22799886797489516"/>
  </r>
  <r>
    <s v="ORD-2024-745822"/>
    <d v="2024-03-31T00:00:00"/>
    <d v="2024-04-17T00:00:00"/>
    <n v="17"/>
    <x v="0"/>
    <s v="Q1-2024"/>
    <x v="3"/>
    <s v="Germany"/>
    <s v="Frankfurt"/>
    <s v="Education"/>
    <x v="4"/>
    <s v="H. Kim"/>
    <s v="Monitors"/>
    <s v="MON-8651"/>
    <n v="1025.51"/>
    <s v="High"/>
    <n v="1436.54"/>
    <n v="0.13900000000000001"/>
    <n v="28"/>
    <n v="101.73576"/>
    <n v="28714.28"/>
    <n v="-28612.544239999999"/>
    <n v="-281.24372629643699"/>
  </r>
  <r>
    <s v="ORD-2023-369160"/>
    <d v="2023-07-24T00:00:00"/>
    <d v="2023-08-13T00:00:00"/>
    <n v="20"/>
    <x v="24"/>
    <s v="Q3-2023"/>
    <x v="2"/>
    <s v="Canada"/>
    <s v="Montreal"/>
    <s v="Education"/>
    <x v="4"/>
    <s v="C. Otieno"/>
    <s v="Monitors"/>
    <s v="MON-3307"/>
    <n v="1082.3800000000001"/>
    <s v="High"/>
    <n v="1766.55"/>
    <n v="0.16400000000000001"/>
    <n v="20"/>
    <n v="9651.4527999999991"/>
    <n v="21647.600000000002"/>
    <n v="-11996.147200000003"/>
    <n v="-1.242936938986015"/>
  </r>
  <r>
    <s v="ORD-2024-834983"/>
    <d v="2024-03-16T00:00:00"/>
    <d v="2024-04-13T00:00:00"/>
    <n v="28"/>
    <x v="0"/>
    <s v="Q1-2024"/>
    <x v="3"/>
    <s v="France"/>
    <s v="Paris"/>
    <s v="Small Business"/>
    <x v="1"/>
    <s v="K. Singh"/>
    <s v="Printers"/>
    <s v="PRN-8758"/>
    <n v="287.61"/>
    <s v="High"/>
    <n v="628.54"/>
    <n v="0.13500000000000001"/>
    <n v="21"/>
    <n v="25903.83495"/>
    <n v="6039.81"/>
    <n v="19864.024949999999"/>
    <n v="0.76683722654741504"/>
  </r>
  <r>
    <s v="ORD-2024-499009"/>
    <d v="2024-01-25T00:00:00"/>
    <d v="2024-01-27T00:00:00"/>
    <n v="2"/>
    <x v="9"/>
    <s v="Q1-2024"/>
    <x v="2"/>
    <s v="Brazil"/>
    <s v="São Paulo"/>
    <s v="Non-Profit"/>
    <x v="2"/>
    <s v="N. Brown"/>
    <s v="Laptops"/>
    <s v="LAP-7056"/>
    <n v="1410.97"/>
    <s v="High"/>
    <n v="1650.75"/>
    <n v="0.13500000000000001"/>
    <n v="6"/>
    <n v="7059.0227999999997"/>
    <n v="8465.82"/>
    <n v="-1406.7972"/>
    <n v="-0.19929064402511917"/>
  </r>
  <r>
    <s v="ORD-2024-948800"/>
    <d v="2024-03-27T00:00:00"/>
    <d v="2024-04-11T00:00:00"/>
    <n v="15"/>
    <x v="0"/>
    <s v="Q1-2024"/>
    <x v="2"/>
    <s v="USA"/>
    <s v="San Francisco"/>
    <s v="Small Business"/>
    <x v="4"/>
    <s v="O. Wang"/>
    <s v="Networking"/>
    <s v="NET-5523"/>
    <n v="1338.35"/>
    <s v="High"/>
    <n v="2247.14"/>
    <n v="0.115"/>
    <n v="40"/>
    <n v="73316.94"/>
    <n v="53534"/>
    <n v="19782.940000000002"/>
    <n v="0.26982768238827209"/>
  </r>
  <r>
    <s v="ORD-2025-678328"/>
    <d v="2025-06-24T00:00:00"/>
    <d v="2025-07-14T00:00:00"/>
    <n v="20"/>
    <x v="16"/>
    <s v="Q2-2025"/>
    <x v="3"/>
    <s v="Germany"/>
    <s v="Berlin"/>
    <s v="Corporate"/>
    <x v="4"/>
    <s v="O. Wang"/>
    <s v="Accessories"/>
    <s v="ACC-8094"/>
    <n v="385.08"/>
    <s v="High"/>
    <n v="893.19"/>
    <n v="0.151"/>
    <n v="8"/>
    <n v="6655.0732799999996"/>
    <n v="3080.64"/>
    <n v="3574.4332799999997"/>
    <n v="0.53709901147775185"/>
  </r>
  <r>
    <s v="ORD-2024-580808"/>
    <d v="2024-06-16T00:00:00"/>
    <d v="2024-07-03T00:00:00"/>
    <n v="17"/>
    <x v="17"/>
    <s v="Q2-2024"/>
    <x v="0"/>
    <s v="South Africa"/>
    <s v="Johannesburg"/>
    <s v="Enterprise"/>
    <x v="2"/>
    <s v="F. Müller"/>
    <s v="Phones"/>
    <s v="PHN-6832"/>
    <n v="1173.83"/>
    <s v="High"/>
    <n v="2328.9"/>
    <n v="0.12"/>
    <n v="17"/>
    <n v="8039.3543999999993"/>
    <n v="19955.11"/>
    <n v="-11915.7556"/>
    <n v="-1.4821781709237749"/>
  </r>
  <r>
    <s v="ORD-2023-211715"/>
    <d v="2023-10-30T00:00:00"/>
    <d v="2023-11-14T00:00:00"/>
    <n v="15"/>
    <x v="32"/>
    <s v="Q4-2023"/>
    <x v="1"/>
    <s v="India"/>
    <s v="Bengaluru"/>
    <s v="Corporate"/>
    <x v="1"/>
    <s v="F. Müller"/>
    <s v="Laptops"/>
    <s v="LAP-2378"/>
    <n v="953.46"/>
    <s v="High"/>
    <n v="2066.75"/>
    <n v="0.13800000000000001"/>
    <n v="5"/>
    <n v="919.40919999999994"/>
    <n v="4767.3"/>
    <n v="-3847.8908000000001"/>
    <n v="-4.1851776118838062"/>
  </r>
  <r>
    <s v="ORD-2023-715175"/>
    <d v="2023-06-15T00:00:00"/>
    <d v="2023-06-23T00:00:00"/>
    <n v="8"/>
    <x v="23"/>
    <s v="Q2-2023"/>
    <x v="2"/>
    <s v="USA"/>
    <s v="San Francisco"/>
    <s v="Consumer"/>
    <x v="3"/>
    <s v="O. Wang"/>
    <s v="Monitors"/>
    <s v="MON-5424"/>
    <n v="1097.0899999999999"/>
    <s v="High"/>
    <n v="2182.31"/>
    <n v="0.112"/>
    <n v="9"/>
    <n v="15941.402639999998"/>
    <n v="9873.81"/>
    <n v="6067.5926399999989"/>
    <n v="0.38061849242646062"/>
  </r>
  <r>
    <s v="ORD-2025-685236"/>
    <d v="2025-03-14T00:00:00"/>
    <d v="2025-03-29T00:00:00"/>
    <n v="15"/>
    <x v="3"/>
    <s v="Q1-2025"/>
    <x v="1"/>
    <s v="Japan"/>
    <s v="Tokyo"/>
    <s v="Non-Profit"/>
    <x v="4"/>
    <s v="H. Kim"/>
    <s v="Networking"/>
    <s v="NET-8430"/>
    <n v="1106.96"/>
    <s v="High"/>
    <n v="2726.62"/>
    <n v="0.317"/>
    <n v="7"/>
    <n v="2643.1280400000001"/>
    <n v="7748.72"/>
    <n v="-5105.5919599999997"/>
    <n v="-1.9316476094741137"/>
  </r>
  <r>
    <s v="ORD-2023-274037"/>
    <d v="2023-08-15T00:00:00"/>
    <d v="2023-08-25T00:00:00"/>
    <n v="10"/>
    <x v="25"/>
    <s v="Q3-2023"/>
    <x v="0"/>
    <s v="Kenya"/>
    <s v="Nairobi"/>
    <s v="Small Business"/>
    <x v="0"/>
    <s v="N. Brown"/>
    <s v="Phones"/>
    <s v="PHN-1234"/>
    <n v="91.85"/>
    <s v="Medium"/>
    <n v="111.29"/>
    <n v="0"/>
    <n v="6"/>
    <n v="1349.6999999999998"/>
    <n v="551.09999999999991"/>
    <n v="798.59999999999991"/>
    <n v="0.59168704156479224"/>
  </r>
  <r>
    <s v="ORD-2025-983096"/>
    <d v="2025-05-17T00:00:00"/>
    <d v="2025-05-28T00:00:00"/>
    <n v="11"/>
    <x v="8"/>
    <s v="Q2-2025"/>
    <x v="1"/>
    <s v="India"/>
    <s v="Bengaluru"/>
    <s v="Corporate"/>
    <x v="3"/>
    <s v="B. Chen"/>
    <s v="Laptops"/>
    <s v="LAP-9016"/>
    <n v="623.4"/>
    <s v="High"/>
    <n v="1100.0899999999999"/>
    <n v="0.114"/>
    <n v="12"/>
    <n v="8208.8608800000002"/>
    <n v="7480.7999999999993"/>
    <n v="728.06088000000091"/>
    <n v="8.8692071974790357E-2"/>
  </r>
  <r>
    <s v="ORD-2024-366010"/>
    <d v="2024-01-13T00:00:00"/>
    <d v="2024-02-05T00:00:00"/>
    <n v="23"/>
    <x v="9"/>
    <s v="Q1-2024"/>
    <x v="3"/>
    <s v="Germany"/>
    <s v="Frankfurt"/>
    <s v="Education"/>
    <x v="4"/>
    <s v="B. Chen"/>
    <s v="Laptops"/>
    <s v="LAP-9931"/>
    <n v="1017.93"/>
    <s v="High"/>
    <n v="1529.14"/>
    <n v="0.155"/>
    <n v="12"/>
    <n v="31932.989400000002"/>
    <n v="12215.16"/>
    <n v="19717.829400000002"/>
    <n v="0.61747521201381794"/>
  </r>
  <r>
    <s v="ORD-2023-610470"/>
    <d v="2023-06-24T00:00:00"/>
    <d v="2023-07-21T00:00:00"/>
    <n v="27"/>
    <x v="23"/>
    <s v="Q2-2023"/>
    <x v="1"/>
    <s v="Japan"/>
    <s v="Nagoya"/>
    <s v="Consumer"/>
    <x v="2"/>
    <s v="J. Njeri"/>
    <s v="Phones"/>
    <s v="PHN-6818"/>
    <n v="554.76"/>
    <s v="High"/>
    <n v="728.69"/>
    <n v="0.22"/>
    <n v="7"/>
    <n v="314.11380000000003"/>
    <n v="3883.3199999999997"/>
    <n v="-3569.2061999999996"/>
    <n v="-11.362780622818862"/>
  </r>
  <r>
    <s v="ORD-2025-541048"/>
    <d v="2025-04-04T00:00:00"/>
    <d v="2025-04-13T00:00:00"/>
    <n v="9"/>
    <x v="19"/>
    <s v="Q2-2025"/>
    <x v="3"/>
    <s v="Germany"/>
    <s v="Munich"/>
    <s v="Consumer"/>
    <x v="2"/>
    <s v="F. Müller"/>
    <s v="Phones"/>
    <s v="PHN-3803"/>
    <n v="7.02"/>
    <s v="Low"/>
    <n v="6.28"/>
    <n v="0.13400000000000001"/>
    <n v="14"/>
    <n v="9999.9964400000008"/>
    <n v="98.28"/>
    <n v="9901.7164400000001"/>
    <n v="0.99017199650123067"/>
  </r>
  <r>
    <s v="ORD-2024-862371"/>
    <d v="2024-09-07T00:00:00"/>
    <d v="2024-09-07T00:00:00"/>
    <n v="0"/>
    <x v="29"/>
    <s v="Q3-2024"/>
    <x v="1"/>
    <s v="India"/>
    <s v="Mumbai"/>
    <s v="Education"/>
    <x v="3"/>
    <s v="B. Chen"/>
    <s v="Networking"/>
    <s v="NET-9835"/>
    <n v="1066.6500000000001"/>
    <s v="High"/>
    <n v="2569.77"/>
    <n v="0.13400000000000001"/>
    <n v="9"/>
    <n v="11640.572819999999"/>
    <n v="9599.85"/>
    <n v="2040.722819999999"/>
    <n v="0.17531120259767416"/>
  </r>
  <r>
    <s v="ORD-2024-277241"/>
    <d v="2024-01-28T00:00:00"/>
    <d v="2024-01-30T00:00:00"/>
    <n v="2"/>
    <x v="9"/>
    <s v="Q1-2024"/>
    <x v="0"/>
    <s v="South Africa"/>
    <s v="Cape Town"/>
    <s v="Consumer"/>
    <x v="4"/>
    <s v="F. Müller"/>
    <s v="Accessories"/>
    <s v="ACC-6223"/>
    <n v="798.45"/>
    <s v="High"/>
    <n v="1592.02"/>
    <n v="6.6000000000000003E-2"/>
    <n v="18"/>
    <n v="12473.159039999999"/>
    <n v="14372.1"/>
    <n v="-1898.9409600000017"/>
    <n v="-0.15224218290733843"/>
  </r>
  <r>
    <s v="ORD-2023-369150"/>
    <d v="2023-07-18T00:00:00"/>
    <d v="2023-08-10T00:00:00"/>
    <n v="23"/>
    <x v="24"/>
    <s v="Q3-2023"/>
    <x v="0"/>
    <s v="South Africa"/>
    <s v="Johannesburg"/>
    <s v="Small Business"/>
    <x v="0"/>
    <s v="L. Okafor"/>
    <s v="Components"/>
    <s v="CMP-8659"/>
    <n v="1271.56"/>
    <s v="High"/>
    <n v="995.47"/>
    <n v="0.192"/>
    <n v="13"/>
    <n v="7796.3839200000002"/>
    <n v="16530.28"/>
    <n v="-8733.8960799999986"/>
    <n v="-1.1202496143878966"/>
  </r>
  <r>
    <s v="ORD-2025-922513"/>
    <d v="2025-08-28T00:00:00"/>
    <d v="2025-08-26T00:00:00"/>
    <n v="2"/>
    <x v="28"/>
    <s v="Q3-2025"/>
    <x v="0"/>
    <s v="Nigeria"/>
    <s v="Port Harcourt"/>
    <s v="Small Business"/>
    <x v="0"/>
    <s v="A. Patel"/>
    <s v="Accessories"/>
    <s v="ACC-4483"/>
    <n v="521.05999999999995"/>
    <s v="High"/>
    <n v="1240.31"/>
    <n v="0.14599999999999999"/>
    <n v="18"/>
    <n v="7371.4888800000008"/>
    <n v="9379.0799999999981"/>
    <n v="-2007.5911199999973"/>
    <n v="-0.27234540439271437"/>
  </r>
  <r>
    <s v="ORD-2025-752845"/>
    <d v="2025-03-30T00:00:00"/>
    <d v="2025-04-07T00:00:00"/>
    <n v="8"/>
    <x v="3"/>
    <s v="Q1-2025"/>
    <x v="2"/>
    <s v="Brazil"/>
    <s v="São Paulo"/>
    <s v="Non-Profit"/>
    <x v="4"/>
    <s v="L. Okafor"/>
    <s v="Printers"/>
    <s v="PRN-8763"/>
    <n v="71.62"/>
    <s v="Medium"/>
    <n v="118.37"/>
    <n v="0.156"/>
    <n v="11"/>
    <n v="10911.020999999999"/>
    <n v="787.82"/>
    <n v="10123.200999999999"/>
    <n v="0.92779594136973986"/>
  </r>
  <r>
    <s v="ORD-2023-667815"/>
    <d v="2023-10-21T00:00:00"/>
    <d v="2023-11-09T00:00:00"/>
    <n v="19"/>
    <x v="32"/>
    <s v="Q4-2023"/>
    <x v="3"/>
    <s v="United Kingdom"/>
    <s v="London"/>
    <s v="Non-Profit"/>
    <x v="4"/>
    <s v="A. Patel"/>
    <s v="Accessories"/>
    <s v="ACC-8557"/>
    <n v="1142.48"/>
    <s v="High"/>
    <n v="2105.5300000000002"/>
    <n v="0.20699999999999999"/>
    <n v="14"/>
    <n v="2525.1498999999999"/>
    <n v="15994.720000000001"/>
    <n v="-13469.570100000001"/>
    <n v="-5.3341665379944381"/>
  </r>
  <r>
    <s v="ORD-2023-375011"/>
    <d v="2023-08-23T00:00:00"/>
    <d v="2023-09-22T00:00:00"/>
    <n v="30"/>
    <x v="25"/>
    <s v="Q3-2023"/>
    <x v="3"/>
    <s v="United Kingdom"/>
    <s v="London"/>
    <s v="Consumer"/>
    <x v="3"/>
    <s v="O. Wang"/>
    <s v="Accessories"/>
    <s v="ACC-1492"/>
    <n v="209.81"/>
    <s v="High"/>
    <n v="523"/>
    <n v="5.8999999999999997E-2"/>
    <n v="15"/>
    <n v="16636.221300000001"/>
    <n v="3147.15"/>
    <n v="13489.071300000001"/>
    <n v="0.81082543065233215"/>
  </r>
  <r>
    <s v="ORD-2025-487025"/>
    <d v="2025-04-11T00:00:00"/>
    <d v="2025-05-04T00:00:00"/>
    <n v="23"/>
    <x v="19"/>
    <s v="Q2-2025"/>
    <x v="1"/>
    <s v="Japan"/>
    <s v="Osaka"/>
    <s v="Small Business"/>
    <x v="1"/>
    <s v="M. Rossi"/>
    <s v="Components"/>
    <s v="CMP-3743"/>
    <n v="786.2"/>
    <s v="High"/>
    <n v="1075.3"/>
    <n v="0.08"/>
    <n v="9"/>
    <n v="20054.987999999998"/>
    <n v="7075.8"/>
    <n v="12979.187999999998"/>
    <n v="0.64718004318925548"/>
  </r>
  <r>
    <s v="ORD-2025-398335"/>
    <d v="2025-06-01T00:00:00"/>
    <d v="2025-06-27T00:00:00"/>
    <n v="26"/>
    <x v="16"/>
    <s v="Q2-2025"/>
    <x v="3"/>
    <s v="Germany"/>
    <s v="Munich"/>
    <s v="Consumer"/>
    <x v="3"/>
    <s v="E. Garcia"/>
    <s v="Laptops"/>
    <s v="LAP-1619"/>
    <n v="1362.31"/>
    <s v="High"/>
    <n v="3294.57"/>
    <n v="0.113"/>
    <n v="7"/>
    <n v="2693.96092"/>
    <n v="9536.17"/>
    <n v="-6842.2090800000005"/>
    <n v="-2.5398323447097373"/>
  </r>
  <r>
    <s v="ORD-2024-792137"/>
    <d v="2024-03-02T00:00:00"/>
    <d v="2024-03-16T00:00:00"/>
    <n v="14"/>
    <x v="0"/>
    <s v="Q1-2024"/>
    <x v="2"/>
    <s v="Canada"/>
    <s v="Vancouver"/>
    <s v="Non-Profit"/>
    <x v="4"/>
    <s v="O. Wang"/>
    <s v="Printers"/>
    <s v="PRN-7976"/>
    <n v="248.24"/>
    <s v="High"/>
    <n v="464.05"/>
    <n v="0.16900000000000001"/>
    <n v="11"/>
    <n v="28786.197329999999"/>
    <n v="2730.6400000000003"/>
    <n v="26055.55733"/>
    <n v="0.90514064887777934"/>
  </r>
  <r>
    <s v="ORD-2023-602648"/>
    <d v="2023-06-20T00:00:00"/>
    <d v="2023-07-08T00:00:00"/>
    <n v="18"/>
    <x v="23"/>
    <s v="Q2-2023"/>
    <x v="2"/>
    <s v="USA"/>
    <s v="Austin"/>
    <s v="Non-Profit"/>
    <x v="4"/>
    <s v="F. Müller"/>
    <s v="Monitors"/>
    <s v="MON-4326"/>
    <n v="337"/>
    <s v="High"/>
    <n v="511.03"/>
    <n v="0.108"/>
    <n v="7"/>
    <n v="409.91860000000008"/>
    <n v="2359"/>
    <n v="-1949.0814"/>
    <n v="-4.7548010751402829"/>
  </r>
  <r>
    <s v="ORD-2024-207096"/>
    <d v="2024-03-26T00:00:00"/>
    <d v="2024-04-05T00:00:00"/>
    <n v="10"/>
    <x v="0"/>
    <s v="Q1-2024"/>
    <x v="2"/>
    <s v="USA"/>
    <s v="Austin"/>
    <s v="Consumer"/>
    <x v="4"/>
    <s v="J. Njeri"/>
    <s v="Monitors"/>
    <s v="MON-5444"/>
    <n v="5.66"/>
    <s v="Low"/>
    <n v="4.22"/>
    <n v="0.11899999999999999"/>
    <n v="18"/>
    <n v="39520.356119999997"/>
    <n v="101.88"/>
    <n v="39418.476119999999"/>
    <n v="0.99742208800723742"/>
  </r>
  <r>
    <s v="ORD-2025-939953"/>
    <d v="2025-01-22T00:00:00"/>
    <d v="2025-01-22T00:00:00"/>
    <n v="0"/>
    <x v="10"/>
    <s v="Q1-2025"/>
    <x v="3"/>
    <s v="France"/>
    <s v="Lyon"/>
    <s v="Small Business"/>
    <x v="1"/>
    <s v="B. Chen"/>
    <s v="Accessories"/>
    <s v="ACC-5422"/>
    <n v="591.72"/>
    <s v="High"/>
    <n v="577.24"/>
    <n v="0"/>
    <n v="22"/>
    <n v="20500.48"/>
    <n v="13017.84"/>
    <n v="7482.6399999999994"/>
    <n v="0.36499828296703296"/>
  </r>
  <r>
    <s v="ORD-2025-191328"/>
    <d v="2025-05-10T00:00:00"/>
    <d v="2025-05-27T00:00:00"/>
    <n v="17"/>
    <x v="8"/>
    <s v="Q2-2025"/>
    <x v="2"/>
    <s v="Canada"/>
    <s v="Vancouver"/>
    <s v="Education"/>
    <x v="4"/>
    <s v="C. Otieno"/>
    <s v="Components"/>
    <s v="CMP-9307"/>
    <n v="862.89"/>
    <s v="High"/>
    <n v="1426.03"/>
    <n v="5.6000000000000001E-2"/>
    <n v="19"/>
    <n v="11111.531359999999"/>
    <n v="16394.91"/>
    <n v="-5283.3786400000008"/>
    <n v="-0.4754860935747745"/>
  </r>
  <r>
    <s v="ORD-2023-166668"/>
    <d v="2023-10-05T00:00:00"/>
    <d v="2023-10-31T00:00:00"/>
    <n v="26"/>
    <x v="32"/>
    <s v="Q4-2023"/>
    <x v="1"/>
    <s v="China"/>
    <s v="Shanghai"/>
    <s v="Consumer"/>
    <x v="5"/>
    <s v="J. Njeri"/>
    <s v="Printers"/>
    <s v="PRN-6520"/>
    <n v="649.91"/>
    <s v="High"/>
    <n v="1360.12"/>
    <n v="0.19400000000000001"/>
    <n v="9"/>
    <n v="10311.923699999999"/>
    <n v="5849.19"/>
    <n v="4462.7336999999998"/>
    <n v="0.43277411953697836"/>
  </r>
  <r>
    <s v="ORD-2023-594700"/>
    <d v="2023-07-18T00:00:00"/>
    <d v="2023-07-22T00:00:00"/>
    <n v="4"/>
    <x v="24"/>
    <s v="Q3-2023"/>
    <x v="2"/>
    <s v="Brazil"/>
    <s v="São Paulo"/>
    <s v="Consumer"/>
    <x v="4"/>
    <s v="F. Müller"/>
    <s v="Networking"/>
    <s v="NET-1699"/>
    <n v="1269.55"/>
    <s v="High"/>
    <n v="2071.1"/>
    <n v="0.129"/>
    <n v="22"/>
    <n v="18252.954719999998"/>
    <n v="27930.1"/>
    <n v="-9677.1452800000006"/>
    <n v="-0.53016870027057195"/>
  </r>
  <r>
    <s v="ORD-2025-278048"/>
    <d v="2025-06-22T00:00:00"/>
    <d v="2025-07-08T00:00:00"/>
    <n v="16"/>
    <x v="16"/>
    <s v="Q2-2025"/>
    <x v="3"/>
    <s v="United Kingdom"/>
    <s v="London"/>
    <s v="Education"/>
    <x v="4"/>
    <s v="A. Patel"/>
    <s v="Phones"/>
    <s v="PHN-5316"/>
    <n v="892.73"/>
    <s v="High"/>
    <n v="979.84"/>
    <n v="0.17399999999999999"/>
    <n v="10"/>
    <n v="26053.196400000001"/>
    <n v="8927.2999999999993"/>
    <n v="17125.896400000001"/>
    <n v="0.65734338839129935"/>
  </r>
  <r>
    <s v="ORD-2024-878493"/>
    <d v="2024-06-19T00:00:00"/>
    <d v="2024-06-20T00:00:00"/>
    <n v="1"/>
    <x v="17"/>
    <s v="Q2-2024"/>
    <x v="0"/>
    <s v="Kenya"/>
    <s v="Kisumu"/>
    <s v="Small Business"/>
    <x v="4"/>
    <s v="J. Njeri"/>
    <s v="Laptops"/>
    <s v="LAP-4607"/>
    <n v="231.63"/>
    <s v="High"/>
    <n v="537.39"/>
    <n v="0.08"/>
    <n v="12"/>
    <n v="2496.5855999999999"/>
    <n v="2779.56"/>
    <n v="-282.97440000000006"/>
    <n v="-0.11334456146827093"/>
  </r>
  <r>
    <s v="ORD-2025-138578"/>
    <d v="2025-04-09T00:00:00"/>
    <d v="2025-04-12T00:00:00"/>
    <n v="3"/>
    <x v="19"/>
    <s v="Q2-2025"/>
    <x v="3"/>
    <s v="France"/>
    <s v="Lyon"/>
    <s v="Small Business"/>
    <x v="3"/>
    <s v="H. Kim"/>
    <s v="Monitors"/>
    <s v="MON-5276"/>
    <n v="86.68"/>
    <s v="High"/>
    <n v="213.32"/>
    <n v="3.7999999999999999E-2"/>
    <n v="8"/>
    <n v="6818.0403199999992"/>
    <n v="693.44"/>
    <n v="6124.6003199999996"/>
    <n v="0.89829335594190218"/>
  </r>
  <r>
    <s v="ORD-2025-944081"/>
    <d v="2025-03-25T00:00:00"/>
    <d v="2025-03-26T00:00:00"/>
    <n v="1"/>
    <x v="3"/>
    <s v="Q1-2025"/>
    <x v="0"/>
    <s v="Nigeria"/>
    <s v="Lagos"/>
    <s v="Education"/>
    <x v="3"/>
    <s v="G. Dubois"/>
    <s v="Accessories"/>
    <s v="ACC-9533"/>
    <n v="1450.43"/>
    <s v="High"/>
    <n v="1994.67"/>
    <n v="0.1"/>
    <n v="24"/>
    <n v="52560.144000000008"/>
    <n v="34810.32"/>
    <n v="17749.824000000008"/>
    <n v="0.33770501085385163"/>
  </r>
  <r>
    <s v="ORD-2025-364852"/>
    <d v="2025-05-18T00:00:00"/>
    <d v="2025-06-09T00:00:00"/>
    <n v="22"/>
    <x v="8"/>
    <s v="Q2-2025"/>
    <x v="2"/>
    <s v="USA"/>
    <s v="New York"/>
    <s v="Consumer"/>
    <x v="0"/>
    <s v="H. Kim"/>
    <s v="Networking"/>
    <s v="NET-3749"/>
    <n v="382.96"/>
    <s v="High"/>
    <n v="552.84"/>
    <n v="0.17599999999999999"/>
    <n v="8"/>
    <n v="7609.4092799999999"/>
    <n v="3063.68"/>
    <n v="4545.7292799999996"/>
    <n v="0.59738267620164065"/>
  </r>
  <r>
    <s v="ORD-2025-415018"/>
    <d v="2025-01-22T00:00:00"/>
    <d v="2025-02-04T00:00:00"/>
    <n v="13"/>
    <x v="10"/>
    <s v="Q1-2025"/>
    <x v="1"/>
    <s v="Japan"/>
    <s v="Tokyo"/>
    <s v="Small Business"/>
    <x v="3"/>
    <s v="L. Okafor"/>
    <s v="Printers"/>
    <s v="PRN-2991"/>
    <n v="122.29"/>
    <s v="High"/>
    <n v="224.95"/>
    <n v="0.153"/>
    <n v="28"/>
    <n v="26941.13884"/>
    <n v="3424.1200000000003"/>
    <n v="23517.018840000001"/>
    <n v="0.8729036652705956"/>
  </r>
  <r>
    <s v="ORD-2023-884192"/>
    <d v="2023-01-10T00:00:00"/>
    <d v="2023-01-29T00:00:00"/>
    <n v="19"/>
    <x v="5"/>
    <s v="Q1-2023"/>
    <x v="3"/>
    <s v="France"/>
    <s v="Lyon"/>
    <s v="Non-Profit"/>
    <x v="4"/>
    <s v="D. Smith"/>
    <s v="Laptops"/>
    <s v="LAP-4551"/>
    <n v="401.66"/>
    <s v="High"/>
    <n v="772.09"/>
    <n v="8.8999999999999996E-2"/>
    <n v="14"/>
    <n v="35096.967360000002"/>
    <n v="5623.2400000000007"/>
    <n v="29473.727360000001"/>
    <n v="0.83977988917615698"/>
  </r>
  <r>
    <s v="ORD-2024-165942"/>
    <d v="2024-12-29T00:00:00"/>
    <d v="2025-01-12T00:00:00"/>
    <n v="14"/>
    <x v="6"/>
    <s v="Q4-2024"/>
    <x v="3"/>
    <s v="United Kingdom"/>
    <s v="Manchester"/>
    <s v="Corporate"/>
    <x v="4"/>
    <s v="B. Chen"/>
    <s v="Monitors"/>
    <s v="MON-6310"/>
    <n v="1399.72"/>
    <s v="High"/>
    <n v="3149.21"/>
    <n v="0.185"/>
    <n v="12"/>
    <n v="13444.761599999998"/>
    <n v="16796.64"/>
    <n v="-3351.8784000000014"/>
    <n v="-0.24930738823959525"/>
  </r>
  <r>
    <s v="ORD-2024-403664"/>
    <d v="2024-05-23T00:00:00"/>
    <d v="2024-06-06T00:00:00"/>
    <n v="14"/>
    <x v="7"/>
    <s v="Q2-2024"/>
    <x v="2"/>
    <s v="Brazil"/>
    <s v="Rio de Janeiro"/>
    <s v="Non-Profit"/>
    <x v="1"/>
    <s v="I. Johnson"/>
    <s v="Networking"/>
    <s v="NET-1166"/>
    <n v="51.13"/>
    <s v="Medium"/>
    <n v="57.53"/>
    <n v="4.4999999999999998E-2"/>
    <n v="16"/>
    <n v="20144.693599999999"/>
    <n v="818.08"/>
    <n v="19326.613599999997"/>
    <n v="0.95938980178879452"/>
  </r>
  <r>
    <s v="ORD-2023-890605"/>
    <d v="2023-06-24T00:00:00"/>
    <d v="2023-06-22T00:00:00"/>
    <n v="2"/>
    <x v="23"/>
    <s v="Q2-2023"/>
    <x v="2"/>
    <s v="Canada"/>
    <s v="Toronto"/>
    <s v="Non-Profit"/>
    <x v="0"/>
    <s v="M. Rossi"/>
    <s v="Accessories"/>
    <s v="ACC-2903"/>
    <n v="471.42"/>
    <s v="High"/>
    <n v="824.81"/>
    <n v="8.7999999999999995E-2"/>
    <n v="15"/>
    <n v="6043.0032000000001"/>
    <n v="7071.3"/>
    <n v="-1028.2968000000001"/>
    <n v="-0.17016320626803574"/>
  </r>
  <r>
    <s v="ORD-2024-925626"/>
    <d v="2024-11-04T00:00:00"/>
    <d v="2024-11-05T00:00:00"/>
    <n v="1"/>
    <x v="18"/>
    <s v="Q4-2024"/>
    <x v="3"/>
    <s v="United Kingdom"/>
    <s v="London"/>
    <s v="Corporate"/>
    <x v="0"/>
    <s v="M. Rossi"/>
    <s v="Printers"/>
    <s v="PRN-2293"/>
    <n v="840.68"/>
    <s v="High"/>
    <n v="1493.53"/>
    <n v="0"/>
    <n v="27"/>
    <n v="35911.89"/>
    <n v="22698.359999999997"/>
    <n v="13213.530000000002"/>
    <n v="0.36794304059184862"/>
  </r>
  <r>
    <s v="ORD-2024-427031"/>
    <d v="2024-06-08T00:00:00"/>
    <d v="2024-06-24T00:00:00"/>
    <n v="16"/>
    <x v="17"/>
    <s v="Q2-2024"/>
    <x v="0"/>
    <s v="South Africa"/>
    <s v="Durban"/>
    <s v="Education"/>
    <x v="3"/>
    <s v="H. Kim"/>
    <s v="Monitors"/>
    <s v="MON-1389"/>
    <n v="597.85"/>
    <s v="High"/>
    <n v="741.92"/>
    <n v="3.1E-2"/>
    <n v="7"/>
    <n v="11089.255379999999"/>
    <n v="4184.95"/>
    <n v="6904.3053799999989"/>
    <n v="0.62261217217995024"/>
  </r>
  <r>
    <s v="ORD-2025-231184"/>
    <d v="2025-06-01T00:00:00"/>
    <d v="2025-06-06T00:00:00"/>
    <n v="5"/>
    <x v="16"/>
    <s v="Q2-2025"/>
    <x v="3"/>
    <s v="France"/>
    <s v="Paris"/>
    <s v="Consumer"/>
    <x v="3"/>
    <s v="G. Dubois"/>
    <s v="Components"/>
    <s v="CMP-4093"/>
    <n v="379.45"/>
    <s v="High"/>
    <n v="742.23"/>
    <n v="0.09"/>
    <n v="13"/>
    <n v="835.19799999999998"/>
    <n v="4932.8499999999995"/>
    <n v="-4097.6519999999991"/>
    <n v="-4.9062042773090919"/>
  </r>
  <r>
    <s v="ORD-2023-363031"/>
    <d v="2023-05-06T00:00:00"/>
    <d v="2023-05-14T00:00:00"/>
    <n v="8"/>
    <x v="15"/>
    <s v="Q2-2023"/>
    <x v="1"/>
    <s v="Japan"/>
    <s v="Osaka"/>
    <s v="Enterprise"/>
    <x v="2"/>
    <s v="B. Chen"/>
    <s v="Phones"/>
    <s v="PHN-6131"/>
    <n v="291.18"/>
    <s v="High"/>
    <n v="479.54"/>
    <n v="0.14099999999999999"/>
    <n v="22"/>
    <n v="34451.80992"/>
    <n v="6405.96"/>
    <n v="28045.849920000001"/>
    <n v="0.81406027680765747"/>
  </r>
  <r>
    <s v="ORD-2023-619570"/>
    <d v="2023-11-14T00:00:00"/>
    <d v="2023-11-30T00:00:00"/>
    <n v="16"/>
    <x v="30"/>
    <s v="Q4-2023"/>
    <x v="2"/>
    <s v="Brazil"/>
    <s v="São Paulo"/>
    <s v="Enterprise"/>
    <x v="4"/>
    <s v="K. Singh"/>
    <s v="Networking"/>
    <s v="NET-4104"/>
    <n v="1017.92"/>
    <s v="High"/>
    <n v="1175.25"/>
    <n v="7.4999999999999997E-2"/>
    <n v="15"/>
    <n v="27971.861250000002"/>
    <n v="15268.8"/>
    <n v="12703.061250000002"/>
    <n v="0.45413714648681097"/>
  </r>
  <r>
    <s v="ORD-2025-861401"/>
    <d v="2025-04-01T00:00:00"/>
    <d v="2025-04-27T00:00:00"/>
    <n v="26"/>
    <x v="19"/>
    <s v="Q2-2025"/>
    <x v="2"/>
    <s v="USA"/>
    <s v="San Francisco"/>
    <s v="Corporate"/>
    <x v="4"/>
    <s v="I. Johnson"/>
    <s v="Monitors"/>
    <s v="MON-9319"/>
    <n v="156.55000000000001"/>
    <s v="High"/>
    <n v="227.45"/>
    <n v="1.4E-2"/>
    <n v="13"/>
    <n v="3129.2583399999999"/>
    <n v="2035.15"/>
    <n v="1094.1083399999998"/>
    <n v="0.34963822769583153"/>
  </r>
  <r>
    <s v="ORD-2023-835010"/>
    <d v="2023-03-23T00:00:00"/>
    <d v="2023-04-15T00:00:00"/>
    <n v="23"/>
    <x v="22"/>
    <s v="Q1-2023"/>
    <x v="0"/>
    <s v="Kenya"/>
    <s v="Mombasa"/>
    <s v="Small Business"/>
    <x v="0"/>
    <s v="C. Otieno"/>
    <s v="Accessories"/>
    <s v="ACC-2988"/>
    <n v="875.36"/>
    <s v="High"/>
    <n v="1178.6199999999999"/>
    <n v="0.151"/>
    <n v="53"/>
    <n v="125232.05063999999"/>
    <n v="46394.080000000002"/>
    <n v="78837.970639999985"/>
    <n v="0.62953509295022747"/>
  </r>
  <r>
    <s v="ORD-2024-819979"/>
    <d v="2024-05-28T00:00:00"/>
    <d v="2024-06-18T00:00:00"/>
    <n v="21"/>
    <x v="7"/>
    <s v="Q2-2024"/>
    <x v="3"/>
    <s v="Germany"/>
    <s v="Frankfurt"/>
    <s v="Small Business"/>
    <x v="1"/>
    <s v="E. Garcia"/>
    <s v="Phones"/>
    <s v="PHN-9399"/>
    <n v="986.85"/>
    <s v="High"/>
    <n v="2422.1"/>
    <n v="7.5999999999999998E-2"/>
    <n v="10"/>
    <n v="18944.864399999999"/>
    <n v="9868.5"/>
    <n v="9076.3643999999986"/>
    <n v="0.47909365875429538"/>
  </r>
  <r>
    <s v="ORD-2024-719055"/>
    <d v="2024-01-02T00:00:00"/>
    <d v="2024-01-01T00:00:00"/>
    <n v="1"/>
    <x v="9"/>
    <s v="Q1-2024"/>
    <x v="2"/>
    <s v="USA"/>
    <s v="Chicago"/>
    <s v="Education"/>
    <x v="2"/>
    <s v="B. Chen"/>
    <s v="Networking"/>
    <s v="NET-4554"/>
    <n v="404.77"/>
    <s v="High"/>
    <n v="433.88"/>
    <n v="0.215"/>
    <n v="22"/>
    <n v="2540.7624000000005"/>
    <n v="8904.9399999999987"/>
    <n v="-6364.1775999999982"/>
    <n v="-2.504829888855407"/>
  </r>
  <r>
    <s v="ORD-2023-888245"/>
    <d v="2023-02-28T00:00:00"/>
    <d v="2023-02-27T00:00:00"/>
    <n v="1"/>
    <x v="2"/>
    <s v="Q1-2023"/>
    <x v="3"/>
    <s v="France"/>
    <s v="Marseille"/>
    <s v="Corporate"/>
    <x v="0"/>
    <s v="K. Singh"/>
    <s v="Networking"/>
    <s v="NET-5195"/>
    <n v="1299.81"/>
    <s v="High"/>
    <n v="3149.13"/>
    <n v="0.10299999999999999"/>
    <n v="14"/>
    <n v="24902.262840000003"/>
    <n v="18197.34"/>
    <n v="6704.9228400000029"/>
    <n v="0.26924954101881943"/>
  </r>
  <r>
    <s v="ORD-2024-206121"/>
    <d v="2024-02-18T00:00:00"/>
    <d v="2024-03-11T00:00:00"/>
    <n v="22"/>
    <x v="31"/>
    <s v="Q1-2024"/>
    <x v="2"/>
    <s v="Brazil"/>
    <s v="São Paulo"/>
    <s v="Consumer"/>
    <x v="1"/>
    <s v="A. Patel"/>
    <s v="Components"/>
    <s v="CMP-9801"/>
    <n v="80.48"/>
    <s v="Medium"/>
    <n v="65.650000000000006"/>
    <n v="0.17599999999999999"/>
    <n v="13"/>
    <n v="24630.101600000002"/>
    <n v="1046.24"/>
    <n v="23583.8616"/>
    <n v="0.95752189670220433"/>
  </r>
  <r>
    <s v="ORD-2024-500890"/>
    <d v="2024-09-09T00:00:00"/>
    <d v="2024-10-08T00:00:00"/>
    <n v="29"/>
    <x v="29"/>
    <s v="Q3-2024"/>
    <x v="2"/>
    <s v="Brazil"/>
    <s v="São Paulo"/>
    <s v="Education"/>
    <x v="4"/>
    <s v="J. Njeri"/>
    <s v="Components"/>
    <s v="CMP-3093"/>
    <n v="1010.33"/>
    <s v="High"/>
    <n v="2492.14"/>
    <n v="5.0999999999999997E-2"/>
    <n v="11"/>
    <n v="4829.1857899999995"/>
    <n v="11113.630000000001"/>
    <n v="-6284.4442100000015"/>
    <n v="-1.3013465381707756"/>
  </r>
  <r>
    <s v="ORD-2023-144816"/>
    <d v="2023-05-07T00:00:00"/>
    <d v="2023-05-29T00:00:00"/>
    <n v="22"/>
    <x v="15"/>
    <s v="Q2-2023"/>
    <x v="0"/>
    <s v="South Africa"/>
    <s v="Durban"/>
    <s v="Education"/>
    <x v="3"/>
    <s v="K. Singh"/>
    <s v="Accessories"/>
    <s v="ACC-2364"/>
    <n v="653.86"/>
    <s v="High"/>
    <n v="931.84"/>
    <n v="0.121"/>
    <n v="12"/>
    <n v="11533.077720000001"/>
    <n v="7846.32"/>
    <n v="3686.7577200000014"/>
    <n v="0.3196681587956906"/>
  </r>
  <r>
    <s v="ORD-2024-153053"/>
    <d v="2024-01-12T00:00:00"/>
    <d v="2024-01-29T00:00:00"/>
    <n v="17"/>
    <x v="9"/>
    <s v="Q1-2024"/>
    <x v="1"/>
    <s v="India"/>
    <s v="Hyderabad"/>
    <s v="Small Business"/>
    <x v="4"/>
    <s v="B. Chen"/>
    <s v="Components"/>
    <s v="CMP-5138"/>
    <n v="310.02"/>
    <s v="High"/>
    <n v="619.51"/>
    <n v="4.2000000000000003E-2"/>
    <n v="4"/>
    <n v="5572.5710399999998"/>
    <n v="1240.08"/>
    <n v="4332.4910399999999"/>
    <n v="0.77746717070115634"/>
  </r>
  <r>
    <s v="ORD-2023-536542"/>
    <d v="2023-06-10T00:00:00"/>
    <d v="2023-06-18T00:00:00"/>
    <n v="8"/>
    <x v="23"/>
    <s v="Q2-2023"/>
    <x v="0"/>
    <s v="Kenya"/>
    <s v="Nakuru"/>
    <s v="Enterprise"/>
    <x v="4"/>
    <s v="H. Kim"/>
    <s v="Phones"/>
    <s v="PHN-2337"/>
    <n v="894.23"/>
    <s v="High"/>
    <n v="1421.55"/>
    <n v="0.109"/>
    <n v="3"/>
    <n v="5667.829200000001"/>
    <n v="2682.69"/>
    <n v="2985.139200000001"/>
    <n v="0.52668122038681064"/>
  </r>
  <r>
    <s v="ORD-2025-779530"/>
    <d v="2025-05-19T00:00:00"/>
    <d v="2025-05-17T00:00:00"/>
    <n v="2"/>
    <x v="8"/>
    <s v="Q2-2025"/>
    <x v="2"/>
    <s v="Brazil"/>
    <s v="São Paulo"/>
    <s v="Small Business"/>
    <x v="3"/>
    <s v="L. Okafor"/>
    <s v="Monitors"/>
    <s v="MON-2993"/>
    <n v="383.77"/>
    <s v="High"/>
    <n v="952.56"/>
    <n v="0.34599999999999997"/>
    <n v="10"/>
    <n v="841.56720000000018"/>
    <n v="3837.7"/>
    <n v="-2996.1327999999994"/>
    <n v="-3.5601824785946965"/>
  </r>
  <r>
    <s v="ORD-2023-163610"/>
    <d v="2023-10-22T00:00:00"/>
    <d v="2023-11-16T00:00:00"/>
    <n v="25"/>
    <x v="32"/>
    <s v="Q4-2023"/>
    <x v="2"/>
    <s v="Canada"/>
    <s v="Toronto"/>
    <s v="Small Business"/>
    <x v="2"/>
    <s v="I. Johnson"/>
    <s v="Laptops"/>
    <s v="LAP-9024"/>
    <n v="1373.31"/>
    <s v="High"/>
    <n v="3154.14"/>
    <n v="0.2"/>
    <n v="11"/>
    <n v="11668.448000000002"/>
    <n v="15106.41"/>
    <n v="-3437.9619999999977"/>
    <n v="-0.29463747021026249"/>
  </r>
  <r>
    <s v="ORD-2025-653781"/>
    <d v="2025-01-11T00:00:00"/>
    <d v="2025-01-23T00:00:00"/>
    <n v="12"/>
    <x v="10"/>
    <s v="Q1-2025"/>
    <x v="2"/>
    <s v="USA"/>
    <s v="Austin"/>
    <s v="Consumer"/>
    <x v="3"/>
    <s v="H. Kim"/>
    <s v="Phones"/>
    <s v="PHN-6307"/>
    <n v="100.69"/>
    <s v="High"/>
    <n v="226.14"/>
    <n v="6.5000000000000002E-2"/>
    <n v="12"/>
    <n v="27369.282600000002"/>
    <n v="1208.28"/>
    <n v="26161.002600000003"/>
    <n v="0.95585269743241286"/>
  </r>
  <r>
    <s v="ORD-2025-737787"/>
    <d v="2025-09-14T00:00:00"/>
    <d v="2025-09-26T00:00:00"/>
    <n v="12"/>
    <x v="11"/>
    <s v="Q3-2025"/>
    <x v="3"/>
    <s v="United Kingdom"/>
    <s v="London"/>
    <s v="Small Business"/>
    <x v="4"/>
    <s v="N. Brown"/>
    <s v="Networking"/>
    <s v="NET-9003"/>
    <n v="425.15"/>
    <s v="High"/>
    <n v="885.92"/>
    <n v="0.23899999999999999"/>
    <n v="13"/>
    <n v="21779.835220000001"/>
    <n v="5526.95"/>
    <n v="16252.88522"/>
    <n v="0.74623545384196899"/>
  </r>
  <r>
    <s v="ORD-2023-944052"/>
    <d v="2023-08-30T00:00:00"/>
    <d v="2023-09-03T00:00:00"/>
    <n v="4"/>
    <x v="25"/>
    <s v="Q3-2023"/>
    <x v="1"/>
    <s v="India"/>
    <s v="Delhi"/>
    <s v="Small Business"/>
    <x v="2"/>
    <s v="L. Okafor"/>
    <s v="Accessories"/>
    <s v="ACC-3068"/>
    <n v="1082.25"/>
    <s v="High"/>
    <n v="2433.34"/>
    <n v="0.27"/>
    <n v="4"/>
    <n v="2377.9312"/>
    <n v="4329"/>
    <n v="-1951.0688"/>
    <n v="-0.82049001249489473"/>
  </r>
  <r>
    <s v="ORD-2023-181257"/>
    <d v="2023-11-15T00:00:00"/>
    <d v="2023-12-06T00:00:00"/>
    <n v="21"/>
    <x v="30"/>
    <s v="Q4-2023"/>
    <x v="3"/>
    <s v="United Kingdom"/>
    <s v="Manchester"/>
    <s v="Education"/>
    <x v="4"/>
    <s v="H. Kim"/>
    <s v="Accessories"/>
    <s v="ACC-1060"/>
    <n v="1184.99"/>
    <s v="High"/>
    <n v="1154.3399999999999"/>
    <n v="2.8000000000000001E-2"/>
    <n v="5"/>
    <n v="6720.9426000000003"/>
    <n v="5924.95"/>
    <n v="795.99260000000049"/>
    <n v="0.11843466718492737"/>
  </r>
  <r>
    <s v="ORD-2025-323492"/>
    <d v="2025-04-27T00:00:00"/>
    <d v="2025-05-27T00:00:00"/>
    <n v="0"/>
    <x v="19"/>
    <s v="Q2-2025"/>
    <x v="1"/>
    <s v="India"/>
    <s v="Not Provided"/>
    <s v="Enterprise"/>
    <x v="2"/>
    <s v="H. Kim"/>
    <s v="Phones"/>
    <s v="PHN-3854"/>
    <n v="481.32"/>
    <s v="High"/>
    <n v="1135.99"/>
    <n v="0.14499999999999999"/>
    <n v="5"/>
    <n v="7038.4882499999994"/>
    <n v="2406.6"/>
    <n v="4631.88825"/>
    <n v="0.65807998613906904"/>
  </r>
  <r>
    <s v="ORD-2024-332076"/>
    <d v="2024-04-09T00:00:00"/>
    <d v="2024-04-18T00:00:00"/>
    <n v="9"/>
    <x v="20"/>
    <s v="Q2-2024"/>
    <x v="3"/>
    <s v="France"/>
    <s v="Lyon"/>
    <s v="Consumer"/>
    <x v="1"/>
    <s v="E. Garcia"/>
    <s v="Printers"/>
    <s v="PRN-1086"/>
    <n v="1288.8499999999999"/>
    <s v="High"/>
    <n v="2751.84"/>
    <n v="0.158"/>
    <n v="7"/>
    <n v="2362.5509599999996"/>
    <n v="9021.9499999999989"/>
    <n v="-6659.3990399999993"/>
    <n v="-2.8187324433416667"/>
  </r>
  <r>
    <s v="ORD-2024-571797"/>
    <d v="2024-07-11T00:00:00"/>
    <d v="2024-07-31T00:00:00"/>
    <n v="20"/>
    <x v="14"/>
    <s v="Q3-2024"/>
    <x v="1"/>
    <s v="China"/>
    <s v="Shenzhen"/>
    <s v="Consumer"/>
    <x v="1"/>
    <s v="G. Dubois"/>
    <s v="Phones"/>
    <s v="PHN-7815"/>
    <n v="647.26"/>
    <s v="High"/>
    <n v="1374.72"/>
    <n v="6.6000000000000003E-2"/>
    <n v="22"/>
    <n v="36586.946879999996"/>
    <n v="14239.72"/>
    <n v="22347.226879999995"/>
    <n v="0.6107978059305067"/>
  </r>
  <r>
    <s v="ORD-2024-129345"/>
    <d v="2024-02-18T00:00:00"/>
    <d v="2024-03-03T00:00:00"/>
    <n v="14"/>
    <x v="31"/>
    <s v="Q1-2024"/>
    <x v="2"/>
    <s v="Brazil"/>
    <s v="Not Provided"/>
    <s v="Enterprise"/>
    <x v="3"/>
    <s v="A. Patel"/>
    <s v="Printers"/>
    <s v="PRN-5384"/>
    <n v="624.23"/>
    <s v="High"/>
    <n v="1318.37"/>
    <n v="0.21"/>
    <n v="37"/>
    <n v="32691.708900000005"/>
    <n v="23096.510000000002"/>
    <n v="9595.1989000000031"/>
    <n v="0.29350557749521627"/>
  </r>
  <r>
    <s v="ORD-2023-660608"/>
    <d v="2023-07-25T00:00:00"/>
    <d v="2023-08-10T00:00:00"/>
    <n v="16"/>
    <x v="24"/>
    <s v="Q3-2023"/>
    <x v="0"/>
    <s v="Nigeria"/>
    <s v="Port Harcourt"/>
    <s v="Corporate"/>
    <x v="3"/>
    <s v="I. Johnson"/>
    <s v="Accessories"/>
    <s v="ACC-8178"/>
    <n v="506.83"/>
    <s v="High"/>
    <n v="441.74"/>
    <n v="0.24"/>
    <n v="9"/>
    <n v="5274.4607999999998"/>
    <n v="4561.47"/>
    <n v="712.99079999999958"/>
    <n v="0.1351779503224291"/>
  </r>
  <r>
    <s v="ORD-2023-825084"/>
    <d v="2023-07-14T00:00:00"/>
    <d v="2023-07-21T00:00:00"/>
    <n v="7"/>
    <x v="24"/>
    <s v="Q3-2023"/>
    <x v="0"/>
    <s v="South Africa"/>
    <s v="Durban"/>
    <s v="Enterprise"/>
    <x v="2"/>
    <s v="Not Provided"/>
    <s v="Monitors"/>
    <s v="MON-1018"/>
    <n v="620.74"/>
    <s v="High"/>
    <n v="1330.07"/>
    <n v="0.29899999999999999"/>
    <n v="28"/>
    <n v="23750.665119999998"/>
    <n v="17380.72"/>
    <n v="6369.9451199999967"/>
    <n v="0.26820070460409901"/>
  </r>
  <r>
    <s v="ORD-2023-261081"/>
    <d v="2023-07-24T00:00:00"/>
    <d v="2023-08-19T00:00:00"/>
    <n v="26"/>
    <x v="24"/>
    <s v="Q3-2023"/>
    <x v="0"/>
    <s v="Kenya"/>
    <s v="Nairobi"/>
    <s v="Enterprise"/>
    <x v="3"/>
    <s v="M. Rossi"/>
    <s v="Accessories"/>
    <s v="ACC-1238"/>
    <n v="661.45"/>
    <s v="High"/>
    <n v="1634.86"/>
    <n v="0.56499999999999995"/>
    <n v="24"/>
    <n v="31570.873200000005"/>
    <n v="15874.800000000001"/>
    <n v="15696.073200000004"/>
    <n v="0.49716943527555019"/>
  </r>
  <r>
    <s v="ORD-2023-766015"/>
    <d v="2023-04-13T00:00:00"/>
    <d v="2023-04-11T00:00:00"/>
    <n v="2"/>
    <x v="12"/>
    <s v="Q2-2023"/>
    <x v="2"/>
    <s v="USA"/>
    <s v="San Francisco"/>
    <s v="Education"/>
    <x v="2"/>
    <s v="G. Dubois"/>
    <s v="Networking"/>
    <s v="NET-1816"/>
    <n v="32.1"/>
    <s v="Medium"/>
    <n v="70.599999999999994"/>
    <n v="0.28199999999999997"/>
    <n v="22"/>
    <n v="36385.454160000001"/>
    <n v="706.2"/>
    <n v="35679.254160000004"/>
    <n v="0.98059114510720191"/>
  </r>
  <r>
    <s v="ORD-2024-333192"/>
    <d v="2024-10-29T00:00:00"/>
    <d v="2024-11-04T00:00:00"/>
    <n v="6"/>
    <x v="1"/>
    <s v="Q4-2024"/>
    <x v="0"/>
    <s v="Kenya"/>
    <s v="Nairobi"/>
    <s v="Corporate"/>
    <x v="3"/>
    <s v="M. Rossi"/>
    <s v="Printers"/>
    <s v="PRN-4893"/>
    <n v="805.81"/>
    <s v="High"/>
    <n v="1823.04"/>
    <n v="0"/>
    <n v="11"/>
    <n v="33921.800000000003"/>
    <n v="8863.91"/>
    <n v="25057.890000000003"/>
    <n v="0.73869576496530254"/>
  </r>
  <r>
    <s v="ORD-2024-647473"/>
    <d v="2024-02-17T00:00:00"/>
    <d v="2024-03-04T00:00:00"/>
    <n v="16"/>
    <x v="31"/>
    <s v="Q1-2024"/>
    <x v="1"/>
    <s v="India"/>
    <s v="Delhi"/>
    <s v="Small Business"/>
    <x v="2"/>
    <s v="F. Müller"/>
    <s v="Phones"/>
    <s v="PHN-1717"/>
    <n v="1231.8"/>
    <s v="High"/>
    <n v="2015.99"/>
    <n v="0.26100000000000001"/>
    <n v="6"/>
    <n v="1430.8961399999998"/>
    <n v="7390.7999999999993"/>
    <n v="-5959.9038599999994"/>
    <n v="-4.1651547539991265"/>
  </r>
  <r>
    <s v="ORD-2024-892908"/>
    <d v="2024-07-13T00:00:00"/>
    <d v="2024-07-12T00:00:00"/>
    <n v="1"/>
    <x v="14"/>
    <s v="Q3-2024"/>
    <x v="1"/>
    <s v="Japan"/>
    <s v="Nagoya"/>
    <s v="Small Business"/>
    <x v="2"/>
    <s v="F. Müller"/>
    <s v="Networking"/>
    <s v="NET-9575"/>
    <n v="105.13"/>
    <s v="High"/>
    <n v="244.13"/>
    <n v="7.0999999999999994E-2"/>
    <n v="14"/>
    <n v="9511.1577400000006"/>
    <n v="1471.82"/>
    <n v="8039.3377400000008"/>
    <n v="0.84525332874986048"/>
  </r>
  <r>
    <s v="ORD-2023-573146"/>
    <d v="2023-12-01T00:00:00"/>
    <d v="2023-12-18T00:00:00"/>
    <n v="17"/>
    <x v="4"/>
    <s v="Q4-2023"/>
    <x v="1"/>
    <s v="Japan"/>
    <s v="Nagoya"/>
    <s v="Small Business"/>
    <x v="4"/>
    <s v="N. Brown"/>
    <s v="Laptops"/>
    <s v="LAP-3604"/>
    <n v="1495.79"/>
    <s v="High"/>
    <n v="2783.12"/>
    <n v="0.02"/>
    <n v="5"/>
    <n v="7516.3549999999996"/>
    <n v="7478.95"/>
    <n v="37.404999999999745"/>
    <n v="4.9764812864745937E-3"/>
  </r>
  <r>
    <s v="ORD-2024-901115"/>
    <d v="2024-07-25T00:00:00"/>
    <d v="2024-08-02T00:00:00"/>
    <n v="8"/>
    <x v="14"/>
    <s v="Q3-2024"/>
    <x v="2"/>
    <s v="Canada"/>
    <s v="Montreal"/>
    <s v="Consumer"/>
    <x v="4"/>
    <s v="J. Njeri"/>
    <s v="Accessories"/>
    <s v="ACC-6626"/>
    <n v="986.81"/>
    <s v="High"/>
    <n v="2050.31"/>
    <n v="0.10299999999999999"/>
    <n v="43"/>
    <n v="60620.497860000003"/>
    <n v="42432.829999999994"/>
    <n v="18187.667860000009"/>
    <n v="0.30002504931588508"/>
  </r>
  <r>
    <s v="ORD-2023-898009"/>
    <d v="2023-05-04T00:00:00"/>
    <d v="2023-05-16T00:00:00"/>
    <n v="12"/>
    <x v="15"/>
    <s v="Q2-2023"/>
    <x v="0"/>
    <s v="Nigeria"/>
    <s v="Abuja"/>
    <s v="Small Business"/>
    <x v="2"/>
    <s v="J. Njeri"/>
    <s v="Phones"/>
    <s v="PHN-1670"/>
    <n v="77.739999999999995"/>
    <s v="Medium"/>
    <n v="147.12"/>
    <n v="0"/>
    <n v="15"/>
    <n v="3760.95"/>
    <n v="1166.0999999999999"/>
    <n v="2594.85"/>
    <n v="0.68994535955011371"/>
  </r>
  <r>
    <s v="ORD-2023-208944"/>
    <d v="2023-12-21T00:00:00"/>
    <d v="2024-01-06T00:00:00"/>
    <n v="16"/>
    <x v="4"/>
    <s v="Q4-2023"/>
    <x v="0"/>
    <s v="Nigeria"/>
    <s v="Not Provided"/>
    <s v="Corporate"/>
    <x v="2"/>
    <s v="K. Singh"/>
    <s v="Components"/>
    <s v="CMP-4792"/>
    <n v="932.61"/>
    <s v="High"/>
    <n v="1982.98"/>
    <n v="0.14399999999999999"/>
    <n v="16"/>
    <n v="47563.605759999999"/>
    <n v="14921.76"/>
    <n v="32641.845759999997"/>
    <n v="0.68627777979463256"/>
  </r>
  <r>
    <s v="ORD-2025-480172"/>
    <d v="2025-06-17T00:00:00"/>
    <d v="2025-07-05T00:00:00"/>
    <n v="18"/>
    <x v="16"/>
    <s v="Q2-2025"/>
    <x v="1"/>
    <s v="India"/>
    <s v="Delhi"/>
    <s v="Consumer"/>
    <x v="2"/>
    <s v="L. Okafor"/>
    <s v="Laptops"/>
    <s v="LAP-1990"/>
    <n v="982.93"/>
    <s v="High"/>
    <n v="2299.3000000000002"/>
    <n v="0.113"/>
    <n v="6"/>
    <n v="6418.5448799999995"/>
    <n v="5897.58"/>
    <n v="520.96487999999954"/>
    <n v="8.1165574088811171E-2"/>
  </r>
  <r>
    <s v="ORD-2023-735274"/>
    <d v="2023-02-23T00:00:00"/>
    <d v="2023-03-08T00:00:00"/>
    <n v="13"/>
    <x v="2"/>
    <s v="Q1-2023"/>
    <x v="3"/>
    <s v="United Kingdom"/>
    <s v="Manchester"/>
    <s v="Small Business"/>
    <x v="4"/>
    <s v="C. Otieno"/>
    <s v="Printers"/>
    <s v="PRN-7410"/>
    <n v="307.37"/>
    <s v="High"/>
    <n v="462.61"/>
    <n v="0.188"/>
    <n v="11"/>
    <n v="19625.658360000001"/>
    <n v="3381.07"/>
    <n v="16244.588360000002"/>
    <n v="0.82772195775652957"/>
  </r>
  <r>
    <s v="ORD-2023-212701"/>
    <d v="2023-12-02T00:00:00"/>
    <d v="2023-12-16T00:00:00"/>
    <n v="14"/>
    <x v="4"/>
    <s v="Q4-2023"/>
    <x v="3"/>
    <s v="Germany"/>
    <s v="Frankfurt"/>
    <s v="Education"/>
    <x v="4"/>
    <s v="N. Brown"/>
    <s v="Monitors"/>
    <s v="MON-4278"/>
    <n v="879.08"/>
    <s v="High"/>
    <n v="1093.3900000000001"/>
    <n v="0.113"/>
    <n v="17"/>
    <n v="24437.027399999999"/>
    <n v="14944.36"/>
    <n v="9492.6673999999985"/>
    <n v="0.38845426019369272"/>
  </r>
  <r>
    <s v="ORD-2023-479747"/>
    <d v="2023-07-14T00:00:00"/>
    <d v="2023-07-14T00:00:00"/>
    <n v="0"/>
    <x v="24"/>
    <s v="Q3-2023"/>
    <x v="0"/>
    <s v="Nigeria"/>
    <s v="Lagos"/>
    <s v="Education"/>
    <x v="0"/>
    <s v="I. Johnson"/>
    <s v="Accessories"/>
    <s v="ACC-5334"/>
    <n v="956.38"/>
    <s v="High"/>
    <n v="1454.22"/>
    <n v="3.9E-2"/>
    <n v="19"/>
    <n v="18891.856940000001"/>
    <n v="18171.22"/>
    <n v="720.63694000000032"/>
    <n v="3.8145373548440616E-2"/>
  </r>
  <r>
    <s v="ORD-2024-915495"/>
    <d v="2024-08-08T00:00:00"/>
    <d v="2024-08-20T00:00:00"/>
    <n v="12"/>
    <x v="21"/>
    <s v="Q3-2024"/>
    <x v="1"/>
    <s v="Japan"/>
    <s v="Osaka"/>
    <s v="Small Business"/>
    <x v="0"/>
    <s v="H. Kim"/>
    <s v="Networking"/>
    <s v="NET-8957"/>
    <n v="1233.3599999999999"/>
    <s v="High"/>
    <n v="2120.4"/>
    <n v="0.17899999999999999"/>
    <n v="20"/>
    <n v="31286.9964"/>
    <n v="24667.199999999997"/>
    <n v="6619.7964000000029"/>
    <n v="0.21158299490838958"/>
  </r>
  <r>
    <s v="ORD-2024-225829"/>
    <d v="2024-11-07T00:00:00"/>
    <d v="2024-11-26T00:00:00"/>
    <n v="19"/>
    <x v="18"/>
    <s v="Q4-2024"/>
    <x v="2"/>
    <s v="Brazil"/>
    <s v="Rio de Janeiro"/>
    <s v="Non-Profit"/>
    <x v="3"/>
    <s v="J. Njeri"/>
    <s v="Printers"/>
    <s v="PRN-9960"/>
    <n v="55.35"/>
    <s v="Medium"/>
    <n v="128.68"/>
    <n v="0.128"/>
    <n v="10"/>
    <n v="4722.4031999999997"/>
    <n v="553.5"/>
    <n v="4168.9031999999997"/>
    <n v="0.88279272722837387"/>
  </r>
  <r>
    <s v="ORD-2024-921935"/>
    <d v="2024-01-01T00:00:00"/>
    <d v="2024-01-27T00:00:00"/>
    <n v="26"/>
    <x v="9"/>
    <s v="Q1-2024"/>
    <x v="3"/>
    <s v="United Kingdom"/>
    <s v="Manchester"/>
    <s v="Education"/>
    <x v="3"/>
    <s v="D. Smith"/>
    <s v="Accessories"/>
    <s v="ACC-3103"/>
    <n v="657.45"/>
    <s v="High"/>
    <n v="1325.96"/>
    <n v="0.16700000000000001"/>
    <n v="21"/>
    <n v="19532.683799999999"/>
    <n v="13806.45"/>
    <n v="5726.2337999999982"/>
    <n v="0.29316164939914702"/>
  </r>
  <r>
    <s v="ORD-2025-949776"/>
    <d v="2025-08-14T00:00:00"/>
    <d v="2025-09-11T00:00:00"/>
    <n v="28"/>
    <x v="28"/>
    <s v="Q3-2025"/>
    <x v="2"/>
    <s v="Brazil"/>
    <s v="São Paulo"/>
    <s v="Non-Profit"/>
    <x v="4"/>
    <s v="F. Müller"/>
    <s v="Printers"/>
    <s v="PRN-9490"/>
    <n v="1203.02"/>
    <s v="High"/>
    <n v="2439.33"/>
    <n v="0"/>
    <n v="18"/>
    <n v="26190"/>
    <n v="21654.36"/>
    <n v="4535.6399999999994"/>
    <n v="0.17318213058419241"/>
  </r>
  <r>
    <s v="ORD-2024-510591"/>
    <d v="2024-04-03T00:00:00"/>
    <d v="2024-04-21T00:00:00"/>
    <n v="18"/>
    <x v="20"/>
    <s v="Q2-2024"/>
    <x v="2"/>
    <s v="Brazil"/>
    <s v="Brasília"/>
    <s v="Small Business"/>
    <x v="3"/>
    <s v="B. Chen"/>
    <s v="Networking"/>
    <s v="NET-3850"/>
    <n v="1176.69"/>
    <s v="High"/>
    <n v="2201.54"/>
    <n v="0.17"/>
    <n v="27"/>
    <n v="28646.702999999998"/>
    <n v="31770.63"/>
    <n v="-3123.9270000000033"/>
    <n v="-0.1090501409533936"/>
  </r>
  <r>
    <s v="ORD-2024-961756"/>
    <d v="2024-11-25T00:00:00"/>
    <d v="2024-12-07T00:00:00"/>
    <n v="12"/>
    <x v="18"/>
    <s v="Q4-2024"/>
    <x v="1"/>
    <s v="China"/>
    <s v="Shanghai"/>
    <s v="Corporate"/>
    <x v="3"/>
    <s v="A. Patel"/>
    <s v="Accessories"/>
    <s v="ACC-7047"/>
    <n v="769.9"/>
    <s v="High"/>
    <n v="814.36"/>
    <n v="0"/>
    <n v="5"/>
    <n v="4499.1500000000005"/>
    <n v="3849.5"/>
    <n v="649.65000000000055"/>
    <n v="0.14439394107775924"/>
  </r>
  <r>
    <s v="ORD-2024-892173"/>
    <d v="2024-01-18T00:00:00"/>
    <d v="2024-02-03T00:00:00"/>
    <n v="16"/>
    <x v="9"/>
    <s v="Q1-2024"/>
    <x v="0"/>
    <s v="South Africa"/>
    <s v="Cape Town"/>
    <s v="Non-Profit"/>
    <x v="3"/>
    <s v="L. Okafor"/>
    <s v="Printers"/>
    <s v="PRN-6660"/>
    <n v="666.23"/>
    <s v="High"/>
    <n v="1382.91"/>
    <n v="0.17599999999999999"/>
    <n v="13"/>
    <n v="9412.9557600000007"/>
    <n v="8660.99"/>
    <n v="751.96576000000096"/>
    <n v="7.9886252434697616E-2"/>
  </r>
  <r>
    <s v="ORD-2024-704056"/>
    <d v="2024-06-23T00:00:00"/>
    <d v="2024-06-25T00:00:00"/>
    <n v="2"/>
    <x v="17"/>
    <s v="Q2-2024"/>
    <x v="3"/>
    <s v="United Kingdom"/>
    <s v="Birmingham"/>
    <s v="Small Business"/>
    <x v="2"/>
    <s v="L. Okafor"/>
    <s v="Accessories"/>
    <s v="ACC-7838"/>
    <n v="951.44"/>
    <s v="High"/>
    <n v="1646.43"/>
    <n v="0.11"/>
    <n v="24"/>
    <n v="12696.811199999998"/>
    <n v="22834.560000000001"/>
    <n v="-10137.748800000003"/>
    <n v="-0.79844841671741995"/>
  </r>
  <r>
    <s v="ORD-2025-591006"/>
    <d v="2025-06-25T00:00:00"/>
    <d v="2025-07-10T00:00:00"/>
    <n v="15"/>
    <x v="16"/>
    <s v="Q2-2025"/>
    <x v="3"/>
    <s v="United Kingdom"/>
    <s v="Birmingham"/>
    <s v="Non-Profit"/>
    <x v="2"/>
    <s v="D. Smith"/>
    <s v="Phones"/>
    <s v="PHN-5383"/>
    <n v="546.83000000000004"/>
    <s v="High"/>
    <n v="400.84"/>
    <n v="7.8E-2"/>
    <n v="13"/>
    <n v="19391.5501"/>
    <n v="7108.7900000000009"/>
    <n v="12282.7601"/>
    <n v="0.63340785221703344"/>
  </r>
  <r>
    <s v="ORD-2023-159821"/>
    <d v="2023-07-01T00:00:00"/>
    <d v="2023-07-08T00:00:00"/>
    <n v="7"/>
    <x v="24"/>
    <s v="Q3-2023"/>
    <x v="0"/>
    <s v="Nigeria"/>
    <s v="Port Harcourt"/>
    <s v="Corporate"/>
    <x v="0"/>
    <s v="A. Patel"/>
    <s v="Laptops"/>
    <s v="LAP-3904"/>
    <n v="834.26"/>
    <s v="High"/>
    <n v="1780.56"/>
    <n v="1.4E-2"/>
    <n v="47"/>
    <n v="45086.595219999996"/>
    <n v="39210.22"/>
    <n v="5876.3752199999944"/>
    <n v="0.13033530678744376"/>
  </r>
  <r>
    <s v="ORD-2024-343877"/>
    <d v="2024-03-09T00:00:00"/>
    <d v="2024-03-26T00:00:00"/>
    <n v="17"/>
    <x v="0"/>
    <s v="Q1-2024"/>
    <x v="1"/>
    <s v="China"/>
    <s v="Shenzhen"/>
    <s v="Enterprise"/>
    <x v="1"/>
    <s v="K. Singh"/>
    <s v="Monitors"/>
    <s v="MON-5749"/>
    <n v="1029.67"/>
    <s v="High"/>
    <n v="1118.43"/>
    <n v="0.27200000000000002"/>
    <n v="9"/>
    <n v="278.85311999999999"/>
    <n v="9267.0300000000007"/>
    <n v="-8988.1768800000009"/>
    <n v="-32.232656676030743"/>
  </r>
  <r>
    <s v="ORD-2023-386663"/>
    <d v="2023-06-05T00:00:00"/>
    <d v="2023-06-28T00:00:00"/>
    <n v="23"/>
    <x v="23"/>
    <s v="Q2-2023"/>
    <x v="3"/>
    <s v="United Kingdom"/>
    <s v="Birmingham"/>
    <s v="Corporate"/>
    <x v="4"/>
    <s v="K. Singh"/>
    <s v="Printers"/>
    <s v="PRN-3690"/>
    <n v="605.82000000000005"/>
    <s v="High"/>
    <n v="771.12"/>
    <n v="0.13200000000000001"/>
    <n v="19"/>
    <n v="24421.848359999996"/>
    <n v="11510.580000000002"/>
    <n v="12911.268359999995"/>
    <n v="0.52867695227962652"/>
  </r>
  <r>
    <s v="ORD-2025-125517"/>
    <d v="2025-03-21T00:00:00"/>
    <d v="2025-04-09T00:00:00"/>
    <n v="19"/>
    <x v="3"/>
    <s v="Q1-2025"/>
    <x v="1"/>
    <s v="Japan"/>
    <s v="Tokyo"/>
    <s v="Small Business"/>
    <x v="3"/>
    <s v="E. Garcia"/>
    <s v="Components"/>
    <s v="CMP-7055"/>
    <n v="1055.45"/>
    <s v="High"/>
    <n v="1210.04"/>
    <n v="8.9999999999999993E-3"/>
    <n v="18"/>
    <n v="10065.26988"/>
    <n v="18998.100000000002"/>
    <n v="-8932.8301200000024"/>
    <n v="-0.887490372985409"/>
  </r>
  <r>
    <s v="ORD-2024-819778"/>
    <d v="2024-06-02T00:00:00"/>
    <d v="2024-06-15T00:00:00"/>
    <n v="13"/>
    <x v="17"/>
    <s v="Q2-2024"/>
    <x v="0"/>
    <s v="Kenya"/>
    <s v="Mombasa"/>
    <s v="Education"/>
    <x v="1"/>
    <s v="O. Wang"/>
    <s v="Phones"/>
    <s v="PHN-6866"/>
    <n v="1295.18"/>
    <s v="High"/>
    <n v="3024.03"/>
    <n v="0.192"/>
    <n v="8"/>
    <n v="13814.925440000001"/>
    <n v="10361.44"/>
    <n v="3453.4854400000004"/>
    <n v="0.24998219896292109"/>
  </r>
  <r>
    <s v="ORD-2025-624006"/>
    <d v="2025-03-15T00:00:00"/>
    <d v="2025-03-29T00:00:00"/>
    <n v="14"/>
    <x v="3"/>
    <s v="Q1-2025"/>
    <x v="1"/>
    <s v="India"/>
    <s v="Mumbai"/>
    <s v="Enterprise"/>
    <x v="4"/>
    <s v="C. Otieno"/>
    <s v="Components"/>
    <s v="CMP-3259"/>
    <n v="935.83"/>
    <s v="High"/>
    <n v="2303.46"/>
    <n v="0.105"/>
    <n v="9"/>
    <n v="13539.891150000001"/>
    <n v="8422.4700000000012"/>
    <n v="5117.4211500000001"/>
    <n v="0.37795142466858012"/>
  </r>
  <r>
    <s v="ORD-2023-132101"/>
    <d v="2023-09-25T00:00:00"/>
    <d v="2023-10-09T00:00:00"/>
    <n v="14"/>
    <x v="27"/>
    <s v="Q3-2023"/>
    <x v="2"/>
    <s v="USA"/>
    <s v="New York"/>
    <s v="Small Business"/>
    <x v="2"/>
    <s v="J. Njeri"/>
    <s v="Laptops"/>
    <s v="LAP-6750"/>
    <n v="1279.56"/>
    <s v="High"/>
    <n v="3083.8"/>
    <n v="0.106"/>
    <n v="5"/>
    <n v="12985.618199999999"/>
    <n v="6397.7999999999993"/>
    <n v="6587.8181999999997"/>
    <n v="0.50731648648040495"/>
  </r>
  <r>
    <s v="ORD-2025-306903"/>
    <d v="2025-06-24T00:00:00"/>
    <d v="2025-07-23T00:00:00"/>
    <n v="29"/>
    <x v="16"/>
    <s v="Q2-2025"/>
    <x v="2"/>
    <s v="Canada"/>
    <s v="Vancouver"/>
    <s v="Non-Profit"/>
    <x v="2"/>
    <s v="I. Johnson"/>
    <s v="Printers"/>
    <s v="PRN-3775"/>
    <n v="255.4"/>
    <s v="High"/>
    <n v="322.70999999999998"/>
    <n v="0.115"/>
    <n v="16"/>
    <n v="11923.994400000001"/>
    <n v="4086.4"/>
    <n v="7837.5944000000018"/>
    <n v="0.65729604837788258"/>
  </r>
  <r>
    <s v="ORD-2023-813340"/>
    <d v="2023-12-26T00:00:00"/>
    <d v="2024-01-03T00:00:00"/>
    <n v="8"/>
    <x v="4"/>
    <s v="Q4-2023"/>
    <x v="3"/>
    <s v="France"/>
    <s v="Lyon"/>
    <s v="Small Business"/>
    <x v="0"/>
    <s v="M. Rossi"/>
    <s v="Laptops"/>
    <s v="LAP-2942"/>
    <n v="492.75"/>
    <s v="High"/>
    <n v="731.29"/>
    <n v="5.8000000000000003E-2"/>
    <n v="6"/>
    <n v="17698.503240000002"/>
    <n v="2956.5"/>
    <n v="14742.003240000002"/>
    <n v="0.83295197566096557"/>
  </r>
  <r>
    <s v="ORD-2023-855675"/>
    <d v="2023-02-05T00:00:00"/>
    <d v="2023-02-28T00:00:00"/>
    <n v="23"/>
    <x v="2"/>
    <s v="Q1-2023"/>
    <x v="2"/>
    <s v="USA"/>
    <s v="Austin"/>
    <s v="Non-Profit"/>
    <x v="3"/>
    <s v="L. Okafor"/>
    <s v="Phones"/>
    <s v="PHN-2036"/>
    <n v="1214.49"/>
    <s v="High"/>
    <n v="1533.95"/>
    <n v="0"/>
    <n v="11"/>
    <n v="15891.92"/>
    <n v="13359.39"/>
    <n v="2532.5300000000007"/>
    <n v="0.15935959909186559"/>
  </r>
  <r>
    <s v="ORD-2023-545150"/>
    <d v="2023-04-06T00:00:00"/>
    <d v="2023-04-08T00:00:00"/>
    <n v="2"/>
    <x v="12"/>
    <s v="Q2-2023"/>
    <x v="0"/>
    <s v="Nigeria"/>
    <s v="Abuja"/>
    <s v="Small Business"/>
    <x v="2"/>
    <s v="K. Singh"/>
    <s v="Monitors"/>
    <s v="MON-4373"/>
    <n v="720.35"/>
    <s v="High"/>
    <n v="1571.66"/>
    <n v="0.107"/>
    <n v="23"/>
    <n v="59066.056200000006"/>
    <n v="16568.05"/>
    <n v="42498.006200000003"/>
    <n v="0.71949964047201787"/>
  </r>
  <r>
    <s v="ORD-2025-269934"/>
    <d v="2025-04-04T00:00:00"/>
    <d v="2025-04-10T00:00:00"/>
    <n v="6"/>
    <x v="19"/>
    <s v="Q2-2025"/>
    <x v="3"/>
    <s v="United Kingdom"/>
    <s v="Birmingham"/>
    <s v="Non-Profit"/>
    <x v="4"/>
    <s v="N. Brown"/>
    <s v="Printers"/>
    <s v="PRN-8657"/>
    <n v="290.14"/>
    <s v="High"/>
    <n v="250.73"/>
    <n v="3.4000000000000002E-2"/>
    <n v="17"/>
    <n v="26958.519419999997"/>
    <n v="4932.38"/>
    <n v="22026.139419999996"/>
    <n v="0.81703817174986382"/>
  </r>
  <r>
    <s v="ORD-2024-690270"/>
    <d v="2024-05-17T00:00:00"/>
    <d v="2024-05-27T00:00:00"/>
    <n v="10"/>
    <x v="7"/>
    <s v="Q2-2024"/>
    <x v="2"/>
    <s v="USA"/>
    <s v="Austin"/>
    <s v="Non-Profit"/>
    <x v="1"/>
    <s v="C. Otieno"/>
    <s v="Phones"/>
    <s v="PHN-7974"/>
    <n v="1484.23"/>
    <s v="High"/>
    <n v="3472.81"/>
    <n v="0.25600000000000001"/>
    <n v="12"/>
    <n v="11597.65056"/>
    <n v="17810.760000000002"/>
    <n v="-6213.109440000002"/>
    <n v="-0.53572138665988589"/>
  </r>
  <r>
    <s v="ORD-2024-868223"/>
    <d v="2024-03-03T00:00:00"/>
    <d v="2024-03-19T00:00:00"/>
    <n v="16"/>
    <x v="0"/>
    <s v="Q1-2024"/>
    <x v="1"/>
    <s v="China"/>
    <s v="Beijing"/>
    <s v="Consumer"/>
    <x v="3"/>
    <s v="G. Dubois"/>
    <s v="Phones"/>
    <s v="PHN-4915"/>
    <n v="988.83"/>
    <s v="High"/>
    <n v="1206.04"/>
    <n v="6.3E-2"/>
    <n v="34"/>
    <n v="35635.084480000005"/>
    <n v="33620.22"/>
    <n v="2014.8644800000038"/>
    <n v="5.6541594033005182E-2"/>
  </r>
  <r>
    <s v="ORD-2025-188059"/>
    <d v="2025-06-27T00:00:00"/>
    <d v="2025-07-11T00:00:00"/>
    <n v="14"/>
    <x v="16"/>
    <s v="Q2-2025"/>
    <x v="1"/>
    <s v="China"/>
    <s v="Shanghai"/>
    <s v="Small Business"/>
    <x v="2"/>
    <s v="L. Okafor"/>
    <s v="Networking"/>
    <s v="NET-3535"/>
    <n v="1227.7"/>
    <s v="High"/>
    <n v="2197.23"/>
    <n v="9.9000000000000005E-2"/>
    <n v="22"/>
    <n v="23483.321620000002"/>
    <n v="27009.4"/>
    <n v="-3526.078379999999"/>
    <n v="-0.15015245445503542"/>
  </r>
  <r>
    <s v="ORD-2023-281890"/>
    <d v="2023-03-13T00:00:00"/>
    <d v="2023-04-04T00:00:00"/>
    <n v="22"/>
    <x v="22"/>
    <s v="Q1-2023"/>
    <x v="0"/>
    <s v="South Africa"/>
    <s v="Durban"/>
    <s v="Small Business"/>
    <x v="0"/>
    <s v="A. Patel"/>
    <s v="Components"/>
    <s v="CMP-2574"/>
    <n v="1113.7"/>
    <s v="High"/>
    <n v="1620.6"/>
    <n v="0.13900000000000001"/>
    <n v="11"/>
    <n v="11379.122369999999"/>
    <n v="12250.7"/>
    <n v="-871.57763000000159"/>
    <n v="-7.6594450930401736E-2"/>
  </r>
  <r>
    <s v="ORD-2025-636162"/>
    <d v="2025-01-07T00:00:00"/>
    <d v="2025-01-20T00:00:00"/>
    <n v="13"/>
    <x v="10"/>
    <s v="Q1-2025"/>
    <x v="0"/>
    <s v="South Africa"/>
    <s v="Cape Town"/>
    <s v="Corporate"/>
    <x v="4"/>
    <s v="K. Singh"/>
    <s v="Networking"/>
    <s v="NET-7901"/>
    <n v="432.13"/>
    <s v="High"/>
    <n v="1034.6600000000001"/>
    <n v="9.1999999999999998E-2"/>
    <n v="7"/>
    <n v="5599.5724400000008"/>
    <n v="3024.91"/>
    <n v="2574.662440000001"/>
    <n v="0.45979625544410324"/>
  </r>
  <r>
    <s v="ORD-2025-915869"/>
    <d v="2025-02-06T00:00:00"/>
    <d v="2025-02-15T00:00:00"/>
    <n v="9"/>
    <x v="26"/>
    <s v="Q1-2025"/>
    <x v="2"/>
    <s v="Brazil"/>
    <s v="São Paulo"/>
    <s v="Non-Profit"/>
    <x v="3"/>
    <s v="F. Müller"/>
    <s v="Networking"/>
    <s v="NET-5482"/>
    <n v="837.39"/>
    <s v="High"/>
    <n v="1905.42"/>
    <n v="3.2000000000000001E-2"/>
    <n v="18"/>
    <n v="35734.358879999992"/>
    <n v="15073.02"/>
    <n v="20661.338879999992"/>
    <n v="0.57819251632254265"/>
  </r>
  <r>
    <s v="ORD-2025-192876"/>
    <d v="2025-01-31T00:00:00"/>
    <d v="2025-02-17T00:00:00"/>
    <n v="17"/>
    <x v="10"/>
    <s v="Q1-2025"/>
    <x v="3"/>
    <s v="United Kingdom"/>
    <s v="London"/>
    <s v="Enterprise"/>
    <x v="0"/>
    <s v="H. Kim"/>
    <s v="Components"/>
    <s v="CMP-5820"/>
    <n v="378.26"/>
    <s v="High"/>
    <n v="541.55999999999995"/>
    <n v="0.16300000000000001"/>
    <n v="25"/>
    <n v="36365.557499999995"/>
    <n v="9456.5"/>
    <n v="26909.057499999995"/>
    <n v="0.73995998823887132"/>
  </r>
  <r>
    <s v="ORD-2025-822030"/>
    <d v="2025-08-07T00:00:00"/>
    <d v="2025-09-06T00:00:00"/>
    <n v="30"/>
    <x v="28"/>
    <s v="Q3-2025"/>
    <x v="2"/>
    <s v="Canada"/>
    <s v="Montreal"/>
    <s v="Education"/>
    <x v="4"/>
    <s v="M. Rossi"/>
    <s v="Networking"/>
    <s v="NET-1336"/>
    <n v="833.73"/>
    <s v="High"/>
    <n v="1116.5999999999999"/>
    <n v="0.17599999999999999"/>
    <n v="14"/>
    <n v="16015.544160000001"/>
    <n v="11672.220000000001"/>
    <n v="4343.3241600000001"/>
    <n v="0.27119429203334666"/>
  </r>
  <r>
    <s v="ORD-2025-789245"/>
    <d v="2025-07-23T00:00:00"/>
    <d v="2025-08-17T00:00:00"/>
    <n v="25"/>
    <x v="13"/>
    <s v="Q3-2025"/>
    <x v="3"/>
    <s v="United Kingdom"/>
    <s v="Birmingham"/>
    <s v="Education"/>
    <x v="1"/>
    <s v="I. Johnson"/>
    <s v="Printers"/>
    <s v="PRN-5876"/>
    <n v="1142.06"/>
    <s v="High"/>
    <n v="1455"/>
    <n v="7.8E-2"/>
    <n v="28"/>
    <n v="13660.278240000001"/>
    <n v="31977.68"/>
    <n v="-18317.401760000001"/>
    <n v="-1.3409244993533893"/>
  </r>
  <r>
    <s v="ORD-2023-594955"/>
    <d v="2023-06-20T00:00:00"/>
    <d v="2023-07-08T00:00:00"/>
    <n v="18"/>
    <x v="23"/>
    <s v="Q2-2023"/>
    <x v="2"/>
    <s v="USA"/>
    <s v="New York"/>
    <s v="Consumer"/>
    <x v="2"/>
    <s v="O. Wang"/>
    <s v="Networking"/>
    <s v="NET-3828"/>
    <n v="1145.53"/>
    <s v="High"/>
    <n v="1278.3"/>
    <n v="0.09"/>
    <n v="41"/>
    <n v="73589.497799999997"/>
    <n v="46966.729999999996"/>
    <n v="26622.767800000001"/>
    <n v="0.36177401118234026"/>
  </r>
  <r>
    <s v="ORD-2024-398783"/>
    <d v="2024-07-18T00:00:00"/>
    <d v="2024-08-07T00:00:00"/>
    <n v="20"/>
    <x v="14"/>
    <s v="Q3-2024"/>
    <x v="3"/>
    <s v="France"/>
    <s v="Marseille"/>
    <s v="Corporate"/>
    <x v="0"/>
    <s v="F. Müller"/>
    <s v="Monitors"/>
    <s v="MON-7622"/>
    <n v="941.35"/>
    <s v="High"/>
    <n v="899.83"/>
    <n v="5.8000000000000003E-2"/>
    <n v="18"/>
    <n v="14867.190359999997"/>
    <n v="16944.3"/>
    <n v="-2077.1096400000024"/>
    <n v="-0.13971097360725546"/>
  </r>
  <r>
    <s v="ORD-2023-676553"/>
    <d v="2023-05-20T00:00:00"/>
    <d v="2023-06-19T00:00:00"/>
    <n v="30"/>
    <x v="15"/>
    <s v="Q2-2023"/>
    <x v="1"/>
    <s v="India"/>
    <s v="Delhi"/>
    <s v="Non-Profit"/>
    <x v="2"/>
    <s v="H. Kim"/>
    <s v="Laptops"/>
    <s v="LAP-2806"/>
    <n v="1161.2"/>
    <s v="High"/>
    <n v="878.73"/>
    <n v="0.19"/>
    <n v="31"/>
    <n v="20697.168600000001"/>
    <n v="35997.200000000004"/>
    <n v="-15300.031400000003"/>
    <n v="-0.73923306591801174"/>
  </r>
  <r>
    <s v="ORD-2025-866565"/>
    <d v="2025-05-12T00:00:00"/>
    <d v="2025-05-26T00:00:00"/>
    <n v="14"/>
    <x v="8"/>
    <s v="Q2-2025"/>
    <x v="1"/>
    <s v="India"/>
    <s v="Hyderabad"/>
    <s v="Corporate"/>
    <x v="2"/>
    <s v="G. Dubois"/>
    <s v="Printers"/>
    <s v="PRN-8850"/>
    <n v="320.12"/>
    <s v="High"/>
    <n v="594.41999999999996"/>
    <n v="0.104"/>
    <n v="18"/>
    <n v="18697.996800000001"/>
    <n v="5762.16"/>
    <n v="12935.836800000001"/>
    <n v="0.69183008952060576"/>
  </r>
  <r>
    <s v="ORD-2024-527858"/>
    <d v="2024-05-07T00:00:00"/>
    <d v="2024-05-12T00:00:00"/>
    <n v="5"/>
    <x v="7"/>
    <s v="Q2-2024"/>
    <x v="0"/>
    <s v="Nigeria"/>
    <s v="Abuja"/>
    <s v="Non-Profit"/>
    <x v="3"/>
    <s v="L. Okafor"/>
    <s v="Laptops"/>
    <s v="LAP-9100"/>
    <n v="1163.99"/>
    <s v="High"/>
    <n v="1617.85"/>
    <n v="0.127"/>
    <n v="14"/>
    <n v="30720.11922"/>
    <n v="16295.86"/>
    <n v="14424.25922"/>
    <n v="0.4695378659406127"/>
  </r>
  <r>
    <s v="ORD-2023-619385"/>
    <d v="2023-09-30T00:00:00"/>
    <d v="2023-10-03T00:00:00"/>
    <n v="3"/>
    <x v="27"/>
    <s v="Q3-2023"/>
    <x v="1"/>
    <s v="China"/>
    <s v="Beijing"/>
    <s v="Non-Profit"/>
    <x v="0"/>
    <s v="J. Njeri"/>
    <s v="Laptops"/>
    <s v="LAP-5763"/>
    <n v="1019.36"/>
    <s v="High"/>
    <n v="972.91"/>
    <n v="0.14699999999999999"/>
    <n v="17"/>
    <n v="44766.472129999995"/>
    <n v="17329.12"/>
    <n v="27437.352129999996"/>
    <n v="0.61289958365097552"/>
  </r>
  <r>
    <s v="ORD-2023-835226"/>
    <d v="2023-10-26T00:00:00"/>
    <d v="2023-11-05T00:00:00"/>
    <n v="10"/>
    <x v="32"/>
    <s v="Q4-2023"/>
    <x v="0"/>
    <s v="South Africa"/>
    <s v="Cape Town"/>
    <s v="Non-Profit"/>
    <x v="1"/>
    <s v="I. Johnson"/>
    <s v="Laptops"/>
    <s v="LAP-7320"/>
    <n v="20.38"/>
    <s v="Low"/>
    <n v="42.56"/>
    <n v="7.1999999999999995E-2"/>
    <n v="11"/>
    <n v="27736.667200000004"/>
    <n v="224.17999999999998"/>
    <n v="27512.487200000003"/>
    <n v="0.99191755814123195"/>
  </r>
  <r>
    <s v="ORD-2025-485946"/>
    <d v="2025-06-15T00:00:00"/>
    <d v="2025-06-30T00:00:00"/>
    <n v="15"/>
    <x v="16"/>
    <s v="Q2-2025"/>
    <x v="0"/>
    <s v="South Africa"/>
    <s v="Johannesburg"/>
    <s v="Small Business"/>
    <x v="4"/>
    <s v="C. Otieno"/>
    <s v="Monitors"/>
    <s v="MON-5891"/>
    <n v="1487.59"/>
    <s v="High"/>
    <n v="1480.83"/>
    <n v="8.9999999999999993E-3"/>
    <n v="11"/>
    <n v="9830.4127899999985"/>
    <n v="16363.49"/>
    <n v="-6533.0772100000013"/>
    <n v="-0.66457811584939586"/>
  </r>
  <r>
    <s v="ORD-2024-307849"/>
    <d v="2024-08-10T00:00:00"/>
    <d v="2024-09-07T00:00:00"/>
    <n v="28"/>
    <x v="21"/>
    <s v="Q3-2024"/>
    <x v="3"/>
    <s v="France"/>
    <s v="Marseille"/>
    <s v="Non-Profit"/>
    <x v="4"/>
    <s v="F. Müller"/>
    <s v="Printers"/>
    <s v="PRN-1183"/>
    <n v="229.96"/>
    <s v="High"/>
    <n v="564.26"/>
    <n v="0.105"/>
    <n v="5"/>
    <n v="3562.7712500000002"/>
    <n v="1149.8"/>
    <n v="2412.9712500000005"/>
    <n v="0.67727369530109471"/>
  </r>
  <r>
    <s v="ORD-2023-368449"/>
    <d v="2023-10-09T00:00:00"/>
    <d v="2023-10-26T00:00:00"/>
    <n v="17"/>
    <x v="32"/>
    <s v="Q4-2023"/>
    <x v="1"/>
    <s v="China"/>
    <s v="Shanghai"/>
    <s v="Consumer"/>
    <x v="2"/>
    <s v="C. Otieno"/>
    <s v="Components"/>
    <s v="CMP-2096"/>
    <n v="1132.03"/>
    <s v="High"/>
    <n v="2137.21"/>
    <n v="0.35699999999999998"/>
    <n v="35"/>
    <n v="3551.7390999999998"/>
    <n v="39621.049999999996"/>
    <n v="-36069.310899999997"/>
    <n v="-10.155394268683755"/>
  </r>
  <r>
    <s v="ORD-2024-251426"/>
    <d v="2024-03-09T00:00:00"/>
    <d v="2024-03-26T00:00:00"/>
    <n v="17"/>
    <x v="0"/>
    <s v="Q1-2024"/>
    <x v="2"/>
    <s v="USA"/>
    <s v="San Francisco"/>
    <s v="Education"/>
    <x v="4"/>
    <s v="I. Johnson"/>
    <s v="Phones"/>
    <s v="PHN-3398"/>
    <n v="1137.4100000000001"/>
    <s v="High"/>
    <n v="1680.93"/>
    <n v="0.254"/>
    <n v="9"/>
    <n v="5499.1688399999994"/>
    <n v="10236.69"/>
    <n v="-4737.5211600000011"/>
    <n v="-0.86149767316473258"/>
  </r>
  <r>
    <s v="ORD-2023-927385"/>
    <d v="2023-05-29T00:00:00"/>
    <d v="2023-06-20T00:00:00"/>
    <n v="22"/>
    <x v="15"/>
    <s v="Q2-2023"/>
    <x v="3"/>
    <s v="United Kingdom"/>
    <s v="London"/>
    <s v="Small Business"/>
    <x v="4"/>
    <s v="K. Singh"/>
    <s v="Components"/>
    <s v="CMP-8545"/>
    <n v="1295.3900000000001"/>
    <s v="High"/>
    <n v="2905.06"/>
    <n v="0.14799999999999999"/>
    <n v="8"/>
    <n v="11663.26656"/>
    <n v="10363.120000000001"/>
    <n v="1300.1465599999992"/>
    <n v="0.11147362133168971"/>
  </r>
  <r>
    <s v="ORD-2025-486350"/>
    <d v="2025-05-27T00:00:00"/>
    <d v="2025-06-08T00:00:00"/>
    <n v="12"/>
    <x v="8"/>
    <s v="Q2-2025"/>
    <x v="1"/>
    <s v="Japan"/>
    <s v="Osaka"/>
    <s v="Corporate"/>
    <x v="0"/>
    <s v="H. Kim"/>
    <s v="Accessories"/>
    <s v="ACC-1249"/>
    <n v="653.6"/>
    <s v="High"/>
    <n v="842.09"/>
    <n v="9.8000000000000004E-2"/>
    <n v="19"/>
    <n v="29072.046299999998"/>
    <n v="12418.4"/>
    <n v="16653.6463"/>
    <n v="0.5728405261930255"/>
  </r>
  <r>
    <s v="ORD-2025-677880"/>
    <d v="2025-08-21T00:00:00"/>
    <d v="2025-09-14T00:00:00"/>
    <n v="24"/>
    <x v="28"/>
    <s v="Q3-2025"/>
    <x v="3"/>
    <s v="Germany"/>
    <s v="Berlin"/>
    <s v="Non-Profit"/>
    <x v="1"/>
    <s v="A. Patel"/>
    <s v="Monitors"/>
    <s v="MON-9662"/>
    <n v="1397.67"/>
    <s v="High"/>
    <n v="3131.37"/>
    <n v="0.10299999999999999"/>
    <n v="20"/>
    <n v="51745.059600000001"/>
    <n v="27953.4"/>
    <n v="23791.659599999999"/>
    <n v="0.45978610873993464"/>
  </r>
  <r>
    <s v="ORD-2024-102866"/>
    <d v="2024-12-12T00:00:00"/>
    <d v="2024-12-20T00:00:00"/>
    <n v="8"/>
    <x v="6"/>
    <s v="Q4-2024"/>
    <x v="1"/>
    <s v="Japan"/>
    <s v="Tokyo"/>
    <s v="Corporate"/>
    <x v="0"/>
    <s v="B. Chen"/>
    <s v="Laptops"/>
    <s v="LAP-8347"/>
    <n v="1202.47"/>
    <s v="High"/>
    <n v="1444.72"/>
    <n v="0.24099999999999999"/>
    <n v="17"/>
    <n v="19144.697220000002"/>
    <n v="20441.990000000002"/>
    <n v="-1297.2927799999998"/>
    <n v="-6.7762512255599913E-2"/>
  </r>
  <r>
    <s v="ORD-2025-588029"/>
    <d v="2025-09-14T00:00:00"/>
    <d v="2025-09-23T00:00:00"/>
    <n v="9"/>
    <x v="11"/>
    <s v="Q3-2025"/>
    <x v="0"/>
    <s v="South Africa"/>
    <s v="Durban"/>
    <s v="Non-Profit"/>
    <x v="1"/>
    <s v="D. Smith"/>
    <s v="Components"/>
    <s v="CMP-6898"/>
    <n v="1310.3"/>
    <s v="High"/>
    <n v="2875.8"/>
    <n v="8.3000000000000004E-2"/>
    <n v="5"/>
    <n v="14660.399949999999"/>
    <n v="6551.5"/>
    <n v="8108.8999499999991"/>
    <n v="0.55311587525959682"/>
  </r>
  <r>
    <s v="ORD-2024-972999"/>
    <d v="2024-09-06T00:00:00"/>
    <d v="2024-10-04T00:00:00"/>
    <n v="28"/>
    <x v="29"/>
    <s v="Q3-2024"/>
    <x v="0"/>
    <s v="South Africa"/>
    <s v="Cape Town"/>
    <s v="Corporate"/>
    <x v="2"/>
    <s v="D. Smith"/>
    <s v="Monitors"/>
    <s v="MON-3504"/>
    <n v="1174.17"/>
    <s v="High"/>
    <n v="1641.61"/>
    <n v="0.122"/>
    <n v="9"/>
    <n v="18353.975399999999"/>
    <n v="10567.53"/>
    <n v="7786.4453999999987"/>
    <n v="0.42423754147561943"/>
  </r>
  <r>
    <s v="ORD-2025-608069"/>
    <d v="2025-04-12T00:00:00"/>
    <d v="2025-04-30T00:00:00"/>
    <n v="18"/>
    <x v="19"/>
    <s v="Q2-2025"/>
    <x v="0"/>
    <s v="Kenya"/>
    <s v="Kisumu"/>
    <s v="Corporate"/>
    <x v="2"/>
    <s v="F. Müller"/>
    <s v="Networking"/>
    <s v="NET-3432"/>
    <n v="1119.04"/>
    <s v="High"/>
    <n v="1299.02"/>
    <n v="2.5000000000000001E-2"/>
    <n v="14"/>
    <n v="26377.532999999999"/>
    <n v="15666.56"/>
    <n v="10710.973"/>
    <n v="0.40606424414292269"/>
  </r>
  <r>
    <s v="ORD-2024-626750"/>
    <d v="2024-08-12T00:00:00"/>
    <d v="2024-08-15T00:00:00"/>
    <n v="3"/>
    <x v="21"/>
    <s v="Q3-2024"/>
    <x v="2"/>
    <s v="USA"/>
    <s v="Chicago"/>
    <s v="Corporate"/>
    <x v="2"/>
    <s v="D. Smith"/>
    <s v="Printers"/>
    <s v="PRN-5591"/>
    <n v="850.7"/>
    <s v="High"/>
    <n v="1118.56"/>
    <n v="0.18"/>
    <n v="19"/>
    <n v="24777.808799999999"/>
    <n v="16163.300000000001"/>
    <n v="8614.5087999999978"/>
    <n v="0.34767032345491333"/>
  </r>
  <r>
    <s v="ORD-2024-170021"/>
    <d v="2024-11-05T00:00:00"/>
    <d v="2024-11-08T00:00:00"/>
    <n v="3"/>
    <x v="18"/>
    <s v="Q4-2024"/>
    <x v="2"/>
    <s v="Canada"/>
    <s v="Toronto"/>
    <s v="Education"/>
    <x v="2"/>
    <s v="O. Wang"/>
    <s v="Components"/>
    <s v="CMP-2015"/>
    <n v="1020.4"/>
    <s v="High"/>
    <n v="1184.71"/>
    <n v="0.106"/>
    <n v="16"/>
    <n v="5658.8054400000001"/>
    <n v="16326.4"/>
    <n v="-10667.59456"/>
    <n v="-1.8851318839475772"/>
  </r>
  <r>
    <s v="ORD-2024-678110"/>
    <d v="2024-07-24T00:00:00"/>
    <d v="2024-08-08T00:00:00"/>
    <n v="15"/>
    <x v="14"/>
    <s v="Q3-2024"/>
    <x v="3"/>
    <s v="France"/>
    <s v="Marseille"/>
    <s v="Enterprise"/>
    <x v="2"/>
    <s v="H. Kim"/>
    <s v="Laptops"/>
    <s v="LAP-9901"/>
    <n v="501.5"/>
    <s v="High"/>
    <n v="1201.47"/>
    <n v="0.126"/>
    <n v="5"/>
    <n v="9079.5053000000007"/>
    <n v="2507.5"/>
    <n v="6572.0053000000007"/>
    <n v="0.72382856585809807"/>
  </r>
  <r>
    <s v="ORD-2025-909340"/>
    <d v="2025-01-20T00:00:00"/>
    <d v="2025-02-03T00:00:00"/>
    <n v="14"/>
    <x v="10"/>
    <s v="Q1-2025"/>
    <x v="2"/>
    <s v="Brazil"/>
    <s v="Brasília"/>
    <s v="Enterprise"/>
    <x v="2"/>
    <s v="F. Müller"/>
    <s v="Components"/>
    <s v="CMP-8658"/>
    <n v="974.11"/>
    <s v="High"/>
    <n v="880.99"/>
    <n v="0.111"/>
    <n v="10"/>
    <n v="11831.2565"/>
    <n v="9741.1"/>
    <n v="2090.1564999999991"/>
    <n v="0.17666394942920891"/>
  </r>
  <r>
    <s v="ORD-2023-854471"/>
    <d v="2023-03-06T00:00:00"/>
    <d v="2023-04-04T00:00:00"/>
    <n v="29"/>
    <x v="22"/>
    <s v="Q1-2023"/>
    <x v="1"/>
    <s v="China"/>
    <s v="Beijing"/>
    <s v="Small Business"/>
    <x v="4"/>
    <s v="C. Otieno"/>
    <s v="Monitors"/>
    <s v="MON-2073"/>
    <n v="1126.29"/>
    <s v="High"/>
    <n v="2050.87"/>
    <n v="6.4000000000000001E-2"/>
    <n v="7"/>
    <n v="18113.986799999999"/>
    <n v="7884.03"/>
    <n v="10229.9568"/>
    <n v="0.56475456855251771"/>
  </r>
  <r>
    <s v="ORD-2024-390951"/>
    <d v="2024-12-20T00:00:00"/>
    <d v="2025-01-14T00:00:00"/>
    <n v="25"/>
    <x v="6"/>
    <s v="Q4-2024"/>
    <x v="1"/>
    <s v="India"/>
    <s v="Delhi"/>
    <s v="Small Business"/>
    <x v="0"/>
    <s v="M. Rossi"/>
    <s v="Printers"/>
    <s v="PRN-9378"/>
    <n v="1361.34"/>
    <s v="High"/>
    <n v="1737.9"/>
    <n v="7.6999999999999999E-2"/>
    <n v="14"/>
    <n v="3596.8387000000007"/>
    <n v="19058.759999999998"/>
    <n v="-15461.921299999998"/>
    <n v="-4.2987530411080135"/>
  </r>
  <r>
    <s v="ORD-2025-881624"/>
    <d v="2025-02-21T00:00:00"/>
    <d v="2025-03-21T00:00:00"/>
    <n v="0"/>
    <x v="26"/>
    <s v="Q1-2025"/>
    <x v="0"/>
    <s v="Nigeria"/>
    <s v="Abuja"/>
    <s v="Enterprise"/>
    <x v="2"/>
    <s v="I. Johnson"/>
    <s v="Phones"/>
    <s v="PHN-5887"/>
    <n v="1437.39"/>
    <s v="High"/>
    <n v="1388.31"/>
    <n v="0.13800000000000001"/>
    <n v="18"/>
    <n v="15273.329759999999"/>
    <n v="25873.02"/>
    <n v="-10599.690240000002"/>
    <n v="-0.69399995983587026"/>
  </r>
  <r>
    <s v="ORD-2025-512310"/>
    <d v="2025-03-08T00:00:00"/>
    <d v="2025-03-15T00:00:00"/>
    <n v="7"/>
    <x v="3"/>
    <s v="Q1-2025"/>
    <x v="1"/>
    <s v="India"/>
    <s v="Bengaluru"/>
    <s v="Corporate"/>
    <x v="3"/>
    <s v="K. Singh"/>
    <s v="Laptops"/>
    <s v="LAP-8119"/>
    <n v="475.66"/>
    <s v="High"/>
    <n v="529.14"/>
    <n v="0.19600000000000001"/>
    <n v="11"/>
    <n v="1687.7889600000003"/>
    <n v="5232.26"/>
    <n v="-3544.4710399999999"/>
    <n v="-2.1000676767076372"/>
  </r>
  <r>
    <s v="ORD-2023-674887"/>
    <d v="2023-12-16T00:00:00"/>
    <d v="2023-12-19T00:00:00"/>
    <n v="3"/>
    <x v="4"/>
    <s v="Q4-2023"/>
    <x v="1"/>
    <s v="China"/>
    <s v="Beijing"/>
    <s v="Education"/>
    <x v="0"/>
    <s v="A. Patel"/>
    <s v="Accessories"/>
    <s v="ACC-9644"/>
    <n v="1415.05"/>
    <s v="High"/>
    <n v="1972.38"/>
    <n v="0"/>
    <n v="12"/>
    <n v="10899.599999999999"/>
    <n v="16980.599999999999"/>
    <n v="-6081"/>
    <n v="-0.5579103820323682"/>
  </r>
  <r>
    <s v="ORD-2024-542244"/>
    <d v="2024-08-30T00:00:00"/>
    <d v="2024-09-05T00:00:00"/>
    <n v="6"/>
    <x v="21"/>
    <s v="Q3-2024"/>
    <x v="1"/>
    <s v="Japan"/>
    <s v="Nagoya"/>
    <s v="Education"/>
    <x v="1"/>
    <s v="N. Brown"/>
    <s v="Laptops"/>
    <s v="LAP-7009"/>
    <n v="466.16"/>
    <s v="High"/>
    <n v="876.81"/>
    <n v="0.24099999999999999"/>
    <n v="8"/>
    <n v="1725.8445600000002"/>
    <n v="3729.28"/>
    <n v="-2003.43544"/>
    <n v="-1.1608435002976165"/>
  </r>
  <r>
    <s v="ORD-2024-375848"/>
    <d v="2024-05-18T00:00:00"/>
    <d v="2024-05-21T00:00:00"/>
    <n v="3"/>
    <x v="7"/>
    <s v="Q2-2024"/>
    <x v="3"/>
    <s v="France"/>
    <s v="Marseille"/>
    <s v="Non-Profit"/>
    <x v="2"/>
    <s v="D. Smith"/>
    <s v="Printers"/>
    <s v="PRN-1725"/>
    <n v="663.66"/>
    <s v="High"/>
    <n v="824.26"/>
    <n v="0.23899999999999999"/>
    <n v="11"/>
    <n v="10290.80514"/>
    <n v="7300.2599999999993"/>
    <n v="2990.5451400000011"/>
    <n v="0.29060361160429093"/>
  </r>
  <r>
    <s v="ORD-2023-933238"/>
    <d v="2023-03-17T00:00:00"/>
    <d v="2023-04-06T00:00:00"/>
    <n v="20"/>
    <x v="22"/>
    <s v="Q1-2023"/>
    <x v="3"/>
    <s v="Germany"/>
    <s v="Munich"/>
    <s v="Consumer"/>
    <x v="0"/>
    <s v="O. Wang"/>
    <s v="Phones"/>
    <s v="PHN-8483"/>
    <n v="692.18"/>
    <s v="High"/>
    <n v="1159.3499999999999"/>
    <n v="0.112"/>
    <n v="2"/>
    <n v="2175.1027199999999"/>
    <n v="1384.36"/>
    <n v="790.74271999999996"/>
    <n v="0.36354270202006828"/>
  </r>
  <r>
    <s v="ORD-2023-732585"/>
    <d v="2023-08-25T00:00:00"/>
    <d v="2023-09-16T00:00:00"/>
    <n v="22"/>
    <x v="25"/>
    <s v="Q3-2023"/>
    <x v="0"/>
    <s v="Nigeria"/>
    <s v="Abuja"/>
    <s v="Corporate"/>
    <x v="2"/>
    <s v="L. Okafor"/>
    <s v="Phones"/>
    <s v="PHN-3971"/>
    <n v="1196.83"/>
    <s v="High"/>
    <n v="2513.5100000000002"/>
    <n v="8.3000000000000004E-2"/>
    <n v="7"/>
    <n v="3118.7353400000002"/>
    <n v="8377.81"/>
    <n v="-5259.0746599999993"/>
    <n v="-1.6862843706385162"/>
  </r>
  <r>
    <s v="ORD-2024-465898"/>
    <d v="2024-06-06T00:00:00"/>
    <d v="2024-06-24T00:00:00"/>
    <n v="18"/>
    <x v="17"/>
    <s v="Q2-2024"/>
    <x v="1"/>
    <s v="India"/>
    <s v="Bengaluru"/>
    <s v="Small Business"/>
    <x v="4"/>
    <s v="H. Kim"/>
    <s v="Networking"/>
    <s v="NET-6578"/>
    <n v="1253.25"/>
    <s v="High"/>
    <n v="3087.13"/>
    <n v="7.1999999999999995E-2"/>
    <n v="11"/>
    <n v="22569.275520000003"/>
    <n v="13785.75"/>
    <n v="8783.5255200000029"/>
    <n v="0.38918065899884063"/>
  </r>
  <r>
    <s v="ORD-2023-987081"/>
    <d v="2023-08-29T00:00:00"/>
    <d v="2023-09-13T00:00:00"/>
    <n v="15"/>
    <x v="25"/>
    <s v="Q3-2023"/>
    <x v="2"/>
    <s v="Canada"/>
    <s v="Vancouver"/>
    <s v="Small Business"/>
    <x v="2"/>
    <s v="O. Wang"/>
    <s v="Printers"/>
    <s v="PRN-9975"/>
    <n v="1287.6400000000001"/>
    <s v="High"/>
    <n v="2717.15"/>
    <n v="3.2000000000000001E-2"/>
    <n v="7"/>
    <n v="3875.12664"/>
    <n v="9013.4800000000014"/>
    <n v="-5138.353360000001"/>
    <n v="-1.3259833387019324"/>
  </r>
  <r>
    <s v="ORD-2024-655710"/>
    <d v="2024-11-30T00:00:00"/>
    <d v="2024-12-10T00:00:00"/>
    <n v="10"/>
    <x v="18"/>
    <s v="Q4-2024"/>
    <x v="1"/>
    <s v="India"/>
    <s v="Hyderabad"/>
    <s v="Small Business"/>
    <x v="0"/>
    <s v="F. Müller"/>
    <s v="Accessories"/>
    <s v="ACC-1075"/>
    <n v="851.49"/>
    <s v="High"/>
    <n v="901.79"/>
    <n v="0.245"/>
    <n v="16"/>
    <n v="41052.309600000001"/>
    <n v="13623.84"/>
    <n v="27428.4696"/>
    <n v="0.66813462792358946"/>
  </r>
  <r>
    <s v="ORD-2025-411385"/>
    <d v="2025-06-05T00:00:00"/>
    <d v="2025-06-14T00:00:00"/>
    <n v="9"/>
    <x v="16"/>
    <s v="Q2-2025"/>
    <x v="1"/>
    <s v="India"/>
    <s v="Delhi"/>
    <s v="Non-Profit"/>
    <x v="0"/>
    <s v="A. Patel"/>
    <s v="Accessories"/>
    <s v="ACC-2902"/>
    <n v="618.69000000000005"/>
    <s v="High"/>
    <n v="796.15"/>
    <n v="0.09"/>
    <n v="11"/>
    <n v="1948.1462000000001"/>
    <n v="6805.59"/>
    <n v="-4857.4438"/>
    <n v="-2.4933671815801093"/>
  </r>
  <r>
    <s v="ORD-2025-222035"/>
    <d v="2025-03-14T00:00:00"/>
    <d v="2025-04-08T00:00:00"/>
    <n v="25"/>
    <x v="3"/>
    <s v="Q1-2025"/>
    <x v="1"/>
    <s v="China"/>
    <s v="Not Provided"/>
    <s v="Corporate"/>
    <x v="3"/>
    <s v="D. Smith"/>
    <s v="Printers"/>
    <s v="PRN-5815"/>
    <n v="80.59"/>
    <s v="Medium"/>
    <n v="157.82"/>
    <n v="0.217"/>
    <n v="6"/>
    <n v="4846.6447200000002"/>
    <n v="483.54"/>
    <n v="4363.1047200000003"/>
    <n v="0.90023201040409662"/>
  </r>
  <r>
    <s v="ORD-2024-749242"/>
    <d v="2024-01-16T00:00:00"/>
    <d v="2024-02-11T00:00:00"/>
    <n v="26"/>
    <x v="9"/>
    <s v="Q1-2024"/>
    <x v="3"/>
    <s v="Germany"/>
    <s v="Frankfurt"/>
    <s v="Non-Profit"/>
    <x v="3"/>
    <s v="E. Garcia"/>
    <s v="Monitors"/>
    <s v="MON-4195"/>
    <n v="504.93"/>
    <s v="High"/>
    <n v="819.06"/>
    <n v="0.22600000000000001"/>
    <n v="15"/>
    <n v="5749.1559000000007"/>
    <n v="7573.95"/>
    <n v="-1824.7940999999992"/>
    <n v="-0.31740209027902672"/>
  </r>
  <r>
    <s v="ORD-2023-623293"/>
    <d v="2023-10-12T00:00:00"/>
    <d v="2023-10-29T00:00:00"/>
    <n v="17"/>
    <x v="32"/>
    <s v="Q4-2023"/>
    <x v="1"/>
    <s v="Japan"/>
    <s v="Nagoya"/>
    <s v="Non-Profit"/>
    <x v="4"/>
    <s v="H. Kim"/>
    <s v="Phones"/>
    <s v="PHN-8478"/>
    <n v="1102.19"/>
    <s v="High"/>
    <n v="1711.16"/>
    <n v="0.151"/>
    <n v="10"/>
    <n v="11198.649599999999"/>
    <n v="11021.900000000001"/>
    <n v="176.74959999999737"/>
    <n v="1.5783117278711657E-2"/>
  </r>
  <r>
    <s v="ORD-2025-276968"/>
    <d v="2025-02-25T00:00:00"/>
    <d v="2025-03-17T00:00:00"/>
    <n v="20"/>
    <x v="26"/>
    <s v="Q1-2025"/>
    <x v="2"/>
    <s v="USA"/>
    <s v="San Francisco"/>
    <s v="Non-Profit"/>
    <x v="2"/>
    <s v="H. Kim"/>
    <s v="Phones"/>
    <s v="PHN-1044"/>
    <n v="1205.26"/>
    <s v="High"/>
    <n v="1696.35"/>
    <n v="1.9E-2"/>
    <n v="6"/>
    <n v="1853.32482"/>
    <n v="7231.5599999999995"/>
    <n v="-5378.2351799999997"/>
    <n v="-2.9019387869634206"/>
  </r>
  <r>
    <s v="ORD-2025-650841"/>
    <d v="2025-07-03T00:00:00"/>
    <d v="2025-07-06T00:00:00"/>
    <n v="3"/>
    <x v="13"/>
    <s v="Q3-2025"/>
    <x v="0"/>
    <s v="Nigeria"/>
    <s v="Lagos"/>
    <s v="Consumer"/>
    <x v="1"/>
    <s v="Not Provided"/>
    <s v="Laptops"/>
    <s v="LAP-8910"/>
    <n v="1313.3"/>
    <s v="High"/>
    <n v="2884.34"/>
    <n v="0.157"/>
    <n v="42"/>
    <n v="78253.279020000002"/>
    <n v="55158.6"/>
    <n v="23094.679020000003"/>
    <n v="0.29512730085211453"/>
  </r>
  <r>
    <s v="ORD-2025-831576"/>
    <d v="2025-09-15T00:00:00"/>
    <d v="2025-09-25T00:00:00"/>
    <n v="10"/>
    <x v="11"/>
    <s v="Q3-2025"/>
    <x v="1"/>
    <s v="India"/>
    <s v="Delhi"/>
    <s v="Consumer"/>
    <x v="0"/>
    <s v="A. Patel"/>
    <s v="Phones"/>
    <s v="PHN-2859"/>
    <n v="1488.91"/>
    <s v="High"/>
    <n v="1483.74"/>
    <n v="0.16800000000000001"/>
    <n v="24"/>
    <n v="20866.559999999998"/>
    <n v="35733.840000000004"/>
    <n v="-14867.280000000006"/>
    <n v="-0.71249309900625724"/>
  </r>
  <r>
    <s v="ORD-2024-468655"/>
    <d v="2024-02-19T00:00:00"/>
    <d v="2024-03-06T00:00:00"/>
    <n v="16"/>
    <x v="31"/>
    <s v="Q1-2024"/>
    <x v="1"/>
    <s v="China"/>
    <s v="Beijing"/>
    <s v="Education"/>
    <x v="2"/>
    <s v="O. Wang"/>
    <s v="Printers"/>
    <s v="PRN-6308"/>
    <n v="1477.84"/>
    <s v="High"/>
    <n v="3197.47"/>
    <n v="0.24299999999999999"/>
    <n v="24"/>
    <n v="38737.627919999999"/>
    <n v="35468.159999999996"/>
    <n v="3269.4679200000028"/>
    <n v="8.4400312965781696E-2"/>
  </r>
  <r>
    <s v="ORD-2024-515105"/>
    <d v="2024-02-27T00:00:00"/>
    <d v="2024-03-26T00:00:00"/>
    <n v="28"/>
    <x v="31"/>
    <s v="Q1-2024"/>
    <x v="1"/>
    <s v="India"/>
    <s v="Mumbai"/>
    <s v="Education"/>
    <x v="2"/>
    <s v="G. Dubois"/>
    <s v="Laptops"/>
    <s v="LAP-8469"/>
    <n v="1035.19"/>
    <s v="High"/>
    <n v="2322.6999999999998"/>
    <n v="0.17299999999999999"/>
    <n v="8"/>
    <n v="13903.854800000001"/>
    <n v="8281.52"/>
    <n v="5622.3348000000005"/>
    <n v="0.40437237592555986"/>
  </r>
  <r>
    <s v="ORD-2025-803803"/>
    <d v="2025-08-28T00:00:00"/>
    <d v="2025-09-05T00:00:00"/>
    <n v="8"/>
    <x v="28"/>
    <s v="Q3-2025"/>
    <x v="0"/>
    <s v="Nigeria"/>
    <s v="Port Harcourt"/>
    <s v="Small Business"/>
    <x v="2"/>
    <s v="E. Garcia"/>
    <s v="Laptops"/>
    <s v="LAP-7553"/>
    <n v="1271.0999999999999"/>
    <s v="High"/>
    <n v="1932.42"/>
    <n v="0.25"/>
    <n v="21"/>
    <n v="33475.68"/>
    <n v="26693.1"/>
    <n v="6782.5800000000017"/>
    <n v="0.20261216501053905"/>
  </r>
  <r>
    <s v="ORD-2024-993481"/>
    <d v="2024-08-18T00:00:00"/>
    <d v="2024-09-12T00:00:00"/>
    <n v="25"/>
    <x v="21"/>
    <s v="Q3-2024"/>
    <x v="1"/>
    <s v="India"/>
    <s v="Mumbai"/>
    <s v="Consumer"/>
    <x v="2"/>
    <s v="C. Otieno"/>
    <s v="Phones"/>
    <s v="PHN-3077"/>
    <n v="1154.03"/>
    <s v="High"/>
    <n v="1590.36"/>
    <n v="0.314"/>
    <n v="18"/>
    <n v="8801.0369999999984"/>
    <n v="20772.54"/>
    <n v="-11971.503000000002"/>
    <n v="-1.360237776525653"/>
  </r>
  <r>
    <s v="ORD-2024-811752"/>
    <d v="2024-02-25T00:00:00"/>
    <d v="2024-03-09T00:00:00"/>
    <n v="13"/>
    <x v="31"/>
    <s v="Q1-2024"/>
    <x v="3"/>
    <s v="France"/>
    <s v="Marseille"/>
    <s v="Small Business"/>
    <x v="3"/>
    <s v="E. Garcia"/>
    <s v="Monitors"/>
    <s v="MON-3350"/>
    <n v="322.44"/>
    <s v="High"/>
    <n v="395.61"/>
    <n v="0"/>
    <n v="34"/>
    <n v="53340.22"/>
    <n v="10962.96"/>
    <n v="42377.26"/>
    <n v="0.79447103892709858"/>
  </r>
  <r>
    <s v="ORD-2025-673091"/>
    <d v="2025-05-07T00:00:00"/>
    <d v="2025-05-13T00:00:00"/>
    <n v="6"/>
    <x v="8"/>
    <s v="Q2-2025"/>
    <x v="1"/>
    <s v="India"/>
    <s v="Bengaluru"/>
    <s v="Enterprise"/>
    <x v="4"/>
    <s v="J. Njeri"/>
    <s v="Phones"/>
    <s v="PHN-5683"/>
    <n v="935.98"/>
    <s v="High"/>
    <n v="2077.69"/>
    <n v="0.17499999999999999"/>
    <n v="24"/>
    <n v="41071.932000000001"/>
    <n v="22463.52"/>
    <n v="18608.412"/>
    <n v="0.4530688256885505"/>
  </r>
  <r>
    <s v="ORD-2024-381197"/>
    <d v="2024-11-01T00:00:00"/>
    <d v="2024-11-12T00:00:00"/>
    <n v="11"/>
    <x v="18"/>
    <s v="Q4-2024"/>
    <x v="3"/>
    <s v="Germany"/>
    <s v="Frankfurt"/>
    <s v="Consumer"/>
    <x v="1"/>
    <s v="B. Chen"/>
    <s v="Printers"/>
    <s v="PRN-2409"/>
    <n v="599.84"/>
    <s v="High"/>
    <n v="1330.85"/>
    <n v="0.115"/>
    <n v="11"/>
    <n v="4820.6746499999999"/>
    <n v="6598.2400000000007"/>
    <n v="-1777.5653500000008"/>
    <n v="-0.36873787987330792"/>
  </r>
  <r>
    <s v="ORD-2024-651852"/>
    <d v="2024-12-28T00:00:00"/>
    <d v="2025-01-08T00:00:00"/>
    <n v="11"/>
    <x v="6"/>
    <s v="Q4-2024"/>
    <x v="1"/>
    <s v="China"/>
    <s v="Shenzhen"/>
    <s v="Enterprise"/>
    <x v="1"/>
    <s v="K. Singh"/>
    <s v="Laptops"/>
    <s v="LAP-8825"/>
    <n v="1201.31"/>
    <s v="High"/>
    <n v="2764.65"/>
    <n v="0"/>
    <n v="21"/>
    <n v="15909.390000000001"/>
    <n v="25227.51"/>
    <n v="-9318.1199999999972"/>
    <n v="-0.58569938885148942"/>
  </r>
  <r>
    <s v="ORD-2023-659070"/>
    <d v="2023-10-21T00:00:00"/>
    <d v="2023-10-21T00:00:00"/>
    <n v="0"/>
    <x v="32"/>
    <s v="Q4-2023"/>
    <x v="3"/>
    <s v="United Kingdom"/>
    <s v="Manchester"/>
    <s v="Enterprise"/>
    <x v="3"/>
    <s v="J. Njeri"/>
    <s v="Monitors"/>
    <s v="MON-8697"/>
    <n v="384.19"/>
    <s v="High"/>
    <n v="278.35000000000002"/>
    <n v="5.6000000000000001E-2"/>
    <n v="10"/>
    <n v="3926.6623999999993"/>
    <n v="3841.9"/>
    <n v="84.762399999999161"/>
    <n v="2.1586373200812775E-2"/>
  </r>
  <r>
    <s v="ORD-2024-837651"/>
    <d v="2024-12-10T00:00:00"/>
    <d v="2024-12-19T00:00:00"/>
    <n v="9"/>
    <x v="6"/>
    <s v="Q4-2024"/>
    <x v="0"/>
    <s v="Nigeria"/>
    <s v="Lagos"/>
    <s v="Corporate"/>
    <x v="0"/>
    <s v="O. Wang"/>
    <s v="Monitors"/>
    <s v="MON-4789"/>
    <n v="488.68"/>
    <s v="High"/>
    <n v="984.36"/>
    <n v="5.8999999999999997E-2"/>
    <n v="14"/>
    <n v="24647.104860000003"/>
    <n v="6841.52"/>
    <n v="17805.584860000003"/>
    <n v="0.72242094806424251"/>
  </r>
  <r>
    <s v="ORD-2024-581530"/>
    <d v="2024-09-07T00:00:00"/>
    <d v="2024-09-18T00:00:00"/>
    <n v="11"/>
    <x v="29"/>
    <s v="Q3-2024"/>
    <x v="1"/>
    <s v="China"/>
    <s v="Beijing"/>
    <s v="Consumer"/>
    <x v="3"/>
    <s v="O. Wang"/>
    <s v="Networking"/>
    <s v="NET-7998"/>
    <n v="181.74"/>
    <s v="Medium"/>
    <n v="190.84"/>
    <n v="0.214"/>
    <n v="13"/>
    <n v="2113.89984"/>
    <n v="2362.62"/>
    <n v="-248.72015999999985"/>
    <n v="-0.11765938730569177"/>
  </r>
  <r>
    <s v="ORD-2023-378104"/>
    <d v="2023-10-18T00:00:00"/>
    <d v="2023-10-20T00:00:00"/>
    <n v="2"/>
    <x v="32"/>
    <s v="Q4-2023"/>
    <x v="0"/>
    <s v="Kenya"/>
    <s v="Kisumu"/>
    <s v="Consumer"/>
    <x v="0"/>
    <s v="J. Njeri"/>
    <s v="Phones"/>
    <s v="PHN-8891"/>
    <n v="774.12"/>
    <s v="High"/>
    <n v="908.3"/>
    <n v="0"/>
    <n v="30"/>
    <n v="1884.6"/>
    <n v="23223.599999999999"/>
    <n v="-21339"/>
    <n v="-11.322827125119389"/>
  </r>
  <r>
    <s v="ORD-2024-972318"/>
    <d v="2024-12-24T00:00:00"/>
    <d v="2025-01-13T00:00:00"/>
    <n v="20"/>
    <x v="6"/>
    <s v="Q4-2024"/>
    <x v="1"/>
    <s v="India"/>
    <s v="Bengaluru"/>
    <s v="Corporate"/>
    <x v="2"/>
    <s v="D. Smith"/>
    <s v="Networking"/>
    <s v="NET-9832"/>
    <n v="126.15"/>
    <s v="High"/>
    <n v="284.23"/>
    <n v="0.113"/>
    <n v="22"/>
    <n v="18664.94586"/>
    <n v="2775.3"/>
    <n v="15889.645860000001"/>
    <n v="0.85130950709331443"/>
  </r>
  <r>
    <s v="ORD-2023-752962"/>
    <d v="2023-04-21T00:00:00"/>
    <d v="2023-04-19T00:00:00"/>
    <n v="2"/>
    <x v="12"/>
    <s v="Q2-2023"/>
    <x v="1"/>
    <s v="Japan"/>
    <s v="Nagoya"/>
    <s v="Small Business"/>
    <x v="4"/>
    <s v="M. Rossi"/>
    <s v="Components"/>
    <s v="CMP-8604"/>
    <n v="607.04"/>
    <s v="High"/>
    <n v="1229.3399999999999"/>
    <n v="0.14699999999999999"/>
    <n v="7"/>
    <n v="989.39469999999983"/>
    <n v="4249.28"/>
    <n v="-3259.8852999999999"/>
    <n v="-3.2948279387387061"/>
  </r>
  <r>
    <s v="ORD-2023-808024"/>
    <d v="2023-12-30T00:00:00"/>
    <d v="2024-01-08T00:00:00"/>
    <n v="9"/>
    <x v="4"/>
    <s v="Q4-2023"/>
    <x v="3"/>
    <s v="France"/>
    <s v="Marseille"/>
    <s v="Consumer"/>
    <x v="2"/>
    <s v="L. Okafor"/>
    <s v="Accessories"/>
    <s v="ACC-6594"/>
    <n v="861.1"/>
    <s v="High"/>
    <n v="1224.72"/>
    <n v="0.17399999999999999"/>
    <n v="24"/>
    <n v="12060.128640000001"/>
    <n v="20666.400000000001"/>
    <n v="-8606.2713600000006"/>
    <n v="-0.71361356225135586"/>
  </r>
  <r>
    <s v="ORD-2023-156396"/>
    <d v="2023-02-21T00:00:00"/>
    <d v="2023-03-12T00:00:00"/>
    <n v="19"/>
    <x v="2"/>
    <s v="Q1-2023"/>
    <x v="0"/>
    <s v="Kenya"/>
    <s v="Nakuru"/>
    <s v="Corporate"/>
    <x v="1"/>
    <s v="F. Müller"/>
    <s v="Networking"/>
    <s v="NET-2499"/>
    <n v="352.65"/>
    <s v="High"/>
    <n v="485.86"/>
    <n v="4.1000000000000002E-2"/>
    <n v="6"/>
    <n v="15339.646139999999"/>
    <n v="2115.8999999999996"/>
    <n v="13223.746139999999"/>
    <n v="0.86206331093371624"/>
  </r>
  <r>
    <s v="ORD-2023-184577"/>
    <d v="2023-05-17T00:00:00"/>
    <d v="2023-06-03T00:00:00"/>
    <n v="17"/>
    <x v="15"/>
    <s v="Q2-2023"/>
    <x v="1"/>
    <s v="China"/>
    <s v="Beijing"/>
    <s v="Non-Profit"/>
    <x v="3"/>
    <s v="M. Rossi"/>
    <s v="Printers"/>
    <s v="PRN-1923"/>
    <n v="979.59"/>
    <s v="High"/>
    <n v="2210.94"/>
    <n v="0.15"/>
    <n v="11"/>
    <n v="5497.3325000000004"/>
    <n v="10775.49"/>
    <n v="-5278.1574999999993"/>
    <n v="-0.96013066337173514"/>
  </r>
  <r>
    <s v="ORD-2024-446030"/>
    <d v="2024-03-23T00:00:00"/>
    <d v="2024-03-26T00:00:00"/>
    <n v="3"/>
    <x v="0"/>
    <s v="Q1-2024"/>
    <x v="1"/>
    <s v="India"/>
    <s v="Bengaluru"/>
    <s v="Education"/>
    <x v="4"/>
    <s v="G. Dubois"/>
    <s v="Phones"/>
    <s v="PHN-4346"/>
    <n v="382.21"/>
    <s v="High"/>
    <n v="571.89"/>
    <n v="0.14799999999999999"/>
    <n v="26"/>
    <n v="48582.215760000006"/>
    <n v="9937.4599999999991"/>
    <n v="38644.755760000007"/>
    <n v="0.79545066348781124"/>
  </r>
  <r>
    <s v="ORD-2023-842820"/>
    <d v="2023-09-20T00:00:00"/>
    <d v="2023-09-28T00:00:00"/>
    <n v="8"/>
    <x v="27"/>
    <s v="Q3-2023"/>
    <x v="1"/>
    <s v="India"/>
    <s v="Not Provided"/>
    <s v="Corporate"/>
    <x v="5"/>
    <s v="B. Chen"/>
    <s v="Accessories"/>
    <s v="ACC-1375"/>
    <n v="1362.06"/>
    <s v="High"/>
    <n v="3398.37"/>
    <n v="0.157"/>
    <n v="11"/>
    <n v="20287.469400000002"/>
    <n v="14982.66"/>
    <n v="5304.8094000000019"/>
    <n v="0.26148206537775487"/>
  </r>
  <r>
    <s v="ORD-2024-745424"/>
    <d v="2024-08-22T00:00:00"/>
    <d v="2024-09-04T00:00:00"/>
    <n v="13"/>
    <x v="21"/>
    <s v="Q3-2024"/>
    <x v="3"/>
    <s v="Germany"/>
    <s v="Frankfurt"/>
    <s v="Non-Profit"/>
    <x v="0"/>
    <s v="L. Okafor"/>
    <s v="Printers"/>
    <s v="PRN-4892"/>
    <n v="90.04"/>
    <s v="Medium"/>
    <n v="194.62"/>
    <n v="4.2999999999999997E-2"/>
    <n v="32"/>
    <n v="30688.61664"/>
    <n v="2881.28"/>
    <n v="27807.336640000001"/>
    <n v="0.90611241836673417"/>
  </r>
  <r>
    <s v="ORD-2024-510520"/>
    <d v="2024-09-25T00:00:00"/>
    <d v="2024-10-03T00:00:00"/>
    <n v="8"/>
    <x v="29"/>
    <s v="Q3-2024"/>
    <x v="2"/>
    <s v="Canada"/>
    <s v="Toronto"/>
    <s v="Consumer"/>
    <x v="1"/>
    <s v="E. Garcia"/>
    <s v="Printers"/>
    <s v="PRN-9557"/>
    <n v="558.19000000000005"/>
    <s v="High"/>
    <n v="1031.6400000000001"/>
    <n v="0"/>
    <n v="21"/>
    <n v="19189.38"/>
    <n v="11721.990000000002"/>
    <n v="7467.3899999999994"/>
    <n v="0.3891418065617544"/>
  </r>
  <r>
    <s v="ORD-2023-769774"/>
    <d v="2023-06-13T00:00:00"/>
    <d v="2023-06-24T00:00:00"/>
    <n v="11"/>
    <x v="23"/>
    <s v="Q2-2023"/>
    <x v="2"/>
    <s v="Canada"/>
    <s v="Toronto"/>
    <s v="Corporate"/>
    <x v="1"/>
    <s v="C. Otieno"/>
    <s v="Printers"/>
    <s v="PRN-8008"/>
    <n v="247.07"/>
    <s v="High"/>
    <n v="495.19"/>
    <n v="2.8000000000000001E-2"/>
    <n v="4"/>
    <n v="7167.5668799999994"/>
    <n v="988.28"/>
    <n v="6179.2868799999997"/>
    <n v="0.86211778466167588"/>
  </r>
  <r>
    <s v="ORD-2023-580751"/>
    <d v="2023-12-24T00:00:00"/>
    <d v="2024-01-13T00:00:00"/>
    <n v="20"/>
    <x v="4"/>
    <s v="Q4-2023"/>
    <x v="1"/>
    <s v="Japan"/>
    <s v="Nagoya"/>
    <s v="Education"/>
    <x v="4"/>
    <s v="B. Chen"/>
    <s v="Laptops"/>
    <s v="LAP-1946"/>
    <n v="625.37"/>
    <s v="High"/>
    <n v="1319.04"/>
    <n v="7.3999999999999996E-2"/>
    <n v="8"/>
    <n v="10249.7088"/>
    <n v="5002.96"/>
    <n v="5246.7488000000003"/>
    <n v="0.51189247444766428"/>
  </r>
  <r>
    <s v="ORD-2025-473192"/>
    <d v="2025-03-30T00:00:00"/>
    <d v="2025-04-29T00:00:00"/>
    <n v="30"/>
    <x v="3"/>
    <s v="Q1-2025"/>
    <x v="0"/>
    <s v="South Africa"/>
    <s v="Durban"/>
    <s v="Consumer"/>
    <x v="2"/>
    <s v="J. Njeri"/>
    <s v="Monitors"/>
    <s v="MON-7106"/>
    <n v="194.6"/>
    <s v="High"/>
    <n v="314.87"/>
    <n v="0.29299999999999998"/>
    <n v="25"/>
    <n v="28077.267750000003"/>
    <n v="4865"/>
    <n v="23212.267750000003"/>
    <n v="0.82672815448718295"/>
  </r>
  <r>
    <s v="ORD-2024-886939"/>
    <d v="2024-06-03T00:00:00"/>
    <d v="2024-06-24T00:00:00"/>
    <n v="21"/>
    <x v="17"/>
    <s v="Q2-2024"/>
    <x v="2"/>
    <s v="Canada"/>
    <s v="Toronto"/>
    <s v="Small Business"/>
    <x v="4"/>
    <s v="G. Dubois"/>
    <s v="Monitors"/>
    <s v="MON-5386"/>
    <n v="1205.5"/>
    <s v="High"/>
    <n v="2210.17"/>
    <n v="0.104"/>
    <n v="23"/>
    <n v="27698.182399999998"/>
    <n v="27726.5"/>
    <n v="-28.31760000000213"/>
    <n v="-1.0223631136172362E-3"/>
  </r>
  <r>
    <s v="ORD-2024-566589"/>
    <d v="2024-06-11T00:00:00"/>
    <d v="2024-07-09T00:00:00"/>
    <n v="28"/>
    <x v="17"/>
    <s v="Q2-2024"/>
    <x v="0"/>
    <s v="Nigeria"/>
    <s v="Port Harcourt"/>
    <s v="Corporate"/>
    <x v="2"/>
    <s v="I. Johnson"/>
    <s v="Phones"/>
    <s v="PHN-2436"/>
    <n v="895.54"/>
    <s v="High"/>
    <n v="1045"/>
    <n v="0.216"/>
    <n v="15"/>
    <n v="15173.8104"/>
    <n v="13433.099999999999"/>
    <n v="1740.7104000000018"/>
    <n v="0.11471808030499721"/>
  </r>
  <r>
    <s v="ORD-2023-109927"/>
    <d v="2023-07-22T00:00:00"/>
    <d v="2023-07-21T00:00:00"/>
    <n v="1"/>
    <x v="24"/>
    <s v="Q3-2023"/>
    <x v="1"/>
    <s v="India"/>
    <s v="Delhi"/>
    <s v="Small Business"/>
    <x v="3"/>
    <s v="E. Garcia"/>
    <s v="Printers"/>
    <s v="PRN-2301"/>
    <n v="946.99"/>
    <s v="High"/>
    <n v="2132.19"/>
    <n v="0.16500000000000001"/>
    <n v="7"/>
    <n v="1295.1351000000002"/>
    <n v="6628.93"/>
    <n v="-5333.7948999999999"/>
    <n v="-4.1183308984522151"/>
  </r>
  <r>
    <s v="ORD-2023-780206"/>
    <d v="2023-01-19T00:00:00"/>
    <d v="2023-02-03T00:00:00"/>
    <n v="15"/>
    <x v="5"/>
    <s v="Q1-2023"/>
    <x v="3"/>
    <s v="United Kingdom"/>
    <s v="London"/>
    <s v="Enterprise"/>
    <x v="3"/>
    <s v="G. Dubois"/>
    <s v="Accessories"/>
    <s v="ACC-3645"/>
    <n v="873.06"/>
    <s v="High"/>
    <n v="2101.5500000000002"/>
    <n v="6.6000000000000003E-2"/>
    <n v="10"/>
    <n v="3365.5755999999997"/>
    <n v="8730.5999999999985"/>
    <n v="-5365.0243999999984"/>
    <n v="-1.5940882148064062"/>
  </r>
  <r>
    <s v="ORD-2024-851993"/>
    <d v="2024-05-01T00:00:00"/>
    <d v="2024-05-16T00:00:00"/>
    <n v="15"/>
    <x v="7"/>
    <s v="Q2-2024"/>
    <x v="1"/>
    <s v="India"/>
    <s v="Bengaluru"/>
    <s v="Small Business"/>
    <x v="0"/>
    <s v="L. Okafor"/>
    <s v="Components"/>
    <s v="CMP-6811"/>
    <n v="901.19"/>
    <s v="High"/>
    <n v="2125.44"/>
    <n v="7.0999999999999994E-2"/>
    <n v="12"/>
    <n v="28380.689880000002"/>
    <n v="10814.28"/>
    <n v="17566.409879999999"/>
    <n v="0.61895640853956568"/>
  </r>
  <r>
    <s v="ORD-2025-417942"/>
    <d v="2025-06-09T00:00:00"/>
    <d v="2025-06-24T00:00:00"/>
    <n v="15"/>
    <x v="16"/>
    <s v="Q2-2025"/>
    <x v="1"/>
    <s v="Japan"/>
    <s v="Nagoya"/>
    <s v="Corporate"/>
    <x v="4"/>
    <s v="B. Chen"/>
    <s v="Phones"/>
    <s v="PHN-5675"/>
    <n v="400.39"/>
    <s v="High"/>
    <n v="712.75"/>
    <n v="0.115"/>
    <n v="19"/>
    <n v="11761.58805"/>
    <n v="7607.41"/>
    <n v="4154.1780500000004"/>
    <n v="0.35319873747831187"/>
  </r>
  <r>
    <s v="ORD-2023-172095"/>
    <d v="2023-05-24T00:00:00"/>
    <d v="2023-06-21T00:00:00"/>
    <n v="28"/>
    <x v="15"/>
    <s v="Q2-2023"/>
    <x v="2"/>
    <s v="USA"/>
    <s v="Austin"/>
    <s v="Small Business"/>
    <x v="2"/>
    <s v="G. Dubois"/>
    <s v="Monitors"/>
    <s v="MON-6882"/>
    <n v="813.97"/>
    <s v="High"/>
    <n v="1568.83"/>
    <n v="1.7000000000000001E-2"/>
    <n v="15"/>
    <n v="40381.984049999999"/>
    <n v="12209.550000000001"/>
    <n v="28172.434049999996"/>
    <n v="0.69764858544636066"/>
  </r>
  <r>
    <s v="ORD-2024-257550"/>
    <d v="2024-12-27T00:00:00"/>
    <d v="2024-12-29T00:00:00"/>
    <n v="2"/>
    <x v="6"/>
    <s v="Q4-2024"/>
    <x v="2"/>
    <s v="Canada"/>
    <s v="Vancouver"/>
    <s v="Enterprise"/>
    <x v="2"/>
    <s v="C. Otieno"/>
    <s v="Accessories"/>
    <s v="ACC-8620"/>
    <n v="1146.72"/>
    <s v="High"/>
    <n v="2074.34"/>
    <n v="0.111"/>
    <n v="8"/>
    <n v="674.07536000000005"/>
    <n v="9173.76"/>
    <n v="-8499.6846399999995"/>
    <n v="-12.60939821327989"/>
  </r>
  <r>
    <s v="ORD-2023-581799"/>
    <d v="2023-12-05T00:00:00"/>
    <d v="2023-12-12T00:00:00"/>
    <n v="7"/>
    <x v="4"/>
    <s v="Q4-2023"/>
    <x v="2"/>
    <s v="Brazil"/>
    <s v="Brasília"/>
    <s v="Corporate"/>
    <x v="4"/>
    <s v="F. Müller"/>
    <s v="Phones"/>
    <s v="PHN-6506"/>
    <n v="307.43"/>
    <s v="High"/>
    <n v="495.19"/>
    <n v="0"/>
    <n v="42"/>
    <n v="116648.7"/>
    <n v="12912.06"/>
    <n v="103736.64"/>
    <n v="0.88930815345563219"/>
  </r>
  <r>
    <s v="ORD-2023-880296"/>
    <d v="2023-05-02T00:00:00"/>
    <d v="2023-05-19T00:00:00"/>
    <n v="17"/>
    <x v="15"/>
    <s v="Q2-2023"/>
    <x v="1"/>
    <s v="China"/>
    <s v="Shanghai"/>
    <s v="Non-Profit"/>
    <x v="4"/>
    <s v="J. Njeri"/>
    <s v="Monitors"/>
    <s v="MON-5086"/>
    <n v="714.28"/>
    <s v="High"/>
    <n v="757.59"/>
    <n v="0.13600000000000001"/>
    <n v="12"/>
    <n v="5102.9222399999999"/>
    <n v="8571.36"/>
    <n v="-3468.4377600000007"/>
    <n v="-0.67969637726637211"/>
  </r>
  <r>
    <s v="ORD-2023-191563"/>
    <d v="2023-11-30T00:00:00"/>
    <d v="2023-12-10T00:00:00"/>
    <n v="10"/>
    <x v="30"/>
    <s v="Q4-2023"/>
    <x v="3"/>
    <s v="Germany"/>
    <s v="Munich"/>
    <s v="Small Business"/>
    <x v="4"/>
    <s v="F. Müller"/>
    <s v="Laptops"/>
    <s v="LAP-4899"/>
    <n v="174.74"/>
    <s v="High"/>
    <n v="415.96"/>
    <n v="0.125"/>
    <n v="21"/>
    <n v="35310.318749999999"/>
    <n v="3669.54"/>
    <n v="31640.778749999998"/>
    <n v="0.89607740371927391"/>
  </r>
  <r>
    <s v="ORD-2024-202166"/>
    <d v="2024-05-05T00:00:00"/>
    <d v="2024-05-18T00:00:00"/>
    <n v="13"/>
    <x v="7"/>
    <s v="Q2-2024"/>
    <x v="3"/>
    <s v="France"/>
    <s v="Marseille"/>
    <s v="Corporate"/>
    <x v="2"/>
    <s v="A. Patel"/>
    <s v="Components"/>
    <s v="CMP-3313"/>
    <n v="1264.04"/>
    <s v="High"/>
    <n v="1870.89"/>
    <n v="0"/>
    <n v="13"/>
    <n v="3774.29"/>
    <n v="16432.52"/>
    <n v="-12658.23"/>
    <n v="-3.3538042916681019"/>
  </r>
  <r>
    <s v="ORD-2023-539967"/>
    <d v="2023-07-09T00:00:00"/>
    <d v="2023-07-19T00:00:00"/>
    <n v="10"/>
    <x v="24"/>
    <s v="Q3-2023"/>
    <x v="1"/>
    <s v="Japan"/>
    <s v="Tokyo"/>
    <s v="Enterprise"/>
    <x v="3"/>
    <s v="N. Brown"/>
    <s v="Components"/>
    <s v="CMP-6649"/>
    <n v="141.26"/>
    <s v="High"/>
    <n v="206.88"/>
    <n v="0.107"/>
    <n v="9"/>
    <n v="4845.6680399999996"/>
    <n v="1271.3399999999999"/>
    <n v="3574.3280399999994"/>
    <n v="0.737633698902742"/>
  </r>
  <r>
    <s v="ORD-2023-704111"/>
    <d v="2023-05-17T00:00:00"/>
    <d v="2023-06-15T00:00:00"/>
    <n v="29"/>
    <x v="15"/>
    <s v="Q2-2023"/>
    <x v="0"/>
    <s v="South Africa"/>
    <s v="Durban"/>
    <s v="Enterprise"/>
    <x v="0"/>
    <s v="K. Singh"/>
    <s v="Accessories"/>
    <s v="ACC-5206"/>
    <n v="40.89"/>
    <s v="Medium"/>
    <n v="62.82"/>
    <n v="0.129"/>
    <n v="17"/>
    <n v="30761.5425"/>
    <n v="695.13"/>
    <n v="30066.412499999999"/>
    <n v="0.97740262862306071"/>
  </r>
  <r>
    <s v="ORD-2024-356812"/>
    <d v="2024-03-07T00:00:00"/>
    <d v="2024-04-03T00:00:00"/>
    <n v="27"/>
    <x v="0"/>
    <s v="Q1-2024"/>
    <x v="3"/>
    <s v="Germany"/>
    <s v="Frankfurt"/>
    <s v="Corporate"/>
    <x v="4"/>
    <s v="M. Rossi"/>
    <s v="Printers"/>
    <s v="PRN-6911"/>
    <n v="738.16"/>
    <s v="High"/>
    <n v="956.49"/>
    <n v="0.152"/>
    <n v="5"/>
    <n v="733.01119999999992"/>
    <n v="3690.7999999999997"/>
    <n v="-2957.7887999999998"/>
    <n v="-4.0351208821911593"/>
  </r>
  <r>
    <s v="ORD-2025-306251"/>
    <d v="2025-04-10T00:00:00"/>
    <d v="2025-04-19T00:00:00"/>
    <n v="9"/>
    <x v="19"/>
    <s v="Q2-2025"/>
    <x v="0"/>
    <s v="South Africa"/>
    <s v="Durban"/>
    <s v="Enterprise"/>
    <x v="5"/>
    <s v="G. Dubois"/>
    <s v="Networking"/>
    <s v="NET-5270"/>
    <n v="113.74"/>
    <s v="Medium"/>
    <n v="165.7"/>
    <n v="0.124"/>
    <n v="13"/>
    <n v="31644.291119999994"/>
    <n v="1478.62"/>
    <n v="30165.671119999995"/>
    <n v="0.95327372022988777"/>
  </r>
  <r>
    <s v="ORD-2025-496178"/>
    <d v="2025-07-27T00:00:00"/>
    <d v="2025-08-15T00:00:00"/>
    <n v="19"/>
    <x v="13"/>
    <s v="Q3-2025"/>
    <x v="1"/>
    <s v="Japan"/>
    <s v="Tokyo"/>
    <s v="Small Business"/>
    <x v="2"/>
    <s v="J. Njeri"/>
    <s v="Components"/>
    <s v="CMP-5658"/>
    <n v="275.43"/>
    <s v="High"/>
    <n v="608.36"/>
    <n v="0.25700000000000001"/>
    <n v="4"/>
    <n v="919.74484000000007"/>
    <n v="1101.72"/>
    <n v="-181.97515999999996"/>
    <n v="-0.19785396132257718"/>
  </r>
  <r>
    <s v="ORD-2024-508213"/>
    <d v="2024-11-22T00:00:00"/>
    <d v="2024-12-15T00:00:00"/>
    <n v="23"/>
    <x v="18"/>
    <s v="Q4-2024"/>
    <x v="0"/>
    <s v="Kenya"/>
    <s v="Mombasa"/>
    <s v="Non-Profit"/>
    <x v="3"/>
    <s v="C. Otieno"/>
    <s v="Components"/>
    <s v="CMP-3938"/>
    <n v="1335.76"/>
    <s v="High"/>
    <n v="2665.91"/>
    <n v="0.21099999999999999"/>
    <n v="40"/>
    <n v="21031.899600000001"/>
    <n v="53430.400000000001"/>
    <n v="-32398.500400000001"/>
    <n v="-1.5404457522229709"/>
  </r>
  <r>
    <s v="ORD-2024-787018"/>
    <d v="2024-06-23T00:00:00"/>
    <d v="2024-06-28T00:00:00"/>
    <n v="5"/>
    <x v="17"/>
    <s v="Q2-2024"/>
    <x v="0"/>
    <s v="Nigeria"/>
    <s v="Port Harcourt"/>
    <s v="Non-Profit"/>
    <x v="4"/>
    <s v="M. Rossi"/>
    <s v="Accessories"/>
    <s v="ACC-7671"/>
    <n v="242.31"/>
    <s v="High"/>
    <n v="587.95000000000005"/>
    <n v="0.22900000000000001"/>
    <n v="6"/>
    <n v="3442.9930199999999"/>
    <n v="1453.8600000000001"/>
    <n v="1989.1330199999998"/>
    <n v="0.57773367777550699"/>
  </r>
  <r>
    <s v="ORD-2023-728177"/>
    <d v="2023-12-18T00:00:00"/>
    <d v="2024-01-14T00:00:00"/>
    <n v="27"/>
    <x v="4"/>
    <s v="Q4-2023"/>
    <x v="1"/>
    <s v="India"/>
    <s v="Mumbai"/>
    <s v="Consumer"/>
    <x v="3"/>
    <s v="D. Smith"/>
    <s v="Networking"/>
    <s v="NET-6014"/>
    <n v="1408.3"/>
    <s v="High"/>
    <n v="2193.13"/>
    <n v="7.0999999999999994E-2"/>
    <n v="7"/>
    <n v="82.523070000000004"/>
    <n v="9858.1"/>
    <n v="-9775.5769300000011"/>
    <n v="-118.45871621111527"/>
  </r>
  <r>
    <s v="ORD-2025-795385"/>
    <d v="2025-06-01T00:00:00"/>
    <d v="2025-06-05T00:00:00"/>
    <n v="4"/>
    <x v="16"/>
    <s v="Q2-2025"/>
    <x v="3"/>
    <s v="Germany"/>
    <s v="Munich"/>
    <s v="Enterprise"/>
    <x v="4"/>
    <s v="M. Rossi"/>
    <s v="Components"/>
    <s v="CMP-4159"/>
    <n v="1171.42"/>
    <s v="High"/>
    <n v="2187.8000000000002"/>
    <n v="0.23"/>
    <n v="15"/>
    <n v="7525.518"/>
    <n v="17571.300000000003"/>
    <n v="-10045.782000000003"/>
    <n v="-1.3348957506978261"/>
  </r>
  <r>
    <s v="ORD-2025-947929"/>
    <d v="2025-03-23T00:00:00"/>
    <d v="2025-04-02T00:00:00"/>
    <n v="10"/>
    <x v="3"/>
    <s v="Q1-2025"/>
    <x v="3"/>
    <s v="Germany"/>
    <s v="Berlin"/>
    <s v="Enterprise"/>
    <x v="1"/>
    <s v="E. Garcia"/>
    <s v="Printers"/>
    <s v="PRN-3159"/>
    <n v="663.61"/>
    <s v="High"/>
    <n v="1002.11"/>
    <n v="4.5999999999999999E-2"/>
    <n v="17"/>
    <n v="12231.93996"/>
    <n v="11281.37"/>
    <n v="950.5699599999989"/>
    <n v="7.7712117874064429E-2"/>
  </r>
  <r>
    <s v="ORD-2023-931633"/>
    <d v="2023-05-14T00:00:00"/>
    <d v="2023-05-22T00:00:00"/>
    <n v="8"/>
    <x v="15"/>
    <s v="Q2-2023"/>
    <x v="0"/>
    <s v="Kenya"/>
    <s v="Mombasa"/>
    <s v="Small Business"/>
    <x v="3"/>
    <s v="F. Müller"/>
    <s v="Printers"/>
    <s v="PRN-9488"/>
    <n v="432.01"/>
    <s v="High"/>
    <n v="913.78"/>
    <n v="4.9000000000000002E-2"/>
    <n v="12"/>
    <n v="34019.286120000004"/>
    <n v="5184.12"/>
    <n v="28835.166120000005"/>
    <n v="0.84761232255981278"/>
  </r>
  <r>
    <s v="ORD-2023-243704"/>
    <d v="2023-08-29T00:00:00"/>
    <d v="2023-09-19T00:00:00"/>
    <n v="21"/>
    <x v="25"/>
    <s v="Q3-2023"/>
    <x v="3"/>
    <s v="France"/>
    <s v="Lyon"/>
    <s v="Small Business"/>
    <x v="4"/>
    <s v="B. Chen"/>
    <s v="Printers"/>
    <s v="PRN-7079"/>
    <n v="784.46"/>
    <s v="High"/>
    <n v="1843.51"/>
    <n v="0.13800000000000001"/>
    <n v="23"/>
    <n v="19353.546419999999"/>
    <n v="18042.580000000002"/>
    <n v="1310.966419999997"/>
    <n v="6.7737787770268371E-2"/>
  </r>
  <r>
    <s v="ORD-2025-779659"/>
    <d v="2025-07-03T00:00:00"/>
    <d v="2025-07-23T00:00:00"/>
    <n v="20"/>
    <x v="13"/>
    <s v="Q3-2025"/>
    <x v="1"/>
    <s v="China"/>
    <s v="Beijing"/>
    <s v="Small Business"/>
    <x v="1"/>
    <s v="M. Rossi"/>
    <s v="Components"/>
    <s v="CMP-1220"/>
    <n v="647.36"/>
    <s v="High"/>
    <n v="1383.6"/>
    <n v="7.3999999999999996E-2"/>
    <n v="12"/>
    <n v="12733.240800000001"/>
    <n v="7768.32"/>
    <n v="4964.9208000000017"/>
    <n v="0.38991807961410746"/>
  </r>
  <r>
    <s v="ORD-2024-647571"/>
    <d v="2024-02-06T00:00:00"/>
    <d v="2024-02-28T00:00:00"/>
    <n v="22"/>
    <x v="31"/>
    <s v="Q1-2024"/>
    <x v="0"/>
    <s v="Kenya"/>
    <s v="Kisumu"/>
    <s v="Non-Profit"/>
    <x v="1"/>
    <s v="K. Singh"/>
    <s v="Monitors"/>
    <s v="MON-2462"/>
    <n v="834.93"/>
    <s v="High"/>
    <n v="1588.53"/>
    <n v="0.126"/>
    <n v="6"/>
    <n v="8549.7651600000008"/>
    <n v="5009.58"/>
    <n v="3540.1851600000009"/>
    <n v="0.4140681169305942"/>
  </r>
  <r>
    <s v="ORD-2025-683043"/>
    <d v="2025-08-13T00:00:00"/>
    <d v="2025-09-03T00:00:00"/>
    <n v="21"/>
    <x v="28"/>
    <s v="Q3-2025"/>
    <x v="3"/>
    <s v="France"/>
    <s v="Paris"/>
    <s v="Education"/>
    <x v="0"/>
    <s v="I. Johnson"/>
    <s v="Phones"/>
    <s v="PHN-9465"/>
    <n v="603.47"/>
    <s v="High"/>
    <n v="1344.05"/>
    <n v="0.20499999999999999"/>
    <n v="18"/>
    <n v="13790.9763"/>
    <n v="10862.460000000001"/>
    <n v="2928.5162999999993"/>
    <n v="0.21235018002315031"/>
  </r>
  <r>
    <s v="ORD-2023-588455"/>
    <d v="2023-05-23T00:00:00"/>
    <d v="2023-05-25T00:00:00"/>
    <n v="2"/>
    <x v="15"/>
    <s v="Q2-2023"/>
    <x v="2"/>
    <s v="Brazil"/>
    <s v="Rio de Janeiro"/>
    <s v="Enterprise"/>
    <x v="0"/>
    <s v="M. Rossi"/>
    <s v="Printers"/>
    <s v="PRN-1271"/>
    <n v="690.49"/>
    <s v="High"/>
    <n v="1290.29"/>
    <n v="4.2000000000000003E-2"/>
    <n v="22"/>
    <n v="18794.101480000001"/>
    <n v="15190.78"/>
    <n v="3603.3214800000005"/>
    <n v="0.19172619046643566"/>
  </r>
  <r>
    <s v="ORD-2024-641220"/>
    <d v="2024-05-10T00:00:00"/>
    <d v="2024-05-16T00:00:00"/>
    <n v="6"/>
    <x v="7"/>
    <s v="Q2-2024"/>
    <x v="3"/>
    <s v="United Kingdom"/>
    <s v="Birmingham"/>
    <s v="Non-Profit"/>
    <x v="4"/>
    <s v="G. Dubois"/>
    <s v="Laptops"/>
    <s v="LAP-1066"/>
    <n v="210.76"/>
    <s v="High"/>
    <n v="221.58"/>
    <n v="8.8999999999999996E-2"/>
    <n v="5"/>
    <n v="7596.9201000000003"/>
    <n v="1053.8"/>
    <n v="6543.1201000000001"/>
    <n v="0.86128589137063583"/>
  </r>
  <r>
    <s v="ORD-2023-799597"/>
    <d v="2023-03-14T00:00:00"/>
    <d v="2023-03-18T00:00:00"/>
    <n v="4"/>
    <x v="22"/>
    <s v="Q1-2023"/>
    <x v="3"/>
    <s v="Germany"/>
    <s v="Frankfurt"/>
    <s v="Enterprise"/>
    <x v="4"/>
    <s v="A. Patel"/>
    <s v="Components"/>
    <s v="CMP-8675"/>
    <n v="472.33"/>
    <s v="High"/>
    <n v="360.34"/>
    <n v="0.16500000000000001"/>
    <n v="14"/>
    <n v="22462.4519"/>
    <n v="6612.62"/>
    <n v="15849.831900000001"/>
    <n v="0.70561450595693875"/>
  </r>
  <r>
    <s v="ORD-2023-569862"/>
    <d v="2023-07-16T00:00:00"/>
    <d v="2023-08-13T00:00:00"/>
    <n v="28"/>
    <x v="24"/>
    <s v="Q3-2023"/>
    <x v="3"/>
    <s v="United Kingdom"/>
    <s v="Manchester"/>
    <s v="Non-Profit"/>
    <x v="1"/>
    <s v="J. Njeri"/>
    <s v="Laptops"/>
    <s v="LAP-1178"/>
    <n v="1039.03"/>
    <s v="High"/>
    <n v="2545.81"/>
    <n v="0.216"/>
    <n v="21"/>
    <n v="20043.767520000001"/>
    <n v="21819.63"/>
    <n v="-1775.8624799999998"/>
    <n v="-8.8599235559283701E-2"/>
  </r>
  <r>
    <s v="ORD-2023-609394"/>
    <d v="2023-04-16T00:00:00"/>
    <d v="2023-04-19T00:00:00"/>
    <n v="3"/>
    <x v="12"/>
    <s v="Q2-2023"/>
    <x v="3"/>
    <s v="Germany"/>
    <s v="Munich"/>
    <s v="Corporate"/>
    <x v="4"/>
    <s v="B. Chen"/>
    <s v="Accessories"/>
    <s v="ACC-1731"/>
    <n v="553.61"/>
    <s v="High"/>
    <n v="699.47"/>
    <n v="0.02"/>
    <n v="33"/>
    <n v="31378.531800000001"/>
    <n v="18269.13"/>
    <n v="13109.4018"/>
    <n v="0.41778251078018885"/>
  </r>
  <r>
    <s v="ORD-2024-105586"/>
    <d v="2024-01-02T00:00:00"/>
    <d v="2024-01-15T00:00:00"/>
    <n v="13"/>
    <x v="9"/>
    <s v="Q1-2024"/>
    <x v="1"/>
    <s v="Japan"/>
    <s v="Nagoya"/>
    <s v="Small Business"/>
    <x v="2"/>
    <s v="G. Dubois"/>
    <s v="Networking"/>
    <s v="NET-1893"/>
    <n v="1219.06"/>
    <s v="High"/>
    <n v="2738.69"/>
    <n v="7.5999999999999998E-2"/>
    <n v="16"/>
    <n v="24019.121280000003"/>
    <n v="19504.96"/>
    <n v="4514.1612800000039"/>
    <n v="0.18794031752355611"/>
  </r>
  <r>
    <s v="ORD-2024-207792"/>
    <d v="2024-09-03T00:00:00"/>
    <d v="2024-09-07T00:00:00"/>
    <n v="4"/>
    <x v="29"/>
    <s v="Q3-2024"/>
    <x v="1"/>
    <s v="Japan"/>
    <s v="Tokyo"/>
    <s v="Small Business"/>
    <x v="3"/>
    <s v="N. Brown"/>
    <s v="Printers"/>
    <s v="PRN-3917"/>
    <n v="43.23"/>
    <s v="Medium"/>
    <n v="94.78"/>
    <n v="9.0999999999999998E-2"/>
    <n v="55"/>
    <n v="130292.46945000002"/>
    <n v="2377.6499999999996"/>
    <n v="127914.81945000002"/>
    <n v="0.98175143958790023"/>
  </r>
  <r>
    <s v="ORD-2025-417336"/>
    <d v="2025-08-30T00:00:00"/>
    <d v="2025-09-03T00:00:00"/>
    <n v="4"/>
    <x v="28"/>
    <s v="Q3-2025"/>
    <x v="3"/>
    <s v="France"/>
    <s v="Marseille"/>
    <s v="Small Business"/>
    <x v="2"/>
    <s v="J. Njeri"/>
    <s v="Laptops"/>
    <s v="LAP-3220"/>
    <n v="1286.56"/>
    <s v="High"/>
    <n v="2777.35"/>
    <n v="0.13200000000000001"/>
    <n v="15"/>
    <n v="5660.0544"/>
    <n v="19298.399999999998"/>
    <n v="-13638.345599999997"/>
    <n v="-2.4095785369130014"/>
  </r>
  <r>
    <s v="ORD-2025-252117"/>
    <d v="2025-04-28T00:00:00"/>
    <d v="2025-05-19T00:00:00"/>
    <n v="21"/>
    <x v="19"/>
    <s v="Q2-2025"/>
    <x v="3"/>
    <s v="Germany"/>
    <s v="Berlin"/>
    <s v="Corporate"/>
    <x v="3"/>
    <s v="B. Chen"/>
    <s v="Phones"/>
    <s v="PHN-2462"/>
    <n v="350.76"/>
    <s v="High"/>
    <n v="492.18"/>
    <n v="5.2999999999999999E-2"/>
    <n v="11"/>
    <n v="19379.89097"/>
    <n v="3858.3599999999997"/>
    <n v="15521.53097"/>
    <n v="0.80090909665215726"/>
  </r>
  <r>
    <s v="ORD-2023-867175"/>
    <d v="2023-08-10T00:00:00"/>
    <d v="2023-08-15T00:00:00"/>
    <n v="5"/>
    <x v="25"/>
    <s v="Q3-2023"/>
    <x v="2"/>
    <s v="Brazil"/>
    <s v="São Paulo"/>
    <s v="Education"/>
    <x v="4"/>
    <s v="G. Dubois"/>
    <s v="Networking"/>
    <s v="NET-2894"/>
    <n v="1307.52"/>
    <s v="High"/>
    <n v="1921.65"/>
    <n v="0.123"/>
    <n v="13"/>
    <n v="9504.8996900000002"/>
    <n v="16997.759999999998"/>
    <n v="-7492.8603099999982"/>
    <n v="-0.78831555875157244"/>
  </r>
  <r>
    <s v="ORD-2024-382152"/>
    <d v="2024-12-08T00:00:00"/>
    <d v="2024-12-08T00:00:00"/>
    <n v="0"/>
    <x v="6"/>
    <s v="Q4-2024"/>
    <x v="3"/>
    <s v="France"/>
    <s v="Lyon"/>
    <s v="Enterprise"/>
    <x v="0"/>
    <s v="H. Kim"/>
    <s v="Components"/>
    <s v="CMP-2335"/>
    <n v="257.44"/>
    <s v="High"/>
    <n v="290.33"/>
    <n v="9.1999999999999998E-2"/>
    <n v="23"/>
    <n v="6964.3963200000007"/>
    <n v="5921.12"/>
    <n v="1043.2763200000009"/>
    <n v="0.14980140015926044"/>
  </r>
  <r>
    <s v="ORD-2023-597666"/>
    <d v="2023-10-25T00:00:00"/>
    <d v="2023-11-24T00:00:00"/>
    <n v="30"/>
    <x v="32"/>
    <s v="Q4-2023"/>
    <x v="3"/>
    <s v="France"/>
    <s v="Paris"/>
    <s v="Enterprise"/>
    <x v="3"/>
    <s v="C. Otieno"/>
    <s v="Phones"/>
    <s v="PHN-5938"/>
    <n v="287.85000000000002"/>
    <s v="High"/>
    <n v="602.91999999999996"/>
    <n v="0.222"/>
    <n v="11"/>
    <n v="15273.462600000001"/>
    <n v="3166.3500000000004"/>
    <n v="12107.1126"/>
    <n v="0.79268944554851628"/>
  </r>
  <r>
    <s v="ORD-2024-371409"/>
    <d v="2024-11-17T00:00:00"/>
    <d v="2024-11-28T00:00:00"/>
    <n v="11"/>
    <x v="18"/>
    <s v="Q4-2024"/>
    <x v="2"/>
    <s v="Canada"/>
    <s v="Not Provided"/>
    <s v="Consumer"/>
    <x v="3"/>
    <s v="A. Patel"/>
    <s v="Printers"/>
    <s v="PRN-1371"/>
    <n v="1008.16"/>
    <s v="High"/>
    <n v="2077.5"/>
    <n v="7.3999999999999996E-2"/>
    <n v="15"/>
    <n v="14894.108099999999"/>
    <n v="15122.4"/>
    <n v="-228.29190000000017"/>
    <n v="-1.5327665038230801E-2"/>
  </r>
  <r>
    <s v="ORD-2024-973420"/>
    <d v="2024-05-12T00:00:00"/>
    <d v="2024-05-24T00:00:00"/>
    <n v="12"/>
    <x v="7"/>
    <s v="Q2-2024"/>
    <x v="3"/>
    <s v="United Kingdom"/>
    <s v="Manchester"/>
    <s v="Education"/>
    <x v="2"/>
    <s v="K. Singh"/>
    <s v="Printers"/>
    <s v="PRN-5813"/>
    <n v="111.02"/>
    <s v="Medium"/>
    <n v="172.88"/>
    <n v="0.19700000000000001"/>
    <n v="29"/>
    <n v="70514.200349999999"/>
    <n v="3219.58"/>
    <n v="67294.620349999997"/>
    <n v="0.95434139529315387"/>
  </r>
  <r>
    <s v="ORD-2025-254721"/>
    <d v="2025-05-15T00:00:00"/>
    <d v="2025-06-05T00:00:00"/>
    <n v="21"/>
    <x v="8"/>
    <s v="Q2-2025"/>
    <x v="1"/>
    <s v="Japan"/>
    <s v="Osaka"/>
    <s v="Enterprise"/>
    <x v="4"/>
    <s v="H. Kim"/>
    <s v="Phones"/>
    <s v="PHN-6480"/>
    <n v="1466.5"/>
    <s v="High"/>
    <n v="2778.74"/>
    <n v="0.13500000000000001"/>
    <n v="4"/>
    <n v="3415.8503999999998"/>
    <n v="5866"/>
    <n v="-2450.1496000000002"/>
    <n v="-0.71728832152602473"/>
  </r>
  <r>
    <s v="ORD-2024-247032"/>
    <d v="2024-04-21T00:00:00"/>
    <d v="2024-05-19T00:00:00"/>
    <n v="28"/>
    <x v="20"/>
    <s v="Q2-2024"/>
    <x v="0"/>
    <s v="Nigeria"/>
    <s v="Lagos"/>
    <s v="Corporate"/>
    <x v="3"/>
    <s v="A. Patel"/>
    <s v="Accessories"/>
    <s v="ACC-2990"/>
    <n v="187.22"/>
    <s v="High"/>
    <n v="309.47000000000003"/>
    <n v="0"/>
    <n v="5"/>
    <n v="4877.1499999999996"/>
    <n v="936.1"/>
    <n v="3941.0499999999997"/>
    <n v="0.8080641358170243"/>
  </r>
  <r>
    <s v="ORD-2024-792353"/>
    <d v="2024-08-19T00:00:00"/>
    <d v="2024-09-07T00:00:00"/>
    <n v="19"/>
    <x v="21"/>
    <s v="Q3-2024"/>
    <x v="3"/>
    <s v="France"/>
    <s v="Lyon"/>
    <s v="Corporate"/>
    <x v="4"/>
    <s v="J. Njeri"/>
    <s v="Components"/>
    <s v="CMP-5435"/>
    <n v="297.58999999999997"/>
    <s v="High"/>
    <n v="666.41"/>
    <n v="0"/>
    <n v="10"/>
    <n v="1414.3000000000002"/>
    <n v="2975.8999999999996"/>
    <n v="-1561.5999999999995"/>
    <n v="-1.1041504631266346"/>
  </r>
  <r>
    <s v="ORD-2025-703623"/>
    <d v="2025-07-23T00:00:00"/>
    <d v="2025-08-19T00:00:00"/>
    <n v="27"/>
    <x v="13"/>
    <s v="Q3-2025"/>
    <x v="1"/>
    <s v="Japan"/>
    <s v="Nagoya"/>
    <s v="Consumer"/>
    <x v="2"/>
    <s v="B. Chen"/>
    <s v="Accessories"/>
    <s v="ACC-1596"/>
    <n v="896.09"/>
    <s v="High"/>
    <n v="744.27"/>
    <n v="8.3000000000000004E-2"/>
    <n v="11"/>
    <n v="16395.611540000002"/>
    <n v="9856.99"/>
    <n v="6538.6215400000019"/>
    <n v="0.3988031507118765"/>
  </r>
  <r>
    <s v="ORD-2024-516704"/>
    <d v="2024-03-01T00:00:00"/>
    <d v="2024-02-29T00:00:00"/>
    <n v="1"/>
    <x v="0"/>
    <s v="Q1-2024"/>
    <x v="2"/>
    <s v="Brazil"/>
    <s v="São Paulo"/>
    <s v="Non-Profit"/>
    <x v="4"/>
    <s v="I. Johnson"/>
    <s v="Phones"/>
    <s v="PHN-7852"/>
    <n v="5.34"/>
    <s v="Low"/>
    <n v="12.69"/>
    <n v="0.13200000000000001"/>
    <n v="10"/>
    <n v="2603.4792000000002"/>
    <n v="53.4"/>
    <n v="2550.0792000000001"/>
    <n v="0.97948898535467455"/>
  </r>
  <r>
    <s v="ORD-2024-578646"/>
    <d v="2024-05-27T00:00:00"/>
    <d v="2024-06-17T00:00:00"/>
    <n v="21"/>
    <x v="7"/>
    <s v="Q2-2024"/>
    <x v="1"/>
    <s v="India"/>
    <s v="Delhi"/>
    <s v="Small Business"/>
    <x v="1"/>
    <s v="H. Kim"/>
    <s v="Accessories"/>
    <s v="ACC-7240"/>
    <n v="465.02"/>
    <s v="High"/>
    <n v="651.55999999999995"/>
    <n v="4.2000000000000003E-2"/>
    <n v="19"/>
    <n v="27375.07992"/>
    <n v="8835.3799999999992"/>
    <n v="18539.699919999999"/>
    <n v="0.67724733495499501"/>
  </r>
  <r>
    <s v="ORD-2024-433936"/>
    <d v="2024-08-04T00:00:00"/>
    <d v="2024-08-17T00:00:00"/>
    <n v="13"/>
    <x v="21"/>
    <s v="Q3-2024"/>
    <x v="2"/>
    <s v="USA"/>
    <s v="Austin"/>
    <s v="Consumer"/>
    <x v="0"/>
    <s v="D. Smith"/>
    <s v="Monitors"/>
    <s v="MON-8867"/>
    <n v="352.79"/>
    <s v="High"/>
    <n v="754.22"/>
    <n v="0.113"/>
    <n v="7"/>
    <n v="19254.791990000002"/>
    <n v="2469.5300000000002"/>
    <n v="16785.261990000003"/>
    <n v="0.87174465445887173"/>
  </r>
  <r>
    <s v="ORD-2023-434071"/>
    <d v="2023-06-20T00:00:00"/>
    <d v="2023-07-04T00:00:00"/>
    <n v="14"/>
    <x v="23"/>
    <s v="Q2-2023"/>
    <x v="2"/>
    <s v="Brazil"/>
    <s v="Brasília"/>
    <s v="Non-Profit"/>
    <x v="4"/>
    <s v="C. Otieno"/>
    <s v="Networking"/>
    <s v="NET-1228"/>
    <n v="1292.8599999999999"/>
    <s v="High"/>
    <n v="2981.01"/>
    <n v="0.14199999999999999"/>
    <n v="12"/>
    <n v="10084.108319999999"/>
    <n v="15514.32"/>
    <n v="-5430.2116800000003"/>
    <n v="-0.5384920022358507"/>
  </r>
  <r>
    <s v="ORD-2024-728474"/>
    <d v="2024-09-09T00:00:00"/>
    <d v="2024-09-13T00:00:00"/>
    <n v="4"/>
    <x v="29"/>
    <s v="Q3-2024"/>
    <x v="3"/>
    <s v="United Kingdom"/>
    <s v="London"/>
    <s v="Consumer"/>
    <x v="2"/>
    <s v="F. Müller"/>
    <s v="Networking"/>
    <s v="NET-1145"/>
    <n v="1133.08"/>
    <s v="High"/>
    <n v="976.17"/>
    <n v="4.2000000000000003E-2"/>
    <n v="27"/>
    <n v="30683.801159999999"/>
    <n v="30593.159999999996"/>
    <n v="90.641160000002856"/>
    <n v="2.9540394792469337E-3"/>
  </r>
  <r>
    <s v="ORD-2023-406606"/>
    <d v="2023-10-25T00:00:00"/>
    <d v="2023-10-28T00:00:00"/>
    <n v="3"/>
    <x v="32"/>
    <s v="Q4-2023"/>
    <x v="2"/>
    <s v="Brazil"/>
    <s v="Brasília"/>
    <s v="Corporate"/>
    <x v="3"/>
    <s v="L. Okafor"/>
    <s v="Accessories"/>
    <s v="ACC-2867"/>
    <n v="509.31"/>
    <s v="High"/>
    <n v="1145.9000000000001"/>
    <n v="5.7000000000000002E-2"/>
    <n v="8"/>
    <n v="14622.761519999998"/>
    <n v="4074.48"/>
    <n v="10548.281519999999"/>
    <n v="0.7213604287789821"/>
  </r>
  <r>
    <s v="ORD-2025-823055"/>
    <d v="2025-09-08T00:00:00"/>
    <d v="2025-10-05T00:00:00"/>
    <n v="27"/>
    <x v="11"/>
    <s v="Q3-2025"/>
    <x v="2"/>
    <s v="Brazil"/>
    <s v="Rio de Janeiro"/>
    <s v="Education"/>
    <x v="1"/>
    <s v="C. Otieno"/>
    <s v="Monitors"/>
    <s v="MON-9274"/>
    <n v="660.78"/>
    <s v="High"/>
    <n v="1630.39"/>
    <n v="0.218"/>
    <n v="13"/>
    <n v="8401.8940200000015"/>
    <n v="8590.14"/>
    <n v="-188.24597999999787"/>
    <n v="-2.2405183825443903E-2"/>
  </r>
  <r>
    <s v="ORD-2023-573656"/>
    <d v="2023-05-02T00:00:00"/>
    <d v="2023-05-16T00:00:00"/>
    <n v="14"/>
    <x v="15"/>
    <s v="Q2-2023"/>
    <x v="1"/>
    <s v="India"/>
    <s v="Bengaluru"/>
    <s v="Non-Profit"/>
    <x v="0"/>
    <s v="L. Okafor"/>
    <s v="Monitors"/>
    <s v="MON-4830"/>
    <n v="475.37"/>
    <s v="High"/>
    <n v="963.73"/>
    <n v="4.1000000000000002E-2"/>
    <n v="22"/>
    <n v="2493.1506600000002"/>
    <n v="10458.14"/>
    <n v="-7964.9893399999992"/>
    <n v="-3.194748503485946"/>
  </r>
  <r>
    <s v="ORD-2024-567435"/>
    <d v="2024-04-26T00:00:00"/>
    <d v="2024-04-24T00:00:00"/>
    <n v="2"/>
    <x v="20"/>
    <s v="Q2-2024"/>
    <x v="3"/>
    <s v="United Kingdom"/>
    <s v="London"/>
    <s v="Non-Profit"/>
    <x v="3"/>
    <s v="N. Brown"/>
    <s v="Phones"/>
    <s v="PHN-9107"/>
    <n v="1232.77"/>
    <s v="High"/>
    <n v="891.73"/>
    <n v="0.16700000000000001"/>
    <n v="10"/>
    <n v="11877.497099999999"/>
    <n v="12327.7"/>
    <n v="-450.20290000000205"/>
    <n v="-3.7903852655960836E-2"/>
  </r>
  <r>
    <s v="ORD-2023-744942"/>
    <d v="2023-02-23T00:00:00"/>
    <d v="2023-03-18T00:00:00"/>
    <n v="23"/>
    <x v="2"/>
    <s v="Q1-2023"/>
    <x v="1"/>
    <s v="China"/>
    <s v="Beijing"/>
    <s v="Education"/>
    <x v="3"/>
    <s v="K. Singh"/>
    <s v="Printers"/>
    <s v="PRN-1060"/>
    <n v="770.11"/>
    <s v="High"/>
    <n v="1667.82"/>
    <n v="6.9000000000000006E-2"/>
    <n v="7"/>
    <n v="10393.181259999999"/>
    <n v="5390.77"/>
    <n v="5002.4112599999989"/>
    <n v="0.48131665703288229"/>
  </r>
  <r>
    <s v="ORD-2025-331237"/>
    <d v="2025-03-24T00:00:00"/>
    <d v="2025-03-25T00:00:00"/>
    <n v="1"/>
    <x v="3"/>
    <s v="Q1-2025"/>
    <x v="1"/>
    <s v="China"/>
    <s v="Beijing"/>
    <s v="Non-Profit"/>
    <x v="1"/>
    <s v="G. Dubois"/>
    <s v="Networking"/>
    <s v="NET-8329"/>
    <n v="1133.03"/>
    <s v="High"/>
    <n v="1921.51"/>
    <n v="0.10100000000000001"/>
    <n v="5"/>
    <n v="15022.784449999999"/>
    <n v="5665.15"/>
    <n v="9357.6344499999996"/>
    <n v="0.62289614026912299"/>
  </r>
  <r>
    <s v="ORD-2025-680118"/>
    <d v="2025-03-10T00:00:00"/>
    <d v="2025-03-27T00:00:00"/>
    <n v="17"/>
    <x v="3"/>
    <s v="Q1-2025"/>
    <x v="2"/>
    <s v="Brazil"/>
    <s v="Rio de Janeiro"/>
    <s v="Enterprise"/>
    <x v="4"/>
    <s v="F. Müller"/>
    <s v="Networking"/>
    <s v="NET-6269"/>
    <n v="996.73"/>
    <s v="High"/>
    <n v="1217.43"/>
    <n v="7.0000000000000007E-2"/>
    <n v="9"/>
    <n v="8953.9748999999993"/>
    <n v="8970.57"/>
    <n v="-16.595100000000457"/>
    <n v="-1.8533779897015859E-3"/>
  </r>
  <r>
    <s v="ORD-2024-310809"/>
    <d v="2024-04-05T00:00:00"/>
    <d v="2024-04-09T00:00:00"/>
    <n v="4"/>
    <x v="20"/>
    <s v="Q2-2024"/>
    <x v="0"/>
    <s v="Nigeria"/>
    <s v="Lagos"/>
    <s v="Non-Profit"/>
    <x v="4"/>
    <s v="K. Singh"/>
    <s v="Components"/>
    <s v="CMP-6529"/>
    <n v="395.07"/>
    <s v="High"/>
    <n v="970.27"/>
    <n v="0.123"/>
    <n v="38"/>
    <n v="4692.9673199999997"/>
    <n v="15012.66"/>
    <n v="-10319.69268"/>
    <n v="-2.1989696446469185"/>
  </r>
  <r>
    <s v="ORD-2025-474368"/>
    <d v="2025-04-27T00:00:00"/>
    <d v="2025-05-17T00:00:00"/>
    <n v="20"/>
    <x v="19"/>
    <s v="Q2-2025"/>
    <x v="2"/>
    <s v="USA"/>
    <s v="Austin"/>
    <s v="Corporate"/>
    <x v="4"/>
    <s v="N. Brown"/>
    <s v="Phones"/>
    <s v="PHN-8776"/>
    <n v="932.26"/>
    <s v="High"/>
    <n v="1624.67"/>
    <n v="0.23499999999999999"/>
    <n v="28"/>
    <n v="1435.9968000000001"/>
    <n v="26103.279999999999"/>
    <n v="-24667.283199999998"/>
    <n v="-17.177812095402995"/>
  </r>
  <r>
    <s v="ORD-2024-732543"/>
    <d v="2024-10-24T00:00:00"/>
    <d v="2024-10-28T00:00:00"/>
    <n v="4"/>
    <x v="1"/>
    <s v="Q4-2024"/>
    <x v="1"/>
    <s v="China"/>
    <s v="Shanghai"/>
    <s v="Small Business"/>
    <x v="3"/>
    <s v="I. Johnson"/>
    <s v="Networking"/>
    <s v="NET-3728"/>
    <n v="1331.77"/>
    <s v="High"/>
    <n v="2606.11"/>
    <n v="0.02"/>
    <n v="6"/>
    <n v="7506.8196000000007"/>
    <n v="7990.62"/>
    <n v="-483.80039999999917"/>
    <n v="-6.444811861470591E-2"/>
  </r>
  <r>
    <s v="ORD-2023-867166"/>
    <d v="2023-04-13T00:00:00"/>
    <d v="2023-04-20T00:00:00"/>
    <n v="7"/>
    <x v="12"/>
    <s v="Q2-2023"/>
    <x v="3"/>
    <s v="France"/>
    <s v="Lyon"/>
    <s v="Small Business"/>
    <x v="1"/>
    <s v="A. Patel"/>
    <s v="Laptops"/>
    <s v="LAP-3565"/>
    <n v="227.02"/>
    <s v="High"/>
    <n v="434.72"/>
    <n v="9.8000000000000004E-2"/>
    <n v="10"/>
    <n v="25448.667200000004"/>
    <n v="2270.2000000000003"/>
    <n v="23178.467200000003"/>
    <n v="0.91079297072186161"/>
  </r>
  <r>
    <s v="ORD-2024-776337"/>
    <d v="2024-11-12T00:00:00"/>
    <d v="2024-11-21T00:00:00"/>
    <n v="9"/>
    <x v="18"/>
    <s v="Q4-2024"/>
    <x v="1"/>
    <s v="India"/>
    <s v="Mumbai"/>
    <s v="Corporate"/>
    <x v="4"/>
    <s v="H. Kim"/>
    <s v="Laptops"/>
    <s v="LAP-5078"/>
    <n v="903.41"/>
    <s v="High"/>
    <n v="1860.41"/>
    <n v="0.108"/>
    <n v="5"/>
    <n v="6953.9874000000009"/>
    <n v="4517.05"/>
    <n v="2436.9374000000007"/>
    <n v="0.35043741954436103"/>
  </r>
  <r>
    <s v="ORD-2023-913592"/>
    <d v="2023-05-10T00:00:00"/>
    <d v="2023-05-14T00:00:00"/>
    <n v="4"/>
    <x v="15"/>
    <s v="Q2-2023"/>
    <x v="1"/>
    <s v="India"/>
    <s v="Delhi"/>
    <s v="Non-Profit"/>
    <x v="3"/>
    <s v="C. Otieno"/>
    <s v="Monitors"/>
    <s v="MON-2465"/>
    <n v="622.6"/>
    <s v="High"/>
    <n v="833.69"/>
    <n v="0.20899999999999999"/>
    <n v="14"/>
    <n v="7271.8528400000005"/>
    <n v="8716.4"/>
    <n v="-1444.5471599999992"/>
    <n v="-0.19864911897749557"/>
  </r>
  <r>
    <s v="ORD-2024-961501"/>
    <d v="2024-03-02T00:00:00"/>
    <d v="2024-03-23T00:00:00"/>
    <n v="21"/>
    <x v="0"/>
    <s v="Q1-2024"/>
    <x v="2"/>
    <s v="USA"/>
    <s v="Chicago"/>
    <s v="Small Business"/>
    <x v="1"/>
    <s v="F. Müller"/>
    <s v="Components"/>
    <s v="CMP-3223"/>
    <n v="225.01"/>
    <s v="High"/>
    <n v="333.48"/>
    <n v="0.11899999999999999"/>
    <n v="12"/>
    <n v="28098.68448"/>
    <n v="2700.12"/>
    <n v="25398.564480000001"/>
    <n v="0.90390582157246957"/>
  </r>
  <r>
    <s v="ORD-2024-964950"/>
    <d v="2024-10-10T00:00:00"/>
    <d v="2024-10-11T00:00:00"/>
    <n v="1"/>
    <x v="1"/>
    <s v="Q4-2024"/>
    <x v="3"/>
    <s v="United Kingdom"/>
    <s v="Manchester"/>
    <s v="Non-Profit"/>
    <x v="3"/>
    <s v="L. Okafor"/>
    <s v="Components"/>
    <s v="CMP-8127"/>
    <n v="1389.46"/>
    <s v="High"/>
    <n v="1784.7"/>
    <n v="0.14599999999999999"/>
    <n v="33"/>
    <n v="40152.022679999995"/>
    <n v="45852.18"/>
    <n v="-5700.1573200000057"/>
    <n v="-0.14196438783242904"/>
  </r>
  <r>
    <s v="ORD-2023-349264"/>
    <d v="2023-06-01T00:00:00"/>
    <d v="2023-06-08T00:00:00"/>
    <n v="7"/>
    <x v="23"/>
    <s v="Q2-2023"/>
    <x v="3"/>
    <s v="Germany"/>
    <s v="Frankfurt"/>
    <s v="Consumer"/>
    <x v="1"/>
    <s v="A. Patel"/>
    <s v="Phones"/>
    <s v="PHN-1924"/>
    <n v="804.17"/>
    <s v="High"/>
    <n v="1072.29"/>
    <n v="3.2000000000000001E-2"/>
    <n v="5"/>
    <n v="11222.701599999999"/>
    <n v="4020.85"/>
    <n v="7201.8515999999981"/>
    <n v="0.64172174015568584"/>
  </r>
  <r>
    <s v="ORD-2025-137394"/>
    <d v="2025-01-04T00:00:00"/>
    <d v="2025-01-05T00:00:00"/>
    <n v="1"/>
    <x v="10"/>
    <s v="Q1-2025"/>
    <x v="1"/>
    <s v="India"/>
    <s v="Delhi"/>
    <s v="Education"/>
    <x v="0"/>
    <s v="I. Johnson"/>
    <s v="Components"/>
    <s v="CMP-1156"/>
    <n v="1428.33"/>
    <s v="High"/>
    <n v="3028.05"/>
    <n v="0"/>
    <n v="11"/>
    <n v="4033.7"/>
    <n v="15711.63"/>
    <n v="-11677.93"/>
    <n v="-2.8950913553313335"/>
  </r>
  <r>
    <s v="ORD-2025-635337"/>
    <d v="2025-08-05T00:00:00"/>
    <d v="2025-08-28T00:00:00"/>
    <n v="23"/>
    <x v="28"/>
    <s v="Q3-2025"/>
    <x v="1"/>
    <s v="India"/>
    <s v="Mumbai"/>
    <s v="Non-Profit"/>
    <x v="3"/>
    <s v="N. Brown"/>
    <s v="Laptops"/>
    <s v="LAP-3905"/>
    <n v="638.54"/>
    <s v="High"/>
    <n v="987.24"/>
    <n v="0"/>
    <n v="11"/>
    <n v="30771.51"/>
    <n v="7023.94"/>
    <n v="23747.57"/>
    <n v="0.77173885844406076"/>
  </r>
  <r>
    <s v="ORD-2023-568013"/>
    <d v="2023-09-30T00:00:00"/>
    <d v="2023-10-30T00:00:00"/>
    <n v="0"/>
    <x v="27"/>
    <s v="Q3-2023"/>
    <x v="1"/>
    <s v="Japan"/>
    <s v="Tokyo"/>
    <s v="Enterprise"/>
    <x v="1"/>
    <s v="D. Smith"/>
    <s v="Printers"/>
    <s v="PRN-1786"/>
    <n v="649.13"/>
    <s v="High"/>
    <n v="975.43"/>
    <n v="0.157"/>
    <n v="27"/>
    <n v="50294.07125999999"/>
    <n v="17526.509999999998"/>
    <n v="32767.561259999991"/>
    <n v="0.65151936280133227"/>
  </r>
  <r>
    <s v="ORD-2025-828263"/>
    <d v="2025-05-17T00:00:00"/>
    <d v="2025-05-30T00:00:00"/>
    <n v="13"/>
    <x v="8"/>
    <s v="Q2-2025"/>
    <x v="0"/>
    <s v="Nigeria"/>
    <s v="Lagos"/>
    <s v="Consumer"/>
    <x v="3"/>
    <s v="F. Müller"/>
    <s v="Accessories"/>
    <s v="ACC-3349"/>
    <n v="66.400000000000006"/>
    <s v="Medium"/>
    <n v="141.43"/>
    <n v="0.107"/>
    <n v="8"/>
    <n v="5994.1017599999996"/>
    <n v="531.20000000000005"/>
    <n v="5462.9017599999997"/>
    <n v="0.91137954921873066"/>
  </r>
  <r>
    <s v="ORD-2024-402240"/>
    <d v="2024-05-01T00:00:00"/>
    <d v="2024-05-26T00:00:00"/>
    <n v="25"/>
    <x v="7"/>
    <s v="Q2-2024"/>
    <x v="3"/>
    <s v="Germany"/>
    <s v="Berlin"/>
    <s v="Non-Profit"/>
    <x v="0"/>
    <s v="B. Chen"/>
    <s v="Networking"/>
    <s v="NET-4228"/>
    <n v="930.71"/>
    <s v="High"/>
    <n v="1625.42"/>
    <n v="0.13800000000000001"/>
    <n v="7"/>
    <n v="6873.6311000000005"/>
    <n v="6514.97"/>
    <n v="358.66110000000026"/>
    <n v="5.2179276830844216E-2"/>
  </r>
  <r>
    <s v="ORD-2023-125739"/>
    <d v="2023-05-01T00:00:00"/>
    <d v="2023-05-18T00:00:00"/>
    <n v="17"/>
    <x v="15"/>
    <s v="Q2-2023"/>
    <x v="0"/>
    <s v="Nigeria"/>
    <s v="Port Harcourt"/>
    <s v="Corporate"/>
    <x v="4"/>
    <s v="F. Müller"/>
    <s v="Components"/>
    <s v="CMP-5633"/>
    <n v="327.97"/>
    <s v="High"/>
    <n v="299.94"/>
    <n v="4.9000000000000002E-2"/>
    <n v="3"/>
    <n v="4884.4215899999999"/>
    <n v="983.91000000000008"/>
    <n v="3900.5115900000001"/>
    <n v="0.79856161433435968"/>
  </r>
  <r>
    <s v="ORD-2024-892879"/>
    <d v="2024-07-09T00:00:00"/>
    <d v="2024-08-08T00:00:00"/>
    <n v="30"/>
    <x v="14"/>
    <s v="Q3-2024"/>
    <x v="3"/>
    <s v="France"/>
    <s v="Marseille"/>
    <s v="Corporate"/>
    <x v="4"/>
    <s v="J. Njeri"/>
    <s v="Components"/>
    <s v="CMP-5825"/>
    <n v="1062.3800000000001"/>
    <s v="High"/>
    <n v="1503.96"/>
    <n v="0.18"/>
    <n v="6"/>
    <n v="5187.1068000000005"/>
    <n v="6374.2800000000007"/>
    <n v="-1187.1732000000002"/>
    <n v="-0.22887001285572142"/>
  </r>
  <r>
    <s v="ORD-2023-472050"/>
    <d v="2023-05-10T00:00:00"/>
    <d v="2023-05-27T00:00:00"/>
    <n v="17"/>
    <x v="15"/>
    <s v="Q2-2023"/>
    <x v="1"/>
    <s v="India"/>
    <s v="Mumbai"/>
    <s v="Consumer"/>
    <x v="0"/>
    <s v="M. Rossi"/>
    <s v="Laptops"/>
    <s v="LAP-6499"/>
    <n v="1286.1600000000001"/>
    <s v="High"/>
    <n v="3101.11"/>
    <n v="0.1"/>
    <n v="23"/>
    <n v="50740.254000000001"/>
    <n v="29581.68"/>
    <n v="21158.574000000001"/>
    <n v="0.41699779429562966"/>
  </r>
  <r>
    <s v="ORD-2024-468615"/>
    <d v="2024-07-09T00:00:00"/>
    <d v="2024-07-12T00:00:00"/>
    <n v="3"/>
    <x v="14"/>
    <s v="Q3-2024"/>
    <x v="1"/>
    <s v="China"/>
    <s v="Shanghai"/>
    <s v="Small Business"/>
    <x v="0"/>
    <s v="D. Smith"/>
    <s v="Accessories"/>
    <s v="ACC-3721"/>
    <n v="748.39"/>
    <s v="High"/>
    <n v="979.42"/>
    <n v="0"/>
    <n v="23"/>
    <n v="28777.83"/>
    <n v="17212.97"/>
    <n v="11564.86"/>
    <n v="0.401866992751017"/>
  </r>
  <r>
    <s v="ORD-2024-833375"/>
    <d v="2024-04-24T00:00:00"/>
    <d v="2024-05-10T00:00:00"/>
    <n v="16"/>
    <x v="20"/>
    <s v="Q2-2024"/>
    <x v="0"/>
    <s v="Kenya"/>
    <s v="Kisumu"/>
    <s v="Non-Profit"/>
    <x v="1"/>
    <s v="N. Brown"/>
    <s v="Monitors"/>
    <s v="MON-6190"/>
    <n v="513.30999999999995"/>
    <s v="High"/>
    <n v="1186.26"/>
    <n v="9.4E-2"/>
    <n v="15"/>
    <n v="15014.232"/>
    <n v="7699.65"/>
    <n v="7314.5820000000003"/>
    <n v="0.48717656687335059"/>
  </r>
  <r>
    <s v="ORD-2024-206311"/>
    <d v="2024-01-13T00:00:00"/>
    <d v="2024-01-15T00:00:00"/>
    <n v="2"/>
    <x v="9"/>
    <s v="Q1-2024"/>
    <x v="2"/>
    <s v="USA"/>
    <s v="San Francisco"/>
    <s v="Non-Profit"/>
    <x v="4"/>
    <s v="E. Garcia"/>
    <s v="Components"/>
    <s v="CMP-2410"/>
    <n v="1061.3699999999999"/>
    <s v="High"/>
    <n v="1938.33"/>
    <n v="0.17"/>
    <n v="4"/>
    <n v="7912.9211999999989"/>
    <n v="4245.4799999999996"/>
    <n v="3667.4411999999993"/>
    <n v="0.46347500591816837"/>
  </r>
  <r>
    <s v="ORD-2024-364080"/>
    <d v="2024-04-16T00:00:00"/>
    <d v="2024-04-27T00:00:00"/>
    <n v="11"/>
    <x v="20"/>
    <s v="Q2-2024"/>
    <x v="0"/>
    <s v="Kenya"/>
    <s v="Nakuru"/>
    <s v="Enterprise"/>
    <x v="1"/>
    <s v="D. Smith"/>
    <s v="Printers"/>
    <s v="PRN-2641"/>
    <n v="401.3"/>
    <s v="High"/>
    <n v="826.47"/>
    <n v="0.22500000000000001"/>
    <n v="13"/>
    <n v="2146.5795000000003"/>
    <n v="5216.9000000000005"/>
    <n v="-3070.3205000000003"/>
    <n v="-1.4303316043034977"/>
  </r>
  <r>
    <s v="ORD-2025-460466"/>
    <d v="2025-02-07T00:00:00"/>
    <d v="2025-02-16T00:00:00"/>
    <n v="9"/>
    <x v="26"/>
    <s v="Q1-2025"/>
    <x v="0"/>
    <s v="Nigeria"/>
    <s v="Lagos"/>
    <s v="Small Business"/>
    <x v="3"/>
    <s v="C. Otieno"/>
    <s v="Printers"/>
    <s v="PRN-1882"/>
    <n v="90.68"/>
    <s v="Medium"/>
    <n v="118.17"/>
    <n v="0.13500000000000001"/>
    <n v="21"/>
    <n v="36886.575600000004"/>
    <n v="1904.2800000000002"/>
    <n v="34982.295600000005"/>
    <n v="0.94837471440422894"/>
  </r>
  <r>
    <s v="ORD-2023-700699"/>
    <d v="2023-01-12T00:00:00"/>
    <d v="2023-01-26T00:00:00"/>
    <n v="14"/>
    <x v="5"/>
    <s v="Q1-2023"/>
    <x v="1"/>
    <s v="China"/>
    <s v="Shenzhen"/>
    <s v="Non-Profit"/>
    <x v="0"/>
    <s v="M. Rossi"/>
    <s v="Printers"/>
    <s v="PRN-1641"/>
    <n v="1083.0899999999999"/>
    <s v="High"/>
    <n v="1425.87"/>
    <n v="0"/>
    <n v="8"/>
    <n v="7653.6"/>
    <n v="8664.7199999999993"/>
    <n v="-1011.119999999999"/>
    <n v="-0.13211037942928805"/>
  </r>
  <r>
    <s v="ORD-2024-713332"/>
    <d v="2024-06-05T00:00:00"/>
    <d v="2024-06-23T00:00:00"/>
    <n v="18"/>
    <x v="17"/>
    <s v="Q2-2024"/>
    <x v="0"/>
    <s v="Kenya"/>
    <s v="Nairobi"/>
    <s v="Consumer"/>
    <x v="3"/>
    <s v="D. Smith"/>
    <s v="Laptops"/>
    <s v="LAP-1739"/>
    <n v="1208.74"/>
    <s v="High"/>
    <n v="1594.78"/>
    <n v="5.8999999999999997E-2"/>
    <n v="39"/>
    <n v="53128.40832000001"/>
    <n v="47140.86"/>
    <n v="5987.548320000009"/>
    <n v="0.11269956148387032"/>
  </r>
  <r>
    <s v="ORD-2023-640022"/>
    <d v="2023-08-24T00:00:00"/>
    <d v="2023-09-20T00:00:00"/>
    <n v="27"/>
    <x v="25"/>
    <s v="Q3-2023"/>
    <x v="0"/>
    <s v="South Africa"/>
    <s v="Durban"/>
    <s v="Small Business"/>
    <x v="2"/>
    <s v="M. Rossi"/>
    <s v="Printers"/>
    <s v="PRN-4732"/>
    <n v="1399.64"/>
    <s v="High"/>
    <n v="3342.11"/>
    <n v="0"/>
    <n v="10"/>
    <n v="29496.199999999997"/>
    <n v="13996.400000000001"/>
    <n v="15499.799999999996"/>
    <n v="0.52548463869922213"/>
  </r>
  <r>
    <s v="ORD-2024-532184"/>
    <d v="2024-01-25T00:00:00"/>
    <d v="2024-02-08T00:00:00"/>
    <n v="14"/>
    <x v="9"/>
    <s v="Q1-2024"/>
    <x v="1"/>
    <s v="Japan"/>
    <s v="Osaka"/>
    <s v="Consumer"/>
    <x v="2"/>
    <s v="I. Johnson"/>
    <s v="Networking"/>
    <s v="NET-9569"/>
    <n v="937.16"/>
    <s v="High"/>
    <n v="1069.77"/>
    <n v="3.7999999999999999E-2"/>
    <n v="9"/>
    <n v="22342.575059999999"/>
    <n v="8434.44"/>
    <n v="13908.135059999999"/>
    <n v="0.62249472241450754"/>
  </r>
  <r>
    <s v="ORD-2025-926547"/>
    <d v="2025-03-11T00:00:00"/>
    <d v="2025-03-26T00:00:00"/>
    <n v="15"/>
    <x v="3"/>
    <s v="Q1-2025"/>
    <x v="3"/>
    <s v="Germany"/>
    <s v="Berlin"/>
    <s v="Small Business"/>
    <x v="1"/>
    <s v="I. Johnson"/>
    <s v="Phones"/>
    <s v="PHN-3007"/>
    <n v="116.97"/>
    <s v="Medium"/>
    <n v="140.82"/>
    <n v="0.122"/>
    <n v="5"/>
    <n v="8687.4149000000016"/>
    <n v="584.85"/>
    <n v="8102.5649000000012"/>
    <n v="0.93267847723032082"/>
  </r>
  <r>
    <s v="ORD-2025-778145"/>
    <d v="2025-04-22T00:00:00"/>
    <d v="2025-05-12T00:00:00"/>
    <n v="20"/>
    <x v="19"/>
    <s v="Q2-2025"/>
    <x v="3"/>
    <s v="France"/>
    <s v="Lyon"/>
    <s v="Enterprise"/>
    <x v="2"/>
    <s v="K. Singh"/>
    <s v="Monitors"/>
    <s v="MON-9216"/>
    <n v="59.51"/>
    <s v="Medium"/>
    <n v="67.040000000000006"/>
    <n v="0.114"/>
    <n v="9"/>
    <n v="11813.082300000002"/>
    <n v="535.59"/>
    <n v="11277.492300000002"/>
    <n v="0.95466128260191674"/>
  </r>
  <r>
    <s v="ORD-2023-525643"/>
    <d v="2023-08-17T00:00:00"/>
    <d v="2023-09-03T00:00:00"/>
    <n v="17"/>
    <x v="25"/>
    <s v="Q3-2023"/>
    <x v="0"/>
    <s v="South Africa"/>
    <s v="Durban"/>
    <s v="Enterprise"/>
    <x v="0"/>
    <s v="A. Patel"/>
    <s v="Phones"/>
    <s v="PHN-8072"/>
    <n v="676.37"/>
    <s v="High"/>
    <n v="1276.67"/>
    <n v="6.6000000000000003E-2"/>
    <n v="10"/>
    <n v="15494.3128"/>
    <n v="6763.7"/>
    <n v="8730.612799999999"/>
    <n v="0.56347208893317291"/>
  </r>
  <r>
    <s v="ORD-2025-312803"/>
    <d v="2025-06-24T00:00:00"/>
    <d v="2025-07-14T00:00:00"/>
    <n v="20"/>
    <x v="16"/>
    <s v="Q2-2025"/>
    <x v="0"/>
    <s v="South Africa"/>
    <s v="Johannesburg"/>
    <s v="Enterprise"/>
    <x v="2"/>
    <s v="J. Njeri"/>
    <s v="Laptops"/>
    <s v="LAP-1308"/>
    <n v="1151.06"/>
    <s v="High"/>
    <n v="2821.36"/>
    <n v="0.248"/>
    <n v="20"/>
    <n v="9059.1936000000005"/>
    <n v="23021.199999999997"/>
    <n v="-13962.006399999997"/>
    <n v="-1.5411974858336173"/>
  </r>
  <r>
    <s v="ORD-2025-149156"/>
    <d v="2025-01-10T00:00:00"/>
    <d v="2025-02-06T00:00:00"/>
    <n v="27"/>
    <x v="10"/>
    <s v="Q1-2025"/>
    <x v="2"/>
    <s v="Brazil"/>
    <s v="Brasília"/>
    <s v="Non-Profit"/>
    <x v="0"/>
    <s v="B. Chen"/>
    <s v="Laptops"/>
    <s v="LAP-7353"/>
    <n v="725.62"/>
    <s v="High"/>
    <n v="1559.19"/>
    <n v="0.19"/>
    <n v="12"/>
    <n v="5128.6608000000006"/>
    <n v="8707.44"/>
    <n v="-3578.7791999999999"/>
    <n v="-0.69779994028850567"/>
  </r>
  <r>
    <s v="ORD-2023-215819"/>
    <d v="2023-07-01T00:00:00"/>
    <d v="2023-07-11T00:00:00"/>
    <n v="10"/>
    <x v="24"/>
    <s v="Q3-2023"/>
    <x v="3"/>
    <s v="France"/>
    <s v="Paris"/>
    <s v="Corporate"/>
    <x v="4"/>
    <s v="F. Müller"/>
    <s v="Networking"/>
    <s v="NET-6533"/>
    <n v="479.5"/>
    <s v="High"/>
    <n v="656.66"/>
    <n v="0.14899999999999999"/>
    <n v="14"/>
    <n v="21944.3966"/>
    <n v="6713"/>
    <n v="15231.3966"/>
    <n v="0.69409047228029042"/>
  </r>
  <r>
    <s v="ORD-2024-353078"/>
    <d v="2024-08-16T00:00:00"/>
    <d v="2024-08-26T00:00:00"/>
    <n v="10"/>
    <x v="21"/>
    <s v="Q3-2024"/>
    <x v="2"/>
    <s v="USA"/>
    <s v="Chicago"/>
    <s v="Corporate"/>
    <x v="3"/>
    <s v="L. Okafor"/>
    <s v="Laptops"/>
    <s v="LAP-5763"/>
    <n v="1291.7"/>
    <s v="High"/>
    <n v="2657.84"/>
    <n v="8.6999999999999994E-2"/>
    <n v="21"/>
    <n v="31548.788040000003"/>
    <n v="27125.7"/>
    <n v="4423.0880400000024"/>
    <n v="0.14019835038962727"/>
  </r>
  <r>
    <s v="ORD-2023-621393"/>
    <d v="2023-07-07T00:00:00"/>
    <d v="2023-07-13T00:00:00"/>
    <n v="6"/>
    <x v="24"/>
    <s v="Q3-2023"/>
    <x v="0"/>
    <s v="South Africa"/>
    <s v="Cape Town"/>
    <s v="Small Business"/>
    <x v="2"/>
    <s v="B. Chen"/>
    <s v="Accessories"/>
    <s v="ACC-9445"/>
    <n v="612.59"/>
    <s v="High"/>
    <n v="1424.74"/>
    <n v="4.3999999999999997E-2"/>
    <n v="15"/>
    <n v="10428.334800000001"/>
    <n v="9188.85"/>
    <n v="1239.4848000000002"/>
    <n v="0.11885740377265219"/>
  </r>
  <r>
    <s v="ORD-2023-974506"/>
    <d v="2023-12-28T00:00:00"/>
    <d v="2024-01-01T00:00:00"/>
    <n v="4"/>
    <x v="4"/>
    <s v="Q4-2023"/>
    <x v="0"/>
    <s v="South Africa"/>
    <s v="Cape Town"/>
    <s v="Education"/>
    <x v="3"/>
    <s v="A. Patel"/>
    <s v="Printers"/>
    <s v="PRN-1654"/>
    <n v="1141.8"/>
    <s v="High"/>
    <n v="2318.7399999999998"/>
    <n v="0.107"/>
    <n v="32"/>
    <n v="35256.783040000002"/>
    <n v="36537.599999999999"/>
    <n v="-1280.8169599999965"/>
    <n v="-3.6328242385213268E-2"/>
  </r>
  <r>
    <s v="ORD-2023-811823"/>
    <d v="2023-01-26T00:00:00"/>
    <d v="2023-02-15T00:00:00"/>
    <n v="20"/>
    <x v="5"/>
    <s v="Q1-2023"/>
    <x v="3"/>
    <s v="Germany"/>
    <s v="Berlin"/>
    <s v="Small Business"/>
    <x v="1"/>
    <s v="O. Wang"/>
    <s v="Networking"/>
    <s v="NET-8787"/>
    <n v="492.62"/>
    <s v="High"/>
    <n v="366.7"/>
    <n v="8.8999999999999996E-2"/>
    <n v="10"/>
    <n v="14063.653600000001"/>
    <n v="4926.2"/>
    <n v="9137.4536000000007"/>
    <n v="0.6497211791393952"/>
  </r>
  <r>
    <s v="ORD-2023-286720"/>
    <d v="2023-07-08T00:00:00"/>
    <d v="2023-07-09T00:00:00"/>
    <n v="1"/>
    <x v="24"/>
    <s v="Q3-2023"/>
    <x v="0"/>
    <s v="Kenya"/>
    <s v="Nairobi"/>
    <s v="Consumer"/>
    <x v="1"/>
    <s v="D. Smith"/>
    <s v="Laptops"/>
    <s v="LAP-1989"/>
    <n v="1258.72"/>
    <s v="High"/>
    <n v="2797.41"/>
    <n v="0"/>
    <n v="7"/>
    <n v="14806.33"/>
    <n v="8811.0400000000009"/>
    <n v="5995.2899999999991"/>
    <n v="0.40491397935882822"/>
  </r>
  <r>
    <s v="ORD-2024-626925"/>
    <d v="2024-06-07T00:00:00"/>
    <d v="2024-06-09T00:00:00"/>
    <n v="2"/>
    <x v="17"/>
    <s v="Q2-2024"/>
    <x v="1"/>
    <s v="China"/>
    <s v="Shanghai"/>
    <s v="Corporate"/>
    <x v="0"/>
    <s v="O. Wang"/>
    <s v="Monitors"/>
    <s v="MON-8688"/>
    <n v="1370.28"/>
    <s v="High"/>
    <n v="2209.66"/>
    <n v="0.13300000000000001"/>
    <n v="16"/>
    <n v="25485.499680000001"/>
    <n v="21924.48"/>
    <n v="3561.0196800000012"/>
    <n v="0.13972728511164123"/>
  </r>
  <r>
    <s v="ORD-2023-960380"/>
    <d v="2023-02-11T00:00:00"/>
    <d v="2023-02-12T00:00:00"/>
    <n v="1"/>
    <x v="2"/>
    <s v="Q1-2023"/>
    <x v="0"/>
    <s v="Nigeria"/>
    <s v="Port Harcourt"/>
    <s v="Non-Profit"/>
    <x v="4"/>
    <s v="D. Smith"/>
    <s v="Accessories"/>
    <s v="ACC-8242"/>
    <n v="944.61"/>
    <s v="High"/>
    <n v="839.04"/>
    <n v="5.8999999999999997E-2"/>
    <n v="6"/>
    <n v="16141.518779999999"/>
    <n v="5667.66"/>
    <n v="10473.858779999999"/>
    <n v="0.64887690698458544"/>
  </r>
  <r>
    <s v="ORD-2023-453699"/>
    <d v="2023-07-01T00:00:00"/>
    <d v="2023-07-08T00:00:00"/>
    <n v="7"/>
    <x v="24"/>
    <s v="Q3-2023"/>
    <x v="3"/>
    <s v="Germany"/>
    <s v="Frankfurt"/>
    <s v="Small Business"/>
    <x v="3"/>
    <s v="N. Brown"/>
    <s v="Laptops"/>
    <s v="LAP-4666"/>
    <n v="460.21"/>
    <s v="High"/>
    <n v="1139.1500000000001"/>
    <n v="0.115"/>
    <n v="14"/>
    <n v="3592.1088"/>
    <n v="6442.94"/>
    <n v="-2850.8311999999996"/>
    <n v="-0.79363720831618456"/>
  </r>
  <r>
    <s v="ORD-2025-960931"/>
    <d v="2025-08-20T00:00:00"/>
    <d v="2025-08-26T00:00:00"/>
    <n v="6"/>
    <x v="28"/>
    <s v="Q3-2025"/>
    <x v="2"/>
    <s v="USA"/>
    <s v="New York"/>
    <s v="Corporate"/>
    <x v="0"/>
    <s v="M. Rossi"/>
    <s v="Networking"/>
    <s v="NET-5196"/>
    <n v="1304.95"/>
    <s v="High"/>
    <n v="1712.03"/>
    <n v="0.21199999999999999"/>
    <n v="8"/>
    <n v="6286.3488000000007"/>
    <n v="10439.6"/>
    <n v="-4153.2511999999997"/>
    <n v="-0.66067781666839731"/>
  </r>
  <r>
    <s v="ORD-2024-419248"/>
    <d v="2024-03-04T00:00:00"/>
    <d v="2024-03-16T00:00:00"/>
    <n v="12"/>
    <x v="0"/>
    <s v="Q1-2024"/>
    <x v="0"/>
    <s v="South Africa"/>
    <s v="Johannesburg"/>
    <s v="Enterprise"/>
    <x v="3"/>
    <s v="M. Rossi"/>
    <s v="Monitors"/>
    <s v="MON-8422"/>
    <n v="441.08"/>
    <s v="High"/>
    <n v="1054.29"/>
    <n v="0.23699999999999999"/>
    <n v="6"/>
    <n v="216.49362000000002"/>
    <n v="2646.48"/>
    <n v="-2429.9863799999998"/>
    <n v="-11.224286332317782"/>
  </r>
  <r>
    <s v="ORD-2023-488227"/>
    <d v="2023-09-08T00:00:00"/>
    <d v="2023-10-02T00:00:00"/>
    <n v="24"/>
    <x v="27"/>
    <s v="Q3-2023"/>
    <x v="2"/>
    <s v="Canada"/>
    <s v="Toronto"/>
    <s v="Education"/>
    <x v="4"/>
    <s v="A. Patel"/>
    <s v="Accessories"/>
    <s v="ACC-3415"/>
    <n v="1299.03"/>
    <s v="High"/>
    <n v="2451.2199999999998"/>
    <n v="0.20799999999999999"/>
    <n v="8"/>
    <n v="4778.8646400000007"/>
    <n v="10392.24"/>
    <n v="-5613.3753599999991"/>
    <n v="-1.1746253101657214"/>
  </r>
  <r>
    <s v="ORD-2023-472078"/>
    <d v="2023-02-28T00:00:00"/>
    <d v="2023-03-06T00:00:00"/>
    <n v="6"/>
    <x v="2"/>
    <s v="Q1-2023"/>
    <x v="3"/>
    <s v="Germany"/>
    <s v="Frankfurt"/>
    <s v="Small Business"/>
    <x v="2"/>
    <s v="D. Smith"/>
    <s v="Printers"/>
    <s v="PRN-9624"/>
    <n v="880.02"/>
    <s v="High"/>
    <n v="1251.21"/>
    <n v="0.123"/>
    <n v="29"/>
    <n v="22927.340840000001"/>
    <n v="25520.579999999998"/>
    <n v="-2593.2391599999974"/>
    <n v="-0.1131068438375428"/>
  </r>
  <r>
    <s v="ORD-2024-202877"/>
    <d v="2024-07-13T00:00:00"/>
    <d v="2024-08-03T00:00:00"/>
    <n v="21"/>
    <x v="14"/>
    <s v="Q3-2024"/>
    <x v="2"/>
    <s v="Brazil"/>
    <s v="Rio de Janeiro"/>
    <s v="Corporate"/>
    <x v="2"/>
    <s v="M. Rossi"/>
    <s v="Monitors"/>
    <s v="MON-6287"/>
    <n v="702.98"/>
    <s v="High"/>
    <n v="1104.8"/>
    <n v="0.17499999999999999"/>
    <n v="12"/>
    <n v="1119.492"/>
    <n v="8435.76"/>
    <n v="-7316.268"/>
    <n v="-6.5353463892551265"/>
  </r>
  <r>
    <s v="ORD-2024-140633"/>
    <d v="2024-12-07T00:00:00"/>
    <d v="2024-12-26T00:00:00"/>
    <n v="19"/>
    <x v="6"/>
    <s v="Q4-2024"/>
    <x v="3"/>
    <s v="United Kingdom"/>
    <s v="London"/>
    <s v="Enterprise"/>
    <x v="1"/>
    <s v="D. Smith"/>
    <s v="Networking"/>
    <s v="NET-4491"/>
    <n v="1035.24"/>
    <s v="High"/>
    <n v="2383.41"/>
    <n v="0.17"/>
    <n v="15"/>
    <n v="10814.319"/>
    <n v="15528.6"/>
    <n v="-4714.2810000000009"/>
    <n v="-0.43592953009801183"/>
  </r>
  <r>
    <s v="ORD-2025-419532"/>
    <d v="2025-08-06T00:00:00"/>
    <d v="2025-08-23T00:00:00"/>
    <n v="17"/>
    <x v="28"/>
    <s v="Q3-2025"/>
    <x v="2"/>
    <s v="Brazil"/>
    <s v="Brasília"/>
    <s v="Consumer"/>
    <x v="3"/>
    <s v="A. Patel"/>
    <s v="Monitors"/>
    <s v="MON-4317"/>
    <n v="86.64"/>
    <s v="High"/>
    <n v="213.06"/>
    <n v="0.21199999999999999"/>
    <n v="11"/>
    <n v="3015.5971999999997"/>
    <n v="953.04"/>
    <n v="2062.5571999999997"/>
    <n v="0.68396309692819712"/>
  </r>
  <r>
    <s v="ORD-2023-139236"/>
    <d v="2023-03-03T00:00:00"/>
    <d v="2023-03-20T00:00:00"/>
    <n v="17"/>
    <x v="22"/>
    <s v="Q1-2023"/>
    <x v="1"/>
    <s v="Japan"/>
    <s v="Nagoya"/>
    <s v="Small Business"/>
    <x v="1"/>
    <s v="D. Smith"/>
    <s v="Networking"/>
    <s v="NET-7349"/>
    <n v="1171.17"/>
    <s v="High"/>
    <n v="2030.64"/>
    <n v="0.157"/>
    <n v="11"/>
    <n v="10310.463239999999"/>
    <n v="12882.87"/>
    <n v="-2572.4067600000017"/>
    <n v="-0.24949478021707217"/>
  </r>
  <r>
    <s v="ORD-2025-337268"/>
    <d v="2025-02-16T00:00:00"/>
    <d v="2025-03-17T00:00:00"/>
    <n v="1"/>
    <x v="26"/>
    <s v="Q1-2025"/>
    <x v="3"/>
    <s v="Germany"/>
    <s v="Munich"/>
    <s v="Consumer"/>
    <x v="0"/>
    <s v="L. Okafor"/>
    <s v="Accessories"/>
    <s v="ACC-5150"/>
    <n v="730.42"/>
    <s v="High"/>
    <n v="956.7"/>
    <n v="4.2000000000000003E-2"/>
    <n v="22"/>
    <n v="6907.0267199999998"/>
    <n v="16069.24"/>
    <n v="-9162.2132799999999"/>
    <n v="-1.3265061293986133"/>
  </r>
  <r>
    <s v="ORD-2025-332931"/>
    <d v="2025-02-15T00:00:00"/>
    <d v="2025-03-01T00:00:00"/>
    <n v="14"/>
    <x v="26"/>
    <s v="Q1-2025"/>
    <x v="0"/>
    <s v="Kenya"/>
    <s v="Mombasa"/>
    <s v="Education"/>
    <x v="4"/>
    <s v="L. Okafor"/>
    <s v="Accessories"/>
    <s v="ACC-5144"/>
    <n v="1162.8599999999999"/>
    <s v="High"/>
    <n v="1447.68"/>
    <n v="8.6999999999999994E-2"/>
    <n v="12"/>
    <n v="5326.0402800000002"/>
    <n v="13954.32"/>
    <n v="-8628.2797199999986"/>
    <n v="-1.6200177367040112"/>
  </r>
  <r>
    <s v="ORD-2024-536442"/>
    <d v="2024-08-31T00:00:00"/>
    <d v="2024-09-26T00:00:00"/>
    <n v="26"/>
    <x v="21"/>
    <s v="Q3-2024"/>
    <x v="1"/>
    <s v="Japan"/>
    <s v="Tokyo"/>
    <s v="Education"/>
    <x v="1"/>
    <s v="I. Johnson"/>
    <s v="Phones"/>
    <s v="PHN-6111"/>
    <n v="1189.03"/>
    <s v="High"/>
    <n v="2949.62"/>
    <n v="0.125"/>
    <n v="13"/>
    <n v="23507.575000000001"/>
    <n v="15457.39"/>
    <n v="8050.1850000000013"/>
    <n v="0.34245067813247437"/>
  </r>
  <r>
    <s v="ORD-2023-957692"/>
    <d v="2023-05-07T00:00:00"/>
    <d v="2023-05-20T00:00:00"/>
    <n v="13"/>
    <x v="15"/>
    <s v="Q2-2023"/>
    <x v="1"/>
    <s v="India"/>
    <s v="Mumbai"/>
    <s v="Enterprise"/>
    <x v="0"/>
    <s v="D. Smith"/>
    <s v="Accessories"/>
    <s v="ACC-9283"/>
    <n v="1443.28"/>
    <s v="High"/>
    <n v="2580.5700000000002"/>
    <n v="0"/>
    <n v="18"/>
    <n v="1551.6000000000001"/>
    <n v="25979.040000000001"/>
    <n v="-24427.440000000002"/>
    <n v="-15.74338747099768"/>
  </r>
  <r>
    <s v="ORD-2025-874124"/>
    <d v="2025-05-14T00:00:00"/>
    <d v="2025-05-12T00:00:00"/>
    <n v="2"/>
    <x v="8"/>
    <s v="Q2-2025"/>
    <x v="2"/>
    <s v="Canada"/>
    <s v="Vancouver"/>
    <s v="Non-Profit"/>
    <x v="3"/>
    <s v="F. Müller"/>
    <s v="Printers"/>
    <s v="PRN-2407"/>
    <n v="883.5"/>
    <s v="High"/>
    <n v="1978.91"/>
    <n v="5.3999999999999999E-2"/>
    <n v="27"/>
    <n v="58944.550499999998"/>
    <n v="23854.5"/>
    <n v="35090.050499999998"/>
    <n v="0.59530610043416987"/>
  </r>
  <r>
    <s v="ORD-2024-687073"/>
    <d v="2024-03-11T00:00:00"/>
    <d v="2024-03-29T00:00:00"/>
    <n v="18"/>
    <x v="0"/>
    <s v="Q1-2024"/>
    <x v="2"/>
    <s v="USA"/>
    <s v="New York"/>
    <s v="Corporate"/>
    <x v="0"/>
    <s v="M. Rossi"/>
    <s v="Monitors"/>
    <s v="MON-7099"/>
    <n v="710.98"/>
    <s v="High"/>
    <n v="1481.45"/>
    <n v="0.21099999999999999"/>
    <n v="9"/>
    <n v="7902.0638099999996"/>
    <n v="6398.82"/>
    <n v="1503.2438099999999"/>
    <n v="0.19023432942893434"/>
  </r>
  <r>
    <s v="ORD-2024-555229"/>
    <d v="2024-05-18T00:00:00"/>
    <d v="2024-05-22T00:00:00"/>
    <n v="4"/>
    <x v="7"/>
    <s v="Q2-2024"/>
    <x v="0"/>
    <s v="Kenya"/>
    <s v="Nairobi"/>
    <s v="Corporate"/>
    <x v="4"/>
    <s v="H. Kim"/>
    <s v="Accessories"/>
    <s v="ACC-7354"/>
    <n v="857.42"/>
    <s v="High"/>
    <n v="1658.92"/>
    <n v="0.122"/>
    <n v="9"/>
    <n v="8897.572979999999"/>
    <n v="7716.78"/>
    <n v="1180.7929799999993"/>
    <n v="0.13270955828675871"/>
  </r>
  <r>
    <s v="ORD-2024-872291"/>
    <d v="2024-01-08T00:00:00"/>
    <d v="2024-01-12T00:00:00"/>
    <n v="4"/>
    <x v="9"/>
    <s v="Q1-2024"/>
    <x v="1"/>
    <s v="India"/>
    <s v="Bengaluru"/>
    <s v="Corporate"/>
    <x v="4"/>
    <s v="E. Garcia"/>
    <s v="Printers"/>
    <s v="PRN-6585"/>
    <n v="802.32"/>
    <s v="High"/>
    <n v="602.34"/>
    <n v="0.12"/>
    <n v="25"/>
    <n v="2719.64"/>
    <n v="20058"/>
    <n v="-17338.36"/>
    <n v="-6.3752408406995045"/>
  </r>
  <r>
    <s v="ORD-2024-250862"/>
    <d v="2024-10-25T00:00:00"/>
    <d v="2024-11-05T00:00:00"/>
    <n v="11"/>
    <x v="1"/>
    <s v="Q4-2024"/>
    <x v="2"/>
    <s v="USA"/>
    <s v="New York"/>
    <s v="Corporate"/>
    <x v="3"/>
    <s v="N. Brown"/>
    <s v="Components"/>
    <s v="CMP-9498"/>
    <n v="446.66"/>
    <s v="High"/>
    <n v="527.64"/>
    <n v="0.14499999999999999"/>
    <n v="15"/>
    <n v="22209.693749999999"/>
    <n v="6699.9000000000005"/>
    <n v="15509.793749999997"/>
    <n v="0.6983344266059498"/>
  </r>
  <r>
    <s v="ORD-2024-331226"/>
    <d v="2024-11-30T00:00:00"/>
    <d v="2024-12-19T00:00:00"/>
    <n v="19"/>
    <x v="18"/>
    <s v="Q4-2024"/>
    <x v="0"/>
    <s v="Kenya"/>
    <s v="Kisumu"/>
    <s v="Corporate"/>
    <x v="1"/>
    <s v="L. Okafor"/>
    <s v="Phones"/>
    <s v="PHN-1919"/>
    <n v="1195.98"/>
    <s v="High"/>
    <n v="1841.9"/>
    <n v="5.5E-2"/>
    <n v="19"/>
    <n v="54978.38955"/>
    <n v="22723.62"/>
    <n v="32254.769550000001"/>
    <n v="0.58668087250293055"/>
  </r>
  <r>
    <s v="ORD-2023-356427"/>
    <d v="2023-04-13T00:00:00"/>
    <d v="2023-05-02T00:00:00"/>
    <n v="19"/>
    <x v="12"/>
    <s v="Q2-2023"/>
    <x v="2"/>
    <s v="Canada"/>
    <s v="Montreal"/>
    <s v="Consumer"/>
    <x v="3"/>
    <s v="E. Garcia"/>
    <s v="Monitors"/>
    <s v="MON-6053"/>
    <n v="671.05"/>
    <s v="High"/>
    <n v="1645.48"/>
    <n v="0.13700000000000001"/>
    <n v="6"/>
    <n v="11393.722979999999"/>
    <n v="4026.2999999999997"/>
    <n v="7367.4229799999994"/>
    <n v="0.64662121353419111"/>
  </r>
  <r>
    <s v="ORD-2025-659650"/>
    <d v="2025-02-04T00:00:00"/>
    <d v="2025-02-08T00:00:00"/>
    <n v="4"/>
    <x v="26"/>
    <s v="Q1-2025"/>
    <x v="3"/>
    <s v="United Kingdom"/>
    <s v="Manchester"/>
    <s v="Enterprise"/>
    <x v="2"/>
    <s v="L. Okafor"/>
    <s v="Networking"/>
    <s v="NET-2502"/>
    <n v="586.21"/>
    <s v="High"/>
    <n v="727.22"/>
    <n v="6.8000000000000005E-2"/>
    <n v="15"/>
    <n v="8408.8302000000003"/>
    <n v="8793.1500000000015"/>
    <n v="-384.31980000000112"/>
    <n v="-4.5704312117041096E-2"/>
  </r>
  <r>
    <s v="ORD-2024-207669"/>
    <d v="2024-01-24T00:00:00"/>
    <d v="2024-02-04T00:00:00"/>
    <n v="11"/>
    <x v="9"/>
    <s v="Q1-2024"/>
    <x v="3"/>
    <s v="United Kingdom"/>
    <s v="Manchester"/>
    <s v="Consumer"/>
    <x v="0"/>
    <s v="B. Chen"/>
    <s v="Laptops"/>
    <s v="LAP-5689"/>
    <n v="525.34"/>
    <s v="High"/>
    <n v="1233.79"/>
    <n v="0.14299999999999999"/>
    <n v="4"/>
    <n v="3248.9555599999999"/>
    <n v="2101.36"/>
    <n v="1147.5955599999998"/>
    <n v="0.35321983905498533"/>
  </r>
  <r>
    <s v="ORD-2024-979401"/>
    <d v="2024-02-08T00:00:00"/>
    <d v="2024-02-09T00:00:00"/>
    <n v="1"/>
    <x v="31"/>
    <s v="Q1-2024"/>
    <x v="0"/>
    <s v="Kenya"/>
    <s v="Mombasa"/>
    <s v="Corporate"/>
    <x v="4"/>
    <s v="F. Müller"/>
    <s v="Components"/>
    <s v="CMP-5911"/>
    <n v="1233.52"/>
    <s v="High"/>
    <n v="1543.76"/>
    <n v="0.126"/>
    <n v="13"/>
    <n v="26490.27576"/>
    <n v="16035.76"/>
    <n v="10454.51576"/>
    <n v="0.39465484824382968"/>
  </r>
  <r>
    <s v="ORD-2025-929414"/>
    <d v="2025-06-26T00:00:00"/>
    <d v="2025-07-11T00:00:00"/>
    <n v="15"/>
    <x v="16"/>
    <s v="Q2-2025"/>
    <x v="0"/>
    <s v="Nigeria"/>
    <s v="Port Harcourt"/>
    <s v="Small Business"/>
    <x v="1"/>
    <s v="A. Patel"/>
    <s v="Laptops"/>
    <s v="LAP-7523"/>
    <n v="1170.1500000000001"/>
    <s v="High"/>
    <n v="2115.19"/>
    <n v="9.1999999999999998E-2"/>
    <n v="23"/>
    <n v="29597.640160000003"/>
    <n v="26913.45"/>
    <n v="2684.1901600000019"/>
    <n v="9.0689330145569333E-2"/>
  </r>
  <r>
    <s v="ORD-2024-766980"/>
    <d v="2024-11-04T00:00:00"/>
    <d v="2024-11-07T00:00:00"/>
    <n v="3"/>
    <x v="18"/>
    <s v="Q4-2024"/>
    <x v="3"/>
    <s v="France"/>
    <s v="Lyon"/>
    <s v="Corporate"/>
    <x v="1"/>
    <s v="O. Wang"/>
    <s v="Monitors"/>
    <s v="MON-1118"/>
    <n v="740.68"/>
    <s v="High"/>
    <n v="1837.19"/>
    <n v="0.19700000000000001"/>
    <n v="17"/>
    <n v="9548.8744999999999"/>
    <n v="12591.56"/>
    <n v="-3042.6854999999996"/>
    <n v="-0.31864336472324561"/>
  </r>
  <r>
    <s v="ORD-2024-437164"/>
    <d v="2024-02-20T00:00:00"/>
    <d v="2024-02-20T00:00:00"/>
    <n v="0"/>
    <x v="31"/>
    <s v="Q1-2024"/>
    <x v="2"/>
    <s v="USA"/>
    <s v="New York"/>
    <s v="Enterprise"/>
    <x v="1"/>
    <s v="C. Otieno"/>
    <s v="Networking"/>
    <s v="NET-9177"/>
    <n v="1407.05"/>
    <s v="High"/>
    <n v="2858.93"/>
    <n v="0"/>
    <n v="12"/>
    <n v="21446.400000000001"/>
    <n v="16884.599999999999"/>
    <n v="4561.8000000000029"/>
    <n v="0.2127070277529097"/>
  </r>
  <r>
    <s v="ORD-2025-169093"/>
    <d v="2025-04-13T00:00:00"/>
    <d v="2025-04-14T00:00:00"/>
    <n v="1"/>
    <x v="19"/>
    <s v="Q2-2025"/>
    <x v="1"/>
    <s v="Japan"/>
    <s v="Osaka"/>
    <s v="Enterprise"/>
    <x v="1"/>
    <s v="G. Dubois"/>
    <s v="Components"/>
    <s v="CMP-6495"/>
    <n v="138.9"/>
    <s v="High"/>
    <n v="289.92"/>
    <n v="2.9000000000000001E-2"/>
    <n v="12"/>
    <n v="19793.834999999999"/>
    <n v="1666.8000000000002"/>
    <n v="18127.035"/>
    <n v="0.91579196249741401"/>
  </r>
  <r>
    <s v="ORD-2023-868460"/>
    <d v="2023-06-01T00:00:00"/>
    <d v="2023-06-01T00:00:00"/>
    <n v="0"/>
    <x v="23"/>
    <s v="Q2-2023"/>
    <x v="1"/>
    <s v="India"/>
    <s v="Bengaluru"/>
    <s v="Corporate"/>
    <x v="0"/>
    <s v="E. Garcia"/>
    <s v="Accessories"/>
    <s v="ACC-4587"/>
    <n v="669.37"/>
    <s v="High"/>
    <n v="997.2"/>
    <n v="8.2000000000000003E-2"/>
    <n v="5"/>
    <n v="3326.373"/>
    <n v="3346.85"/>
    <n v="-20.476999999999862"/>
    <n v="-6.1559542480653434E-3"/>
  </r>
  <r>
    <s v="ORD-2025-177994"/>
    <d v="2025-03-24T00:00:00"/>
    <d v="2025-04-04T00:00:00"/>
    <n v="11"/>
    <x v="3"/>
    <s v="Q1-2025"/>
    <x v="1"/>
    <s v="India"/>
    <s v="Mumbai"/>
    <s v="Education"/>
    <x v="2"/>
    <s v="J. Njeri"/>
    <s v="Phones"/>
    <s v="PHN-4395"/>
    <n v="23.83"/>
    <s v="Low"/>
    <n v="47.29"/>
    <n v="6.4000000000000001E-2"/>
    <n v="19"/>
    <n v="24114.036959999998"/>
    <n v="452.77"/>
    <n v="23661.266959999997"/>
    <n v="0.98122379920247083"/>
  </r>
  <r>
    <s v="ORD-2024-355095"/>
    <d v="2024-01-02T00:00:00"/>
    <d v="2024-01-02T00:00:00"/>
    <n v="0"/>
    <x v="9"/>
    <s v="Q1-2024"/>
    <x v="2"/>
    <s v="Canada"/>
    <s v="Vancouver"/>
    <s v="Education"/>
    <x v="4"/>
    <s v="A. Patel"/>
    <s v="Laptops"/>
    <s v="LAP-3581"/>
    <n v="444.41"/>
    <s v="High"/>
    <n v="754.24"/>
    <n v="0.20699999999999999"/>
    <n v="32"/>
    <n v="6980.1763200000005"/>
    <n v="14221.12"/>
    <n v="-7240.9436800000003"/>
    <n v="-1.0373582769324659"/>
  </r>
  <r>
    <s v="ORD-2023-126505"/>
    <d v="2023-12-19T00:00:00"/>
    <d v="2024-01-01T00:00:00"/>
    <n v="13"/>
    <x v="4"/>
    <s v="Q4-2023"/>
    <x v="2"/>
    <s v="Canada"/>
    <s v="Toronto"/>
    <s v="Enterprise"/>
    <x v="0"/>
    <s v="K. Singh"/>
    <s v="Monitors"/>
    <s v="MON-6065"/>
    <n v="856.1"/>
    <s v="High"/>
    <n v="901.48"/>
    <n v="5.6000000000000001E-2"/>
    <n v="17"/>
    <n v="28925.557119999998"/>
    <n v="14553.7"/>
    <n v="14371.857119999997"/>
    <n v="0.49685670911634278"/>
  </r>
  <r>
    <s v="ORD-2023-340056"/>
    <d v="2023-04-26T00:00:00"/>
    <d v="2023-04-26T00:00:00"/>
    <n v="0"/>
    <x v="12"/>
    <s v="Q2-2023"/>
    <x v="3"/>
    <s v="France"/>
    <s v="Marseille"/>
    <s v="Consumer"/>
    <x v="4"/>
    <s v="M. Rossi"/>
    <s v="Components"/>
    <s v="CMP-4945"/>
    <n v="81.489999999999995"/>
    <s v="Medium"/>
    <n v="113.08"/>
    <n v="0.121"/>
    <n v="5"/>
    <n v="5580.6830999999993"/>
    <n v="407.45"/>
    <n v="5173.2330999999995"/>
    <n v="0.92698922467036338"/>
  </r>
  <r>
    <s v="ORD-2025-281413"/>
    <d v="2025-08-03T00:00:00"/>
    <d v="2025-08-16T00:00:00"/>
    <n v="13"/>
    <x v="28"/>
    <s v="Q3-2025"/>
    <x v="2"/>
    <s v="Canada"/>
    <s v="Montreal"/>
    <s v="Enterprise"/>
    <x v="3"/>
    <s v="O. Wang"/>
    <s v="Networking"/>
    <s v="NET-3785"/>
    <n v="698.66"/>
    <s v="High"/>
    <n v="868.62"/>
    <n v="7.1999999999999995E-2"/>
    <n v="15"/>
    <n v="7960.848"/>
    <n v="10479.9"/>
    <n v="-2519.0519999999997"/>
    <n v="-0.31643010895321699"/>
  </r>
  <r>
    <s v="ORD-2023-713614"/>
    <d v="2023-08-02T00:00:00"/>
    <d v="2023-08-19T00:00:00"/>
    <n v="17"/>
    <x v="25"/>
    <s v="Q3-2023"/>
    <x v="2"/>
    <s v="Canada"/>
    <s v="Vancouver"/>
    <s v="Corporate"/>
    <x v="1"/>
    <s v="F. Müller"/>
    <s v="Networking"/>
    <s v="NET-3689"/>
    <n v="175.38"/>
    <s v="High"/>
    <n v="347.9"/>
    <n v="7.1999999999999995E-2"/>
    <n v="43"/>
    <n v="109937.11616000001"/>
    <n v="7541.34"/>
    <n v="102395.77616000001"/>
    <n v="0.93140314878712571"/>
  </r>
  <r>
    <s v="ORD-2023-173313"/>
    <d v="2023-06-15T00:00:00"/>
    <d v="2023-07-12T00:00:00"/>
    <n v="27"/>
    <x v="23"/>
    <s v="Q2-2023"/>
    <x v="3"/>
    <s v="United Kingdom"/>
    <s v="Manchester"/>
    <s v="Consumer"/>
    <x v="4"/>
    <s v="I. Johnson"/>
    <s v="Accessories"/>
    <s v="ACC-3833"/>
    <n v="751.28"/>
    <s v="High"/>
    <n v="1111.8800000000001"/>
    <n v="0.13500000000000001"/>
    <n v="7"/>
    <n v="5827.9980499999992"/>
    <n v="5258.96"/>
    <n v="569.0380499999992"/>
    <n v="9.7638682291597417E-2"/>
  </r>
  <r>
    <s v="ORD-2024-496601"/>
    <d v="2024-11-11T00:00:00"/>
    <d v="2024-11-24T00:00:00"/>
    <n v="13"/>
    <x v="18"/>
    <s v="Q4-2024"/>
    <x v="3"/>
    <s v="United Kingdom"/>
    <s v="London"/>
    <s v="Corporate"/>
    <x v="0"/>
    <s v="E. Garcia"/>
    <s v="Networking"/>
    <s v="NET-2932"/>
    <n v="164.53"/>
    <s v="High"/>
    <n v="327.72"/>
    <n v="6.7000000000000004E-2"/>
    <n v="14"/>
    <n v="8728.9427399999986"/>
    <n v="2303.42"/>
    <n v="6425.5227399999985"/>
    <n v="0.73611695383855846"/>
  </r>
  <r>
    <s v="ORD-2025-155182"/>
    <d v="2025-07-11T00:00:00"/>
    <d v="2025-08-03T00:00:00"/>
    <n v="23"/>
    <x v="13"/>
    <s v="Q3-2025"/>
    <x v="0"/>
    <s v="Kenya"/>
    <s v="Nakuru"/>
    <s v="Small Business"/>
    <x v="0"/>
    <s v="C. Otieno"/>
    <s v="Phones"/>
    <s v="PHN-7636"/>
    <n v="389.93"/>
    <s v="High"/>
    <n v="486.13"/>
    <n v="0.13200000000000001"/>
    <n v="17"/>
    <n v="20722.29348"/>
    <n v="6628.81"/>
    <n v="14093.483479999999"/>
    <n v="0.6801121455789747"/>
  </r>
  <r>
    <s v="ORD-2023-244375"/>
    <d v="2023-06-03T00:00:00"/>
    <d v="2023-07-01T00:00:00"/>
    <n v="28"/>
    <x v="23"/>
    <s v="Q2-2023"/>
    <x v="2"/>
    <s v="Brazil"/>
    <s v="Brasília"/>
    <s v="Small Business"/>
    <x v="2"/>
    <s v="A. Patel"/>
    <s v="Components"/>
    <s v="CMP-1223"/>
    <n v="860.4"/>
    <s v="High"/>
    <n v="2066.6"/>
    <n v="0.01"/>
    <n v="3"/>
    <n v="10661.9733"/>
    <n v="2581.1999999999998"/>
    <n v="8080.7732999999998"/>
    <n v="0.7579059778737206"/>
  </r>
  <r>
    <s v="ORD-2023-856322"/>
    <d v="2023-01-29T00:00:00"/>
    <d v="2023-02-06T00:00:00"/>
    <n v="8"/>
    <x v="5"/>
    <s v="Q1-2023"/>
    <x v="2"/>
    <s v="Brazil"/>
    <s v="Brasília"/>
    <s v="Corporate"/>
    <x v="2"/>
    <s v="D. Smith"/>
    <s v="Monitors"/>
    <s v="MON-7207"/>
    <n v="41.84"/>
    <s v="Medium"/>
    <n v="86.2"/>
    <n v="0.22600000000000001"/>
    <n v="27"/>
    <n v="4879.8919799999994"/>
    <n v="1129.68"/>
    <n v="3750.2119799999991"/>
    <n v="0.76850307247989524"/>
  </r>
  <r>
    <s v="ORD-2024-594527"/>
    <d v="2024-09-06T00:00:00"/>
    <d v="2024-09-04T00:00:00"/>
    <n v="2"/>
    <x v="29"/>
    <s v="Q3-2024"/>
    <x v="1"/>
    <s v="Japan"/>
    <s v="Osaka"/>
    <s v="Corporate"/>
    <x v="4"/>
    <s v="A. Patel"/>
    <s v="Laptops"/>
    <s v="LAP-4483"/>
    <n v="1368.17"/>
    <s v="High"/>
    <n v="2307.75"/>
    <n v="0.16300000000000001"/>
    <n v="21"/>
    <n v="2183.9422500000001"/>
    <n v="28731.57"/>
    <n v="-26547.62775"/>
    <n v="-12.155828639699607"/>
  </r>
  <r>
    <s v="ORD-2024-689872"/>
    <d v="2024-08-03T00:00:00"/>
    <d v="2024-08-09T00:00:00"/>
    <n v="6"/>
    <x v="21"/>
    <s v="Q3-2024"/>
    <x v="0"/>
    <s v="Kenya"/>
    <s v="Mombasa"/>
    <s v="Consumer"/>
    <x v="2"/>
    <s v="H. Kim"/>
    <s v="Laptops"/>
    <s v="LAP-1969"/>
    <n v="643.21"/>
    <s v="High"/>
    <n v="1112.81"/>
    <n v="0.14099999999999999"/>
    <n v="4"/>
    <n v="4918.1873199999991"/>
    <n v="2572.84"/>
    <n v="2345.3473199999989"/>
    <n v="0.47687230424562183"/>
  </r>
  <r>
    <s v="ORD-2025-246692"/>
    <d v="2025-04-17T00:00:00"/>
    <d v="2025-04-17T00:00:00"/>
    <n v="0"/>
    <x v="19"/>
    <s v="Q2-2025"/>
    <x v="2"/>
    <s v="Brazil"/>
    <s v="São Paulo"/>
    <s v="Corporate"/>
    <x v="3"/>
    <s v="L. Okafor"/>
    <s v="Phones"/>
    <s v="PHN-4566"/>
    <n v="719.41"/>
    <s v="High"/>
    <n v="1125.99"/>
    <n v="4.1000000000000002E-2"/>
    <n v="21"/>
    <n v="32132.177279999996"/>
    <n v="15107.609999999999"/>
    <n v="17024.567279999996"/>
    <n v="0.52982924660373332"/>
  </r>
  <r>
    <s v="ORD-2023-378676"/>
    <d v="2023-05-03T00:00:00"/>
    <d v="2023-05-16T00:00:00"/>
    <n v="13"/>
    <x v="15"/>
    <s v="Q2-2023"/>
    <x v="2"/>
    <s v="USA"/>
    <s v="New York"/>
    <s v="Corporate"/>
    <x v="2"/>
    <s v="L. Okafor"/>
    <s v="Phones"/>
    <s v="PHN-5366"/>
    <n v="64.5"/>
    <s v="Medium"/>
    <n v="123.62"/>
    <n v="0"/>
    <n v="3"/>
    <n v="3085.38"/>
    <n v="193.5"/>
    <n v="2891.88"/>
    <n v="0.93728487252785719"/>
  </r>
  <r>
    <s v="ORD-2024-243988"/>
    <d v="2024-03-13T00:00:00"/>
    <d v="2024-04-06T00:00:00"/>
    <n v="24"/>
    <x v="0"/>
    <s v="Q1-2024"/>
    <x v="0"/>
    <s v="Nigeria"/>
    <s v="Abuja"/>
    <s v="Consumer"/>
    <x v="3"/>
    <s v="L. Okafor"/>
    <s v="Components"/>
    <s v="CMP-9001"/>
    <n v="1232.78"/>
    <s v="High"/>
    <n v="1731.75"/>
    <n v="9.2999999999999999E-2"/>
    <n v="16"/>
    <n v="46878.839200000002"/>
    <n v="19724.48"/>
    <n v="27154.359200000003"/>
    <n v="0.5792455543566446"/>
  </r>
  <r>
    <s v="ORD-2024-572312"/>
    <d v="2024-06-16T00:00:00"/>
    <d v="2024-06-21T00:00:00"/>
    <n v="5"/>
    <x v="17"/>
    <s v="Q2-2024"/>
    <x v="1"/>
    <s v="Japan"/>
    <s v="Tokyo"/>
    <s v="Small Business"/>
    <x v="3"/>
    <s v="F. Müller"/>
    <s v="Phones"/>
    <s v="PHN-9677"/>
    <n v="1367.13"/>
    <s v="High"/>
    <n v="3062.01"/>
    <n v="0.10299999999999999"/>
    <n v="25"/>
    <n v="62557.004249999998"/>
    <n v="34178.25"/>
    <n v="28378.754249999998"/>
    <n v="0.45364631171576603"/>
  </r>
  <r>
    <s v="ORD-2025-281062"/>
    <d v="2025-02-15T00:00:00"/>
    <d v="2025-02-27T00:00:00"/>
    <n v="12"/>
    <x v="26"/>
    <s v="Q1-2025"/>
    <x v="3"/>
    <s v="France"/>
    <s v="Lyon"/>
    <s v="Non-Profit"/>
    <x v="4"/>
    <s v="K. Singh"/>
    <s v="Accessories"/>
    <s v="ACC-1604"/>
    <n v="1027.26"/>
    <s v="High"/>
    <n v="2200.41"/>
    <n v="8.7999999999999995E-2"/>
    <n v="6"/>
    <n v="10384.433280000001"/>
    <n v="6163.5599999999995"/>
    <n v="4220.8732800000016"/>
    <n v="0.40646159171047236"/>
  </r>
  <r>
    <s v="ORD-2023-727290"/>
    <d v="2023-04-03T00:00:00"/>
    <d v="2023-04-16T00:00:00"/>
    <n v="13"/>
    <x v="12"/>
    <s v="Q2-2023"/>
    <x v="3"/>
    <s v="France"/>
    <s v="Marseille"/>
    <s v="Non-Profit"/>
    <x v="2"/>
    <s v="M. Rossi"/>
    <s v="Accessories"/>
    <s v="ACC-4815"/>
    <n v="790.54"/>
    <s v="High"/>
    <n v="601.49"/>
    <n v="0"/>
    <n v="15"/>
    <n v="13537.050000000001"/>
    <n v="11858.099999999999"/>
    <n v="1678.9500000000025"/>
    <n v="0.12402628342216379"/>
  </r>
  <r>
    <s v="ORD-2025-993993"/>
    <d v="2025-08-30T00:00:00"/>
    <d v="2025-09-22T00:00:00"/>
    <n v="23"/>
    <x v="28"/>
    <s v="Q3-2025"/>
    <x v="3"/>
    <s v="France"/>
    <s v="Marseille"/>
    <s v="Corporate"/>
    <x v="4"/>
    <s v="E. Garcia"/>
    <s v="Components"/>
    <s v="CMP-5311"/>
    <n v="663.9"/>
    <s v="High"/>
    <n v="947.77"/>
    <n v="0.17399999999999999"/>
    <n v="15"/>
    <n v="-417.04740000000004"/>
    <n v="9958.5"/>
    <n v="-10375.547399999999"/>
    <n v="24.878580708092169"/>
  </r>
  <r>
    <s v="ORD-2023-619493"/>
    <d v="2023-02-27T00:00:00"/>
    <d v="2023-02-26T00:00:00"/>
    <n v="1"/>
    <x v="2"/>
    <s v="Q1-2023"/>
    <x v="2"/>
    <s v="USA"/>
    <s v="San Francisco"/>
    <s v="Non-Profit"/>
    <x v="1"/>
    <s v="L. Okafor"/>
    <s v="Networking"/>
    <s v="NET-1282"/>
    <n v="1015.91"/>
    <s v="High"/>
    <n v="2331.48"/>
    <n v="0.14599999999999999"/>
    <n v="26"/>
    <n v="24128.64272"/>
    <n v="26413.66"/>
    <n v="-2285.01728"/>
    <n v="-9.4701442866737429E-2"/>
  </r>
  <r>
    <s v="ORD-2024-947056"/>
    <d v="2024-07-31T00:00:00"/>
    <d v="2024-08-15T00:00:00"/>
    <n v="15"/>
    <x v="14"/>
    <s v="Q3-2024"/>
    <x v="1"/>
    <s v="Japan"/>
    <s v="Tokyo"/>
    <s v="Corporate"/>
    <x v="2"/>
    <s v="F. Müller"/>
    <s v="Monitors"/>
    <s v="MON-1564"/>
    <n v="1252.52"/>
    <s v="High"/>
    <n v="1417.24"/>
    <n v="0.192"/>
    <n v="5"/>
    <n v="4083.4300000000003"/>
    <n v="6262.6"/>
    <n v="-2179.17"/>
    <n v="-0.53366165209150151"/>
  </r>
  <r>
    <s v="ORD-2025-856556"/>
    <d v="2025-06-15T00:00:00"/>
    <d v="2025-07-12T00:00:00"/>
    <n v="27"/>
    <x v="16"/>
    <s v="Q2-2025"/>
    <x v="3"/>
    <s v="France"/>
    <s v="Marseille"/>
    <s v="Consumer"/>
    <x v="4"/>
    <s v="C. Otieno"/>
    <s v="Accessories"/>
    <s v="ACC-7906"/>
    <n v="318.83"/>
    <s v="High"/>
    <n v="699.5"/>
    <n v="0.08"/>
    <n v="13"/>
    <n v="4921.3008"/>
    <n v="4144.79"/>
    <n v="776.51080000000002"/>
    <n v="0.15778568137919957"/>
  </r>
  <r>
    <s v="ORD-2024-442776"/>
    <d v="2024-06-30T00:00:00"/>
    <d v="2024-07-21T00:00:00"/>
    <n v="21"/>
    <x v="17"/>
    <s v="Q2-2024"/>
    <x v="0"/>
    <s v="Kenya"/>
    <s v="Kisumu"/>
    <s v="Small Business"/>
    <x v="0"/>
    <s v="K. Singh"/>
    <s v="Laptops"/>
    <s v="LAP-6577"/>
    <n v="753.43"/>
    <s v="High"/>
    <n v="1787.2"/>
    <n v="7.2999999999999995E-2"/>
    <n v="9"/>
    <n v="3448.4956200000001"/>
    <n v="6780.87"/>
    <n v="-3332.3743799999997"/>
    <n v="-0.9663269863744236"/>
  </r>
  <r>
    <s v="ORD-2025-705398"/>
    <d v="2025-02-17T00:00:00"/>
    <d v="2025-02-15T00:00:00"/>
    <n v="2"/>
    <x v="26"/>
    <s v="Q1-2025"/>
    <x v="2"/>
    <s v="Canada"/>
    <s v="Toronto"/>
    <s v="Small Business"/>
    <x v="0"/>
    <s v="D. Smith"/>
    <s v="Components"/>
    <s v="CMP-5065"/>
    <n v="1133.47"/>
    <s v="High"/>
    <n v="1698.75"/>
    <n v="4.2999999999999997E-2"/>
    <n v="5"/>
    <n v="7459.2886500000004"/>
    <n v="5667.35"/>
    <n v="1791.9386500000001"/>
    <n v="0.24022916045754578"/>
  </r>
  <r>
    <s v="ORD-2023-689428"/>
    <d v="2023-01-07T00:00:00"/>
    <d v="2023-01-30T00:00:00"/>
    <n v="23"/>
    <x v="5"/>
    <s v="Q1-2023"/>
    <x v="0"/>
    <s v="South Africa"/>
    <s v="Cape Town"/>
    <s v="Consumer"/>
    <x v="1"/>
    <s v="A. Patel"/>
    <s v="Printers"/>
    <s v="PRN-4787"/>
    <n v="299.02"/>
    <s v="High"/>
    <n v="724.7"/>
    <n v="0.14000000000000001"/>
    <n v="5"/>
    <n v="3702.9880000000003"/>
    <n v="1495.1"/>
    <n v="2207.8880000000004"/>
    <n v="0.59624497837962209"/>
  </r>
  <r>
    <s v="ORD-2025-683247"/>
    <d v="2025-03-10T00:00:00"/>
    <d v="2025-04-04T00:00:00"/>
    <n v="25"/>
    <x v="3"/>
    <s v="Q1-2025"/>
    <x v="1"/>
    <s v="Japan"/>
    <s v="Osaka"/>
    <s v="Corporate"/>
    <x v="4"/>
    <s v="H. Kim"/>
    <s v="Printers"/>
    <s v="PRN-9867"/>
    <n v="783.72"/>
    <s v="High"/>
    <n v="1355.94"/>
    <n v="0.187"/>
    <n v="4"/>
    <n v="7467.4049999999997"/>
    <n v="3134.88"/>
    <n v="4332.5249999999996"/>
    <n v="0.58019151231251009"/>
  </r>
  <r>
    <s v="ORD-2024-585443"/>
    <d v="2024-08-17T00:00:00"/>
    <d v="2024-08-15T00:00:00"/>
    <n v="2"/>
    <x v="21"/>
    <s v="Q3-2024"/>
    <x v="2"/>
    <s v="Brazil"/>
    <s v="Rio de Janeiro"/>
    <s v="Consumer"/>
    <x v="4"/>
    <s v="M. Rossi"/>
    <s v="Monitors"/>
    <s v="MON-2849"/>
    <n v="165.3"/>
    <s v="High"/>
    <n v="275.07"/>
    <n v="0.13300000000000001"/>
    <n v="25"/>
    <n v="57148.305"/>
    <n v="4132.5"/>
    <n v="53015.805"/>
    <n v="0.92768814403156841"/>
  </r>
  <r>
    <s v="ORD-2024-907733"/>
    <d v="2024-03-09T00:00:00"/>
    <d v="2024-03-22T00:00:00"/>
    <n v="13"/>
    <x v="0"/>
    <s v="Q1-2024"/>
    <x v="3"/>
    <s v="United Kingdom"/>
    <s v="Manchester"/>
    <s v="Consumer"/>
    <x v="1"/>
    <s v="E. Garcia"/>
    <s v="Laptops"/>
    <s v="LAP-8633"/>
    <n v="985.45"/>
    <s v="High"/>
    <n v="1802.44"/>
    <n v="8.9999999999999993E-3"/>
    <n v="19"/>
    <n v="18416.456609999997"/>
    <n v="18723.55"/>
    <n v="-307.09339000000182"/>
    <n v="-1.6674944399089911E-2"/>
  </r>
  <r>
    <s v="ORD-2024-550400"/>
    <d v="2024-08-19T00:00:00"/>
    <d v="2024-09-02T00:00:00"/>
    <n v="14"/>
    <x v="21"/>
    <s v="Q3-2024"/>
    <x v="2"/>
    <s v="Canada"/>
    <s v="Toronto"/>
    <s v="Consumer"/>
    <x v="3"/>
    <s v="C. Otieno"/>
    <s v="Printers"/>
    <s v="PRN-9793"/>
    <n v="1337.01"/>
    <s v="High"/>
    <n v="1269.78"/>
    <n v="0.16"/>
    <n v="7"/>
    <n v="3208.8335999999999"/>
    <n v="9359.07"/>
    <n v="-6150.2363999999998"/>
    <n v="-1.916657940754547"/>
  </r>
  <r>
    <s v="ORD-2025-189846"/>
    <d v="2025-08-11T00:00:00"/>
    <d v="2025-08-28T00:00:00"/>
    <n v="17"/>
    <x v="28"/>
    <s v="Q3-2025"/>
    <x v="3"/>
    <s v="France"/>
    <s v="Paris"/>
    <s v="Education"/>
    <x v="1"/>
    <s v="F. Müller"/>
    <s v="Networking"/>
    <s v="NET-6218"/>
    <n v="416.16"/>
    <s v="High"/>
    <n v="571.9"/>
    <n v="7.0999999999999994E-2"/>
    <n v="2"/>
    <n v="2667.2333200000003"/>
    <n v="832.32"/>
    <n v="1834.9133200000001"/>
    <n v="0.6879463098488886"/>
  </r>
  <r>
    <s v="ORD-2025-752192"/>
    <d v="2025-05-16T00:00:00"/>
    <d v="2025-05-18T00:00:00"/>
    <n v="2"/>
    <x v="8"/>
    <s v="Q2-2025"/>
    <x v="1"/>
    <s v="Japan"/>
    <s v="Tokyo"/>
    <s v="Enterprise"/>
    <x v="0"/>
    <s v="J. Njeri"/>
    <s v="Printers"/>
    <s v="PRN-6131"/>
    <n v="1144.3800000000001"/>
    <s v="High"/>
    <n v="2755.04"/>
    <n v="0.15"/>
    <n v="17"/>
    <n v="34640.985000000001"/>
    <n v="19454.460000000003"/>
    <n v="15186.524999999998"/>
    <n v="0.4383976090749151"/>
  </r>
  <r>
    <s v="ORD-2023-294716"/>
    <d v="2023-04-10T00:00:00"/>
    <d v="2023-04-25T00:00:00"/>
    <n v="15"/>
    <x v="12"/>
    <s v="Q2-2023"/>
    <x v="3"/>
    <s v="United Kingdom"/>
    <s v="London"/>
    <s v="Small Business"/>
    <x v="0"/>
    <s v="D. Smith"/>
    <s v="Printers"/>
    <s v="PRN-5067"/>
    <n v="405.66"/>
    <s v="High"/>
    <n v="962.51"/>
    <n v="0.19"/>
    <n v="7"/>
    <n v="10511.386199999999"/>
    <n v="2839.6200000000003"/>
    <n v="7671.7661999999982"/>
    <n v="0.72985294746377016"/>
  </r>
  <r>
    <s v="ORD-2023-552115"/>
    <d v="2023-09-17T00:00:00"/>
    <d v="2023-10-02T00:00:00"/>
    <n v="15"/>
    <x v="27"/>
    <s v="Q3-2023"/>
    <x v="2"/>
    <s v="Brazil"/>
    <s v="Rio de Janeiro"/>
    <s v="Small Business"/>
    <x v="0"/>
    <s v="B. Chen"/>
    <s v="Laptops"/>
    <s v="LAP-4932"/>
    <n v="689.33"/>
    <s v="High"/>
    <n v="668.27"/>
    <n v="0.186"/>
    <n v="13"/>
    <n v="486.56036000000006"/>
    <n v="8961.2900000000009"/>
    <n v="-8474.7296400000014"/>
    <n v="-17.417632706453933"/>
  </r>
  <r>
    <s v="ORD-2023-107265"/>
    <d v="2023-04-22T00:00:00"/>
    <d v="2023-05-14T00:00:00"/>
    <n v="22"/>
    <x v="12"/>
    <s v="Q2-2023"/>
    <x v="1"/>
    <s v="Japan"/>
    <s v="Nagoya"/>
    <s v="Enterprise"/>
    <x v="0"/>
    <s v="A. Patel"/>
    <s v="Accessories"/>
    <s v="ACC-7713"/>
    <n v="1209.22"/>
    <s v="High"/>
    <n v="1404.33"/>
    <n v="0.10299999999999999"/>
    <n v="11"/>
    <n v="0"/>
    <n v="13301.42"/>
    <n v="-13301.42"/>
    <n v="0"/>
  </r>
  <r>
    <s v="ORD-2025-262434"/>
    <d v="2025-06-19T00:00:00"/>
    <d v="2025-06-21T00:00:00"/>
    <n v="2"/>
    <x v="16"/>
    <s v="Q2-2025"/>
    <x v="0"/>
    <s v="South Africa"/>
    <s v="Johannesburg"/>
    <s v="Small Business"/>
    <x v="5"/>
    <s v="H. Kim"/>
    <s v="Phones"/>
    <s v="PHN-7379"/>
    <n v="1466.27"/>
    <s v="High"/>
    <n v="3589.89"/>
    <n v="9.7000000000000003E-2"/>
    <n v="9"/>
    <n v="0"/>
    <n v="13196.43"/>
    <n v="-13196.43"/>
    <n v="0"/>
  </r>
  <r>
    <s v="ORD-2024-266562"/>
    <d v="2024-11-27T00:00:00"/>
    <d v="2024-12-24T00:00:00"/>
    <n v="27"/>
    <x v="18"/>
    <s v="Q4-2024"/>
    <x v="0"/>
    <s v="Kenya"/>
    <s v="Mombasa"/>
    <s v="Corporate"/>
    <x v="3"/>
    <s v="B. Chen"/>
    <s v="Printers"/>
    <s v="PRN-5569"/>
    <n v="143.33000000000001"/>
    <s v="High"/>
    <n v="233.51"/>
    <n v="0.16300000000000001"/>
    <n v="14"/>
    <n v="0"/>
    <n v="2006.6200000000001"/>
    <n v="-2006.6200000000001"/>
    <n v="0"/>
  </r>
  <r>
    <s v="ORD-2024-838925"/>
    <d v="2024-01-28T00:00:00"/>
    <d v="2024-01-27T00:00:00"/>
    <n v="1"/>
    <x v="9"/>
    <s v="Q1-2024"/>
    <x v="0"/>
    <s v="South Africa"/>
    <s v="Cape Town"/>
    <s v="Enterprise"/>
    <x v="4"/>
    <s v="O. Wang"/>
    <s v="Components"/>
    <s v="CMP-1470"/>
    <n v="109.75"/>
    <s v="Medium"/>
    <n v="124.25"/>
    <n v="0.12"/>
    <n v="19"/>
    <n v="0"/>
    <n v="2085.25"/>
    <n v="-2085.25"/>
    <n v="0"/>
  </r>
  <r>
    <s v="ORD-2023-664790"/>
    <d v="2023-04-16T00:00:00"/>
    <d v="2023-04-23T00:00:00"/>
    <n v="7"/>
    <x v="12"/>
    <s v="Q2-2023"/>
    <x v="2"/>
    <s v="USA"/>
    <s v="Austin"/>
    <s v="Corporate"/>
    <x v="3"/>
    <s v="O. Wang"/>
    <s v="Printers"/>
    <s v="PRN-9249"/>
    <n v="1099.1500000000001"/>
    <s v="High"/>
    <n v="1431.37"/>
    <n v="0.104"/>
    <n v="8"/>
    <n v="0"/>
    <n v="8793.2000000000007"/>
    <n v="-8793.2000000000007"/>
    <n v="0"/>
  </r>
  <r>
    <s v="ORD-2024-331408"/>
    <d v="2024-02-01T00:00:00"/>
    <d v="2024-02-01T00:00:00"/>
    <n v="0"/>
    <x v="31"/>
    <s v="Q1-2024"/>
    <x v="2"/>
    <s v="USA"/>
    <s v="Austin"/>
    <s v="Consumer"/>
    <x v="3"/>
    <s v="H. Kim"/>
    <s v="Printers"/>
    <s v="PRN-4906"/>
    <n v="714.43"/>
    <s v="High"/>
    <n v="1595.52"/>
    <n v="0.19400000000000001"/>
    <n v="14"/>
    <n v="0"/>
    <n v="10002.019999999999"/>
    <n v="-10002.019999999999"/>
    <n v="0"/>
  </r>
  <r>
    <s v="ORD-2024-741404"/>
    <d v="2024-10-19T00:00:00"/>
    <d v="2024-11-06T00:00:00"/>
    <n v="18"/>
    <x v="1"/>
    <s v="Q4-2024"/>
    <x v="2"/>
    <s v="USA"/>
    <s v="Chicago"/>
    <s v="Education"/>
    <x v="5"/>
    <s v="C. Otieno"/>
    <s v="Monitors"/>
    <s v="MON-8129"/>
    <n v="942.02"/>
    <s v="High"/>
    <n v="1028.46"/>
    <n v="0"/>
    <n v="9"/>
    <n v="0"/>
    <n v="8478.18"/>
    <n v="-8478.18"/>
    <n v="0"/>
  </r>
  <r>
    <s v="ORD-2024-341535"/>
    <d v="2024-06-25T00:00:00"/>
    <d v="2024-06-30T00:00:00"/>
    <n v="5"/>
    <x v="17"/>
    <s v="Q2-2024"/>
    <x v="0"/>
    <s v="Kenya"/>
    <s v="Kisumu"/>
    <s v="Education"/>
    <x v="4"/>
    <s v="M. Rossi"/>
    <s v="Networking"/>
    <s v="NET-5987"/>
    <n v="1323.55"/>
    <s v="High"/>
    <n v="3230.35"/>
    <n v="2.1999999999999999E-2"/>
    <n v="26"/>
    <n v="0"/>
    <n v="34412.299999999996"/>
    <n v="-34412.299999999996"/>
    <n v="0"/>
  </r>
  <r>
    <s v="ORD-2023-451931"/>
    <d v="2023-07-30T00:00:00"/>
    <d v="2023-08-19T00:00:00"/>
    <n v="20"/>
    <x v="24"/>
    <s v="Q3-2023"/>
    <x v="3"/>
    <s v="France"/>
    <s v="Paris"/>
    <s v="Enterprise"/>
    <x v="2"/>
    <s v="G. Dubois"/>
    <s v="Networking"/>
    <s v="NET-5423"/>
    <n v="1418.51"/>
    <s v="High"/>
    <n v="2789.61"/>
    <n v="0.17100000000000001"/>
    <n v="8"/>
    <n v="0"/>
    <n v="11348.08"/>
    <n v="-11348.08"/>
    <n v="0"/>
  </r>
  <r>
    <s v="ORD-2025-532859"/>
    <d v="2025-03-11T00:00:00"/>
    <d v="2025-03-27T00:00:00"/>
    <n v="16"/>
    <x v="3"/>
    <s v="Q1-2025"/>
    <x v="1"/>
    <s v="Japan"/>
    <s v="Tokyo"/>
    <s v="Enterprise"/>
    <x v="3"/>
    <s v="B. Chen"/>
    <s v="Printers"/>
    <s v="PRN-5264"/>
    <n v="1317.58"/>
    <s v="High"/>
    <n v="1897.74"/>
    <n v="8.1000000000000003E-2"/>
    <n v="6"/>
    <n v="0"/>
    <n v="7905.48"/>
    <n v="-7905.48"/>
    <n v="0"/>
  </r>
  <r>
    <s v="ORD-2023-502205"/>
    <d v="2023-10-09T00:00:00"/>
    <d v="2023-10-11T00:00:00"/>
    <n v="2"/>
    <x v="32"/>
    <s v="Q4-2023"/>
    <x v="0"/>
    <s v="Nigeria"/>
    <s v="Port Harcourt"/>
    <s v="Education"/>
    <x v="2"/>
    <s v="K. Singh"/>
    <s v="Networking"/>
    <s v="NET-8856"/>
    <n v="391.16"/>
    <s v="High"/>
    <n v="902.47"/>
    <n v="4.0000000000000001E-3"/>
    <n v="12"/>
    <n v="0"/>
    <n v="4693.92"/>
    <n v="-4693.92"/>
    <n v="0"/>
  </r>
  <r>
    <s v="ORD-2024-930679"/>
    <d v="2024-12-17T00:00:00"/>
    <d v="2025-01-16T00:00:00"/>
    <n v="30"/>
    <x v="6"/>
    <s v="Q4-2024"/>
    <x v="3"/>
    <s v="United Kingdom"/>
    <s v="Manchester"/>
    <s v="Corporate"/>
    <x v="0"/>
    <s v="D. Smith"/>
    <s v="Monitors"/>
    <s v="MON-4215"/>
    <n v="722.87"/>
    <s v="Low"/>
    <n v="-33.659999999999997"/>
    <n v="0.10199999999999999"/>
    <n v="28"/>
    <n v="0"/>
    <n v="20240.36"/>
    <n v="-20240.36"/>
    <n v="0"/>
  </r>
  <r>
    <s v="ORD-2025-150713"/>
    <d v="2025-07-11T00:00:00"/>
    <d v="2025-07-16T00:00:00"/>
    <n v="5"/>
    <x v="13"/>
    <s v="Q3-2025"/>
    <x v="3"/>
    <s v="United Kingdom"/>
    <s v="London"/>
    <s v="Enterprise"/>
    <x v="1"/>
    <s v="K. Singh"/>
    <s v="Printers"/>
    <s v="PRN-5753"/>
    <n v="930.03"/>
    <s v="High"/>
    <n v="1086.68"/>
    <n v="0.109"/>
    <n v="26"/>
    <n v="0"/>
    <n v="24180.78"/>
    <n v="-24180.78"/>
    <n v="0"/>
  </r>
  <r>
    <s v="ORD-2024-756884"/>
    <d v="2024-10-13T00:00:00"/>
    <d v="2024-10-24T00:00:00"/>
    <n v="11"/>
    <x v="1"/>
    <s v="Q4-2024"/>
    <x v="3"/>
    <s v="France"/>
    <s v="Paris"/>
    <s v="Education"/>
    <x v="3"/>
    <s v="F. Müller"/>
    <s v="Components"/>
    <s v="CMP-5006"/>
    <n v="816.7"/>
    <s v="High"/>
    <n v="1010.75"/>
    <n v="4.7E-2"/>
    <n v="43"/>
    <n v="0"/>
    <n v="35118.1"/>
    <n v="-35118.1"/>
    <n v="0"/>
  </r>
  <r>
    <s v="ORD-2023-755337"/>
    <d v="2023-09-08T00:00:00"/>
    <d v="2023-09-14T00:00:00"/>
    <n v="6"/>
    <x v="27"/>
    <s v="Q3-2023"/>
    <x v="0"/>
    <s v="Kenya"/>
    <s v="Nakuru"/>
    <s v="Education"/>
    <x v="4"/>
    <s v="I. Johnson"/>
    <s v="Accessories"/>
    <s v="ACC-4766"/>
    <n v="251.03"/>
    <s v="High"/>
    <n v="411.48"/>
    <n v="0.16500000000000001"/>
    <n v="3"/>
    <n v="0"/>
    <n v="753.09"/>
    <n v="-753.09"/>
    <n v="0"/>
  </r>
  <r>
    <s v="ORD-2025-907040"/>
    <d v="2025-04-17T00:00:00"/>
    <d v="2025-05-03T00:00:00"/>
    <n v="16"/>
    <x v="19"/>
    <s v="Q2-2025"/>
    <x v="2"/>
    <s v="Brazil"/>
    <s v="Rio de Janeiro"/>
    <s v="Consumer"/>
    <x v="2"/>
    <s v="J. Njeri"/>
    <s v="Networking"/>
    <s v="NET-8610"/>
    <n v="168.68"/>
    <s v="High"/>
    <n v="413.34"/>
    <n v="0.186"/>
    <n v="7"/>
    <n v="0"/>
    <n v="1180.76"/>
    <n v="-1180.76"/>
    <n v="0"/>
  </r>
  <r>
    <s v="ORD-2024-817997"/>
    <d v="2024-07-28T00:00:00"/>
    <d v="2024-08-23T00:00:00"/>
    <n v="26"/>
    <x v="14"/>
    <s v="Q3-2024"/>
    <x v="1"/>
    <s v="India"/>
    <s v="Hyderabad"/>
    <s v="Corporate"/>
    <x v="0"/>
    <s v="J. Njeri"/>
    <s v="Networking"/>
    <s v="NET-4675"/>
    <n v="1339.24"/>
    <s v="High"/>
    <n v="1558.89"/>
    <n v="0.192"/>
    <n v="24"/>
    <n v="0"/>
    <n v="32141.760000000002"/>
    <n v="-32141.760000000002"/>
    <n v="0"/>
  </r>
  <r>
    <s v="ORD-2025-649633"/>
    <d v="2025-07-19T00:00:00"/>
    <d v="2025-07-31T00:00:00"/>
    <n v="12"/>
    <x v="13"/>
    <s v="Q3-2025"/>
    <x v="0"/>
    <s v="Kenya"/>
    <s v="Nairobi"/>
    <s v="Small Business"/>
    <x v="2"/>
    <s v="O. Wang"/>
    <s v="Accessories"/>
    <s v="ACC-1028"/>
    <n v="619.64"/>
    <s v="High"/>
    <n v="861.16"/>
    <n v="0.113"/>
    <n v="14"/>
    <n v="0"/>
    <n v="8674.9599999999991"/>
    <n v="-8674.9599999999991"/>
    <n v="0"/>
  </r>
  <r>
    <s v="ORD-2023-885216"/>
    <d v="2023-08-03T00:00:00"/>
    <d v="2023-08-02T00:00:00"/>
    <n v="1"/>
    <x v="25"/>
    <s v="Q3-2023"/>
    <x v="1"/>
    <s v="China"/>
    <s v="Shanghai"/>
    <s v="Non-Profit"/>
    <x v="4"/>
    <s v="J. Njeri"/>
    <s v="Networking"/>
    <s v="NET-4735"/>
    <n v="1021.97"/>
    <s v="High"/>
    <n v="2296.25"/>
    <n v="0.161"/>
    <n v="26"/>
    <n v="0"/>
    <n v="26571.22"/>
    <n v="-26571.22"/>
    <n v="0"/>
  </r>
  <r>
    <s v="ORD-2023-561823"/>
    <d v="2023-11-19T00:00:00"/>
    <d v="2023-12-12T00:00:00"/>
    <n v="23"/>
    <x v="30"/>
    <s v="Q4-2023"/>
    <x v="1"/>
    <s v="India"/>
    <s v="Delhi"/>
    <s v="Small Business"/>
    <x v="4"/>
    <s v="C. Otieno"/>
    <s v="Networking"/>
    <s v="NET-2460"/>
    <n v="1349.04"/>
    <s v="High"/>
    <n v="2636.6"/>
    <n v="0.114"/>
    <n v="14"/>
    <n v="0"/>
    <n v="18886.559999999998"/>
    <n v="-18886.559999999998"/>
    <n v="0"/>
  </r>
  <r>
    <s v="ORD-2023-249805"/>
    <d v="2023-12-22T00:00:00"/>
    <d v="2024-01-16T00:00:00"/>
    <n v="25"/>
    <x v="4"/>
    <s v="Q4-2023"/>
    <x v="1"/>
    <s v="India"/>
    <s v="Hyderabad"/>
    <s v="Small Business"/>
    <x v="0"/>
    <s v="A. Patel"/>
    <s v="Components"/>
    <s v="CMP-1555"/>
    <n v="1346.81"/>
    <s v="High"/>
    <n v="978.09"/>
    <n v="0.159"/>
    <n v="17"/>
    <n v="0"/>
    <n v="22895.77"/>
    <n v="-22895.77"/>
    <n v="0"/>
  </r>
  <r>
    <s v="ORD-2023-548934"/>
    <d v="2023-08-03T00:00:00"/>
    <d v="2023-08-30T00:00:00"/>
    <n v="27"/>
    <x v="25"/>
    <s v="Q3-2023"/>
    <x v="1"/>
    <s v="China"/>
    <s v="Shanghai"/>
    <s v="Consumer"/>
    <x v="3"/>
    <s v="N. Brown"/>
    <s v="Monitors"/>
    <s v="MON-3773"/>
    <n v="226.04"/>
    <s v="High"/>
    <n v="545.72"/>
    <n v="0.151"/>
    <n v="11"/>
    <n v="0"/>
    <n v="2486.44"/>
    <n v="-2486.44"/>
    <n v="0"/>
  </r>
  <r>
    <s v="ORD-2023-921939"/>
    <d v="2023-06-23T00:00:00"/>
    <d v="2023-07-18T00:00:00"/>
    <n v="25"/>
    <x v="23"/>
    <s v="Q2-2023"/>
    <x v="2"/>
    <s v="Canada"/>
    <s v="Vancouver"/>
    <s v="Enterprise"/>
    <x v="1"/>
    <s v="N. Brown"/>
    <s v="Phones"/>
    <s v="PHN-4677"/>
    <n v="807.02"/>
    <s v="High"/>
    <n v="1435.54"/>
    <n v="0"/>
    <n v="23"/>
    <n v="0"/>
    <n v="18561.46"/>
    <n v="-18561.46"/>
    <n v="0"/>
  </r>
  <r>
    <s v="ORD-2023-961864"/>
    <d v="2023-12-07T00:00:00"/>
    <d v="2024-01-02T00:00:00"/>
    <n v="26"/>
    <x v="4"/>
    <s v="Q4-2023"/>
    <x v="3"/>
    <s v="Germany"/>
    <s v="Frankfurt"/>
    <s v="Enterprise"/>
    <x v="3"/>
    <s v="E. Garcia"/>
    <s v="Components"/>
    <s v="CMP-1940"/>
    <n v="1071.99"/>
    <s v="High"/>
    <n v="2397.3000000000002"/>
    <n v="6.2E-2"/>
    <n v="18"/>
    <n v="0"/>
    <n v="19295.82"/>
    <n v="-19295.82"/>
    <n v="0"/>
  </r>
  <r>
    <s v="ORD-2023-455933"/>
    <d v="2023-11-19T00:00:00"/>
    <d v="2023-12-19T00:00:00"/>
    <n v="0"/>
    <x v="30"/>
    <s v="Q4-2023"/>
    <x v="1"/>
    <s v="Japan"/>
    <s v="Nagoya"/>
    <s v="Consumer"/>
    <x v="0"/>
    <s v="Not Provided"/>
    <s v="Phones"/>
    <s v="PHN-9184"/>
    <n v="807.11"/>
    <s v="High"/>
    <n v="1853.86"/>
    <n v="0.13900000000000001"/>
    <n v="8"/>
    <n v="0"/>
    <n v="6456.88"/>
    <n v="-6456.88"/>
    <n v="0"/>
  </r>
  <r>
    <s v="ORD-2025-728935"/>
    <d v="2025-02-28T00:00:00"/>
    <d v="2025-03-10T00:00:00"/>
    <n v="10"/>
    <x v="26"/>
    <s v="Q1-2025"/>
    <x v="1"/>
    <s v="Japan"/>
    <s v="Osaka"/>
    <s v="Education"/>
    <x v="3"/>
    <s v="N. Brown"/>
    <s v="Laptops"/>
    <s v="LAP-3017"/>
    <n v="51.86"/>
    <s v="Low"/>
    <n v="45.98"/>
    <n v="0.17299999999999999"/>
    <n v="7"/>
    <n v="0"/>
    <n v="363.02"/>
    <n v="-363.02"/>
    <n v="0"/>
  </r>
  <r>
    <m/>
    <m/>
    <m/>
    <m/>
    <x v="33"/>
    <m/>
    <x v="4"/>
    <m/>
    <m/>
    <m/>
    <x v="6"/>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d v="2024-04-06T00:00:00"/>
    <n v="26"/>
    <s v="Mar-2024"/>
    <s v="Q1-2024"/>
    <x v="0"/>
    <s v="Kenya"/>
    <s v="Kisumu"/>
    <s v="Corporate"/>
    <s v="Retail"/>
    <x v="0"/>
    <s v="Components"/>
    <s v="CMP-8270"/>
    <n v="279.24"/>
    <s v="High"/>
    <n v="608.9"/>
    <x v="0"/>
    <n v="9"/>
    <n v="1403.9546399999999"/>
    <n v="2513.16"/>
    <n v="-1109.2053599999999"/>
    <n v="-0.79005783263766982"/>
  </r>
  <r>
    <s v="ORD-2024-358795"/>
    <d v="2024-10-23T00:00:00"/>
    <d v="2024-10-22T00:00:00"/>
    <n v="1"/>
    <s v="Oct-2024"/>
    <s v="Q4-2024"/>
    <x v="0"/>
    <s v="Nigeria"/>
    <s v="Port Harcourt"/>
    <s v="Education"/>
    <s v="Online"/>
    <x v="1"/>
    <s v="Printers"/>
    <s v="PRN-9322"/>
    <n v="1084.3900000000001"/>
    <s v="High"/>
    <n v="759.33"/>
    <x v="1"/>
    <n v="31"/>
    <n v="17934.41419"/>
    <n v="33616.090000000004"/>
    <n v="-15681.675810000004"/>
    <n v="-0.87439018882166253"/>
  </r>
  <r>
    <s v="ORD-2023-373538"/>
    <d v="2023-02-28T00:00:00"/>
    <d v="2023-03-25T00:00:00"/>
    <n v="25"/>
    <s v="Feb-2023"/>
    <s v="Q1-2023"/>
    <x v="0"/>
    <s v="Kenya"/>
    <s v="Nairobi"/>
    <s v="Corporate"/>
    <s v="Retail"/>
    <x v="2"/>
    <s v="Networking"/>
    <s v="NET-9666"/>
    <n v="1460.76"/>
    <s v="Low"/>
    <n v="-30.66"/>
    <x v="2"/>
    <n v="12"/>
    <n v="4534.0944"/>
    <n v="17529.12"/>
    <n v="-12995.025599999999"/>
    <n v="-2.8660686023652264"/>
  </r>
  <r>
    <s v="ORD-2025-168148"/>
    <d v="2025-03-29T00:00:00"/>
    <d v="2025-04-02T00:00:00"/>
    <n v="4"/>
    <s v="Mar-2025"/>
    <s v="Q1-2025"/>
    <x v="0"/>
    <s v="Nigeria"/>
    <s v="Lagos"/>
    <s v="Non-Profit"/>
    <s v="Marketplace"/>
    <x v="3"/>
    <s v="Phones"/>
    <s v="PHN-4556"/>
    <n v="259.93"/>
    <s v="High"/>
    <n v="255.94"/>
    <x v="3"/>
    <n v="22"/>
    <n v="34016.730880000003"/>
    <n v="5718.46"/>
    <n v="28298.270880000004"/>
    <n v="0.83189272301994943"/>
  </r>
  <r>
    <s v="ORD-2023-824839"/>
    <d v="2023-12-06T00:00:00"/>
    <d v="2023-12-31T00:00:00"/>
    <n v="25"/>
    <s v="Dec-2023"/>
    <s v="Q4-2023"/>
    <x v="1"/>
    <s v="Japan"/>
    <s v="Osaka"/>
    <s v="Consumer"/>
    <s v="Retail"/>
    <x v="4"/>
    <s v="Printers"/>
    <s v="PRN-8041"/>
    <n v="663.03"/>
    <s v="High"/>
    <n v="813.51"/>
    <x v="4"/>
    <n v="15"/>
    <n v="8510.0765999999985"/>
    <n v="9945.4499999999989"/>
    <n v="-1435.3734000000004"/>
    <n v="-0.16866750647109341"/>
  </r>
  <r>
    <s v="ORD-2023-723587"/>
    <d v="2023-01-02T00:00:00"/>
    <d v="2023-01-05T00:00:00"/>
    <n v="3"/>
    <s v="Jan-2023"/>
    <s v="Q1-2023"/>
    <x v="2"/>
    <s v="Canada"/>
    <s v="Toronto"/>
    <s v="Corporate"/>
    <s v="Distributor"/>
    <x v="5"/>
    <s v="Laptops"/>
    <s v="LAP-8555"/>
    <n v="315.87"/>
    <s v="High"/>
    <n v="591.67999999999995"/>
    <x v="5"/>
    <n v="7"/>
    <n v="12558.49"/>
    <n v="2211.09"/>
    <n v="10347.4"/>
    <n v="0.82393663569425946"/>
  </r>
  <r>
    <s v="ORD-2024-336584"/>
    <d v="2024-12-27T00:00:00"/>
    <d v="2025-01-14T00:00:00"/>
    <n v="18"/>
    <s v="Dec-2024"/>
    <s v="Q4-2024"/>
    <x v="1"/>
    <s v="India"/>
    <s v="Bengaluru"/>
    <s v="Small Business"/>
    <s v="Marketplace"/>
    <x v="6"/>
    <s v="Monitors"/>
    <s v="MON-8629"/>
    <n v="586.07000000000005"/>
    <s v="High"/>
    <n v="845.97"/>
    <x v="6"/>
    <n v="4"/>
    <n v="8983.864239999999"/>
    <n v="2344.2800000000002"/>
    <n v="6639.5842399999983"/>
    <n v="0.73905660889639613"/>
  </r>
  <r>
    <s v="ORD-2023-112666"/>
    <d v="2023-01-15T00:00:00"/>
    <d v="2023-01-13T00:00:00"/>
    <n v="2"/>
    <s v="Jan-2023"/>
    <s v="Q1-2023"/>
    <x v="0"/>
    <s v="Nigeria"/>
    <s v="Abuja"/>
    <s v="Education"/>
    <s v="Online"/>
    <x v="7"/>
    <s v="Printers"/>
    <s v="PRN-6276"/>
    <n v="28.38"/>
    <s v="Low"/>
    <n v="47.22"/>
    <x v="7"/>
    <n v="18"/>
    <n v="19177.399799999999"/>
    <n v="510.84"/>
    <n v="18666.559799999999"/>
    <n v="0.97336239504168864"/>
  </r>
  <r>
    <s v="ORD-2024-589570"/>
    <d v="2024-05-04T00:00:00"/>
    <d v="2024-05-29T00:00:00"/>
    <n v="25"/>
    <s v="May-2024"/>
    <s v="Q2-2024"/>
    <x v="0"/>
    <s v="Nigeria"/>
    <s v="Abuja"/>
    <s v="Non-Profit"/>
    <s v="Marketplace"/>
    <x v="7"/>
    <s v="Monitors"/>
    <s v="MON-6892"/>
    <n v="1295.3399999999999"/>
    <s v="High"/>
    <n v="2530.81"/>
    <x v="8"/>
    <n v="6"/>
    <n v="17656.36218"/>
    <n v="7772.0399999999991"/>
    <n v="9884.322180000001"/>
    <n v="0.55981646044825306"/>
  </r>
  <r>
    <s v="ORD-2025-997421"/>
    <d v="2025-05-21T00:00:00"/>
    <d v="2025-06-09T00:00:00"/>
    <n v="19"/>
    <s v="May-2025"/>
    <s v="Q2-2025"/>
    <x v="2"/>
    <s v="Brazil"/>
    <s v="São Paulo"/>
    <s v="Non-Profit"/>
    <s v="Online"/>
    <x v="8"/>
    <s v="Components"/>
    <s v="CMP-3731"/>
    <n v="1331.38"/>
    <s v="High"/>
    <n v="2309.56"/>
    <x v="9"/>
    <n v="31"/>
    <n v="5259.5799699999998"/>
    <n v="41272.780000000006"/>
    <n v="-36013.200030000007"/>
    <n v="-6.8471627459635354"/>
  </r>
  <r>
    <s v="ORD-2024-210687"/>
    <d v="2024-01-28T00:00:00"/>
    <d v="2024-02-09T00:00:00"/>
    <n v="12"/>
    <s v="Jan-2024"/>
    <s v="Q1-2024"/>
    <x v="3"/>
    <s v="Germany"/>
    <s v="Berlin"/>
    <s v="Corporate"/>
    <s v="Online"/>
    <x v="3"/>
    <s v="Accessories"/>
    <s v="ACC-7938"/>
    <n v="644.16999999999996"/>
    <s v="High"/>
    <n v="700.12"/>
    <x v="10"/>
    <n v="23"/>
    <n v="21204.733619999999"/>
    <n v="14815.91"/>
    <n v="6388.8236199999992"/>
    <n v="0.30129233097152197"/>
  </r>
  <r>
    <s v="ORD-2025-515515"/>
    <d v="2025-01-03T00:00:00"/>
    <d v="2025-01-23T00:00:00"/>
    <n v="20"/>
    <s v="Jan-2025"/>
    <s v="Q1-2025"/>
    <x v="1"/>
    <s v="Japan"/>
    <s v="Osaka"/>
    <s v="Corporate"/>
    <s v="Distributor"/>
    <x v="9"/>
    <s v="Phones"/>
    <s v="PHN-7019"/>
    <n v="908.6"/>
    <s v="High"/>
    <n v="691.37"/>
    <x v="11"/>
    <n v="20"/>
    <n v="26031.15"/>
    <n v="18172"/>
    <n v="7859.1500000000015"/>
    <n v="0.30191328466087747"/>
  </r>
  <r>
    <s v="ORD-2025-487261"/>
    <d v="2025-03-06T00:00:00"/>
    <d v="2025-03-31T00:00:00"/>
    <n v="25"/>
    <s v="Mar-2025"/>
    <s v="Q1-2025"/>
    <x v="2"/>
    <s v="Brazil"/>
    <s v="Brasília"/>
    <s v="Non-Profit"/>
    <s v="Online"/>
    <x v="1"/>
    <s v="Components"/>
    <s v="CMP-3693"/>
    <n v="331.57"/>
    <s v="High"/>
    <n v="548.4"/>
    <x v="12"/>
    <n v="10"/>
    <n v="12644.498400000002"/>
    <n v="3315.7"/>
    <n v="9328.7984000000033"/>
    <n v="0.73777528415045723"/>
  </r>
  <r>
    <s v="ORD-2024-890180"/>
    <d v="2024-01-20T00:00:00"/>
    <d v="2024-02-13T00:00:00"/>
    <n v="24"/>
    <s v="Jan-2024"/>
    <s v="Q1-2024"/>
    <x v="3"/>
    <s v="France"/>
    <s v="Marseille"/>
    <s v="Corporate"/>
    <s v="Retail"/>
    <x v="10"/>
    <s v="Printers"/>
    <s v="PRN-8392"/>
    <n v="643.53"/>
    <s v="High"/>
    <n v="1439.01"/>
    <x v="5"/>
    <n v="15"/>
    <n v="6816.3"/>
    <n v="9652.9499999999989"/>
    <n v="-2836.6499999999987"/>
    <n v="-0.4161568592931647"/>
  </r>
  <r>
    <s v="ORD-2025-840976"/>
    <d v="2025-09-01T00:00:00"/>
    <d v="2025-09-30T00:00:00"/>
    <n v="29"/>
    <s v="Sept-2025"/>
    <s v="Q3-2025"/>
    <x v="2"/>
    <s v="Brazil"/>
    <s v="Brasília"/>
    <s v="Education"/>
    <s v="Retail"/>
    <x v="11"/>
    <s v="Accessories"/>
    <s v="ACC-1663"/>
    <n v="780.59"/>
    <s v="High"/>
    <n v="631.57000000000005"/>
    <x v="5"/>
    <n v="12"/>
    <n v="18971.64"/>
    <n v="9367.08"/>
    <n v="9604.56"/>
    <n v="0.50625881579030596"/>
  </r>
  <r>
    <s v="ORD-2023-937291"/>
    <d v="2023-04-23T00:00:00"/>
    <d v="2023-04-22T00:00:00"/>
    <n v="1"/>
    <s v="Apr-2023"/>
    <s v="Q2-2023"/>
    <x v="0"/>
    <s v="Kenya"/>
    <s v="Nairobi"/>
    <s v="Small Business"/>
    <s v="Direct"/>
    <x v="6"/>
    <s v="Laptops"/>
    <s v="LAP-1698"/>
    <n v="756.51"/>
    <s v="High"/>
    <n v="850.8"/>
    <x v="13"/>
    <n v="9"/>
    <n v="14666.089860000002"/>
    <n v="6808.59"/>
    <n v="7857.4998600000017"/>
    <n v="0.53575969702943038"/>
  </r>
  <r>
    <s v="ORD-2024-206081"/>
    <d v="2024-12-10T00:00:00"/>
    <d v="2025-01-08T00:00:00"/>
    <n v="29"/>
    <s v="Dec-2024"/>
    <s v="Q4-2024"/>
    <x v="3"/>
    <s v="France"/>
    <s v="Marseille"/>
    <s v="Small Business"/>
    <s v="Retail"/>
    <x v="11"/>
    <s v="Printers"/>
    <s v="PRN-6791"/>
    <n v="891.08"/>
    <s v="High"/>
    <n v="1040.0999999999999"/>
    <x v="14"/>
    <n v="28"/>
    <n v="79945.865999999995"/>
    <n v="24950.240000000002"/>
    <n v="54995.625999999989"/>
    <n v="0.68791081705212864"/>
  </r>
  <r>
    <s v="ORD-2025-233883"/>
    <d v="2025-09-08T00:00:00"/>
    <d v="2025-09-16T00:00:00"/>
    <n v="8"/>
    <s v="Sept-2025"/>
    <s v="Q3-2025"/>
    <x v="1"/>
    <s v="Japan"/>
    <s v="Osaka"/>
    <s v="Corporate"/>
    <s v="Distributor"/>
    <x v="0"/>
    <s v="Phones"/>
    <s v="PHN-1197"/>
    <n v="1225.57"/>
    <s v="High"/>
    <n v="2705.57"/>
    <x v="15"/>
    <n v="16"/>
    <n v="14842.34096"/>
    <n v="19609.12"/>
    <n v="-4766.7790399999994"/>
    <n v="-0.32116086356232038"/>
  </r>
  <r>
    <s v="ORD-2025-843974"/>
    <d v="2025-07-20T00:00:00"/>
    <d v="2025-08-05T00:00:00"/>
    <n v="16"/>
    <s v="Jul-2025"/>
    <s v="Q3-2025"/>
    <x v="2"/>
    <s v="Brazil"/>
    <s v="Brasília"/>
    <s v="Enterprise"/>
    <s v="Marketplace"/>
    <x v="3"/>
    <s v="Accessories"/>
    <s v="ACC-8098"/>
    <n v="1068.17"/>
    <s v="High"/>
    <n v="2375.37"/>
    <x v="14"/>
    <n v="18"/>
    <n v="15979.62168"/>
    <n v="19227.060000000001"/>
    <n v="-3247.4383200000011"/>
    <n v="-0.20322372988745258"/>
  </r>
  <r>
    <s v="ORD-2025-745263"/>
    <d v="2025-05-21T00:00:00"/>
    <d v="2025-05-19T00:00:00"/>
    <n v="2"/>
    <s v="May-2025"/>
    <s v="Q2-2025"/>
    <x v="3"/>
    <s v="United Kingdom"/>
    <s v="Birmingham"/>
    <s v="Enterprise"/>
    <s v="Online"/>
    <x v="12"/>
    <s v="Laptops"/>
    <s v="LAP-3385"/>
    <n v="1015.16"/>
    <s v="High"/>
    <n v="2148.14"/>
    <x v="16"/>
    <n v="19"/>
    <n v="25535.279900000001"/>
    <n v="19288.04"/>
    <n v="6247.2399000000005"/>
    <n v="0.24465131866441769"/>
  </r>
  <r>
    <s v="ORD-2024-798002"/>
    <d v="2024-07-25T00:00:00"/>
    <d v="2024-07-24T00:00:00"/>
    <n v="1"/>
    <s v="Jul-2024"/>
    <s v="Q3-2024"/>
    <x v="0"/>
    <s v="Kenya"/>
    <s v="Mombasa"/>
    <s v="Non-Profit"/>
    <s v="Direct"/>
    <x v="1"/>
    <s v="Laptops"/>
    <s v="LAP-9815"/>
    <n v="1494.4"/>
    <s v="High"/>
    <n v="3661.07"/>
    <x v="3"/>
    <n v="7"/>
    <n v="3565.5894400000002"/>
    <n v="10460.800000000001"/>
    <n v="-6895.2105600000014"/>
    <n v="-1.9338206700544864"/>
  </r>
  <r>
    <s v="ORD-2023-867836"/>
    <d v="2023-05-11T00:00:00"/>
    <d v="2023-05-28T00:00:00"/>
    <n v="17"/>
    <s v="May-2023"/>
    <s v="Q2-2023"/>
    <x v="1"/>
    <s v="China"/>
    <s v="Shenzhen"/>
    <s v="Enterprise"/>
    <s v="Marketplace"/>
    <x v="6"/>
    <s v="Networking"/>
    <s v="NET-3255"/>
    <n v="1331.19"/>
    <s v="High"/>
    <n v="2903.09"/>
    <x v="17"/>
    <n v="8"/>
    <n v="24160.543999999998"/>
    <n v="10649.52"/>
    <n v="13511.023999999998"/>
    <n v="0.55921853415221112"/>
  </r>
  <r>
    <s v="ORD-2025-580047"/>
    <d v="2025-06-14T00:00:00"/>
    <d v="2025-06-29T00:00:00"/>
    <n v="15"/>
    <s v="Jun-2025"/>
    <s v="Q2-2025"/>
    <x v="0"/>
    <s v="Nigeria"/>
    <s v="Port Harcourt"/>
    <s v="Consumer"/>
    <s v="Marketplace"/>
    <x v="12"/>
    <s v="Accessories"/>
    <s v="ACC-3961"/>
    <n v="730.99"/>
    <s v="High"/>
    <n v="1242.8399999999999"/>
    <x v="18"/>
    <n v="10"/>
    <n v="16065.367999999999"/>
    <n v="7309.9"/>
    <n v="8755.4679999999989"/>
    <n v="0.54499019256826231"/>
  </r>
  <r>
    <s v="ORD-2024-500109"/>
    <d v="2024-05-18T00:00:00"/>
    <d v="2024-05-23T00:00:00"/>
    <n v="5"/>
    <s v="May-2024"/>
    <s v="Q2-2024"/>
    <x v="2"/>
    <s v="USA"/>
    <s v="Chicago"/>
    <s v="Enterprise"/>
    <s v="Retail"/>
    <x v="10"/>
    <s v="Laptops"/>
    <s v="LAP-4987"/>
    <n v="1274.5899999999999"/>
    <s v="High"/>
    <n v="2553.69"/>
    <x v="19"/>
    <n v="8"/>
    <n v="14187.650399999999"/>
    <n v="10196.719999999999"/>
    <n v="3990.9303999999993"/>
    <n v="0.28129607704458237"/>
  </r>
  <r>
    <s v="ORD-2023-271836"/>
    <d v="2023-02-07T00:00:00"/>
    <d v="2023-02-12T00:00:00"/>
    <n v="5"/>
    <s v="Feb-2023"/>
    <s v="Q1-2023"/>
    <x v="2"/>
    <s v="Brazil"/>
    <s v="São Paulo"/>
    <s v="Education"/>
    <s v="Online"/>
    <x v="13"/>
    <s v="Components"/>
    <s v="CMP-2693"/>
    <n v="948.55"/>
    <s v="High"/>
    <n v="2089.16"/>
    <x v="20"/>
    <n v="12"/>
    <n v="31336.100999999999"/>
    <n v="11382.599999999999"/>
    <n v="19953.501"/>
    <n v="0.63675761703729516"/>
  </r>
  <r>
    <s v="ORD-2024-215294"/>
    <d v="2024-06-30T00:00:00"/>
    <d v="2024-07-14T00:00:00"/>
    <n v="14"/>
    <s v="Jun-2024"/>
    <s v="Q2-2024"/>
    <x v="2"/>
    <s v="Brazil"/>
    <s v="Brasília"/>
    <s v="Education"/>
    <s v="Retail"/>
    <x v="0"/>
    <s v="Accessories"/>
    <s v="ACC-8683"/>
    <n v="1491.85"/>
    <s v="High"/>
    <n v="2583.02"/>
    <x v="21"/>
    <n v="4"/>
    <n v="353.76639999999998"/>
    <n v="5967.4"/>
    <n v="-5613.6335999999992"/>
    <n v="-15.868193248426079"/>
  </r>
  <r>
    <s v="ORD-2024-788105"/>
    <d v="2024-11-30T00:00:00"/>
    <d v="2024-12-30T00:00:00"/>
    <n v="0"/>
    <s v="Nov-2024"/>
    <s v="Q4-2024"/>
    <x v="3"/>
    <s v="France"/>
    <s v="Marseille"/>
    <s v="Consumer"/>
    <s v="Marketplace"/>
    <x v="9"/>
    <s v="Printers"/>
    <s v="PRN-4170"/>
    <n v="117.64"/>
    <s v="Medium"/>
    <n v="175.67"/>
    <x v="5"/>
    <n v="10"/>
    <n v="3857.2000000000003"/>
    <n v="1176.4000000000001"/>
    <n v="2680.8"/>
    <n v="0.69501192574924819"/>
  </r>
  <r>
    <s v="ORD-2024-855073"/>
    <d v="2024-07-19T00:00:00"/>
    <d v="2024-07-19T00:00:00"/>
    <n v="0"/>
    <s v="Jul-2024"/>
    <s v="Q3-2024"/>
    <x v="0"/>
    <s v="Kenya"/>
    <s v="Kisumu"/>
    <s v="Small Business"/>
    <s v="Retail"/>
    <x v="8"/>
    <s v="Phones"/>
    <s v="PHN-6854"/>
    <n v="857.24"/>
    <s v="High"/>
    <n v="758.23"/>
    <x v="22"/>
    <n v="6"/>
    <n v="1243.5675000000001"/>
    <n v="5143.4400000000005"/>
    <n v="-3899.8725000000004"/>
    <n v="-3.1360360414694015"/>
  </r>
  <r>
    <s v="ORD-2023-897079"/>
    <d v="2023-04-14T00:00:00"/>
    <d v="2023-05-14T00:00:00"/>
    <n v="0"/>
    <s v="Apr-2023"/>
    <s v="Q2-2023"/>
    <x v="0"/>
    <s v="Kenya"/>
    <s v="Nakuru"/>
    <s v="Consumer"/>
    <s v="Marketplace"/>
    <x v="12"/>
    <s v="Phones"/>
    <s v="PHN-1784"/>
    <n v="209.25"/>
    <s v="High"/>
    <n v="434.8"/>
    <x v="5"/>
    <n v="9"/>
    <n v="377.09999999999997"/>
    <n v="1883.25"/>
    <n v="-1506.15"/>
    <n v="-3.9940334128878288"/>
  </r>
  <r>
    <s v="ORD-2025-548982"/>
    <d v="2025-04-07T00:00:00"/>
    <d v="2025-04-11T00:00:00"/>
    <n v="4"/>
    <s v="Apr-2025"/>
    <s v="Q2-2025"/>
    <x v="3"/>
    <s v="France"/>
    <s v="Lyon"/>
    <s v="Education"/>
    <s v="Retail"/>
    <x v="6"/>
    <s v="Networking"/>
    <s v="NET-9716"/>
    <n v="754.77"/>
    <s v="High"/>
    <n v="1666.18"/>
    <x v="23"/>
    <n v="14"/>
    <n v="11781.338519999999"/>
    <n v="10566.779999999999"/>
    <n v="1214.5585200000005"/>
    <n v="0.10309172577786183"/>
  </r>
  <r>
    <s v="ORD-2024-170313"/>
    <d v="2024-12-27T00:00:00"/>
    <d v="2025-01-15T00:00:00"/>
    <n v="19"/>
    <s v="Dec-2024"/>
    <s v="Q4-2024"/>
    <x v="1"/>
    <s v="India"/>
    <s v="Delhi"/>
    <s v="Non-Profit"/>
    <s v="Distributor"/>
    <x v="3"/>
    <s v="Components"/>
    <s v="CMP-6919"/>
    <n v="495.59"/>
    <s v="High"/>
    <n v="631.78"/>
    <x v="24"/>
    <n v="17"/>
    <n v="43367.691729999999"/>
    <n v="8425.0299999999988"/>
    <n v="34942.66173"/>
    <n v="0.8057302645376464"/>
  </r>
  <r>
    <s v="ORD-2023-562894"/>
    <d v="2023-02-23T00:00:00"/>
    <d v="2023-03-25T00:00:00"/>
    <n v="2"/>
    <s v="Feb-2023"/>
    <s v="Q1-2023"/>
    <x v="2"/>
    <s v="Canada"/>
    <s v="Montreal"/>
    <s v="Enterprise"/>
    <s v="Online"/>
    <x v="14"/>
    <s v="Phones"/>
    <s v="PHN-4854"/>
    <n v="1242.6600000000001"/>
    <s v="High"/>
    <n v="1794.07"/>
    <x v="25"/>
    <n v="16"/>
    <n v="10231.623200000002"/>
    <n v="19882.560000000001"/>
    <n v="-9650.9367999999995"/>
    <n v="-0.94324591624914389"/>
  </r>
  <r>
    <s v="ORD-2025-474710"/>
    <d v="2025-07-24T00:00:00"/>
    <d v="2025-08-06T00:00:00"/>
    <n v="13"/>
    <s v="Jul-2025"/>
    <s v="Q3-2025"/>
    <x v="0"/>
    <s v="South Africa"/>
    <s v="Johannesburg"/>
    <s v="Education"/>
    <s v="Marketplace"/>
    <x v="14"/>
    <s v="Networking"/>
    <s v="NET-7966"/>
    <n v="1463.9"/>
    <s v="High"/>
    <n v="2633.02"/>
    <x v="26"/>
    <n v="4"/>
    <n v="-19.309279999999998"/>
    <n v="5855.6"/>
    <n v="-5874.9092800000008"/>
    <n v="304.25315081660227"/>
  </r>
  <r>
    <s v="ORD-2024-629525"/>
    <d v="2024-04-18T00:00:00"/>
    <d v="2024-05-08T00:00:00"/>
    <n v="20"/>
    <s v="Apr-2024"/>
    <s v="Q2-2024"/>
    <x v="3"/>
    <s v="United Kingdom"/>
    <s v="London"/>
    <s v="Non-Profit"/>
    <s v="Not Provided"/>
    <x v="14"/>
    <s v="Laptops"/>
    <s v="LAP-9932"/>
    <n v="645.33000000000004"/>
    <s v="High"/>
    <n v="1321.85"/>
    <x v="5"/>
    <n v="10"/>
    <n v="14370.599999999999"/>
    <n v="6453.3"/>
    <n v="7917.2999999999984"/>
    <n v="0.55093733038286496"/>
  </r>
  <r>
    <s v="ORD-2024-167215"/>
    <d v="2024-08-23T00:00:00"/>
    <d v="2024-08-21T00:00:00"/>
    <n v="2"/>
    <s v="Aug-2024"/>
    <s v="Q3-2024"/>
    <x v="0"/>
    <s v="South Africa"/>
    <s v="Johannesburg"/>
    <s v="Education"/>
    <s v="Retail"/>
    <x v="6"/>
    <s v="Components"/>
    <s v="CMP-1559"/>
    <n v="1432.52"/>
    <s v="High"/>
    <n v="3036.87"/>
    <x v="5"/>
    <n v="9"/>
    <n v="17207.010000000002"/>
    <n v="12892.68"/>
    <n v="4314.3300000000017"/>
    <n v="0.25073095209452434"/>
  </r>
  <r>
    <s v="ORD-2023-864121"/>
    <d v="2023-03-27T00:00:00"/>
    <d v="2023-04-22T00:00:00"/>
    <n v="26"/>
    <s v="Mar-2023"/>
    <s v="Q1-2023"/>
    <x v="1"/>
    <s v="India"/>
    <s v="Delhi"/>
    <s v="Non-Profit"/>
    <s v="Marketplace"/>
    <x v="1"/>
    <s v="Printers"/>
    <s v="PRN-4506"/>
    <n v="178.53"/>
    <s v="Medium"/>
    <n v="199.37"/>
    <x v="27"/>
    <n v="37"/>
    <n v="86276.904139999999"/>
    <n v="6605.61"/>
    <n v="79671.294139999998"/>
    <n v="0.92343709981432354"/>
  </r>
  <r>
    <s v="ORD-2024-692673"/>
    <d v="2024-03-07T00:00:00"/>
    <d v="2024-03-25T00:00:00"/>
    <n v="18"/>
    <s v="Mar-2024"/>
    <s v="Q1-2024"/>
    <x v="3"/>
    <s v="Germany"/>
    <s v="Munich"/>
    <s v="Corporate"/>
    <s v="Online"/>
    <x v="5"/>
    <s v="Components"/>
    <s v="CMP-7617"/>
    <n v="712.84"/>
    <s v="High"/>
    <n v="927.51"/>
    <x v="28"/>
    <n v="27"/>
    <n v="25427.751119999997"/>
    <n v="19246.68"/>
    <n v="6181.0711199999969"/>
    <n v="0.24308367227718869"/>
  </r>
  <r>
    <s v="ORD-2025-718992"/>
    <d v="2025-06-24T00:00:00"/>
    <d v="2025-07-10T00:00:00"/>
    <n v="16"/>
    <s v="Jun-2025"/>
    <s v="Q2-2025"/>
    <x v="1"/>
    <s v="China"/>
    <s v="Shanghai"/>
    <s v="Enterprise"/>
    <s v="Direct"/>
    <x v="13"/>
    <s v="Components"/>
    <s v="CMP-8390"/>
    <n v="757.19"/>
    <s v="High"/>
    <n v="1735.41"/>
    <x v="29"/>
    <n v="8"/>
    <n v="13219.269119999999"/>
    <n v="6057.52"/>
    <n v="7161.7491199999986"/>
    <n v="0.54176589151700383"/>
  </r>
  <r>
    <s v="ORD-2024-599522"/>
    <d v="2024-04-19T00:00:00"/>
    <d v="2024-05-06T00:00:00"/>
    <n v="17"/>
    <s v="Apr-2024"/>
    <s v="Q2-2024"/>
    <x v="0"/>
    <s v="Nigeria"/>
    <s v="Port Harcourt"/>
    <s v="Non-Profit"/>
    <s v="Online"/>
    <x v="8"/>
    <s v="Printers"/>
    <s v="PRN-7303"/>
    <n v="865.33"/>
    <s v="High"/>
    <n v="1395.64"/>
    <x v="30"/>
    <n v="13"/>
    <n v="8106.7057499999992"/>
    <n v="11249.29"/>
    <n v="-3142.5842500000017"/>
    <n v="-0.38765243822991874"/>
  </r>
  <r>
    <s v="ORD-2023-651638"/>
    <d v="2023-06-17T00:00:00"/>
    <d v="2023-06-24T00:00:00"/>
    <n v="7"/>
    <s v="Jun-2023"/>
    <s v="Q2-2023"/>
    <x v="2"/>
    <s v="USA"/>
    <s v="San Francisco"/>
    <s v="Corporate"/>
    <s v="Retail"/>
    <x v="2"/>
    <s v="Printers"/>
    <s v="PRN-6536"/>
    <n v="313.99"/>
    <s v="High"/>
    <n v="454.42"/>
    <x v="31"/>
    <n v="9"/>
    <n v="8980.9071300000014"/>
    <n v="2825.91"/>
    <n v="6154.9971300000016"/>
    <n v="0.68534247608904963"/>
  </r>
  <r>
    <s v="ORD-2024-635626"/>
    <d v="2024-08-27T00:00:00"/>
    <d v="2024-09-19T00:00:00"/>
    <n v="23"/>
    <s v="Aug-2024"/>
    <s v="Q3-2024"/>
    <x v="3"/>
    <s v="Germany"/>
    <s v="Berlin"/>
    <s v="Small Business"/>
    <s v="Direct"/>
    <x v="14"/>
    <s v="Monitors"/>
    <s v="MON-9967"/>
    <n v="1024.01"/>
    <s v="High"/>
    <n v="1580.97"/>
    <x v="32"/>
    <n v="27"/>
    <n v="32087.834099999996"/>
    <n v="27648.27"/>
    <n v="4439.564099999996"/>
    <n v="0.13835661472707492"/>
  </r>
  <r>
    <s v="ORD-2024-296582"/>
    <d v="2024-01-11T00:00:00"/>
    <d v="2024-02-02T00:00:00"/>
    <n v="22"/>
    <s v="Jan-2024"/>
    <s v="Q1-2024"/>
    <x v="0"/>
    <s v="South Africa"/>
    <s v="Durban"/>
    <s v="Consumer"/>
    <s v="Online"/>
    <x v="11"/>
    <s v="Networking"/>
    <s v="NET-1412"/>
    <n v="1206.2"/>
    <s v="High"/>
    <n v="1759.79"/>
    <x v="5"/>
    <n v="6"/>
    <n v="7368.0599999999995"/>
    <n v="7237.2000000000007"/>
    <n v="130.85999999999876"/>
    <n v="1.7760441690214082E-2"/>
  </r>
  <r>
    <s v="ORD-2024-998320"/>
    <d v="2024-10-25T00:00:00"/>
    <d v="2024-11-14T00:00:00"/>
    <n v="20"/>
    <s v="Oct-2024"/>
    <s v="Q4-2024"/>
    <x v="0"/>
    <s v="Kenya"/>
    <s v="Mombasa"/>
    <s v="Corporate"/>
    <s v="Direct"/>
    <x v="10"/>
    <s v="Printers"/>
    <s v="PRN-3143"/>
    <n v="1396.48"/>
    <s v="High"/>
    <n v="3204.5"/>
    <x v="33"/>
    <n v="14"/>
    <n v="5778.7360400000007"/>
    <n v="19550.72"/>
    <n v="-13771.983960000001"/>
    <n v="-2.3832173445319715"/>
  </r>
  <r>
    <s v="ORD-2025-820255"/>
    <d v="2025-05-29T00:00:00"/>
    <d v="2025-06-20T00:00:00"/>
    <n v="22"/>
    <s v="May-2025"/>
    <s v="Q2-2025"/>
    <x v="3"/>
    <s v="Germany"/>
    <s v="Berlin"/>
    <s v="Corporate"/>
    <s v="Direct"/>
    <x v="8"/>
    <s v="Printers"/>
    <s v="PRN-9787"/>
    <n v="483.47"/>
    <s v="High"/>
    <n v="1135.43"/>
    <x v="34"/>
    <n v="11"/>
    <n v="17662.129100000002"/>
    <n v="5318.17"/>
    <n v="12343.959100000002"/>
    <n v="0.6988941723905755"/>
  </r>
  <r>
    <s v="ORD-2024-389336"/>
    <d v="2024-05-20T00:00:00"/>
    <d v="2024-06-02T00:00:00"/>
    <n v="13"/>
    <s v="May-2024"/>
    <s v="Q2-2024"/>
    <x v="2"/>
    <s v="Canada"/>
    <s v="Vancouver"/>
    <s v="Enterprise"/>
    <s v="Marketplace"/>
    <x v="11"/>
    <s v="Components"/>
    <s v="CMP-5946"/>
    <n v="675.43"/>
    <s v="High"/>
    <n v="996.36"/>
    <x v="35"/>
    <n v="22"/>
    <n v="22844.122400000004"/>
    <n v="14859.46"/>
    <n v="7984.6624000000047"/>
    <n v="0.34952808692707771"/>
  </r>
  <r>
    <s v="ORD-2023-308124"/>
    <d v="2023-04-19T00:00:00"/>
    <d v="2023-04-30T00:00:00"/>
    <n v="11"/>
    <s v="Apr-2023"/>
    <s v="Q2-2023"/>
    <x v="1"/>
    <s v="India"/>
    <s v="Delhi"/>
    <s v="Small Business"/>
    <s v="Retail"/>
    <x v="8"/>
    <s v="Networking"/>
    <s v="NET-2062"/>
    <n v="826.55"/>
    <s v="High"/>
    <n v="1397.05"/>
    <x v="36"/>
    <n v="28"/>
    <n v="14447.799239999997"/>
    <n v="23143.399999999998"/>
    <n v="-8695.6007600000012"/>
    <n v="-0.6018633437212686"/>
  </r>
  <r>
    <s v="ORD-2023-128295"/>
    <d v="2023-06-23T00:00:00"/>
    <d v="2023-07-03T00:00:00"/>
    <n v="10"/>
    <s v="Jun-2023"/>
    <s v="Q2-2023"/>
    <x v="0"/>
    <s v="Nigeria"/>
    <s v="Abuja"/>
    <s v="Consumer"/>
    <s v="Online"/>
    <x v="1"/>
    <s v="Printers"/>
    <s v="PRN-2542"/>
    <n v="337.75"/>
    <s v="High"/>
    <n v="548.89"/>
    <x v="5"/>
    <n v="13"/>
    <n v="18926.830000000002"/>
    <n v="4390.75"/>
    <n v="14536.080000000002"/>
    <n v="0.76801450639119173"/>
  </r>
  <r>
    <s v="ORD-2024-548345"/>
    <d v="2024-05-14T00:00:00"/>
    <d v="2024-05-28T00:00:00"/>
    <n v="14"/>
    <s v="May-2024"/>
    <s v="Q2-2024"/>
    <x v="3"/>
    <s v="United Kingdom"/>
    <s v="Birmingham"/>
    <s v="Consumer"/>
    <s v="Retail"/>
    <x v="5"/>
    <s v="Networking"/>
    <s v="NET-2365"/>
    <n v="1421.14"/>
    <s v="High"/>
    <n v="3524"/>
    <x v="5"/>
    <n v="31"/>
    <n v="16939.329999999998"/>
    <n v="44055.340000000004"/>
    <n v="-27116.010000000006"/>
    <n v="-1.6007722855626527"/>
  </r>
  <r>
    <s v="ORD-2024-966651"/>
    <d v="2024-10-14T00:00:00"/>
    <d v="2024-11-08T00:00:00"/>
    <n v="25"/>
    <s v="Oct-2024"/>
    <s v="Q4-2024"/>
    <x v="0"/>
    <s v="Nigeria"/>
    <s v="Lagos"/>
    <s v="Enterprise"/>
    <s v="Online"/>
    <x v="7"/>
    <s v="Networking"/>
    <s v="NET-5268"/>
    <n v="859.35"/>
    <s v="High"/>
    <n v="1825.61"/>
    <x v="37"/>
    <n v="24"/>
    <n v="26300.615040000001"/>
    <n v="20624.400000000001"/>
    <n v="5676.2150399999991"/>
    <n v="0.21582061983596865"/>
  </r>
  <r>
    <s v="ORD-2023-292714"/>
    <d v="2023-07-10T00:00:00"/>
    <d v="2023-08-01T00:00:00"/>
    <n v="22"/>
    <s v="Jul-2023"/>
    <s v="Q3-2023"/>
    <x v="3"/>
    <s v="France"/>
    <s v="Marseille"/>
    <s v="Consumer"/>
    <s v="Marketplace"/>
    <x v="5"/>
    <s v="Printers"/>
    <s v="PRN-1504"/>
    <n v="1303.56"/>
    <s v="High"/>
    <n v="1791.37"/>
    <x v="38"/>
    <n v="22"/>
    <n v="21312.892040000002"/>
    <n v="28678.32"/>
    <n v="-7365.4279599999973"/>
    <n v="-0.34558557075110097"/>
  </r>
  <r>
    <s v="ORD-2024-468501"/>
    <d v="2024-11-06T00:00:00"/>
    <d v="2024-11-22T00:00:00"/>
    <n v="16"/>
    <s v="Nov-2024"/>
    <s v="Q4-2024"/>
    <x v="2"/>
    <s v="Canada"/>
    <s v="Toronto"/>
    <s v="Non-Profit"/>
    <s v="Distributor"/>
    <x v="14"/>
    <s v="Accessories"/>
    <s v="ACC-6348"/>
    <n v="1454.11"/>
    <s v="High"/>
    <n v="2629.75"/>
    <x v="39"/>
    <n v="8"/>
    <n v="17808.182399999998"/>
    <n v="11632.88"/>
    <n v="6175.3023999999987"/>
    <n v="0.34676769707839467"/>
  </r>
  <r>
    <s v="ORD-2024-260775"/>
    <d v="2024-10-17T00:00:00"/>
    <d v="2024-11-06T00:00:00"/>
    <n v="20"/>
    <s v="Oct-2024"/>
    <s v="Q4-2024"/>
    <x v="1"/>
    <s v="India"/>
    <s v="Bengaluru"/>
    <s v="Enterprise"/>
    <s v="Distributor"/>
    <x v="7"/>
    <s v="Monitors"/>
    <s v="MON-4330"/>
    <n v="72.94"/>
    <s v="Medium"/>
    <n v="106.3"/>
    <x v="40"/>
    <n v="8"/>
    <n v="11819.917200000002"/>
    <n v="583.52"/>
    <n v="11236.397200000001"/>
    <n v="0.95063247989588284"/>
  </r>
  <r>
    <s v="ORD-2023-419187"/>
    <d v="2023-03-31T00:00:00"/>
    <d v="2023-04-05T00:00:00"/>
    <n v="5"/>
    <s v="Mar-2023"/>
    <s v="Q1-2023"/>
    <x v="0"/>
    <s v="Kenya"/>
    <s v="Nakuru"/>
    <s v="Education"/>
    <s v="Marketplace"/>
    <x v="5"/>
    <s v="Laptops"/>
    <s v="LAP-7819"/>
    <n v="533.26"/>
    <s v="High"/>
    <n v="385.72"/>
    <x v="5"/>
    <n v="15"/>
    <n v="10554.3"/>
    <n v="7998.9"/>
    <n v="2555.3999999999996"/>
    <n v="0.24211932577243397"/>
  </r>
  <r>
    <s v="ORD-2025-578007"/>
    <d v="2025-01-21T00:00:00"/>
    <d v="2025-02-16T00:00:00"/>
    <n v="26"/>
    <s v="Jan-2025"/>
    <s v="Q1-2025"/>
    <x v="3"/>
    <s v="France"/>
    <s v="Lyon"/>
    <s v="Corporate"/>
    <s v="Distributor"/>
    <x v="7"/>
    <s v="Laptops"/>
    <s v="LAP-3779"/>
    <n v="204.11"/>
    <s v="High"/>
    <n v="236.87"/>
    <x v="35"/>
    <n v="13"/>
    <n v="21238.118460000002"/>
    <n v="2653.4300000000003"/>
    <n v="18584.688460000001"/>
    <n v="0.87506284961177294"/>
  </r>
  <r>
    <s v="ORD-2023-235230"/>
    <d v="2023-08-30T00:00:00"/>
    <d v="2023-09-01T00:00:00"/>
    <n v="2"/>
    <s v="Aug-2023"/>
    <s v="Q3-2023"/>
    <x v="3"/>
    <s v="Germany"/>
    <s v="Munich"/>
    <s v="Corporate"/>
    <s v="Direct"/>
    <x v="13"/>
    <s v="Networking"/>
    <s v="NET-9989"/>
    <n v="44.42"/>
    <s v="Low"/>
    <n v="41.9"/>
    <x v="41"/>
    <n v="6"/>
    <n v="14195.647199999998"/>
    <n v="266.52"/>
    <n v="13929.127199999997"/>
    <n v="0.9812252307876459"/>
  </r>
  <r>
    <s v="ORD-2025-765220"/>
    <d v="2025-04-06T00:00:00"/>
    <d v="2025-04-30T00:00:00"/>
    <n v="24"/>
    <s v="Apr-2025"/>
    <s v="Q2-2025"/>
    <x v="2"/>
    <s v="Brazil"/>
    <s v="Brasília"/>
    <s v="Education"/>
    <s v="Online"/>
    <x v="11"/>
    <s v="Monitors"/>
    <s v="MON-4925"/>
    <n v="855.78"/>
    <s v="High"/>
    <n v="977.38"/>
    <x v="6"/>
    <n v="38"/>
    <n v="48735.421419999999"/>
    <n v="32519.64"/>
    <n v="16215.781419999999"/>
    <n v="0.33273091619036216"/>
  </r>
  <r>
    <s v="ORD-2025-931538"/>
    <d v="2025-02-09T00:00:00"/>
    <d v="2025-03-01T00:00:00"/>
    <n v="20"/>
    <s v="Feb-2025"/>
    <s v="Q1-2025"/>
    <x v="2"/>
    <s v="Brazil"/>
    <s v="São Paulo"/>
    <s v="Corporate"/>
    <s v="Distributor"/>
    <x v="5"/>
    <s v="Laptops"/>
    <s v="LAP-6989"/>
    <n v="1154.6400000000001"/>
    <s v="High"/>
    <n v="2794.13"/>
    <x v="42"/>
    <n v="11"/>
    <n v="4119.0446000000002"/>
    <n v="12701.04"/>
    <n v="-8581.9953999999998"/>
    <n v="-2.0834917398078185"/>
  </r>
  <r>
    <s v="ORD-2024-289089"/>
    <d v="2024-12-17T00:00:00"/>
    <d v="2024-12-18T00:00:00"/>
    <n v="1"/>
    <s v="Dec-2024"/>
    <s v="Q4-2024"/>
    <x v="3"/>
    <s v="Germany"/>
    <s v="Munich"/>
    <s v="Education"/>
    <s v="Retail"/>
    <x v="4"/>
    <s v="Accessories"/>
    <s v="ACC-5780"/>
    <n v="346.82"/>
    <s v="High"/>
    <n v="701.95"/>
    <x v="6"/>
    <n v="8"/>
    <n v="304.14567999999997"/>
    <n v="2774.56"/>
    <n v="-2470.4143199999999"/>
    <n v="-8.122470521363315"/>
  </r>
  <r>
    <s v="ORD-2025-639542"/>
    <d v="2025-06-09T00:00:00"/>
    <d v="2025-06-18T00:00:00"/>
    <n v="9"/>
    <s v="Jun-2025"/>
    <s v="Q2-2025"/>
    <x v="3"/>
    <s v="France"/>
    <s v="Marseille"/>
    <s v="Small Business"/>
    <s v="Marketplace"/>
    <x v="10"/>
    <s v="Accessories"/>
    <s v="ACC-1770"/>
    <n v="1225.5"/>
    <s v="Low"/>
    <n v="-5.27"/>
    <x v="43"/>
    <n v="56"/>
    <n v="93667.868000000002"/>
    <n v="68628"/>
    <n v="25039.868000000002"/>
    <n v="0.2673261229774121"/>
  </r>
  <r>
    <s v="ORD-2025-762301"/>
    <d v="2025-05-02T00:00:00"/>
    <d v="2025-05-13T00:00:00"/>
    <n v="11"/>
    <s v="May-2025"/>
    <s v="Q2-2025"/>
    <x v="0"/>
    <s v="Kenya"/>
    <s v="Nakuru"/>
    <s v="Small Business"/>
    <s v="Online"/>
    <x v="8"/>
    <s v="Accessories"/>
    <s v="ACC-2252"/>
    <n v="1057.5999999999999"/>
    <s v="High"/>
    <n v="1437.06"/>
    <x v="44"/>
    <n v="4"/>
    <n v="4086.5861999999997"/>
    <n v="4230.3999999999996"/>
    <n v="-143.8137999999999"/>
    <n v="-3.5191671718560573E-2"/>
  </r>
  <r>
    <s v="ORD-2024-906395"/>
    <d v="2024-03-10T00:00:00"/>
    <d v="2024-04-09T00:00:00"/>
    <n v="30"/>
    <s v="Mar-2024"/>
    <s v="Q1-2024"/>
    <x v="3"/>
    <s v="France"/>
    <s v="Lyon"/>
    <s v="Corporate"/>
    <s v="Direct"/>
    <x v="2"/>
    <s v="Components"/>
    <s v="CMP-8002"/>
    <n v="1176.56"/>
    <s v="High"/>
    <n v="1911.89"/>
    <x v="45"/>
    <n v="20"/>
    <n v="29568.826800000003"/>
    <n v="23531.199999999997"/>
    <n v="6037.6268000000055"/>
    <n v="0.20418891966319086"/>
  </r>
  <r>
    <s v="ORD-2025-779574"/>
    <d v="2025-09-10T00:00:00"/>
    <d v="2025-09-12T00:00:00"/>
    <n v="2"/>
    <s v="Sept-2025"/>
    <s v="Q3-2025"/>
    <x v="1"/>
    <s v="Japan"/>
    <s v="Tokyo"/>
    <s v="Consumer"/>
    <s v="Online"/>
    <x v="7"/>
    <s v="Components"/>
    <s v="CMP-6971"/>
    <n v="1470.15"/>
    <s v="High"/>
    <n v="2593.7800000000002"/>
    <x v="46"/>
    <n v="12"/>
    <n v="7255.4580000000005"/>
    <n v="17641.800000000003"/>
    <n v="-10386.342000000002"/>
    <n v="-1.4315212078961799"/>
  </r>
  <r>
    <s v="ORD-2025-526650"/>
    <d v="2025-04-27T00:00:00"/>
    <d v="2025-05-25T00:00:00"/>
    <n v="28"/>
    <s v="Apr-2025"/>
    <s v="Q2-2025"/>
    <x v="3"/>
    <s v="France"/>
    <s v="Paris"/>
    <s v="Small Business"/>
    <s v="Marketplace"/>
    <x v="2"/>
    <s v="Phones"/>
    <s v="PHN-8350"/>
    <n v="603.45000000000005"/>
    <s v="High"/>
    <n v="1244.08"/>
    <x v="47"/>
    <n v="11"/>
    <n v="9767.2960000000003"/>
    <n v="6637.9500000000007"/>
    <n v="3129.3459999999995"/>
    <n v="0.32039020830330106"/>
  </r>
  <r>
    <s v="ORD-2024-247979"/>
    <d v="2024-11-02T00:00:00"/>
    <d v="2024-11-18T00:00:00"/>
    <n v="16"/>
    <s v="Nov-2024"/>
    <s v="Q4-2024"/>
    <x v="1"/>
    <s v="India"/>
    <s v="Mumbai"/>
    <s v="Small Business"/>
    <s v="Distributor"/>
    <x v="7"/>
    <s v="Monitors"/>
    <s v="MON-5188"/>
    <n v="1233.58"/>
    <s v="High"/>
    <n v="1912.51"/>
    <x v="48"/>
    <n v="51"/>
    <n v="3175.2421499999996"/>
    <n v="62912.579999999994"/>
    <n v="-59737.337849999996"/>
    <n v="-18.813474698299782"/>
  </r>
  <r>
    <s v="ORD-2023-480975"/>
    <d v="2023-02-15T00:00:00"/>
    <d v="2023-02-26T00:00:00"/>
    <n v="11"/>
    <s v="Feb-2023"/>
    <s v="Q1-2023"/>
    <x v="0"/>
    <s v="South Africa"/>
    <s v="Johannesburg"/>
    <s v="Non-Profit"/>
    <s v="Retail"/>
    <x v="11"/>
    <s v="Laptops"/>
    <s v="LAP-3393"/>
    <n v="498.5"/>
    <s v="High"/>
    <n v="755.87"/>
    <x v="49"/>
    <n v="40"/>
    <n v="44693.64"/>
    <n v="19940"/>
    <n v="24753.64"/>
    <n v="0.55385150996875621"/>
  </r>
  <r>
    <s v="ORD-2023-239789"/>
    <d v="2023-12-03T00:00:00"/>
    <d v="2023-12-26T00:00:00"/>
    <n v="23"/>
    <s v="Dec-2023"/>
    <s v="Q4-2023"/>
    <x v="2"/>
    <s v="Brazil"/>
    <s v="Rio de Janeiro"/>
    <s v="Education"/>
    <s v="Retail"/>
    <x v="7"/>
    <s v="Phones"/>
    <s v="PHN-4644"/>
    <n v="1303.1099999999999"/>
    <s v="High"/>
    <n v="1145.67"/>
    <x v="50"/>
    <n v="13"/>
    <n v="9671.5257600000004"/>
    <n v="16940.43"/>
    <n v="-7268.9042399999998"/>
    <n v="-0.75157781929952694"/>
  </r>
  <r>
    <s v="ORD-2023-548874"/>
    <d v="2023-03-19T00:00:00"/>
    <d v="2023-04-09T00:00:00"/>
    <n v="21"/>
    <s v="Mar-2023"/>
    <s v="Q1-2023"/>
    <x v="3"/>
    <s v="United Kingdom"/>
    <s v="Manchester"/>
    <s v="Consumer"/>
    <s v="Retail"/>
    <x v="4"/>
    <s v="Accessories"/>
    <s v="ACC-9150"/>
    <n v="1082.17"/>
    <s v="High"/>
    <n v="1234.0999999999999"/>
    <x v="51"/>
    <n v="16"/>
    <n v="18232.188319999997"/>
    <n v="17314.72"/>
    <n v="917.46831999999631"/>
    <n v="5.0321349467061474E-2"/>
  </r>
  <r>
    <s v="ORD-2024-347736"/>
    <d v="2024-05-22T00:00:00"/>
    <d v="2024-06-06T00:00:00"/>
    <n v="15"/>
    <s v="May-2024"/>
    <s v="Q2-2024"/>
    <x v="1"/>
    <s v="Japan"/>
    <s v="Nagoya"/>
    <s v="Corporate"/>
    <s v="Distributor"/>
    <x v="0"/>
    <s v="Monitors"/>
    <s v="MON-6870"/>
    <n v="673.88"/>
    <s v="High"/>
    <n v="1228.01"/>
    <x v="52"/>
    <n v="13"/>
    <n v="11273.616900000001"/>
    <n v="8760.44"/>
    <n v="2513.1769000000004"/>
    <n v="0.22292551913840536"/>
  </r>
  <r>
    <s v="ORD-2023-749324"/>
    <d v="2023-08-19T00:00:00"/>
    <d v="2023-09-07T00:00:00"/>
    <n v="19"/>
    <s v="Aug-2023"/>
    <s v="Q3-2023"/>
    <x v="0"/>
    <s v="South Africa"/>
    <s v="Johannesburg"/>
    <s v="Enterprise"/>
    <s v="Retail"/>
    <x v="14"/>
    <s v="Monitors"/>
    <s v="MON-2296"/>
    <n v="494.61"/>
    <s v="High"/>
    <n v="605.23"/>
    <x v="53"/>
    <n v="18"/>
    <n v="15600.46968"/>
    <n v="8902.98"/>
    <n v="6697.4896800000006"/>
    <n v="0.42931333590464055"/>
  </r>
  <r>
    <s v="ORD-2023-809913"/>
    <d v="2023-04-21T00:00:00"/>
    <d v="2023-05-10T00:00:00"/>
    <n v="19"/>
    <s v="Apr-2023"/>
    <s v="Q2-2023"/>
    <x v="1"/>
    <s v="China"/>
    <s v="Shanghai"/>
    <s v="Corporate"/>
    <s v="Retail"/>
    <x v="8"/>
    <s v="Components"/>
    <s v="CMP-7371"/>
    <n v="882.33"/>
    <s v="High"/>
    <n v="1880.15"/>
    <x v="54"/>
    <n v="5"/>
    <n v="11803.702499999998"/>
    <n v="4411.6500000000005"/>
    <n v="7392.0524999999971"/>
    <n v="0.6262486283435218"/>
  </r>
  <r>
    <s v="ORD-2024-287210"/>
    <d v="2024-03-18T00:00:00"/>
    <d v="2024-03-21T00:00:00"/>
    <n v="3"/>
    <s v="Mar-2024"/>
    <s v="Q1-2024"/>
    <x v="3"/>
    <s v="Germany"/>
    <s v="Munich"/>
    <s v="Small Business"/>
    <s v="Online"/>
    <x v="12"/>
    <s v="Accessories"/>
    <s v="ACC-2761"/>
    <n v="910.63"/>
    <s v="High"/>
    <n v="1269.4000000000001"/>
    <x v="55"/>
    <n v="9"/>
    <n v="240.65172000000001"/>
    <n v="8195.67"/>
    <n v="-7955.0182800000002"/>
    <n v="-33.05614553679483"/>
  </r>
  <r>
    <s v="ORD-2025-640677"/>
    <d v="2025-04-09T00:00:00"/>
    <d v="2025-05-06T00:00:00"/>
    <n v="27"/>
    <s v="Apr-2025"/>
    <s v="Q2-2025"/>
    <x v="2"/>
    <s v="Brazil"/>
    <s v="Brasília"/>
    <s v="Enterprise"/>
    <s v="Marketplace"/>
    <x v="9"/>
    <s v="Laptops"/>
    <s v="LAP-4517"/>
    <n v="264.19"/>
    <s v="High"/>
    <n v="620.92999999999995"/>
    <x v="56"/>
    <n v="12"/>
    <n v="19527.59952"/>
    <n v="3170.2799999999997"/>
    <n v="16357.319520000001"/>
    <n v="0.83765132028885447"/>
  </r>
  <r>
    <s v="ORD-2024-939873"/>
    <d v="2024-04-12T00:00:00"/>
    <d v="2024-05-07T00:00:00"/>
    <n v="25"/>
    <s v="Apr-2024"/>
    <s v="Q2-2024"/>
    <x v="0"/>
    <s v="South Africa"/>
    <s v="Johannesburg"/>
    <s v="Education"/>
    <s v="Distributor"/>
    <x v="8"/>
    <s v="Laptops"/>
    <s v="LAP-8489"/>
    <n v="1376.51"/>
    <s v="High"/>
    <n v="1455.91"/>
    <x v="57"/>
    <n v="17"/>
    <n v="5807.6003499999997"/>
    <n v="23400.67"/>
    <n v="-17593.069649999998"/>
    <n v="-3.0293182364037841"/>
  </r>
  <r>
    <s v="ORD-2024-800947"/>
    <d v="2024-12-15T00:00:00"/>
    <d v="2024-12-20T00:00:00"/>
    <n v="5"/>
    <s v="Dec-2024"/>
    <s v="Q4-2024"/>
    <x v="1"/>
    <s v="China"/>
    <s v="Shenzhen"/>
    <s v="Small Business"/>
    <s v="Direct"/>
    <x v="1"/>
    <s v="Networking"/>
    <s v="NET-1846"/>
    <n v="717.55"/>
    <s v="High"/>
    <n v="546.42999999999995"/>
    <x v="58"/>
    <n v="18"/>
    <n v="34328.070179999995"/>
    <n v="12915.9"/>
    <n v="21412.170179999994"/>
    <n v="0.62375106050893059"/>
  </r>
  <r>
    <s v="ORD-2023-382272"/>
    <d v="2023-05-20T00:00:00"/>
    <d v="2023-05-18T00:00:00"/>
    <n v="2"/>
    <s v="May-2023"/>
    <s v="Q2-2023"/>
    <x v="0"/>
    <s v="South Africa"/>
    <s v="Durban"/>
    <s v="Corporate"/>
    <s v="Distributor"/>
    <x v="8"/>
    <s v="Components"/>
    <s v="CMP-5208"/>
    <n v="917.88"/>
    <s v="High"/>
    <n v="1347.92"/>
    <x v="59"/>
    <n v="5"/>
    <n v="10198.97235"/>
    <n v="4589.3999999999996"/>
    <n v="5609.5723500000004"/>
    <n v="0.55001348738826616"/>
  </r>
  <r>
    <s v="ORD-2023-722117"/>
    <d v="2023-09-18T00:00:00"/>
    <d v="2023-10-08T00:00:00"/>
    <n v="20"/>
    <s v="Sept-2023"/>
    <s v="Q3-2023"/>
    <x v="1"/>
    <s v="India"/>
    <s v="Delhi"/>
    <s v="Small Business"/>
    <s v="Direct"/>
    <x v="5"/>
    <s v="Components"/>
    <s v="CMP-1009"/>
    <n v="825.64"/>
    <s v="High"/>
    <n v="1108.43"/>
    <x v="60"/>
    <n v="7"/>
    <n v="2073.2045600000001"/>
    <n v="5779.48"/>
    <n v="-3706.2754399999994"/>
    <n v="-1.7877036890175464"/>
  </r>
  <r>
    <s v="ORD-2024-446699"/>
    <d v="2024-08-28T00:00:00"/>
    <d v="2024-09-25T00:00:00"/>
    <n v="28"/>
    <s v="Aug-2024"/>
    <s v="Q3-2024"/>
    <x v="2"/>
    <s v="Brazil"/>
    <s v="Rio de Janeiro"/>
    <s v="Non-Profit"/>
    <s v="Online"/>
    <x v="15"/>
    <s v="Accessories"/>
    <s v="ACC-4490"/>
    <n v="1394.65"/>
    <s v="High"/>
    <n v="3144.1"/>
    <x v="61"/>
    <n v="13"/>
    <n v="21984.960139999999"/>
    <n v="18130.45"/>
    <n v="3854.5101399999985"/>
    <n v="0.17532486370020767"/>
  </r>
  <r>
    <s v="ORD-2024-451005"/>
    <d v="2024-06-30T00:00:00"/>
    <d v="2024-06-28T00:00:00"/>
    <n v="2"/>
    <s v="Jun-2024"/>
    <s v="Q2-2024"/>
    <x v="2"/>
    <s v="Brazil"/>
    <s v="Rio de Janeiro"/>
    <s v="Small Business"/>
    <s v="Direct"/>
    <x v="4"/>
    <s v="Accessories"/>
    <s v="ACC-9162"/>
    <n v="1112.98"/>
    <s v="High"/>
    <n v="2095.73"/>
    <x v="3"/>
    <n v="17"/>
    <n v="3822.3670400000005"/>
    <n v="18920.66"/>
    <n v="-15098.292959999999"/>
    <n v="-3.9499851275402365"/>
  </r>
  <r>
    <s v="ORD-2023-290279"/>
    <d v="2023-06-14T00:00:00"/>
    <d v="2023-06-16T00:00:00"/>
    <n v="2"/>
    <s v="Jun-2023"/>
    <s v="Q2-2023"/>
    <x v="3"/>
    <s v="United Kingdom"/>
    <s v="Manchester"/>
    <s v="Non-Profit"/>
    <s v="Direct"/>
    <x v="11"/>
    <s v="Components"/>
    <s v="CMP-5820"/>
    <n v="357.36"/>
    <s v="High"/>
    <n v="703.62"/>
    <x v="62"/>
    <n v="20"/>
    <n v="44117.408199999998"/>
    <n v="7147.2000000000007"/>
    <n v="36970.208199999994"/>
    <n v="0.83799592288832592"/>
  </r>
  <r>
    <s v="ORD-2024-192263"/>
    <d v="2024-11-21T00:00:00"/>
    <d v="2024-12-21T00:00:00"/>
    <n v="0"/>
    <s v="Nov-2024"/>
    <s v="Q4-2024"/>
    <x v="3"/>
    <s v="France"/>
    <s v="Marseille"/>
    <s v="Small Business"/>
    <s v="Direct"/>
    <x v="2"/>
    <s v="Monitors"/>
    <s v="MON-7943"/>
    <n v="1122.68"/>
    <s v="High"/>
    <n v="1997.19"/>
    <x v="63"/>
    <n v="3"/>
    <n v="3404.8806"/>
    <n v="3368.04"/>
    <n v="36.840599999999995"/>
    <n v="1.081993888420052E-2"/>
  </r>
  <r>
    <s v="ORD-2023-159379"/>
    <d v="2023-02-08T00:00:00"/>
    <d v="2023-02-11T00:00:00"/>
    <n v="3"/>
    <s v="Feb-2023"/>
    <s v="Q1-2023"/>
    <x v="0"/>
    <s v="South Africa"/>
    <s v="Cape Town"/>
    <s v="Corporate"/>
    <s v="Direct"/>
    <x v="12"/>
    <s v="Networking"/>
    <s v="NET-5018"/>
    <n v="1410.05"/>
    <s v="High"/>
    <n v="2763.95"/>
    <x v="64"/>
    <n v="26"/>
    <n v="336.15374000000003"/>
    <n v="36661.299999999996"/>
    <n v="-36325.146259999994"/>
    <n v="-108.06110995522462"/>
  </r>
  <r>
    <s v="ORD-2023-343322"/>
    <d v="2023-08-19T00:00:00"/>
    <d v="2023-09-12T00:00:00"/>
    <n v="24"/>
    <s v="Aug-2023"/>
    <s v="Q3-2023"/>
    <x v="2"/>
    <s v="Canada"/>
    <s v="Vancouver"/>
    <s v="Enterprise"/>
    <s v="Retail"/>
    <x v="2"/>
    <s v="Printers"/>
    <s v="PRN-9669"/>
    <n v="1183.95"/>
    <s v="High"/>
    <n v="1503.53"/>
    <x v="65"/>
    <n v="16"/>
    <n v="27333.836640000001"/>
    <n v="18943.2"/>
    <n v="8390.6366400000006"/>
    <n v="0.30696885879976488"/>
  </r>
  <r>
    <s v="ORD-2025-114382"/>
    <d v="2025-05-14T00:00:00"/>
    <d v="2025-05-24T00:00:00"/>
    <n v="10"/>
    <s v="May-2025"/>
    <s v="Q2-2025"/>
    <x v="3"/>
    <s v="France"/>
    <s v="Paris"/>
    <s v="Small Business"/>
    <s v="Marketplace"/>
    <x v="11"/>
    <s v="Components"/>
    <s v="CMP-2865"/>
    <n v="170.39"/>
    <s v="High"/>
    <n v="388.04"/>
    <x v="26"/>
    <n v="15"/>
    <n v="2281.3896"/>
    <n v="2555.85"/>
    <n v="-274.46039999999994"/>
    <n v="-0.12030404627074653"/>
  </r>
  <r>
    <s v="ORD-2025-488349"/>
    <d v="2025-04-23T00:00:00"/>
    <d v="2025-04-22T00:00:00"/>
    <n v="1"/>
    <s v="Apr-2025"/>
    <s v="Q2-2025"/>
    <x v="2"/>
    <s v="USA"/>
    <s v="San Francisco"/>
    <s v="Non-Profit"/>
    <s v="Distributor"/>
    <x v="14"/>
    <s v="Monitors"/>
    <s v="MON-3371"/>
    <n v="23.24"/>
    <s v="Low"/>
    <n v="44.57"/>
    <x v="66"/>
    <n v="15"/>
    <n v="4198.3762500000003"/>
    <n v="348.59999999999997"/>
    <n v="3849.7762500000003"/>
    <n v="0.91696789919674304"/>
  </r>
  <r>
    <s v="ORD-2025-330203"/>
    <d v="2025-03-25T00:00:00"/>
    <d v="2025-04-17T00:00:00"/>
    <n v="23"/>
    <s v="Mar-2025"/>
    <s v="Q1-2025"/>
    <x v="3"/>
    <s v="United Kingdom"/>
    <s v="London"/>
    <s v="Consumer"/>
    <s v="Retail"/>
    <x v="10"/>
    <s v="Networking"/>
    <s v="NET-7166"/>
    <n v="1421.19"/>
    <s v="High"/>
    <n v="1808.26"/>
    <x v="67"/>
    <n v="13"/>
    <n v="11939.7824"/>
    <n v="18475.47"/>
    <n v="-6535.6876000000011"/>
    <n v="-0.54738749677716081"/>
  </r>
  <r>
    <s v="ORD-2023-841426"/>
    <d v="2023-12-22T00:00:00"/>
    <d v="2023-12-23T00:00:00"/>
    <n v="1"/>
    <s v="Dec-2023"/>
    <s v="Q4-2023"/>
    <x v="0"/>
    <s v="South Africa"/>
    <s v="Cape Town"/>
    <s v="Non-Profit"/>
    <s v="Marketplace"/>
    <x v="14"/>
    <s v="Components"/>
    <s v="CMP-4531"/>
    <n v="1186.18"/>
    <s v="High"/>
    <n v="1285.0899999999999"/>
    <x v="68"/>
    <n v="11"/>
    <n v="18364.589100000001"/>
    <n v="13047.980000000001"/>
    <n v="5316.6090999999997"/>
    <n v="0.28950329740838032"/>
  </r>
  <r>
    <s v="ORD-2024-594592"/>
    <d v="2024-04-06T00:00:00"/>
    <d v="2024-04-25T00:00:00"/>
    <n v="19"/>
    <s v="Apr-2024"/>
    <s v="Q2-2024"/>
    <x v="1"/>
    <s v="China"/>
    <s v="Shanghai"/>
    <s v="Corporate"/>
    <s v="Retail"/>
    <x v="11"/>
    <s v="Components"/>
    <s v="CMP-8196"/>
    <n v="1366.48"/>
    <s v="High"/>
    <n v="1678.14"/>
    <x v="69"/>
    <n v="10"/>
    <n v="36.970199999999998"/>
    <n v="13664.8"/>
    <n v="-13627.8298"/>
    <n v="-368.61661013464897"/>
  </r>
  <r>
    <s v="ORD-2025-863978"/>
    <d v="2025-08-07T00:00:00"/>
    <d v="2025-08-19T00:00:00"/>
    <n v="12"/>
    <s v="Aug-2025"/>
    <s v="Q3-2025"/>
    <x v="0"/>
    <s v="Kenya"/>
    <s v="Nakuru"/>
    <s v="Corporate"/>
    <s v="Not Provided"/>
    <x v="12"/>
    <s v="Components"/>
    <s v="CMP-2854"/>
    <n v="601.51"/>
    <s v="High"/>
    <n v="679.35"/>
    <x v="70"/>
    <n v="3"/>
    <n v="532.26600000000008"/>
    <n v="1804.53"/>
    <n v="-1272.2639999999999"/>
    <n v="-2.3902785449380568"/>
  </r>
  <r>
    <s v="ORD-2024-604471"/>
    <d v="2024-01-21T00:00:00"/>
    <d v="2024-01-25T00:00:00"/>
    <n v="4"/>
    <s v="Jan-2024"/>
    <s v="Q1-2024"/>
    <x v="1"/>
    <s v="India"/>
    <s v="Delhi"/>
    <s v="Consumer"/>
    <s v="Direct"/>
    <x v="0"/>
    <s v="Monitors"/>
    <s v="MON-8973"/>
    <n v="523.70000000000005"/>
    <s v="High"/>
    <n v="1109.92"/>
    <x v="71"/>
    <n v="11"/>
    <n v="2666.1129000000001"/>
    <n v="5760.7000000000007"/>
    <n v="-3094.5871000000006"/>
    <n v="-1.160711198689298"/>
  </r>
  <r>
    <s v="ORD-2023-258768"/>
    <d v="2023-06-29T00:00:00"/>
    <d v="2023-07-02T00:00:00"/>
    <n v="3"/>
    <s v="Jun-2023"/>
    <s v="Q2-2023"/>
    <x v="1"/>
    <s v="Japan"/>
    <s v="Nagoya"/>
    <s v="Education"/>
    <s v="Marketplace"/>
    <x v="9"/>
    <s v="Monitors"/>
    <s v="MON-2990"/>
    <n v="55.65"/>
    <s v="Medium"/>
    <n v="83.57"/>
    <x v="72"/>
    <n v="8"/>
    <n v="25677.677439999999"/>
    <n v="445.2"/>
    <n v="25232.477439999999"/>
    <n v="0.98266198331059018"/>
  </r>
  <r>
    <s v="ORD-2025-626047"/>
    <d v="2025-04-28T00:00:00"/>
    <d v="2025-05-15T00:00:00"/>
    <n v="17"/>
    <s v="Apr-2025"/>
    <s v="Q2-2025"/>
    <x v="1"/>
    <s v="Japan"/>
    <s v="Nagoya"/>
    <s v="Education"/>
    <s v="Direct"/>
    <x v="13"/>
    <s v="Networking"/>
    <s v="NET-1966"/>
    <n v="691.19"/>
    <s v="High"/>
    <n v="1284.3"/>
    <x v="13"/>
    <n v="7"/>
    <n v="346.46290000000005"/>
    <n v="4838.33"/>
    <n v="-4491.8670999999995"/>
    <n v="-12.964929578318483"/>
  </r>
  <r>
    <s v="ORD-2025-526752"/>
    <d v="2025-06-09T00:00:00"/>
    <d v="2025-06-25T00:00:00"/>
    <n v="16"/>
    <s v="Jun-2025"/>
    <s v="Q2-2025"/>
    <x v="1"/>
    <s v="India"/>
    <s v="Hyderabad"/>
    <s v="Enterprise"/>
    <s v="Distributor"/>
    <x v="12"/>
    <s v="Phones"/>
    <s v="PHN-3482"/>
    <n v="527.33000000000004"/>
    <s v="High"/>
    <n v="911.72"/>
    <x v="41"/>
    <n v="25"/>
    <n v="74251.58"/>
    <n v="13183.250000000002"/>
    <n v="61068.33"/>
    <n v="0.82245158958233622"/>
  </r>
  <r>
    <s v="ORD-2023-374486"/>
    <d v="2023-06-24T00:00:00"/>
    <d v="2023-06-23T00:00:00"/>
    <n v="1"/>
    <s v="Jun-2023"/>
    <s v="Q2-2023"/>
    <x v="2"/>
    <s v="Brazil"/>
    <s v="Rio de Janeiro"/>
    <s v="Non-Profit"/>
    <s v="Retail"/>
    <x v="6"/>
    <s v="Printers"/>
    <s v="PRN-6490"/>
    <n v="804.01"/>
    <s v="High"/>
    <n v="1405.07"/>
    <x v="73"/>
    <n v="8"/>
    <n v="4491.2166399999996"/>
    <n v="6432.08"/>
    <n v="-1940.8633600000003"/>
    <n v="-0.43214645731273393"/>
  </r>
  <r>
    <s v="ORD-2024-997336"/>
    <d v="2024-10-04T00:00:00"/>
    <d v="2024-11-02T00:00:00"/>
    <n v="29"/>
    <s v="Oct-2024"/>
    <s v="Q4-2024"/>
    <x v="0"/>
    <s v="Nigeria"/>
    <s v="Abuja"/>
    <s v="Corporate"/>
    <s v="Distributor"/>
    <x v="9"/>
    <s v="Accessories"/>
    <s v="ACC-9038"/>
    <n v="412.09"/>
    <s v="High"/>
    <n v="968.94"/>
    <x v="74"/>
    <n v="23"/>
    <n v="1834.19273"/>
    <n v="9478.07"/>
    <n v="-7643.87727"/>
    <n v="-4.1674340678473847"/>
  </r>
  <r>
    <s v="ORD-2025-725646"/>
    <d v="2025-09-10T00:00:00"/>
    <d v="2025-09-30T00:00:00"/>
    <n v="20"/>
    <s v="Sept-2025"/>
    <s v="Q3-2025"/>
    <x v="0"/>
    <s v="Kenya"/>
    <s v="Mombasa"/>
    <s v="Corporate"/>
    <s v="Direct"/>
    <x v="4"/>
    <s v="Phones"/>
    <s v="PHN-6954"/>
    <n v="1009.48"/>
    <s v="High"/>
    <n v="1088.81"/>
    <x v="75"/>
    <n v="6"/>
    <n v="9873.8135999999995"/>
    <n v="6056.88"/>
    <n v="3816.9335999999994"/>
    <n v="0.38657136488782812"/>
  </r>
  <r>
    <s v="ORD-2023-868734"/>
    <d v="2023-04-06T00:00:00"/>
    <d v="2023-04-27T00:00:00"/>
    <n v="21"/>
    <s v="Apr-2023"/>
    <s v="Q2-2023"/>
    <x v="3"/>
    <s v="United Kingdom"/>
    <s v="Manchester"/>
    <s v="Enterprise"/>
    <s v="Distributor"/>
    <x v="2"/>
    <s v="Printers"/>
    <s v="PRN-8970"/>
    <n v="1084.79"/>
    <s v="High"/>
    <n v="2484.9899999999998"/>
    <x v="76"/>
    <n v="18"/>
    <n v="47694.762360000001"/>
    <n v="19526.22"/>
    <n v="28168.542359999999"/>
    <n v="0.59060032939013052"/>
  </r>
  <r>
    <s v="ORD-2025-262491"/>
    <d v="2025-08-01T00:00:00"/>
    <d v="2025-08-16T00:00:00"/>
    <n v="15"/>
    <s v="Aug-2025"/>
    <s v="Q3-2025"/>
    <x v="1"/>
    <s v="India"/>
    <s v="Not Provided"/>
    <s v="Enterprise"/>
    <s v="Direct"/>
    <x v="7"/>
    <s v="Monitors"/>
    <s v="MON-1822"/>
    <n v="24.44"/>
    <s v="Low"/>
    <n v="28.69"/>
    <x v="34"/>
    <n v="6"/>
    <n v="8605.3480799999998"/>
    <n v="146.64000000000001"/>
    <n v="8458.7080800000003"/>
    <n v="0.98295943422197984"/>
  </r>
  <r>
    <s v="ORD-2024-638884"/>
    <d v="2024-05-28T00:00:00"/>
    <d v="2024-05-26T00:00:00"/>
    <n v="2"/>
    <s v="May-2024"/>
    <s v="Q2-2024"/>
    <x v="0"/>
    <s v="Nigeria"/>
    <s v="Abuja"/>
    <s v="Enterprise"/>
    <s v="Online"/>
    <x v="9"/>
    <s v="Accessories"/>
    <s v="ACC-5177"/>
    <n v="1227.08"/>
    <s v="High"/>
    <n v="1896.62"/>
    <x v="5"/>
    <n v="18"/>
    <n v="25810.2"/>
    <n v="22087.439999999999"/>
    <n v="3722.760000000002"/>
    <n v="0.14423599972104059"/>
  </r>
  <r>
    <s v="ORD-2025-541501"/>
    <d v="2025-07-22T00:00:00"/>
    <d v="2025-08-18T00:00:00"/>
    <n v="27"/>
    <s v="Jul-2025"/>
    <s v="Q3-2025"/>
    <x v="1"/>
    <s v="China"/>
    <s v="Shenzhen"/>
    <s v="Non-Profit"/>
    <s v="Marketplace"/>
    <x v="12"/>
    <s v="Networking"/>
    <s v="NET-1804"/>
    <n v="547.32000000000005"/>
    <s v="High"/>
    <n v="419.17"/>
    <x v="77"/>
    <n v="14"/>
    <n v="3615.67416"/>
    <n v="7662.4800000000005"/>
    <n v="-4046.8058400000004"/>
    <n v="-1.1192396385630061"/>
  </r>
  <r>
    <s v="ORD-2023-422918"/>
    <d v="2023-02-28T00:00:00"/>
    <d v="2023-03-20T00:00:00"/>
    <n v="20"/>
    <s v="Feb-2023"/>
    <s v="Q1-2023"/>
    <x v="3"/>
    <s v="Germany"/>
    <s v="Berlin"/>
    <s v="Small Business"/>
    <s v="Direct"/>
    <x v="10"/>
    <s v="Laptops"/>
    <s v="LAP-3679"/>
    <n v="1200.78"/>
    <s v="High"/>
    <n v="2001.17"/>
    <x v="39"/>
    <n v="18"/>
    <n v="8854.276319999999"/>
    <n v="21614.04"/>
    <n v="-12759.763680000002"/>
    <n v="-1.4410848745682701"/>
  </r>
  <r>
    <s v="ORD-2025-328504"/>
    <d v="2025-01-27T00:00:00"/>
    <d v="2025-02-15T00:00:00"/>
    <n v="19"/>
    <s v="Jan-2025"/>
    <s v="Q1-2025"/>
    <x v="1"/>
    <s v="China"/>
    <s v="Shenzhen"/>
    <s v="Non-Profit"/>
    <s v="Direct"/>
    <x v="4"/>
    <s v="Phones"/>
    <s v="PHN-8368"/>
    <n v="1253.22"/>
    <s v="High"/>
    <n v="3104.71"/>
    <x v="5"/>
    <n v="17"/>
    <n v="31422.63"/>
    <n v="21304.74"/>
    <n v="10117.89"/>
    <n v="0.3219937350883742"/>
  </r>
  <r>
    <s v="ORD-2024-851883"/>
    <d v="2024-01-13T00:00:00"/>
    <d v="2024-01-22T00:00:00"/>
    <n v="9"/>
    <s v="Jan-2024"/>
    <s v="Q1-2024"/>
    <x v="1"/>
    <s v="India"/>
    <s v="Mumbai"/>
    <s v="Enterprise"/>
    <s v="Marketplace"/>
    <x v="1"/>
    <s v="Components"/>
    <s v="CMP-8141"/>
    <n v="313.60000000000002"/>
    <s v="High"/>
    <n v="334.28"/>
    <x v="78"/>
    <n v="22"/>
    <n v="854.99479999999994"/>
    <n v="6899.2000000000007"/>
    <n v="-6044.2052000000003"/>
    <n v="-7.0692888424584579"/>
  </r>
  <r>
    <s v="ORD-2025-662997"/>
    <d v="2025-03-31T00:00:00"/>
    <d v="2025-04-04T00:00:00"/>
    <n v="4"/>
    <s v="Mar-2025"/>
    <s v="Q1-2025"/>
    <x v="0"/>
    <s v="Kenya"/>
    <s v="Nakuru"/>
    <s v="Corporate"/>
    <s v="Direct"/>
    <x v="0"/>
    <s v="Laptops"/>
    <s v="LAP-7136"/>
    <n v="862.08"/>
    <s v="High"/>
    <n v="1952.83"/>
    <x v="5"/>
    <n v="7"/>
    <n v="2527.7000000000003"/>
    <n v="6034.56"/>
    <n v="-3506.86"/>
    <n v="-1.3873719191359732"/>
  </r>
  <r>
    <s v="ORD-2024-478165"/>
    <d v="2024-12-05T00:00:00"/>
    <d v="2024-12-28T00:00:00"/>
    <n v="23"/>
    <s v="Dec-2024"/>
    <s v="Q4-2024"/>
    <x v="2"/>
    <s v="Canada"/>
    <s v="Vancouver"/>
    <s v="Corporate"/>
    <s v="Direct"/>
    <x v="9"/>
    <s v="Accessories"/>
    <s v="ACC-2386"/>
    <n v="107.03"/>
    <s v="High"/>
    <n v="242.29"/>
    <x v="79"/>
    <n v="30"/>
    <n v="24706.764000000003"/>
    <n v="3210.9"/>
    <n v="21495.864000000001"/>
    <n v="0.87003963772835646"/>
  </r>
  <r>
    <s v="ORD-2024-771210"/>
    <d v="2024-09-14T00:00:00"/>
    <d v="2024-10-05T00:00:00"/>
    <n v="21"/>
    <s v="Sept-2024"/>
    <s v="Q3-2024"/>
    <x v="1"/>
    <s v="China"/>
    <s v="Shanghai"/>
    <s v="Small Business"/>
    <s v="Online"/>
    <x v="10"/>
    <s v="Laptops"/>
    <s v="LAP-5150"/>
    <n v="1405.56"/>
    <s v="High"/>
    <n v="2968.87"/>
    <x v="36"/>
    <n v="5"/>
    <n v="4270.2181499999997"/>
    <n v="7027.7999999999993"/>
    <n v="-2757.5818499999996"/>
    <n v="-0.64577072016800818"/>
  </r>
  <r>
    <s v="ORD-2024-155337"/>
    <d v="2024-05-21T00:00:00"/>
    <d v="2024-05-27T00:00:00"/>
    <n v="6"/>
    <s v="May-2024"/>
    <s v="Q2-2024"/>
    <x v="0"/>
    <s v="South Africa"/>
    <s v="Johannesburg"/>
    <s v="Non-Profit"/>
    <s v="Online"/>
    <x v="12"/>
    <s v="Components"/>
    <s v="CMP-8101"/>
    <n v="1157.51"/>
    <s v="High"/>
    <n v="1394.3"/>
    <x v="80"/>
    <n v="12"/>
    <n v="4055.5317599999998"/>
    <n v="13890.119999999999"/>
    <n v="-9834.5882399999991"/>
    <n v="-2.4249811916156712"/>
  </r>
  <r>
    <s v="ORD-2023-251563"/>
    <d v="2023-05-11T00:00:00"/>
    <d v="2023-06-07T00:00:00"/>
    <n v="27"/>
    <s v="May-2023"/>
    <s v="Q2-2023"/>
    <x v="0"/>
    <s v="Kenya"/>
    <s v="Mombasa"/>
    <s v="Corporate"/>
    <s v="Online"/>
    <x v="1"/>
    <s v="Phones"/>
    <s v="PHN-8970"/>
    <n v="12.85"/>
    <s v="Low"/>
    <n v="15.41"/>
    <x v="81"/>
    <n v="39"/>
    <n v="22483.549139999999"/>
    <n v="501.15"/>
    <n v="21982.399139999998"/>
    <n v="0.97771036961827273"/>
  </r>
  <r>
    <s v="ORD-2024-286833"/>
    <d v="2024-08-14T00:00:00"/>
    <d v="2024-09-04T00:00:00"/>
    <n v="21"/>
    <s v="Aug-2024"/>
    <s v="Q3-2024"/>
    <x v="3"/>
    <s v="United Kingdom"/>
    <s v="Manchester"/>
    <s v="Non-Profit"/>
    <s v="Online"/>
    <x v="1"/>
    <s v="Phones"/>
    <s v="PHN-2341"/>
    <n v="1138.8"/>
    <s v="High"/>
    <n v="2250.81"/>
    <x v="82"/>
    <n v="12"/>
    <n v="5654.22948"/>
    <n v="13665.599999999999"/>
    <n v="-8011.3705199999986"/>
    <n v="-1.4168810353979475"/>
  </r>
  <r>
    <s v="ORD-2024-792558"/>
    <d v="2024-10-16T00:00:00"/>
    <d v="2024-11-08T00:00:00"/>
    <n v="23"/>
    <s v="Oct-2024"/>
    <s v="Q4-2024"/>
    <x v="1"/>
    <s v="Japan"/>
    <s v="Osaka"/>
    <s v="Small Business"/>
    <s v="Retail"/>
    <x v="1"/>
    <s v="Networking"/>
    <s v="NET-6387"/>
    <n v="82.14"/>
    <s v="Medium"/>
    <n v="166.04"/>
    <x v="5"/>
    <n v="10"/>
    <n v="5727.1"/>
    <n v="821.4"/>
    <n v="4905.7000000000007"/>
    <n v="0.85657662691414516"/>
  </r>
  <r>
    <s v="ORD-2024-166150"/>
    <d v="2024-06-02T00:00:00"/>
    <d v="2024-06-08T00:00:00"/>
    <n v="6"/>
    <s v="Jun-2024"/>
    <s v="Q2-2024"/>
    <x v="0"/>
    <s v="Kenya"/>
    <s v="Kisumu"/>
    <s v="Consumer"/>
    <s v="Marketplace"/>
    <x v="8"/>
    <s v="Accessories"/>
    <s v="ACC-9820"/>
    <n v="292.94"/>
    <s v="High"/>
    <n v="356.55"/>
    <x v="83"/>
    <n v="2"/>
    <n v="3583.4075399999997"/>
    <n v="585.88"/>
    <n v="2997.5275399999996"/>
    <n v="0.83650199050482543"/>
  </r>
  <r>
    <s v="ORD-2024-909942"/>
    <d v="2024-06-09T00:00:00"/>
    <d v="2024-07-07T00:00:00"/>
    <n v="28"/>
    <s v="Jun-2024"/>
    <s v="Q2-2024"/>
    <x v="1"/>
    <s v="China"/>
    <s v="Shenzhen"/>
    <s v="Corporate"/>
    <s v="Online"/>
    <x v="1"/>
    <s v="Components"/>
    <s v="CMP-6392"/>
    <n v="550.22"/>
    <s v="High"/>
    <n v="1025.05"/>
    <x v="5"/>
    <n v="27"/>
    <n v="44038.080000000002"/>
    <n v="14855.94"/>
    <n v="29182.14"/>
    <n v="0.66265695507161071"/>
  </r>
  <r>
    <s v="ORD-2024-223618"/>
    <d v="2024-06-10T00:00:00"/>
    <d v="2024-06-11T00:00:00"/>
    <n v="1"/>
    <s v="Jun-2024"/>
    <s v="Q2-2024"/>
    <x v="3"/>
    <s v="United Kingdom"/>
    <s v="Birmingham"/>
    <s v="Small Business"/>
    <s v="Marketplace"/>
    <x v="12"/>
    <s v="Laptops"/>
    <s v="LAP-9230"/>
    <n v="1187.1300000000001"/>
    <s v="High"/>
    <n v="1795.17"/>
    <x v="84"/>
    <n v="17"/>
    <n v="6606.0347600000005"/>
    <n v="20181.210000000003"/>
    <n v="-13575.175240000002"/>
    <n v="-2.0549657598229172"/>
  </r>
  <r>
    <s v="ORD-2024-919471"/>
    <d v="2024-06-29T00:00:00"/>
    <d v="2024-07-26T00:00:00"/>
    <n v="27"/>
    <s v="Jun-2024"/>
    <s v="Q2-2024"/>
    <x v="0"/>
    <s v="South Africa"/>
    <s v="Durban"/>
    <s v="Enterprise"/>
    <s v="Distributor"/>
    <x v="5"/>
    <s v="Networking"/>
    <s v="NET-4241"/>
    <n v="5.36"/>
    <s v="Low"/>
    <n v="4.37"/>
    <x v="85"/>
    <n v="9"/>
    <n v="14734.198080000002"/>
    <n v="48.24"/>
    <n v="14685.958080000002"/>
    <n v="0.99672598401771995"/>
  </r>
  <r>
    <s v="ORD-2025-649239"/>
    <d v="2025-01-17T00:00:00"/>
    <d v="2025-01-24T00:00:00"/>
    <n v="7"/>
    <s v="Jan-2025"/>
    <s v="Q1-2025"/>
    <x v="2"/>
    <s v="USA"/>
    <s v="Austin"/>
    <s v="Enterprise"/>
    <s v="Online"/>
    <x v="3"/>
    <s v="Accessories"/>
    <s v="ACC-4511"/>
    <n v="142.09"/>
    <s v="High"/>
    <n v="218.5"/>
    <x v="45"/>
    <n v="11"/>
    <n v="822.7659000000001"/>
    <n v="1562.99"/>
    <n v="-740.22409999999991"/>
    <n v="-0.89967766043779862"/>
  </r>
  <r>
    <s v="ORD-2023-975863"/>
    <d v="2023-11-20T00:00:00"/>
    <d v="2023-12-05T00:00:00"/>
    <n v="15"/>
    <s v="Nov-2023"/>
    <s v="Q4-2023"/>
    <x v="1"/>
    <s v="Japan"/>
    <s v="Tokyo"/>
    <s v="Enterprise"/>
    <s v="Retail"/>
    <x v="4"/>
    <s v="Networking"/>
    <s v="NET-3033"/>
    <n v="354.24"/>
    <s v="High"/>
    <n v="249.87"/>
    <x v="5"/>
    <n v="6"/>
    <n v="13513.439999999999"/>
    <n v="2125.44"/>
    <n v="11387.999999999998"/>
    <n v="0.84271658437821895"/>
  </r>
  <r>
    <s v="ORD-2023-869884"/>
    <d v="2023-03-02T00:00:00"/>
    <d v="2023-03-05T00:00:00"/>
    <n v="3"/>
    <s v="Mar-2023"/>
    <s v="Q1-2023"/>
    <x v="2"/>
    <s v="Brazil"/>
    <s v="Brasília"/>
    <s v="Enterprise"/>
    <s v="Direct"/>
    <x v="3"/>
    <s v="Monitors"/>
    <s v="MON-2828"/>
    <n v="1473.58"/>
    <s v="High"/>
    <n v="3436.52"/>
    <x v="86"/>
    <n v="8"/>
    <n v="6576.6803200000004"/>
    <n v="11788.64"/>
    <n v="-5211.959679999999"/>
    <n v="-0.79249095689662452"/>
  </r>
  <r>
    <s v="ORD-2025-698069"/>
    <d v="2025-06-03T00:00:00"/>
    <d v="2025-06-10T00:00:00"/>
    <n v="7"/>
    <s v="Jun-2025"/>
    <s v="Q2-2025"/>
    <x v="2"/>
    <s v="Canada"/>
    <s v="Toronto"/>
    <s v="Consumer"/>
    <s v="Distributor"/>
    <x v="7"/>
    <s v="Printers"/>
    <s v="PRN-6429"/>
    <n v="75.180000000000007"/>
    <s v="Medium"/>
    <n v="53.45"/>
    <x v="87"/>
    <n v="17"/>
    <n v="23548.41258"/>
    <n v="1278.0600000000002"/>
    <n v="22270.352579999999"/>
    <n v="0.94572627791117114"/>
  </r>
  <r>
    <s v="ORD-2024-474999"/>
    <d v="2024-12-27T00:00:00"/>
    <d v="2025-01-02T00:00:00"/>
    <n v="6"/>
    <s v="Dec-2024"/>
    <s v="Q4-2024"/>
    <x v="3"/>
    <s v="Germany"/>
    <s v="Frankfurt"/>
    <s v="Education"/>
    <s v="Direct"/>
    <x v="9"/>
    <s v="Laptops"/>
    <s v="LAP-8214"/>
    <n v="1391.99"/>
    <s v="High"/>
    <n v="3469.7"/>
    <x v="50"/>
    <n v="23"/>
    <n v="27535.846560000005"/>
    <n v="32015.77"/>
    <n v="-4479.923439999995"/>
    <n v="-0.16269423314218215"/>
  </r>
  <r>
    <s v="ORD-2023-427304"/>
    <d v="2023-06-09T00:00:00"/>
    <d v="2023-06-19T00:00:00"/>
    <n v="10"/>
    <s v="Jun-2023"/>
    <s v="Q2-2023"/>
    <x v="1"/>
    <s v="China"/>
    <s v="Beijing"/>
    <s v="Enterprise"/>
    <s v="Retail"/>
    <x v="9"/>
    <s v="Monitors"/>
    <s v="MON-9194"/>
    <n v="339.61"/>
    <s v="High"/>
    <n v="621.02"/>
    <x v="88"/>
    <n v="10"/>
    <n v="9278.4804000000004"/>
    <n v="3396.1000000000004"/>
    <n v="5882.3804"/>
    <n v="0.63398101266668616"/>
  </r>
  <r>
    <s v="ORD-2025-956101"/>
    <d v="2025-07-09T00:00:00"/>
    <d v="2025-07-18T00:00:00"/>
    <n v="9"/>
    <s v="Jul-2025"/>
    <s v="Q3-2025"/>
    <x v="2"/>
    <s v="Canada"/>
    <s v="Vancouver"/>
    <s v="Education"/>
    <s v="Distributor"/>
    <x v="2"/>
    <s v="Laptops"/>
    <s v="LAP-2218"/>
    <n v="57.96"/>
    <s v="Medium"/>
    <n v="88.51"/>
    <x v="89"/>
    <n v="7"/>
    <n v="4225.1932799999995"/>
    <n v="405.72"/>
    <n v="3819.4732799999992"/>
    <n v="0.90397599041907017"/>
  </r>
  <r>
    <s v="ORD-2025-184082"/>
    <d v="2025-06-19T00:00:00"/>
    <d v="2025-07-12T00:00:00"/>
    <n v="23"/>
    <s v="Jun-2025"/>
    <s v="Q2-2025"/>
    <x v="3"/>
    <s v="United Kingdom"/>
    <s v="Not Provided"/>
    <s v="Non-Profit"/>
    <s v="Direct"/>
    <x v="15"/>
    <s v="Networking"/>
    <s v="NET-6370"/>
    <n v="801.24"/>
    <s v="High"/>
    <n v="1959.09"/>
    <x v="82"/>
    <n v="23"/>
    <n v="14696.792309999999"/>
    <n v="18428.52"/>
    <n v="-3731.7276900000015"/>
    <n v="-0.25391443325091134"/>
  </r>
  <r>
    <s v="ORD-2023-576840"/>
    <d v="2023-11-19T00:00:00"/>
    <d v="2023-12-13T00:00:00"/>
    <n v="24"/>
    <s v="Nov-2023"/>
    <s v="Q4-2023"/>
    <x v="3"/>
    <s v="France"/>
    <s v="Lyon"/>
    <s v="Non-Profit"/>
    <s v="Direct"/>
    <x v="10"/>
    <s v="Monitors"/>
    <s v="MON-3745"/>
    <n v="1297.42"/>
    <s v="High"/>
    <n v="2742.97"/>
    <x v="90"/>
    <n v="9"/>
    <n v="7972.7022900000002"/>
    <n v="11676.78"/>
    <n v="-3704.0777100000005"/>
    <n v="-0.46459501123551927"/>
  </r>
  <r>
    <s v="ORD-2023-178249"/>
    <d v="2023-12-29T00:00:00"/>
    <d v="2024-01-20T00:00:00"/>
    <n v="22"/>
    <s v="Dec-2023"/>
    <s v="Q4-2023"/>
    <x v="0"/>
    <s v="Kenya"/>
    <s v="Kisumu"/>
    <s v="Corporate"/>
    <s v="Direct"/>
    <x v="4"/>
    <s v="Phones"/>
    <s v="PHN-7924"/>
    <n v="1395.49"/>
    <s v="High"/>
    <n v="1679.42"/>
    <x v="91"/>
    <n v="12"/>
    <n v="7009.2643199999993"/>
    <n v="16745.88"/>
    <n v="-9736.6156800000026"/>
    <n v="-1.3891066502111884"/>
  </r>
  <r>
    <s v="ORD-2024-588972"/>
    <d v="2024-11-02T00:00:00"/>
    <d v="2024-11-29T00:00:00"/>
    <n v="27"/>
    <s v="Nov-2024"/>
    <s v="Q4-2024"/>
    <x v="2"/>
    <s v="Brazil"/>
    <s v="Brasília"/>
    <s v="Small Business"/>
    <s v="Direct"/>
    <x v="2"/>
    <s v="Networking"/>
    <s v="NET-8561"/>
    <n v="1363.51"/>
    <s v="High"/>
    <n v="1433.9"/>
    <x v="92"/>
    <n v="8"/>
    <n v="18192.506879999997"/>
    <n v="10908.08"/>
    <n v="7284.4268799999973"/>
    <n v="0.4004080871343883"/>
  </r>
  <r>
    <s v="ORD-2023-603238"/>
    <d v="2023-08-21T00:00:00"/>
    <d v="2023-09-04T00:00:00"/>
    <n v="14"/>
    <s v="Aug-2023"/>
    <s v="Q3-2023"/>
    <x v="2"/>
    <s v="Canada"/>
    <s v="Montreal"/>
    <s v="Education"/>
    <s v="Distributor"/>
    <x v="9"/>
    <s v="Components"/>
    <s v="CMP-2136"/>
    <n v="178.19"/>
    <s v="High"/>
    <n v="284.43"/>
    <x v="25"/>
    <n v="8"/>
    <n v="4141.6975199999997"/>
    <n v="1425.52"/>
    <n v="2716.1775199999997"/>
    <n v="0.65581262438498888"/>
  </r>
  <r>
    <s v="ORD-2023-883066"/>
    <d v="2023-08-12T00:00:00"/>
    <d v="2023-09-06T00:00:00"/>
    <n v="25"/>
    <s v="Aug-2023"/>
    <s v="Q3-2023"/>
    <x v="1"/>
    <s v="China"/>
    <s v="Shanghai"/>
    <s v="Small Business"/>
    <s v="Retail"/>
    <x v="5"/>
    <s v="Components"/>
    <s v="CMP-6352"/>
    <n v="950.77"/>
    <s v="High"/>
    <n v="694.78"/>
    <x v="26"/>
    <n v="14"/>
    <n v="16093.478800000001"/>
    <n v="13310.779999999999"/>
    <n v="2782.6988000000019"/>
    <n v="0.17290847023081185"/>
  </r>
  <r>
    <s v="ORD-2024-584090"/>
    <d v="2024-06-07T00:00:00"/>
    <d v="2024-06-26T00:00:00"/>
    <n v="19"/>
    <s v="Jun-2024"/>
    <s v="Q2-2024"/>
    <x v="3"/>
    <s v="Germany"/>
    <s v="Berlin"/>
    <s v="Non-Profit"/>
    <s v="Marketplace"/>
    <x v="12"/>
    <s v="Components"/>
    <s v="CMP-2040"/>
    <n v="1064.32"/>
    <s v="High"/>
    <n v="1848.39"/>
    <x v="93"/>
    <n v="38"/>
    <n v="29785.344300000001"/>
    <n v="40444.159999999996"/>
    <n v="-10658.815699999996"/>
    <n v="-0.35785437269563458"/>
  </r>
  <r>
    <s v="ORD-2025-537785"/>
    <d v="2025-08-05T00:00:00"/>
    <d v="2025-08-14T00:00:00"/>
    <n v="9"/>
    <s v="Aug-2025"/>
    <s v="Q3-2025"/>
    <x v="3"/>
    <s v="United Kingdom"/>
    <s v="London"/>
    <s v="Non-Profit"/>
    <s v="Direct"/>
    <x v="6"/>
    <s v="Components"/>
    <s v="CMP-6346"/>
    <n v="41.76"/>
    <s v="Low"/>
    <n v="45.19"/>
    <x v="94"/>
    <n v="23"/>
    <n v="40507.245110000003"/>
    <n v="960.4799999999999"/>
    <n v="39546.76511"/>
    <n v="0.97628868619942533"/>
  </r>
  <r>
    <s v="ORD-2024-605518"/>
    <d v="2024-05-30T00:00:00"/>
    <d v="2024-06-13T00:00:00"/>
    <n v="14"/>
    <s v="May-2024"/>
    <s v="Q2-2024"/>
    <x v="2"/>
    <s v="USA"/>
    <s v="San Francisco"/>
    <s v="Small Business"/>
    <s v="Retail"/>
    <x v="9"/>
    <s v="Phones"/>
    <s v="PHN-4356"/>
    <n v="157.78"/>
    <s v="High"/>
    <n v="361.1"/>
    <x v="37"/>
    <n v="9"/>
    <n v="9877.5109800000009"/>
    <n v="1420.02"/>
    <n v="8457.4909800000005"/>
    <n v="0.85623706185948478"/>
  </r>
  <r>
    <s v="ORD-2023-521818"/>
    <d v="2023-01-22T00:00:00"/>
    <d v="2023-01-30T00:00:00"/>
    <n v="8"/>
    <s v="Jan-2023"/>
    <s v="Q1-2023"/>
    <x v="2"/>
    <s v="USA"/>
    <s v="San Francisco"/>
    <s v="Small Business"/>
    <s v="Online"/>
    <x v="8"/>
    <s v="Networking"/>
    <s v="NET-4155"/>
    <n v="413.52"/>
    <s v="High"/>
    <n v="1004.34"/>
    <x v="95"/>
    <n v="18"/>
    <n v="8440.7349599999998"/>
    <n v="7443.36"/>
    <n v="997.3749600000001"/>
    <n v="0.11816209900281008"/>
  </r>
  <r>
    <s v="ORD-2025-650719"/>
    <d v="2025-02-12T00:00:00"/>
    <d v="2025-02-28T00:00:00"/>
    <n v="16"/>
    <s v="Feb-2025"/>
    <s v="Q1-2025"/>
    <x v="2"/>
    <s v="Brazil"/>
    <s v="São Paulo"/>
    <s v="Non-Profit"/>
    <s v="Direct"/>
    <x v="5"/>
    <s v="Monitors"/>
    <s v="MON-5179"/>
    <n v="414.95"/>
    <s v="High"/>
    <n v="1027.73"/>
    <x v="96"/>
    <n v="8"/>
    <n v="10997.906320000002"/>
    <n v="3319.6"/>
    <n v="7678.3063200000015"/>
    <n v="0.69816073137818835"/>
  </r>
  <r>
    <s v="ORD-2025-501927"/>
    <d v="2025-03-03T00:00:00"/>
    <d v="2025-03-24T00:00:00"/>
    <n v="21"/>
    <s v="Mar-2025"/>
    <s v="Q1-2025"/>
    <x v="0"/>
    <s v="Nigeria"/>
    <s v="Abuja"/>
    <s v="Enterprise"/>
    <s v="Direct"/>
    <x v="10"/>
    <s v="Accessories"/>
    <s v="ACC-4056"/>
    <n v="555.95000000000005"/>
    <s v="High"/>
    <n v="468.09"/>
    <x v="56"/>
    <n v="11"/>
    <n v="15583.45932"/>
    <n v="6115.4500000000007"/>
    <n v="9468.0093199999992"/>
    <n v="0.60756787858063332"/>
  </r>
  <r>
    <s v="ORD-2023-430904"/>
    <d v="2023-01-27T00:00:00"/>
    <d v="2023-01-31T00:00:00"/>
    <n v="4"/>
    <s v="Jan-2023"/>
    <s v="Q1-2023"/>
    <x v="3"/>
    <s v="United Kingdom"/>
    <s v="Manchester"/>
    <s v="Enterprise"/>
    <s v="Online"/>
    <x v="13"/>
    <s v="Laptops"/>
    <s v="LAP-9782"/>
    <n v="941.2"/>
    <s v="High"/>
    <n v="668.02"/>
    <x v="97"/>
    <n v="16"/>
    <n v="24737.606400000001"/>
    <n v="15059.2"/>
    <n v="9678.4063999999998"/>
    <n v="0.3912426385763822"/>
  </r>
  <r>
    <s v="ORD-2025-354346"/>
    <d v="2025-01-09T00:00:00"/>
    <d v="2025-01-15T00:00:00"/>
    <n v="6"/>
    <s v="Jan-2025"/>
    <s v="Q1-2025"/>
    <x v="1"/>
    <s v="China"/>
    <s v="Beijing"/>
    <s v="Education"/>
    <s v="Online"/>
    <x v="0"/>
    <s v="Phones"/>
    <s v="PHN-2875"/>
    <n v="304.77999999999997"/>
    <s v="High"/>
    <n v="537.27"/>
    <x v="37"/>
    <n v="8"/>
    <n v="16599.638879999999"/>
    <n v="2438.2399999999998"/>
    <n v="14161.398879999999"/>
    <n v="0.85311487691833454"/>
  </r>
  <r>
    <s v="ORD-2024-164288"/>
    <d v="2024-12-21T00:00:00"/>
    <d v="2024-12-26T00:00:00"/>
    <n v="5"/>
    <s v="Dec-2024"/>
    <s v="Q4-2024"/>
    <x v="2"/>
    <s v="USA"/>
    <s v="San Francisco"/>
    <s v="Consumer"/>
    <s v="Marketplace"/>
    <x v="12"/>
    <s v="Printers"/>
    <s v="PRN-4788"/>
    <n v="699.57"/>
    <s v="High"/>
    <n v="572.71"/>
    <x v="98"/>
    <n v="26"/>
    <n v="10987.39408"/>
    <n v="18188.82"/>
    <n v="-7201.4259199999997"/>
    <n v="-0.65542619729172391"/>
  </r>
  <r>
    <s v="ORD-2023-867285"/>
    <d v="2023-04-12T00:00:00"/>
    <d v="2023-04-17T00:00:00"/>
    <n v="5"/>
    <s v="Apr-2023"/>
    <s v="Q2-2023"/>
    <x v="3"/>
    <s v="France"/>
    <s v="Lyon"/>
    <s v="Enterprise"/>
    <s v="Direct"/>
    <x v="6"/>
    <s v="Monitors"/>
    <s v="MON-3043"/>
    <n v="1087.81"/>
    <s v="High"/>
    <n v="2323.87"/>
    <x v="12"/>
    <n v="13"/>
    <n v="14342.18838"/>
    <n v="14141.529999999999"/>
    <n v="200.65838000000076"/>
    <n v="1.399077844213902E-2"/>
  </r>
  <r>
    <s v="ORD-2024-836421"/>
    <d v="2024-12-14T00:00:00"/>
    <d v="2025-01-12T00:00:00"/>
    <n v="29"/>
    <s v="Dec-2024"/>
    <s v="Q4-2024"/>
    <x v="1"/>
    <s v="China"/>
    <s v="Shenzhen"/>
    <s v="Education"/>
    <s v="Online"/>
    <x v="1"/>
    <s v="Components"/>
    <s v="CMP-3720"/>
    <n v="1412.15"/>
    <s v="High"/>
    <n v="1631.04"/>
    <x v="99"/>
    <n v="6"/>
    <n v="7989.2834400000002"/>
    <n v="8472.9000000000015"/>
    <n v="-483.6165600000013"/>
    <n v="-6.0533158403002073E-2"/>
  </r>
  <r>
    <s v="ORD-2023-613287"/>
    <d v="2023-03-31T00:00:00"/>
    <d v="2023-04-12T00:00:00"/>
    <n v="12"/>
    <s v="Mar-2023"/>
    <s v="Q1-2023"/>
    <x v="0"/>
    <s v="Kenya"/>
    <s v="Mombasa"/>
    <s v="Small Business"/>
    <s v="Online"/>
    <x v="0"/>
    <s v="Phones"/>
    <s v="PHN-8014"/>
    <n v="304.22000000000003"/>
    <s v="High"/>
    <n v="393.31"/>
    <x v="100"/>
    <n v="15"/>
    <n v="3326.2424999999998"/>
    <n v="4563.3"/>
    <n v="-1237.0575000000003"/>
    <n v="-0.3719083921271526"/>
  </r>
  <r>
    <s v="ORD-2024-783321"/>
    <d v="2024-11-20T00:00:00"/>
    <d v="2024-12-15T00:00:00"/>
    <n v="25"/>
    <s v="Nov-2024"/>
    <s v="Q4-2024"/>
    <x v="3"/>
    <s v="France"/>
    <s v="Paris"/>
    <s v="Corporate"/>
    <s v="Online"/>
    <x v="3"/>
    <s v="Printers"/>
    <s v="PRN-4911"/>
    <n v="1203.58"/>
    <s v="High"/>
    <n v="1856.16"/>
    <x v="31"/>
    <n v="22"/>
    <n v="28967.387020000002"/>
    <n v="26478.76"/>
    <n v="2488.6270200000035"/>
    <n v="8.591133947572753E-2"/>
  </r>
  <r>
    <s v="ORD-2024-232632"/>
    <d v="2024-02-14T00:00:00"/>
    <d v="2024-02-14T00:00:00"/>
    <n v="0"/>
    <s v="Feb-2024"/>
    <s v="Q1-2024"/>
    <x v="1"/>
    <s v="China"/>
    <s v="Beijing"/>
    <s v="Corporate"/>
    <s v="Distributor"/>
    <x v="4"/>
    <s v="Accessories"/>
    <s v="ACC-1021"/>
    <n v="65.930000000000007"/>
    <s v="Medium"/>
    <n v="84.9"/>
    <x v="101"/>
    <n v="23"/>
    <n v="35027.455319999994"/>
    <n v="1516.39"/>
    <n v="33511.065319999994"/>
    <n v="0.95670853088964847"/>
  </r>
  <r>
    <s v="ORD-2023-906481"/>
    <d v="2023-05-02T00:00:00"/>
    <d v="2023-05-18T00:00:00"/>
    <n v="16"/>
    <s v="May-2023"/>
    <s v="Q2-2023"/>
    <x v="1"/>
    <s v="India"/>
    <s v="Delhi"/>
    <s v="Small Business"/>
    <s v="Marketplace"/>
    <x v="11"/>
    <s v="Monitors"/>
    <s v="MON-2266"/>
    <n v="1463.92"/>
    <s v="High"/>
    <n v="2252.2399999999998"/>
    <x v="85"/>
    <n v="44"/>
    <n v="15179.749199999998"/>
    <n v="64412.480000000003"/>
    <n v="-49232.730800000005"/>
    <n v="-3.2433164837795876"/>
  </r>
  <r>
    <s v="ORD-2024-902741"/>
    <d v="2024-12-23T00:00:00"/>
    <d v="2025-01-11T00:00:00"/>
    <n v="19"/>
    <s v="Dec-2024"/>
    <s v="Q4-2024"/>
    <x v="3"/>
    <s v="Germany"/>
    <s v="Berlin"/>
    <s v="Education"/>
    <s v="Retail"/>
    <x v="11"/>
    <s v="Phones"/>
    <s v="PHN-8057"/>
    <n v="501.81"/>
    <s v="High"/>
    <n v="921.62"/>
    <x v="19"/>
    <n v="9"/>
    <n v="16474.322700000001"/>
    <n v="4516.29"/>
    <n v="11958.0327"/>
    <n v="0.72585883606614066"/>
  </r>
  <r>
    <s v="ORD-2023-912395"/>
    <d v="2023-07-26T00:00:00"/>
    <d v="2023-08-25T00:00:00"/>
    <n v="30"/>
    <s v="Jul-2023"/>
    <s v="Q3-2023"/>
    <x v="2"/>
    <s v="USA"/>
    <s v="New York"/>
    <s v="Consumer"/>
    <s v="Retail"/>
    <x v="12"/>
    <s v="Accessories"/>
    <s v="ACC-7078"/>
    <n v="1261.48"/>
    <s v="High"/>
    <n v="1643.18"/>
    <x v="102"/>
    <n v="23"/>
    <n v="27251.100119999996"/>
    <n v="29014.04"/>
    <n v="-1762.9398800000054"/>
    <n v="-6.4692429745475011E-2"/>
  </r>
  <r>
    <s v="ORD-2024-389102"/>
    <d v="2024-06-15T00:00:00"/>
    <d v="2024-07-06T00:00:00"/>
    <n v="21"/>
    <s v="Jun-2024"/>
    <s v="Q2-2024"/>
    <x v="2"/>
    <s v="Canada"/>
    <s v="Toronto"/>
    <s v="Enterprise"/>
    <s v="Distributor"/>
    <x v="4"/>
    <s v="Printers"/>
    <s v="PRN-4453"/>
    <n v="817.23"/>
    <s v="High"/>
    <n v="1467.17"/>
    <x v="103"/>
    <n v="9"/>
    <n v="3655.9817999999996"/>
    <n v="7355.07"/>
    <n v="-3699.0882000000001"/>
    <n v="-1.0117906495048745"/>
  </r>
  <r>
    <s v="ORD-2023-309373"/>
    <d v="2023-07-05T00:00:00"/>
    <d v="2023-07-14T00:00:00"/>
    <n v="9"/>
    <s v="Jul-2023"/>
    <s v="Q3-2023"/>
    <x v="2"/>
    <s v="Brazil"/>
    <s v="Brasília"/>
    <s v="Enterprise"/>
    <s v="Direct"/>
    <x v="5"/>
    <s v="Networking"/>
    <s v="NET-2394"/>
    <n v="578.85"/>
    <s v="High"/>
    <n v="998.76"/>
    <x v="104"/>
    <n v="28"/>
    <n v="31331.119680000003"/>
    <n v="16207.800000000001"/>
    <n v="15123.319680000002"/>
    <n v="0.4826932402819254"/>
  </r>
  <r>
    <s v="ORD-2023-825495"/>
    <d v="2023-11-30T00:00:00"/>
    <d v="2023-11-29T00:00:00"/>
    <n v="1"/>
    <s v="Nov-2023"/>
    <s v="Q4-2023"/>
    <x v="0"/>
    <s v="South Africa"/>
    <s v="Durban"/>
    <s v="Small Business"/>
    <s v="Marketplace"/>
    <x v="6"/>
    <s v="Laptops"/>
    <s v="LAP-1525"/>
    <n v="275.56"/>
    <s v="High"/>
    <n v="630.72"/>
    <x v="105"/>
    <n v="23"/>
    <n v="42353.882679999995"/>
    <n v="6337.88"/>
    <n v="36016.002679999998"/>
    <n v="0.85035893762361436"/>
  </r>
  <r>
    <s v="ORD-2025-244832"/>
    <d v="2025-09-11T00:00:00"/>
    <d v="2025-09-28T00:00:00"/>
    <n v="17"/>
    <s v="Sept-2025"/>
    <s v="Q3-2025"/>
    <x v="0"/>
    <s v="Kenya"/>
    <s v="Nairobi"/>
    <s v="Non-Profit"/>
    <s v="Distributor"/>
    <x v="1"/>
    <s v="Laptops"/>
    <s v="LAP-3278"/>
    <n v="891.46"/>
    <s v="High"/>
    <n v="728.61"/>
    <x v="57"/>
    <n v="6"/>
    <n v="49.780199999999994"/>
    <n v="5348.76"/>
    <n v="-5298.9798000000001"/>
    <n v="-106.44753938312824"/>
  </r>
  <r>
    <s v="ORD-2024-211453"/>
    <d v="2024-04-04T00:00:00"/>
    <d v="2024-04-24T00:00:00"/>
    <n v="20"/>
    <s v="Apr-2024"/>
    <s v="Q2-2024"/>
    <x v="3"/>
    <s v="Germany"/>
    <s v="Frankfurt"/>
    <s v="Non-Profit"/>
    <s v="Direct"/>
    <x v="7"/>
    <s v="Accessories"/>
    <s v="ACC-6543"/>
    <n v="683.42"/>
    <s v="High"/>
    <n v="951.51"/>
    <x v="5"/>
    <n v="14"/>
    <n v="31944.079999999998"/>
    <n v="9567.8799999999992"/>
    <n v="22376.199999999997"/>
    <n v="0.7004803393930894"/>
  </r>
  <r>
    <s v="ORD-2023-192324"/>
    <d v="2023-09-14T00:00:00"/>
    <d v="2023-09-16T00:00:00"/>
    <n v="2"/>
    <s v="Sept-2023"/>
    <s v="Q3-2023"/>
    <x v="3"/>
    <s v="France"/>
    <s v="Lyon"/>
    <s v="Non-Profit"/>
    <s v="Direct"/>
    <x v="5"/>
    <s v="Printers"/>
    <s v="PRN-4432"/>
    <n v="376.83"/>
    <s v="High"/>
    <n v="732.88"/>
    <x v="70"/>
    <n v="25"/>
    <n v="5066.2710000000006"/>
    <n v="9420.75"/>
    <n v="-4354.4789999999994"/>
    <n v="-0.85950376519534755"/>
  </r>
  <r>
    <s v="ORD-2024-438404"/>
    <d v="2024-09-23T00:00:00"/>
    <d v="2024-10-18T00:00:00"/>
    <n v="25"/>
    <s v="Sept-2024"/>
    <s v="Q3-2024"/>
    <x v="2"/>
    <s v="Canada"/>
    <s v="Vancouver"/>
    <s v="Small Business"/>
    <s v="Online"/>
    <x v="13"/>
    <s v="Phones"/>
    <s v="PHN-4568"/>
    <n v="1297"/>
    <s v="High"/>
    <n v="2411.52"/>
    <x v="106"/>
    <n v="18"/>
    <n v="57712.049999999996"/>
    <n v="23346"/>
    <n v="34366.049999999996"/>
    <n v="0.59547442865051581"/>
  </r>
  <r>
    <s v="ORD-2025-246470"/>
    <d v="2025-04-16T00:00:00"/>
    <d v="2025-05-16T00:00:00"/>
    <n v="0"/>
    <s v="Apr-2025"/>
    <s v="Q2-2025"/>
    <x v="2"/>
    <s v="Canada"/>
    <s v="Montreal"/>
    <s v="Enterprise"/>
    <s v="Distributor"/>
    <x v="11"/>
    <s v="Printers"/>
    <s v="PRN-6178"/>
    <n v="763.32"/>
    <s v="High"/>
    <n v="568.29"/>
    <x v="2"/>
    <n v="16"/>
    <n v="26608.919040000001"/>
    <n v="12213.12"/>
    <n v="14395.79904"/>
    <n v="0.54101404940048248"/>
  </r>
  <r>
    <s v="ORD-2023-497686"/>
    <d v="2023-07-03T00:00:00"/>
    <d v="2023-07-23T00:00:00"/>
    <n v="20"/>
    <s v="Jul-2023"/>
    <s v="Q3-2023"/>
    <x v="0"/>
    <s v="South Africa"/>
    <s v="Johannesburg"/>
    <s v="Small Business"/>
    <s v="Distributor"/>
    <x v="9"/>
    <s v="Laptops"/>
    <s v="LAP-6342"/>
    <n v="1001.96"/>
    <s v="High"/>
    <n v="1254.95"/>
    <x v="107"/>
    <n v="18"/>
    <n v="517.24709999999993"/>
    <n v="18035.28"/>
    <n v="-17518.032899999998"/>
    <n v="-33.867822361884677"/>
  </r>
  <r>
    <s v="ORD-2023-596758"/>
    <d v="2023-12-07T00:00:00"/>
    <d v="2023-12-05T00:00:00"/>
    <n v="2"/>
    <s v="Dec-2023"/>
    <s v="Q4-2023"/>
    <x v="1"/>
    <s v="Japan"/>
    <s v="Tokyo"/>
    <s v="Non-Profit"/>
    <s v="Marketplace"/>
    <x v="10"/>
    <s v="Printers"/>
    <s v="PRN-8175"/>
    <n v="1097.5899999999999"/>
    <s v="High"/>
    <n v="845.55"/>
    <x v="50"/>
    <n v="6"/>
    <n v="2454.4137600000004"/>
    <n v="6585.5399999999991"/>
    <n v="-4131.1262399999987"/>
    <n v="-1.6831417372757875"/>
  </r>
  <r>
    <s v="ORD-2024-201376"/>
    <d v="2024-02-18T00:00:00"/>
    <d v="2024-03-04T00:00:00"/>
    <n v="15"/>
    <s v="Feb-2024"/>
    <s v="Q1-2024"/>
    <x v="0"/>
    <s v="Kenya"/>
    <s v="Kisumu"/>
    <s v="Education"/>
    <s v="Direct"/>
    <x v="11"/>
    <s v="Printers"/>
    <s v="PRN-7089"/>
    <n v="928.68"/>
    <s v="High"/>
    <n v="2145.17"/>
    <x v="29"/>
    <n v="16"/>
    <n v="5684.1523200000001"/>
    <n v="14858.88"/>
    <n v="-9174.72768"/>
    <n v="-1.6140889904934848"/>
  </r>
  <r>
    <s v="ORD-2023-842488"/>
    <d v="2023-10-31T00:00:00"/>
    <d v="2023-11-02T00:00:00"/>
    <n v="2"/>
    <s v="Oct-2023"/>
    <s v="Q4-2023"/>
    <x v="0"/>
    <s v="Kenya"/>
    <s v="Kisumu"/>
    <s v="Education"/>
    <s v="Retail"/>
    <x v="7"/>
    <s v="Accessories"/>
    <s v="ACC-4124"/>
    <n v="867.89"/>
    <s v="High"/>
    <n v="1349.94"/>
    <x v="50"/>
    <n v="10"/>
    <n v="48.307200000000009"/>
    <n v="8678.9"/>
    <n v="-8630.5928000000004"/>
    <n v="-178.66058889772123"/>
  </r>
  <r>
    <s v="ORD-2024-136321"/>
    <d v="2024-08-07T00:00:00"/>
    <d v="2024-08-17T00:00:00"/>
    <n v="10"/>
    <s v="Aug-2024"/>
    <s v="Q3-2024"/>
    <x v="1"/>
    <s v="Japan"/>
    <s v="Osaka"/>
    <s v="Consumer"/>
    <s v="Online"/>
    <x v="11"/>
    <s v="Networking"/>
    <s v="NET-7924"/>
    <n v="436.58"/>
    <s v="High"/>
    <n v="527.48"/>
    <x v="95"/>
    <n v="19"/>
    <n v="37272.187330000001"/>
    <n v="8295.02"/>
    <n v="28977.16733"/>
    <n v="0.77744745897101064"/>
  </r>
  <r>
    <s v="ORD-2024-764468"/>
    <d v="2024-02-01T00:00:00"/>
    <d v="2024-02-21T00:00:00"/>
    <n v="20"/>
    <s v="Feb-2024"/>
    <s v="Q1-2024"/>
    <x v="3"/>
    <s v="France"/>
    <s v="Paris"/>
    <s v="Small Business"/>
    <s v="Marketplace"/>
    <x v="8"/>
    <s v="Networking"/>
    <s v="NET-8761"/>
    <n v="656.2"/>
    <s v="High"/>
    <n v="1467.17"/>
    <x v="108"/>
    <n v="5"/>
    <n v="9391.848"/>
    <n v="3281"/>
    <n v="6110.848"/>
    <n v="0.65065448248310664"/>
  </r>
  <r>
    <s v="ORD-2024-553449"/>
    <d v="2024-08-27T00:00:00"/>
    <d v="2024-09-18T00:00:00"/>
    <n v="22"/>
    <s v="Aug-2024"/>
    <s v="Q3-2024"/>
    <x v="1"/>
    <s v="India"/>
    <s v="Delhi"/>
    <s v="Consumer"/>
    <s v="Direct"/>
    <x v="5"/>
    <s v="Components"/>
    <s v="CMP-3875"/>
    <n v="896.75"/>
    <s v="High"/>
    <n v="1651.14"/>
    <x v="109"/>
    <n v="15"/>
    <n v="20216.283749999999"/>
    <n v="13451.25"/>
    <n v="6765.0337499999987"/>
    <n v="0.3346329045267778"/>
  </r>
  <r>
    <s v="ORD-2025-766923"/>
    <d v="2025-02-15T00:00:00"/>
    <d v="2025-02-15T00:00:00"/>
    <n v="0"/>
    <s v="Feb-2025"/>
    <s v="Q1-2025"/>
    <x v="3"/>
    <s v="Germany"/>
    <s v="Frankfurt"/>
    <s v="Small Business"/>
    <s v="Marketplace"/>
    <x v="4"/>
    <s v="Accessories"/>
    <s v="ACC-3989"/>
    <n v="815.83"/>
    <s v="High"/>
    <n v="1982.18"/>
    <x v="110"/>
    <n v="6"/>
    <n v="7100.6851799999995"/>
    <n v="4894.9800000000005"/>
    <n v="2205.705179999999"/>
    <n v="0.31063272403804826"/>
  </r>
  <r>
    <s v="ORD-2025-418232"/>
    <d v="2025-08-01T00:00:00"/>
    <d v="2025-08-21T00:00:00"/>
    <n v="20"/>
    <s v="Aug-2025"/>
    <s v="Q3-2025"/>
    <x v="1"/>
    <s v="China"/>
    <s v="Shanghai"/>
    <s v="Corporate"/>
    <s v="Direct"/>
    <x v="2"/>
    <s v="Phones"/>
    <s v="PHN-9234"/>
    <n v="1220.4100000000001"/>
    <s v="High"/>
    <n v="2552.2199999999998"/>
    <x v="111"/>
    <n v="14"/>
    <n v="10180.661399999999"/>
    <n v="17085.740000000002"/>
    <n v="-6905.0786000000026"/>
    <n v="-0.6782544206803699"/>
  </r>
  <r>
    <s v="ORD-2023-848013"/>
    <d v="2023-02-20T00:00:00"/>
    <d v="2023-03-04T00:00:00"/>
    <n v="12"/>
    <s v="Feb-2023"/>
    <s v="Q1-2023"/>
    <x v="1"/>
    <s v="India"/>
    <s v="Delhi"/>
    <s v="Consumer"/>
    <s v="Distributor"/>
    <x v="12"/>
    <s v="Monitors"/>
    <s v="MON-9906"/>
    <n v="299.75"/>
    <s v="High"/>
    <n v="523.01"/>
    <x v="87"/>
    <n v="50"/>
    <n v="43022.083500000001"/>
    <n v="14987.5"/>
    <n v="28034.583500000001"/>
    <n v="0.65163239943969709"/>
  </r>
  <r>
    <s v="ORD-2024-357368"/>
    <d v="2024-10-30T00:00:00"/>
    <d v="2024-11-24T00:00:00"/>
    <n v="25"/>
    <s v="Oct-2024"/>
    <s v="Q4-2024"/>
    <x v="1"/>
    <s v="China"/>
    <s v="Shenzhen"/>
    <s v="Small Business"/>
    <s v="Online"/>
    <x v="6"/>
    <s v="Components"/>
    <s v="CMP-4610"/>
    <n v="811.05"/>
    <s v="High"/>
    <n v="1217.71"/>
    <x v="3"/>
    <n v="5"/>
    <n v="6475.2592000000004"/>
    <n v="4055.25"/>
    <n v="2420.0092000000004"/>
    <n v="0.37373163378540897"/>
  </r>
  <r>
    <s v="ORD-2024-219735"/>
    <d v="2024-04-03T00:00:00"/>
    <d v="2024-04-07T00:00:00"/>
    <n v="4"/>
    <s v="Apr-2024"/>
    <s v="Q2-2024"/>
    <x v="2"/>
    <s v="Brazil"/>
    <s v="Brasília"/>
    <s v="Non-Profit"/>
    <s v="Direct"/>
    <x v="13"/>
    <s v="Phones"/>
    <s v="PHN-5445"/>
    <n v="1023.27"/>
    <s v="High"/>
    <n v="1343.64"/>
    <x v="112"/>
    <n v="7"/>
    <n v="13797.385980000001"/>
    <n v="7162.8899999999994"/>
    <n v="6634.4959800000015"/>
    <n v="0.48085166201895302"/>
  </r>
  <r>
    <s v="ORD-2023-240507"/>
    <d v="2023-03-25T00:00:00"/>
    <d v="2023-03-26T00:00:00"/>
    <n v="1"/>
    <s v="Mar-2023"/>
    <s v="Q1-2023"/>
    <x v="1"/>
    <s v="Japan"/>
    <s v="Osaka"/>
    <s v="Small Business"/>
    <s v="Distributor"/>
    <x v="2"/>
    <s v="Monitors"/>
    <s v="MON-9227"/>
    <n v="135.12"/>
    <s v="High"/>
    <n v="301.7"/>
    <x v="78"/>
    <n v="47"/>
    <n v="50207.703000000001"/>
    <n v="6350.64"/>
    <n v="43857.063000000002"/>
    <n v="0.87351263609888707"/>
  </r>
  <r>
    <s v="ORD-2024-134084"/>
    <d v="2024-06-04T00:00:00"/>
    <d v="2024-06-16T00:00:00"/>
    <n v="12"/>
    <s v="Jun-2024"/>
    <s v="Q2-2024"/>
    <x v="1"/>
    <s v="China"/>
    <s v="Shanghai"/>
    <s v="Corporate"/>
    <s v="Retail"/>
    <x v="1"/>
    <s v="Printers"/>
    <s v="PRN-4097"/>
    <n v="918.42"/>
    <s v="High"/>
    <n v="1511.71"/>
    <x v="113"/>
    <n v="8"/>
    <n v="10272.6736"/>
    <n v="7347.36"/>
    <n v="2925.3136000000004"/>
    <n v="0.28476652855007489"/>
  </r>
  <r>
    <s v="ORD-2023-884625"/>
    <d v="2023-02-19T00:00:00"/>
    <d v="2023-03-12T00:00:00"/>
    <n v="21"/>
    <s v="Feb-2023"/>
    <s v="Q1-2023"/>
    <x v="3"/>
    <s v="Germany"/>
    <s v="Berlin"/>
    <s v="Small Business"/>
    <s v="Direct"/>
    <x v="4"/>
    <s v="Monitors"/>
    <s v="MON-6699"/>
    <n v="1234.81"/>
    <s v="High"/>
    <n v="2055.2399999999998"/>
    <x v="114"/>
    <n v="44"/>
    <n v="40303.373"/>
    <n v="54331.64"/>
    <n v="-14028.267"/>
    <n v="-0.34806682309195314"/>
  </r>
  <r>
    <s v="ORD-2023-157993"/>
    <d v="2023-04-18T00:00:00"/>
    <d v="2023-05-18T00:00:00"/>
    <n v="0"/>
    <s v="Apr-2023"/>
    <s v="Q2-2023"/>
    <x v="1"/>
    <s v="China"/>
    <s v="Shenzhen"/>
    <s v="Non-Profit"/>
    <s v="Retail"/>
    <x v="10"/>
    <s v="Laptops"/>
    <s v="LAP-1482"/>
    <n v="329.03"/>
    <s v="High"/>
    <n v="391.15"/>
    <x v="115"/>
    <n v="46"/>
    <n v="32735.194359999998"/>
    <n v="15135.38"/>
    <n v="17599.814359999997"/>
    <n v="0.53764196926552166"/>
  </r>
  <r>
    <s v="ORD-2024-329104"/>
    <d v="2024-05-23T00:00:00"/>
    <d v="2024-06-14T00:00:00"/>
    <n v="22"/>
    <s v="May-2024"/>
    <s v="Q2-2024"/>
    <x v="3"/>
    <s v="France"/>
    <s v="Marseille"/>
    <s v="Small Business"/>
    <s v="Online"/>
    <x v="13"/>
    <s v="Monitors"/>
    <s v="MON-2100"/>
    <n v="1481.74"/>
    <s v="High"/>
    <n v="1848.97"/>
    <x v="116"/>
    <n v="9"/>
    <n v="5308.1555399999997"/>
    <n v="13335.66"/>
    <n v="-8027.5044600000001"/>
    <n v="-1.5122963898680333"/>
  </r>
  <r>
    <s v="ORD-2023-304451"/>
    <d v="2023-10-07T00:00:00"/>
    <d v="2023-10-23T00:00:00"/>
    <n v="16"/>
    <s v="Oct-2023"/>
    <s v="Q4-2023"/>
    <x v="1"/>
    <s v="India"/>
    <s v="Hyderabad"/>
    <s v="Consumer"/>
    <s v="Retail"/>
    <x v="3"/>
    <s v="Monitors"/>
    <s v="MON-7602"/>
    <n v="906.81"/>
    <s v="High"/>
    <n v="1395.56"/>
    <x v="57"/>
    <n v="6"/>
    <n v="1766.9036999999998"/>
    <n v="5440.86"/>
    <n v="-3673.9562999999998"/>
    <n v="-2.079318923832691"/>
  </r>
  <r>
    <s v="ORD-2024-942981"/>
    <d v="2024-10-09T00:00:00"/>
    <d v="2024-11-08T00:00:00"/>
    <n v="30"/>
    <s v="Oct-2024"/>
    <s v="Q4-2024"/>
    <x v="3"/>
    <s v="United Kingdom"/>
    <s v="Manchester"/>
    <s v="Small Business"/>
    <s v="Distributor"/>
    <x v="1"/>
    <s v="Components"/>
    <s v="CMP-1072"/>
    <n v="343.85"/>
    <s v="High"/>
    <n v="538.04"/>
    <x v="23"/>
    <n v="5"/>
    <n v="8403.5321999999996"/>
    <n v="1719.25"/>
    <n v="6684.2821999999996"/>
    <n v="0.79541340961363838"/>
  </r>
  <r>
    <s v="ORD-2024-605629"/>
    <d v="2024-07-15T00:00:00"/>
    <d v="2024-07-15T00:00:00"/>
    <n v="0"/>
    <s v="Jul-2024"/>
    <s v="Q3-2024"/>
    <x v="1"/>
    <s v="Japan"/>
    <s v="Tokyo"/>
    <s v="Small Business"/>
    <s v="Marketplace"/>
    <x v="3"/>
    <s v="Accessories"/>
    <s v="ACC-2735"/>
    <n v="801.77"/>
    <s v="High"/>
    <n v="1218.92"/>
    <x v="116"/>
    <n v="16"/>
    <n v="18676.97536"/>
    <n v="12828.32"/>
    <n v="5848.6553600000007"/>
    <n v="0.31314788648947495"/>
  </r>
  <r>
    <s v="ORD-2023-450877"/>
    <d v="2023-09-21T00:00:00"/>
    <d v="2023-10-10T00:00:00"/>
    <n v="19"/>
    <s v="Sept-2023"/>
    <s v="Q3-2023"/>
    <x v="1"/>
    <s v="Japan"/>
    <s v="Tokyo"/>
    <s v="Education"/>
    <s v="Online"/>
    <x v="14"/>
    <s v="Components"/>
    <s v="CMP-5211"/>
    <n v="845.63"/>
    <s v="High"/>
    <n v="2062.12"/>
    <x v="61"/>
    <n v="5"/>
    <n v="3691.4982"/>
    <n v="4228.1499999999996"/>
    <n v="-536.65179999999964"/>
    <n v="-0.1453750674996942"/>
  </r>
  <r>
    <s v="ORD-2023-286994"/>
    <d v="2023-02-24T00:00:00"/>
    <d v="2023-03-09T00:00:00"/>
    <n v="13"/>
    <s v="Feb-2023"/>
    <s v="Q1-2023"/>
    <x v="2"/>
    <s v="USA"/>
    <s v="New York"/>
    <s v="Enterprise"/>
    <s v="Online"/>
    <x v="12"/>
    <s v="Components"/>
    <s v="CMP-1632"/>
    <n v="6.85"/>
    <s v="Low"/>
    <n v="10.18"/>
    <x v="58"/>
    <n v="10"/>
    <n v="13964.213699999998"/>
    <n v="68.5"/>
    <n v="13895.713699999998"/>
    <n v="0.99509460385871928"/>
  </r>
  <r>
    <s v="ORD-2025-700847"/>
    <d v="2025-05-21T00:00:00"/>
    <d v="2025-05-19T00:00:00"/>
    <n v="2"/>
    <s v="May-2025"/>
    <s v="Q2-2025"/>
    <x v="0"/>
    <s v="South Africa"/>
    <s v="Johannesburg"/>
    <s v="Non-Profit"/>
    <s v="Distributor"/>
    <x v="7"/>
    <s v="Laptops"/>
    <s v="LAP-7099"/>
    <n v="1263.8399999999999"/>
    <s v="High"/>
    <n v="2281.7199999999998"/>
    <x v="117"/>
    <n v="15"/>
    <n v="36583.530899999998"/>
    <n v="18957.599999999999"/>
    <n v="17625.930899999999"/>
    <n v="0.48179960945213191"/>
  </r>
  <r>
    <s v="ORD-2024-970848"/>
    <d v="2024-05-23T00:00:00"/>
    <d v="2024-06-03T00:00:00"/>
    <n v="11"/>
    <s v="May-2024"/>
    <s v="Q2-2024"/>
    <x v="0"/>
    <s v="South Africa"/>
    <s v="Johannesburg"/>
    <s v="Small Business"/>
    <s v="Distributor"/>
    <x v="9"/>
    <s v="Printers"/>
    <s v="PRN-3785"/>
    <n v="180.89"/>
    <s v="High"/>
    <n v="249.57"/>
    <x v="118"/>
    <n v="8"/>
    <n v="6897.4036800000003"/>
    <n v="1447.12"/>
    <n v="5450.2836800000005"/>
    <n v="0.79019351815000627"/>
  </r>
  <r>
    <s v="ORD-2025-845715"/>
    <d v="2025-04-14T00:00:00"/>
    <d v="2025-05-04T00:00:00"/>
    <n v="20"/>
    <s v="Apr-2025"/>
    <s v="Q2-2025"/>
    <x v="3"/>
    <s v="United Kingdom"/>
    <s v="Birmingham"/>
    <s v="Enterprise"/>
    <s v="Marketplace"/>
    <x v="11"/>
    <s v="Monitors"/>
    <s v="MON-6962"/>
    <n v="1413.87"/>
    <s v="High"/>
    <n v="3275"/>
    <x v="48"/>
    <n v="38"/>
    <n v="17694.882399999999"/>
    <n v="53727.06"/>
    <n v="-36032.177599999995"/>
    <n v="-2.0363050053387188"/>
  </r>
  <r>
    <s v="ORD-2023-664749"/>
    <d v="2023-08-27T00:00:00"/>
    <d v="2023-09-11T00:00:00"/>
    <n v="15"/>
    <s v="Aug-2023"/>
    <s v="Q3-2023"/>
    <x v="3"/>
    <s v="United Kingdom"/>
    <s v="London"/>
    <s v="Consumer"/>
    <s v="Marketplace"/>
    <x v="13"/>
    <s v="Printers"/>
    <s v="PRN-5107"/>
    <n v="943.79"/>
    <s v="High"/>
    <n v="1913.76"/>
    <x v="119"/>
    <n v="9"/>
    <n v="7960.4402400000008"/>
    <n v="8494.11"/>
    <n v="-533.66975999999977"/>
    <n v="-6.7040231935715122E-2"/>
  </r>
  <r>
    <s v="ORD-2024-960952"/>
    <d v="2024-02-03T00:00:00"/>
    <d v="2024-02-21T00:00:00"/>
    <n v="18"/>
    <s v="Feb-2024"/>
    <s v="Q1-2024"/>
    <x v="3"/>
    <s v="Germany"/>
    <s v="Frankfurt"/>
    <s v="Corporate"/>
    <s v="Retail"/>
    <x v="10"/>
    <s v="Components"/>
    <s v="CMP-9264"/>
    <n v="39.229999999999997"/>
    <s v="Low"/>
    <n v="30.09"/>
    <x v="120"/>
    <n v="13"/>
    <n v="16533.592659999998"/>
    <n v="509.98999999999995"/>
    <n v="16023.602659999999"/>
    <n v="0.96915431446222655"/>
  </r>
  <r>
    <s v="ORD-2023-987700"/>
    <d v="2023-04-05T00:00:00"/>
    <d v="2023-04-16T00:00:00"/>
    <n v="11"/>
    <s v="Apr-2023"/>
    <s v="Q2-2023"/>
    <x v="2"/>
    <s v="Canada"/>
    <s v="Vancouver"/>
    <s v="Non-Profit"/>
    <s v="Online"/>
    <x v="7"/>
    <s v="Monitors"/>
    <s v="MON-5259"/>
    <n v="213.1"/>
    <s v="High"/>
    <n v="501.31"/>
    <x v="121"/>
    <n v="15"/>
    <n v="31908.427200000002"/>
    <n v="3196.5"/>
    <n v="28711.927200000002"/>
    <n v="0.89982270263700115"/>
  </r>
  <r>
    <s v="ORD-2025-652467"/>
    <d v="2025-08-21T00:00:00"/>
    <d v="2025-09-12T00:00:00"/>
    <n v="22"/>
    <s v="Aug-2025"/>
    <s v="Q3-2025"/>
    <x v="1"/>
    <s v="China"/>
    <s v="Shenzhen"/>
    <s v="Education"/>
    <s v="Retail"/>
    <x v="5"/>
    <s v="Printers"/>
    <s v="PRN-8137"/>
    <n v="352.66"/>
    <s v="High"/>
    <n v="411.18"/>
    <x v="122"/>
    <n v="13"/>
    <n v="26302.966559999997"/>
    <n v="4584.58"/>
    <n v="21718.386559999999"/>
    <n v="0.82570102921501043"/>
  </r>
  <r>
    <s v="ORD-2025-667201"/>
    <d v="2025-09-15T00:00:00"/>
    <d v="2025-09-18T00:00:00"/>
    <n v="3"/>
    <s v="Sept-2025"/>
    <s v="Q3-2025"/>
    <x v="2"/>
    <s v="Brazil"/>
    <s v="Rio de Janeiro"/>
    <s v="Non-Profit"/>
    <s v="Direct"/>
    <x v="4"/>
    <s v="Accessories"/>
    <s v="ACC-6777"/>
    <n v="5.5"/>
    <s v="Low"/>
    <n v="5.92"/>
    <x v="123"/>
    <n v="4"/>
    <n v="593.52160000000003"/>
    <n v="22"/>
    <n v="571.52160000000003"/>
    <n v="0.96293310976382329"/>
  </r>
  <r>
    <s v="ORD-2024-237478"/>
    <d v="2024-10-03T00:00:00"/>
    <d v="2024-10-11T00:00:00"/>
    <n v="8"/>
    <s v="Oct-2024"/>
    <s v="Q4-2024"/>
    <x v="1"/>
    <s v="China"/>
    <s v="Beijing"/>
    <s v="Enterprise"/>
    <s v="Direct"/>
    <x v="5"/>
    <s v="Phones"/>
    <s v="PHN-7488"/>
    <n v="1132.6099999999999"/>
    <s v="High"/>
    <n v="2206.63"/>
    <x v="96"/>
    <n v="20"/>
    <n v="48027.621600000006"/>
    <n v="22652.199999999997"/>
    <n v="25375.421600000009"/>
    <n v="0.52835057732694402"/>
  </r>
  <r>
    <s v="ORD-2025-898843"/>
    <d v="2025-02-02T00:00:00"/>
    <d v="2025-03-04T00:00:00"/>
    <n v="2"/>
    <s v="Feb-2025"/>
    <s v="Q1-2025"/>
    <x v="1"/>
    <s v="Japan"/>
    <s v="Osaka"/>
    <s v="Education"/>
    <s v="Distributor"/>
    <x v="4"/>
    <s v="Accessories"/>
    <s v="ACC-9591"/>
    <n v="766.59"/>
    <s v="High"/>
    <n v="1912.8"/>
    <x v="124"/>
    <n v="5"/>
    <n v="7256.5421999999999"/>
    <n v="3832.9500000000003"/>
    <n v="3423.5921999999996"/>
    <n v="0.47179388001078526"/>
  </r>
  <r>
    <s v="ORD-2023-334213"/>
    <d v="2023-08-19T00:00:00"/>
    <d v="2023-08-23T00:00:00"/>
    <n v="4"/>
    <s v="Aug-2023"/>
    <s v="Q3-2023"/>
    <x v="0"/>
    <s v="Nigeria"/>
    <s v="Abuja"/>
    <s v="Small Business"/>
    <s v="Online"/>
    <x v="1"/>
    <s v="Monitors"/>
    <s v="MON-5517"/>
    <n v="790.63"/>
    <s v="High"/>
    <n v="1382.31"/>
    <x v="27"/>
    <n v="7"/>
    <n v="12999.63889"/>
    <n v="5534.41"/>
    <n v="7465.2288900000003"/>
    <n v="0.57426432789164961"/>
  </r>
  <r>
    <s v="ORD-2024-640340"/>
    <d v="2024-10-22T00:00:00"/>
    <d v="2024-10-29T00:00:00"/>
    <n v="7"/>
    <s v="Oct-2024"/>
    <s v="Q4-2024"/>
    <x v="0"/>
    <s v="Nigeria"/>
    <s v="Port Harcourt"/>
    <s v="Enterprise"/>
    <s v="Distributor"/>
    <x v="12"/>
    <s v="Monitors"/>
    <s v="MON-8758"/>
    <n v="1023.06"/>
    <s v="High"/>
    <n v="1355.61"/>
    <x v="125"/>
    <n v="23"/>
    <n v="46101.981310000003"/>
    <n v="23530.379999999997"/>
    <n v="22571.601310000005"/>
    <n v="0.4896015457171683"/>
  </r>
  <r>
    <s v="ORD-2023-399631"/>
    <d v="2023-06-22T00:00:00"/>
    <d v="2023-07-21T00:00:00"/>
    <n v="29"/>
    <s v="Jun-2023"/>
    <s v="Q2-2023"/>
    <x v="3"/>
    <s v="France"/>
    <s v="Lyon"/>
    <s v="Corporate"/>
    <s v="Retail"/>
    <x v="1"/>
    <s v="Accessories"/>
    <s v="ACC-3385"/>
    <n v="734.34"/>
    <s v="High"/>
    <n v="887.9"/>
    <x v="109"/>
    <n v="12"/>
    <n v="1541.5919999999999"/>
    <n v="8812.08"/>
    <n v="-7270.4880000000003"/>
    <n v="-4.7162206342534221"/>
  </r>
  <r>
    <s v="ORD-2025-542939"/>
    <d v="2025-01-13T00:00:00"/>
    <d v="2025-02-08T00:00:00"/>
    <n v="26"/>
    <s v="Jan-2025"/>
    <s v="Q1-2025"/>
    <x v="3"/>
    <s v="France"/>
    <s v="Paris"/>
    <s v="Non-Profit"/>
    <s v="Not Provided"/>
    <x v="6"/>
    <s v="Monitors"/>
    <s v="MON-1593"/>
    <n v="594.74"/>
    <s v="High"/>
    <n v="1020.69"/>
    <x v="126"/>
    <n v="6"/>
    <n v="6319.9846800000005"/>
    <n v="3568.44"/>
    <n v="2751.5446800000004"/>
    <n v="0.43537204903477711"/>
  </r>
  <r>
    <s v="ORD-2023-521818"/>
    <d v="2023-01-29T00:00:00"/>
    <d v="2023-02-28T00:00:00"/>
    <n v="30"/>
    <s v="Jan-2023"/>
    <s v="Q1-2023"/>
    <x v="1"/>
    <s v="India"/>
    <s v="Bengaluru"/>
    <s v="Non-Profit"/>
    <s v="Retail"/>
    <x v="5"/>
    <s v="Accessories"/>
    <s v="ACC-4631"/>
    <n v="1262.0999999999999"/>
    <s v="High"/>
    <n v="1395.53"/>
    <x v="127"/>
    <n v="25"/>
    <n v="51608.553749999999"/>
    <n v="31552.499999999996"/>
    <n v="20056.053750000003"/>
    <n v="0.38861879073679723"/>
  </r>
  <r>
    <s v="ORD-2023-825836"/>
    <d v="2023-07-19T00:00:00"/>
    <d v="2023-07-31T00:00:00"/>
    <n v="12"/>
    <s v="Jul-2023"/>
    <s v="Q3-2023"/>
    <x v="2"/>
    <s v="Brazil"/>
    <s v="Rio de Janeiro"/>
    <s v="Corporate"/>
    <s v="Retail"/>
    <x v="0"/>
    <s v="Monitors"/>
    <s v="MON-7869"/>
    <n v="1334.64"/>
    <s v="High"/>
    <n v="2273.42"/>
    <x v="85"/>
    <n v="14"/>
    <n v="9587.7280800000008"/>
    <n v="18684.960000000003"/>
    <n v="-9097.231920000002"/>
    <n v="-0.94884125249409468"/>
  </r>
  <r>
    <s v="ORD-2024-503082"/>
    <d v="2024-05-19T00:00:00"/>
    <d v="2024-06-08T00:00:00"/>
    <n v="20"/>
    <s v="May-2024"/>
    <s v="Q2-2024"/>
    <x v="2"/>
    <s v="Brazil"/>
    <s v="Brasília"/>
    <s v="Small Business"/>
    <s v="Retail"/>
    <x v="6"/>
    <s v="Monitors"/>
    <s v="MON-4271"/>
    <n v="1075.9000000000001"/>
    <s v="High"/>
    <n v="1242.1500000000001"/>
    <x v="84"/>
    <n v="7"/>
    <n v="2200.4637200000002"/>
    <n v="7531.3000000000011"/>
    <n v="-5330.8362800000014"/>
    <n v="-2.4225967606500691"/>
  </r>
  <r>
    <s v="ORD-2024-760799"/>
    <d v="2024-02-03T00:00:00"/>
    <d v="2024-02-19T00:00:00"/>
    <n v="16"/>
    <s v="Feb-2024"/>
    <s v="Q1-2024"/>
    <x v="1"/>
    <s v="China"/>
    <s v="Shenzhen"/>
    <s v="Small Business"/>
    <s v="Online"/>
    <x v="10"/>
    <s v="Laptops"/>
    <s v="LAP-5531"/>
    <n v="993.75"/>
    <s v="High"/>
    <n v="1310.29"/>
    <x v="66"/>
    <n v="19"/>
    <n v="18590.205150000002"/>
    <n v="18881.25"/>
    <n v="-291.04484999999841"/>
    <n v="-1.5655817009636301E-2"/>
  </r>
  <r>
    <s v="ORD-2023-197661"/>
    <d v="2023-08-08T00:00:00"/>
    <d v="2023-08-22T00:00:00"/>
    <n v="14"/>
    <s v="Aug-2023"/>
    <s v="Q3-2023"/>
    <x v="3"/>
    <s v="United Kingdom"/>
    <s v="Birmingham"/>
    <s v="Non-Profit"/>
    <s v="Direct"/>
    <x v="13"/>
    <s v="Monitors"/>
    <s v="MON-7511"/>
    <n v="446.69"/>
    <s v="High"/>
    <n v="967.25"/>
    <x v="12"/>
    <n v="10"/>
    <n v="3143.4576000000002"/>
    <n v="4466.8999999999996"/>
    <n v="-1323.4423999999995"/>
    <n v="-0.42101487228585471"/>
  </r>
  <r>
    <s v="ORD-2024-212990"/>
    <d v="2024-08-12T00:00:00"/>
    <d v="2024-09-03T00:00:00"/>
    <n v="22"/>
    <s v="Aug-2024"/>
    <s v="Q3-2024"/>
    <x v="2"/>
    <s v="USA"/>
    <s v="Austin"/>
    <s v="Consumer"/>
    <s v="Distributor"/>
    <x v="2"/>
    <s v="Laptops"/>
    <s v="LAP-7979"/>
    <n v="797.8"/>
    <s v="High"/>
    <n v="886.22"/>
    <x v="128"/>
    <n v="36"/>
    <n v="13882.919040000001"/>
    <n v="28720.799999999999"/>
    <n v="-14837.880959999999"/>
    <n v="-1.06878682482038"/>
  </r>
  <r>
    <s v="ORD-2023-925146"/>
    <d v="2023-10-15T00:00:00"/>
    <d v="2023-11-13T00:00:00"/>
    <n v="29"/>
    <s v="Oct-2023"/>
    <s v="Q4-2023"/>
    <x v="1"/>
    <s v="China"/>
    <s v="Shenzhen"/>
    <s v="Non-Profit"/>
    <s v="Distributor"/>
    <x v="1"/>
    <s v="Printers"/>
    <s v="PRN-4983"/>
    <n v="986.44"/>
    <s v="High"/>
    <n v="790.61"/>
    <x v="3"/>
    <n v="6"/>
    <n v="5219.7772800000002"/>
    <n v="5918.64"/>
    <n v="-698.86272000000008"/>
    <n v="-0.13388745965804888"/>
  </r>
  <r>
    <s v="ORD-2023-177794"/>
    <d v="2023-05-04T00:00:00"/>
    <d v="2023-05-26T00:00:00"/>
    <n v="22"/>
    <s v="May-2023"/>
    <s v="Q2-2023"/>
    <x v="2"/>
    <s v="USA"/>
    <s v="San Francisco"/>
    <s v="Enterprise"/>
    <s v="Online"/>
    <x v="1"/>
    <s v="Networking"/>
    <s v="NET-5941"/>
    <n v="249.71"/>
    <s v="High"/>
    <n v="361.33"/>
    <x v="12"/>
    <n v="12"/>
    <n v="14139.90576"/>
    <n v="2996.52"/>
    <n v="11143.385759999999"/>
    <n v="0.7880806243789279"/>
  </r>
  <r>
    <s v="ORD-2024-444710"/>
    <d v="2024-09-22T00:00:00"/>
    <d v="2024-10-01T00:00:00"/>
    <n v="9"/>
    <s v="Sept-2024"/>
    <s v="Q3-2024"/>
    <x v="2"/>
    <s v="Brazil"/>
    <s v="São Paulo"/>
    <s v="Non-Profit"/>
    <s v="Online"/>
    <x v="11"/>
    <s v="Monitors"/>
    <s v="MON-6341"/>
    <n v="1378.8"/>
    <s v="High"/>
    <n v="1952.04"/>
    <x v="129"/>
    <n v="19"/>
    <n v="3645.6088500000001"/>
    <n v="26197.200000000001"/>
    <n v="-22551.59115"/>
    <n v="-6.1859601723317077"/>
  </r>
  <r>
    <s v="ORD-2024-668926"/>
    <d v="2024-10-23T00:00:00"/>
    <d v="2024-11-14T00:00:00"/>
    <n v="22"/>
    <s v="Oct-2024"/>
    <s v="Q4-2024"/>
    <x v="1"/>
    <s v="Japan"/>
    <s v="Osaka"/>
    <s v="Non-Profit"/>
    <s v="Direct"/>
    <x v="5"/>
    <s v="Phones"/>
    <s v="PHN-9789"/>
    <n v="1406.4"/>
    <s v="High"/>
    <n v="1564.76"/>
    <x v="57"/>
    <n v="17"/>
    <n v="6879.2846"/>
    <n v="23908.800000000003"/>
    <n v="-17029.515400000004"/>
    <n v="-2.4754776681284567"/>
  </r>
  <r>
    <s v="ORD-2024-968374"/>
    <d v="2024-02-11T00:00:00"/>
    <d v="2024-03-03T00:00:00"/>
    <n v="21"/>
    <s v="Feb-2024"/>
    <s v="Q1-2024"/>
    <x v="0"/>
    <s v="Kenya"/>
    <s v="Kisumu"/>
    <s v="Enterprise"/>
    <s v="Online"/>
    <x v="5"/>
    <s v="Phones"/>
    <s v="PHN-5082"/>
    <n v="516.86"/>
    <s v="High"/>
    <n v="852.54"/>
    <x v="130"/>
    <n v="14"/>
    <n v="39076.783199999991"/>
    <n v="7236.04"/>
    <n v="31840.74319999999"/>
    <n v="0.81482508519278518"/>
  </r>
  <r>
    <s v="ORD-2023-575584"/>
    <d v="2023-01-30T00:00:00"/>
    <d v="2023-02-21T00:00:00"/>
    <n v="22"/>
    <s v="Jan-2023"/>
    <s v="Q1-2023"/>
    <x v="3"/>
    <s v="Germany"/>
    <s v="Munich"/>
    <s v="Small Business"/>
    <s v="Marketplace"/>
    <x v="3"/>
    <s v="Networking"/>
    <s v="NET-3460"/>
    <n v="1142.8800000000001"/>
    <s v="High"/>
    <n v="1465.29"/>
    <x v="63"/>
    <n v="7"/>
    <n v="6200.5636000000013"/>
    <n v="8000.1600000000008"/>
    <n v="-1799.5963999999994"/>
    <n v="-0.29023110092766391"/>
  </r>
  <r>
    <s v="ORD-2023-701153"/>
    <d v="2023-04-14T00:00:00"/>
    <d v="2023-05-13T00:00:00"/>
    <n v="29"/>
    <s v="Apr-2023"/>
    <s v="Q2-2023"/>
    <x v="3"/>
    <s v="Germany"/>
    <s v="Frankfurt"/>
    <s v="Consumer"/>
    <s v="Direct"/>
    <x v="1"/>
    <s v="Printers"/>
    <s v="PRN-7019"/>
    <n v="1320.33"/>
    <s v="High"/>
    <n v="2645.23"/>
    <x v="131"/>
    <n v="25"/>
    <n v="53428.293749999997"/>
    <n v="33008.25"/>
    <n v="20420.043749999997"/>
    <n v="0.38219531856189959"/>
  </r>
  <r>
    <s v="ORD-2023-382017"/>
    <d v="2023-01-13T00:00:00"/>
    <d v="2023-01-19T00:00:00"/>
    <n v="6"/>
    <s v="Jan-2023"/>
    <s v="Q1-2023"/>
    <x v="2"/>
    <s v="USA"/>
    <s v="Chicago"/>
    <s v="Corporate"/>
    <s v="Direct"/>
    <x v="10"/>
    <s v="Phones"/>
    <s v="PHN-3159"/>
    <n v="833.57"/>
    <s v="High"/>
    <n v="881.57"/>
    <x v="92"/>
    <n v="18"/>
    <n v="45796.021740000004"/>
    <n v="15004.26"/>
    <n v="30791.761740000002"/>
    <n v="0.67236761120464961"/>
  </r>
  <r>
    <s v="ORD-2024-999607"/>
    <d v="2024-01-12T00:00:00"/>
    <d v="2024-01-29T00:00:00"/>
    <n v="17"/>
    <s v="Jan-2024"/>
    <s v="Q1-2024"/>
    <x v="2"/>
    <s v="USA"/>
    <s v="Chicago"/>
    <s v="Education"/>
    <s v="Distributor"/>
    <x v="8"/>
    <s v="Printers"/>
    <s v="PRN-8604"/>
    <n v="493.76"/>
    <s v="High"/>
    <n v="625.04"/>
    <x v="132"/>
    <n v="10"/>
    <n v="11002.004999999999"/>
    <n v="4937.6000000000004"/>
    <n v="6064.4049999999988"/>
    <n v="0.55120907507313432"/>
  </r>
  <r>
    <s v="ORD-2023-133848"/>
    <d v="2023-08-15T00:00:00"/>
    <d v="2023-09-07T00:00:00"/>
    <n v="23"/>
    <s v="Aug-2023"/>
    <s v="Q3-2023"/>
    <x v="2"/>
    <s v="USA"/>
    <s v="New York"/>
    <s v="Enterprise"/>
    <s v="Online"/>
    <x v="11"/>
    <s v="Phones"/>
    <s v="PHN-2013"/>
    <n v="590.33000000000004"/>
    <s v="High"/>
    <n v="973.04"/>
    <x v="5"/>
    <n v="26"/>
    <n v="37877.06"/>
    <n v="15348.580000000002"/>
    <n v="22528.479999999996"/>
    <n v="0.59477900343902079"/>
  </r>
  <r>
    <s v="ORD-2023-586275"/>
    <d v="2023-01-20T00:00:00"/>
    <d v="2023-02-03T00:00:00"/>
    <n v="14"/>
    <s v="Jan-2023"/>
    <s v="Q1-2023"/>
    <x v="0"/>
    <s v="Kenya"/>
    <s v="Kisumu"/>
    <s v="Corporate"/>
    <s v="Retail"/>
    <x v="12"/>
    <s v="Networking"/>
    <s v="NET-6036"/>
    <n v="884.36"/>
    <s v="High"/>
    <n v="1545.34"/>
    <x v="28"/>
    <n v="41"/>
    <n v="28497.86303"/>
    <n v="36258.76"/>
    <n v="-7760.8969700000016"/>
    <n v="-0.27233259426610423"/>
  </r>
  <r>
    <s v="ORD-2025-964661"/>
    <d v="2025-02-04T00:00:00"/>
    <d v="2025-02-25T00:00:00"/>
    <n v="21"/>
    <s v="Feb-2025"/>
    <s v="Q1-2025"/>
    <x v="3"/>
    <s v="United Kingdom"/>
    <s v="Birmingham"/>
    <s v="Corporate"/>
    <s v="Marketplace"/>
    <x v="14"/>
    <s v="Monitors"/>
    <s v="MON-4959"/>
    <n v="1016.32"/>
    <s v="High"/>
    <n v="2253.42"/>
    <x v="133"/>
    <n v="12"/>
    <n v="554.97959999999989"/>
    <n v="12195.84"/>
    <n v="-11640.8604"/>
    <n v="-20.97529422703105"/>
  </r>
  <r>
    <s v="ORD-2023-390998"/>
    <d v="2023-04-19T00:00:00"/>
    <d v="2023-04-28T00:00:00"/>
    <n v="9"/>
    <s v="Apr-2023"/>
    <s v="Q2-2023"/>
    <x v="3"/>
    <s v="Germany"/>
    <s v="Berlin"/>
    <s v="Education"/>
    <s v="Online"/>
    <x v="6"/>
    <s v="Monitors"/>
    <s v="MON-1663"/>
    <n v="1178.42"/>
    <s v="High"/>
    <n v="2446.56"/>
    <x v="134"/>
    <n v="11"/>
    <n v="9957.7894899999992"/>
    <n v="12962.62"/>
    <n v="-3004.8305100000016"/>
    <n v="-0.30175678176542792"/>
  </r>
  <r>
    <s v="ORD-2023-920483"/>
    <d v="2023-07-02T00:00:00"/>
    <d v="2023-08-01T00:00:00"/>
    <n v="30"/>
    <s v="Jul-2023"/>
    <s v="Q3-2023"/>
    <x v="3"/>
    <s v="United Kingdom"/>
    <s v="Birmingham"/>
    <s v="Small Business"/>
    <s v="Retail"/>
    <x v="5"/>
    <s v="Components"/>
    <s v="CMP-7256"/>
    <n v="137.46"/>
    <s v="Medium"/>
    <n v="188.3"/>
    <x v="16"/>
    <n v="37"/>
    <n v="11596.169260000001"/>
    <n v="5086.0200000000004"/>
    <n v="6510.1492600000001"/>
    <n v="0.56140516010370822"/>
  </r>
  <r>
    <s v="ORD-2025-146850"/>
    <d v="2025-01-21T00:00:00"/>
    <d v="2025-02-14T00:00:00"/>
    <n v="24"/>
    <s v="Jan-2025"/>
    <s v="Q1-2025"/>
    <x v="0"/>
    <s v="Kenya"/>
    <s v="Nairobi"/>
    <s v="Small Business"/>
    <s v="Retail"/>
    <x v="1"/>
    <s v="Accessories"/>
    <s v="ACC-1659"/>
    <n v="1030.44"/>
    <s v="High"/>
    <n v="2562.84"/>
    <x v="135"/>
    <n v="13"/>
    <n v="4496.5237200000001"/>
    <n v="13395.720000000001"/>
    <n v="-8899.1962800000001"/>
    <n v="-1.9791280629561541"/>
  </r>
  <r>
    <s v="ORD-2024-687100"/>
    <d v="2024-09-10T00:00:00"/>
    <d v="2024-10-07T00:00:00"/>
    <n v="27"/>
    <s v="Sept-2024"/>
    <s v="Q3-2024"/>
    <x v="0"/>
    <s v="Kenya"/>
    <s v="Kisumu"/>
    <s v="Consumer"/>
    <s v="Retail"/>
    <x v="4"/>
    <s v="Printers"/>
    <s v="PRN-6068"/>
    <n v="1248.3900000000001"/>
    <s v="High"/>
    <n v="1805.11"/>
    <x v="91"/>
    <n v="11"/>
    <n v="13931.376689999999"/>
    <n v="13732.29"/>
    <n v="199.08668999999827"/>
    <n v="1.4290525224467122E-2"/>
  </r>
  <r>
    <s v="ORD-2025-629393"/>
    <d v="2025-07-21T00:00:00"/>
    <d v="2025-08-07T00:00:00"/>
    <n v="17"/>
    <s v="Jul-2025"/>
    <s v="Q3-2025"/>
    <x v="0"/>
    <s v="Nigeria"/>
    <s v="Lagos"/>
    <s v="Enterprise"/>
    <s v="Direct"/>
    <x v="12"/>
    <s v="Accessories"/>
    <s v="ACC-8999"/>
    <n v="1204.95"/>
    <s v="High"/>
    <n v="2065.73"/>
    <x v="29"/>
    <n v="10"/>
    <n v="12379.392"/>
    <n v="12049.5"/>
    <n v="329.89199999999983"/>
    <n v="2.6648481605558643E-2"/>
  </r>
  <r>
    <s v="ORD-2024-686712"/>
    <d v="2024-10-02T00:00:00"/>
    <d v="2024-10-23T00:00:00"/>
    <n v="21"/>
    <s v="Oct-2024"/>
    <s v="Q4-2024"/>
    <x v="0"/>
    <s v="South Africa"/>
    <s v="Durban"/>
    <s v="Corporate"/>
    <s v="Marketplace"/>
    <x v="8"/>
    <s v="Components"/>
    <s v="CMP-3978"/>
    <n v="1095.6099999999999"/>
    <s v="High"/>
    <n v="2366.5100000000002"/>
    <x v="136"/>
    <n v="9"/>
    <n v="13476.28032"/>
    <n v="9860.49"/>
    <n v="3615.7903200000001"/>
    <n v="0.26830774027710341"/>
  </r>
  <r>
    <s v="ORD-2025-586799"/>
    <d v="2025-07-14T00:00:00"/>
    <d v="2025-08-04T00:00:00"/>
    <n v="21"/>
    <s v="Jul-2025"/>
    <s v="Q3-2025"/>
    <x v="2"/>
    <s v="Canada"/>
    <s v="Montreal"/>
    <s v="Consumer"/>
    <s v="Online"/>
    <x v="10"/>
    <s v="Monitors"/>
    <s v="MON-7868"/>
    <n v="90.3"/>
    <s v="Medium"/>
    <n v="131.76"/>
    <x v="4"/>
    <n v="15"/>
    <n v="37144.063799999996"/>
    <n v="1354.5"/>
    <n v="35789.563799999996"/>
    <n v="0.96353387697982573"/>
  </r>
  <r>
    <s v="ORD-2024-988736"/>
    <d v="2024-09-09T00:00:00"/>
    <d v="2024-10-01T00:00:00"/>
    <n v="22"/>
    <s v="Sept-2024"/>
    <s v="Q3-2024"/>
    <x v="1"/>
    <s v="China"/>
    <s v="Shenzhen"/>
    <s v="Consumer"/>
    <s v="Direct"/>
    <x v="4"/>
    <s v="Printers"/>
    <s v="PRN-3014"/>
    <n v="1166.18"/>
    <s v="High"/>
    <n v="1335.02"/>
    <x v="137"/>
    <n v="6"/>
    <n v="4571.46"/>
    <n v="6997.08"/>
    <n v="-2425.62"/>
    <n v="-0.53060072712000106"/>
  </r>
  <r>
    <s v="ORD-2025-564184"/>
    <d v="2025-01-29T00:00:00"/>
    <d v="2025-02-06T00:00:00"/>
    <n v="8"/>
    <s v="Jan-2025"/>
    <s v="Q1-2025"/>
    <x v="0"/>
    <s v="Kenya"/>
    <s v="Kisumu"/>
    <s v="Education"/>
    <s v="Retail"/>
    <x v="5"/>
    <s v="Phones"/>
    <s v="PHN-1671"/>
    <n v="1445.27"/>
    <s v="High"/>
    <n v="2691.45"/>
    <x v="5"/>
    <n v="9"/>
    <n v="2326.6799999999998"/>
    <n v="13007.43"/>
    <n v="-10680.75"/>
    <n v="-4.5905539223270928"/>
  </r>
  <r>
    <s v="ORD-2023-653343"/>
    <d v="2023-11-10T00:00:00"/>
    <d v="2023-11-28T00:00:00"/>
    <n v="18"/>
    <s v="Nov-2023"/>
    <s v="Q4-2023"/>
    <x v="2"/>
    <s v="Brazil"/>
    <s v="Brasília"/>
    <s v="Education"/>
    <s v="Marketplace"/>
    <x v="4"/>
    <s v="Accessories"/>
    <s v="ACC-5260"/>
    <n v="388.51"/>
    <s v="High"/>
    <n v="776.46"/>
    <x v="87"/>
    <n v="12"/>
    <n v="6137.98416"/>
    <n v="4662.12"/>
    <n v="1475.8641600000001"/>
    <n v="0.24044769773403912"/>
  </r>
  <r>
    <s v="ORD-2024-197852"/>
    <d v="2024-02-29T00:00:00"/>
    <d v="2024-03-30T00:00:00"/>
    <n v="1"/>
    <s v="Feb-2024"/>
    <s v="Q1-2024"/>
    <x v="1"/>
    <s v="Japan"/>
    <s v="Nagoya"/>
    <s v="Small Business"/>
    <s v="Direct"/>
    <x v="2"/>
    <s v="Networking"/>
    <s v="NET-7588"/>
    <n v="231.11"/>
    <s v="High"/>
    <n v="318.17"/>
    <x v="138"/>
    <n v="60"/>
    <n v="64128.8586"/>
    <n v="13866.6"/>
    <n v="50262.258600000001"/>
    <n v="0.7837697363913475"/>
  </r>
  <r>
    <s v="ORD-2023-431328"/>
    <d v="2023-12-20T00:00:00"/>
    <d v="2024-01-14T00:00:00"/>
    <n v="25"/>
    <s v="Dec-2023"/>
    <s v="Q4-2023"/>
    <x v="1"/>
    <s v="India"/>
    <s v="Mumbai"/>
    <s v="Non-Profit"/>
    <s v="Marketplace"/>
    <x v="4"/>
    <s v="Monitors"/>
    <s v="MON-1572"/>
    <n v="1085.6099999999999"/>
    <s v="High"/>
    <n v="1246.4100000000001"/>
    <x v="139"/>
    <n v="7"/>
    <n v="11133.23372"/>
    <n v="7599.2699999999995"/>
    <n v="3533.9637200000006"/>
    <n v="0.31742473111397151"/>
  </r>
  <r>
    <s v="ORD-2023-613317"/>
    <d v="2023-01-22T00:00:00"/>
    <d v="2023-01-21T00:00:00"/>
    <n v="1"/>
    <s v="Jan-2023"/>
    <s v="Q1-2023"/>
    <x v="3"/>
    <s v="Germany"/>
    <s v="Munich"/>
    <s v="Corporate"/>
    <s v="Direct"/>
    <x v="9"/>
    <s v="Monitors"/>
    <s v="MON-2537"/>
    <n v="150.86000000000001"/>
    <s v="High"/>
    <n v="346.96"/>
    <x v="124"/>
    <n v="8"/>
    <n v="789.46368000000007"/>
    <n v="1206.8800000000001"/>
    <n v="-417.41632000000004"/>
    <n v="-0.52873403878440617"/>
  </r>
  <r>
    <s v="ORD-2024-720756"/>
    <d v="2024-10-11T00:00:00"/>
    <d v="2024-11-09T00:00:00"/>
    <n v="29"/>
    <s v="Oct-2024"/>
    <s v="Q4-2024"/>
    <x v="1"/>
    <s v="China"/>
    <s v="Shanghai"/>
    <s v="Non-Profit"/>
    <s v="Online"/>
    <x v="9"/>
    <s v="Printers"/>
    <s v="PRN-5666"/>
    <n v="391.64"/>
    <s v="High"/>
    <n v="504.76"/>
    <x v="140"/>
    <n v="13"/>
    <n v="12014.83764"/>
    <n v="5091.32"/>
    <n v="6923.51764"/>
    <n v="0.57624729084562143"/>
  </r>
  <r>
    <s v="ORD-2024-777623"/>
    <d v="2024-09-19T00:00:00"/>
    <d v="2024-10-14T00:00:00"/>
    <n v="25"/>
    <s v="Sept-2024"/>
    <s v="Q3-2024"/>
    <x v="2"/>
    <s v="Brazil"/>
    <s v="Rio de Janeiro"/>
    <s v="Small Business"/>
    <s v="Retail"/>
    <x v="11"/>
    <s v="Printers"/>
    <s v="PRN-2749"/>
    <n v="386.96"/>
    <s v="High"/>
    <n v="937.46"/>
    <x v="141"/>
    <n v="41"/>
    <n v="4570.6767199999995"/>
    <n v="15865.359999999999"/>
    <n v="-11294.683279999999"/>
    <n v="-2.4711183861631763"/>
  </r>
  <r>
    <s v="ORD-2025-762212"/>
    <d v="2025-08-25T00:00:00"/>
    <d v="2025-09-24T00:00:00"/>
    <n v="30"/>
    <s v="Aug-2025"/>
    <s v="Q3-2025"/>
    <x v="0"/>
    <s v="Kenya"/>
    <s v="Nairobi"/>
    <s v="Consumer"/>
    <s v="Direct"/>
    <x v="5"/>
    <s v="Components"/>
    <s v="CMP-4970"/>
    <n v="589.14"/>
    <s v="High"/>
    <n v="1300.58"/>
    <x v="133"/>
    <n v="11"/>
    <n v="22977.108"/>
    <n v="6480.54"/>
    <n v="16496.567999999999"/>
    <n v="0.71795667235406646"/>
  </r>
  <r>
    <s v="ORD-2023-271918"/>
    <d v="2023-09-25T00:00:00"/>
    <d v="2023-10-02T00:00:00"/>
    <n v="7"/>
    <s v="Sept-2023"/>
    <s v="Q3-2023"/>
    <x v="2"/>
    <s v="USA"/>
    <s v="New York"/>
    <s v="Education"/>
    <s v="Marketplace"/>
    <x v="2"/>
    <s v="Accessories"/>
    <s v="ACC-3551"/>
    <n v="145.58000000000001"/>
    <s v="High"/>
    <n v="228.15"/>
    <x v="53"/>
    <n v="5"/>
    <n v="158.16520000000003"/>
    <n v="727.90000000000009"/>
    <n v="-569.73480000000006"/>
    <n v="-3.602150156924532"/>
  </r>
  <r>
    <s v="ORD-2023-713375"/>
    <d v="2023-08-26T00:00:00"/>
    <d v="2023-09-10T00:00:00"/>
    <n v="15"/>
    <s v="Aug-2023"/>
    <s v="Q3-2023"/>
    <x v="0"/>
    <s v="South Africa"/>
    <s v="Cape Town"/>
    <s v="Non-Profit"/>
    <s v="Direct"/>
    <x v="13"/>
    <s v="Components"/>
    <s v="CMP-7063"/>
    <n v="241.14"/>
    <s v="High"/>
    <n v="496.52"/>
    <x v="142"/>
    <n v="10"/>
    <n v="9151.630000000001"/>
    <n v="2411.3999999999996"/>
    <n v="6740.2300000000014"/>
    <n v="0.73650595576962796"/>
  </r>
  <r>
    <s v="ORD-2025-678688"/>
    <d v="2025-07-16T00:00:00"/>
    <d v="2025-07-17T00:00:00"/>
    <n v="1"/>
    <s v="Jul-2025"/>
    <s v="Q3-2025"/>
    <x v="0"/>
    <s v="South Africa"/>
    <s v="Durban"/>
    <s v="Small Business"/>
    <s v="Distributor"/>
    <x v="5"/>
    <s v="Networking"/>
    <s v="NET-1612"/>
    <n v="1198.9000000000001"/>
    <s v="High"/>
    <n v="2941.2"/>
    <x v="130"/>
    <n v="24"/>
    <n v="37663.304640000002"/>
    <n v="28773.600000000002"/>
    <n v="8889.7046399999999"/>
    <n v="0.23603092519286697"/>
  </r>
  <r>
    <s v="ORD-2023-501220"/>
    <d v="2023-04-19T00:00:00"/>
    <d v="2023-05-07T00:00:00"/>
    <n v="18"/>
    <s v="Apr-2023"/>
    <s v="Q2-2023"/>
    <x v="3"/>
    <s v="United Kingdom"/>
    <s v="Birmingham"/>
    <s v="Enterprise"/>
    <s v="Retail"/>
    <x v="13"/>
    <s v="Laptops"/>
    <s v="LAP-9766"/>
    <n v="1089.1500000000001"/>
    <s v="High"/>
    <n v="1088.2"/>
    <x v="130"/>
    <n v="15"/>
    <n v="14458.4895"/>
    <n v="16337.250000000002"/>
    <n v="-1878.7605000000021"/>
    <n v="-0.12994168581718044"/>
  </r>
  <r>
    <s v="ORD-2023-195665"/>
    <d v="2023-12-19T00:00:00"/>
    <d v="2023-12-20T00:00:00"/>
    <n v="1"/>
    <s v="Dec-2023"/>
    <s v="Q4-2023"/>
    <x v="2"/>
    <s v="Brazil"/>
    <s v="Rio de Janeiro"/>
    <s v="Consumer"/>
    <s v="Distributor"/>
    <x v="1"/>
    <s v="Phones"/>
    <s v="PHN-7274"/>
    <n v="1080.43"/>
    <s v="High"/>
    <n v="2529.15"/>
    <x v="6"/>
    <n v="10"/>
    <n v="7783.1984999999995"/>
    <n v="10804.300000000001"/>
    <n v="-3021.1015000000016"/>
    <n v="-0.38815680982567796"/>
  </r>
  <r>
    <s v="ORD-2023-290237"/>
    <d v="2023-07-30T00:00:00"/>
    <d v="2023-08-07T00:00:00"/>
    <n v="8"/>
    <s v="Jul-2023"/>
    <s v="Q3-2023"/>
    <x v="1"/>
    <s v="Japan"/>
    <s v="Nagoya"/>
    <s v="Education"/>
    <s v="Marketplace"/>
    <x v="8"/>
    <s v="Networking"/>
    <s v="NET-1645"/>
    <n v="1352.44"/>
    <s v="High"/>
    <n v="2698.01"/>
    <x v="2"/>
    <n v="13"/>
    <n v="9209.201430000001"/>
    <n v="17581.72"/>
    <n v="-8372.5185700000002"/>
    <n v="-0.90914707791335603"/>
  </r>
  <r>
    <s v="ORD-2023-302041"/>
    <d v="2023-10-04T00:00:00"/>
    <d v="2023-10-29T00:00:00"/>
    <n v="25"/>
    <s v="Oct-2023"/>
    <s v="Q4-2023"/>
    <x v="2"/>
    <s v="USA"/>
    <s v="San Francisco"/>
    <s v="Small Business"/>
    <s v="Distributor"/>
    <x v="7"/>
    <s v="Accessories"/>
    <s v="ACC-5079"/>
    <n v="1239.8399999999999"/>
    <s v="High"/>
    <n v="1482.75"/>
    <x v="143"/>
    <n v="4"/>
    <n v="6770.0719200000003"/>
    <n v="4959.3599999999997"/>
    <n v="1810.7119200000006"/>
    <n v="0.26745829902498297"/>
  </r>
  <r>
    <s v="ORD-2025-289139"/>
    <d v="2025-08-10T00:00:00"/>
    <d v="2025-08-30T00:00:00"/>
    <n v="20"/>
    <s v="Aug-2025"/>
    <s v="Q3-2025"/>
    <x v="2"/>
    <s v="USA"/>
    <s v="San Francisco"/>
    <s v="Corporate"/>
    <s v="Marketplace"/>
    <x v="11"/>
    <s v="Printers"/>
    <s v="PRN-2098"/>
    <n v="933.29"/>
    <s v="High"/>
    <n v="1456.81"/>
    <x v="82"/>
    <n v="13"/>
    <n v="8652.4469199999985"/>
    <n v="12132.77"/>
    <n v="-3480.3230800000019"/>
    <n v="-0.4022357042093247"/>
  </r>
  <r>
    <s v="ORD-2023-949710"/>
    <d v="2023-03-07T00:00:00"/>
    <d v="2023-04-01T00:00:00"/>
    <n v="25"/>
    <s v="Mar-2023"/>
    <s v="Q1-2023"/>
    <x v="0"/>
    <s v="Kenya"/>
    <s v="Nairobi"/>
    <s v="Consumer"/>
    <s v="Marketplace"/>
    <x v="14"/>
    <s v="Printers"/>
    <s v="PRN-7049"/>
    <n v="1024.0999999999999"/>
    <s v="High"/>
    <n v="918.19"/>
    <x v="51"/>
    <n v="10"/>
    <n v="13522.938400000001"/>
    <n v="10241"/>
    <n v="3281.9384000000009"/>
    <n v="0.24269417658517181"/>
  </r>
  <r>
    <s v="ORD-2023-603650"/>
    <d v="2023-05-23T00:00:00"/>
    <d v="2023-06-10T00:00:00"/>
    <n v="18"/>
    <s v="May-2023"/>
    <s v="Q2-2023"/>
    <x v="1"/>
    <s v="China"/>
    <s v="Shanghai"/>
    <s v="Corporate"/>
    <s v="Distributor"/>
    <x v="6"/>
    <s v="Components"/>
    <s v="CMP-6925"/>
    <n v="54.62"/>
    <s v="Low"/>
    <n v="48.94"/>
    <x v="135"/>
    <n v="16"/>
    <n v="34932.681600000004"/>
    <n v="873.92"/>
    <n v="34058.761600000005"/>
    <n v="0.9749827393726338"/>
  </r>
  <r>
    <s v="ORD-2025-757957"/>
    <d v="2025-04-24T00:00:00"/>
    <d v="2025-05-06T00:00:00"/>
    <n v="12"/>
    <s v="Apr-2025"/>
    <s v="Q2-2025"/>
    <x v="2"/>
    <s v="Brazil"/>
    <s v="Brasília"/>
    <s v="Consumer"/>
    <s v="Online"/>
    <x v="0"/>
    <s v="Phones"/>
    <s v="PHN-2787"/>
    <n v="394.13"/>
    <s v="High"/>
    <n v="932.29"/>
    <x v="14"/>
    <n v="7"/>
    <n v="4648.9350599999998"/>
    <n v="2758.91"/>
    <n v="1890.0250599999999"/>
    <n v="0.40655010999443819"/>
  </r>
  <r>
    <s v="ORD-2024-423853"/>
    <d v="2024-09-03T00:00:00"/>
    <d v="2024-09-08T00:00:00"/>
    <n v="5"/>
    <s v="Sept-2024"/>
    <s v="Q3-2024"/>
    <x v="0"/>
    <s v="Nigeria"/>
    <s v="Lagos"/>
    <s v="Small Business"/>
    <s v="Direct"/>
    <x v="11"/>
    <s v="Printers"/>
    <s v="PRN-1141"/>
    <n v="197.63"/>
    <s v="High"/>
    <n v="325.79000000000002"/>
    <x v="144"/>
    <n v="10"/>
    <n v="6081.4780000000001"/>
    <n v="1976.3"/>
    <n v="4105.1779999999999"/>
    <n v="0.67502965561990025"/>
  </r>
  <r>
    <s v="ORD-2024-569164"/>
    <d v="2024-09-05T00:00:00"/>
    <d v="2024-09-25T00:00:00"/>
    <n v="20"/>
    <s v="Sept-2024"/>
    <s v="Q3-2024"/>
    <x v="1"/>
    <s v="Japan"/>
    <s v="Osaka"/>
    <s v="Enterprise"/>
    <s v="Distributor"/>
    <x v="14"/>
    <s v="Monitors"/>
    <s v="MON-5249"/>
    <n v="195.54"/>
    <s v="High"/>
    <n v="405.97"/>
    <x v="37"/>
    <n v="16"/>
    <n v="7155.3105599999999"/>
    <n v="3128.64"/>
    <n v="4026.67056"/>
    <n v="0.56275273116866642"/>
  </r>
  <r>
    <s v="ORD-2023-946143"/>
    <d v="2023-03-14T00:00:00"/>
    <d v="2023-03-30T00:00:00"/>
    <n v="16"/>
    <s v="Mar-2023"/>
    <s v="Q1-2023"/>
    <x v="0"/>
    <s v="South Africa"/>
    <s v="Cape Town"/>
    <s v="Consumer"/>
    <s v="Distributor"/>
    <x v="11"/>
    <s v="Components"/>
    <s v="CMP-8230"/>
    <n v="1309.77"/>
    <s v="High"/>
    <n v="1589.07"/>
    <x v="4"/>
    <n v="10"/>
    <n v="18572.525799999999"/>
    <n v="13097.7"/>
    <n v="5474.8257999999987"/>
    <n v="0.29478089619883574"/>
  </r>
  <r>
    <s v="ORD-2024-281211"/>
    <d v="2024-01-11T00:00:00"/>
    <d v="2024-02-02T00:00:00"/>
    <n v="22"/>
    <s v="Jan-2024"/>
    <s v="Q1-2024"/>
    <x v="1"/>
    <s v="Japan"/>
    <s v="Nagoya"/>
    <s v="Small Business"/>
    <s v="Online"/>
    <x v="15"/>
    <s v="Printers"/>
    <s v="PRN-7816"/>
    <n v="1237.68"/>
    <s v="High"/>
    <n v="1432.8"/>
    <x v="55"/>
    <n v="13"/>
    <n v="31218.691400000003"/>
    <n v="16089.84"/>
    <n v="15128.851400000003"/>
    <n v="0.48460876230065175"/>
  </r>
  <r>
    <s v="ORD-2024-805860"/>
    <d v="2024-09-13T00:00:00"/>
    <d v="2024-10-02T00:00:00"/>
    <n v="19"/>
    <s v="Sept-2024"/>
    <s v="Q3-2024"/>
    <x v="0"/>
    <s v="Kenya"/>
    <s v="Mombasa"/>
    <s v="Small Business"/>
    <s v="Retail"/>
    <x v="12"/>
    <s v="Phones"/>
    <s v="PHN-8804"/>
    <n v="1338.99"/>
    <s v="High"/>
    <n v="1765.76"/>
    <x v="38"/>
    <n v="24"/>
    <n v="21901.880639999999"/>
    <n v="32135.760000000002"/>
    <n v="-10233.879360000003"/>
    <n v="-0.46726030189889678"/>
  </r>
  <r>
    <s v="ORD-2025-132174"/>
    <d v="2025-07-17T00:00:00"/>
    <d v="2025-07-23T00:00:00"/>
    <n v="6"/>
    <s v="Jul-2025"/>
    <s v="Q3-2025"/>
    <x v="2"/>
    <s v="Canada"/>
    <s v="Vancouver"/>
    <s v="Consumer"/>
    <s v="Online"/>
    <x v="10"/>
    <s v="Components"/>
    <s v="CMP-8851"/>
    <n v="1364.89"/>
    <s v="High"/>
    <n v="2757.54"/>
    <x v="145"/>
    <n v="61"/>
    <n v="5002.3123200000009"/>
    <n v="83258.290000000008"/>
    <n v="-78255.977680000011"/>
    <n v="-15.643960767327698"/>
  </r>
  <r>
    <s v="ORD-2023-964434"/>
    <d v="2023-11-28T00:00:00"/>
    <d v="2023-12-07T00:00:00"/>
    <n v="9"/>
    <s v="Nov-2023"/>
    <s v="Q4-2023"/>
    <x v="1"/>
    <s v="India"/>
    <s v="Delhi"/>
    <s v="Enterprise"/>
    <s v="Marketplace"/>
    <x v="4"/>
    <s v="Phones"/>
    <s v="PHN-2447"/>
    <n v="699.33"/>
    <s v="High"/>
    <n v="873.75"/>
    <x v="146"/>
    <n v="10"/>
    <n v="15275.5965"/>
    <n v="6993.3"/>
    <n v="8282.2965000000004"/>
    <n v="0.5421913638527962"/>
  </r>
  <r>
    <s v="ORD-2024-897622"/>
    <d v="2024-03-30T00:00:00"/>
    <d v="2024-04-24T00:00:00"/>
    <n v="25"/>
    <s v="Mar-2024"/>
    <s v="Q1-2024"/>
    <x v="2"/>
    <s v="USA"/>
    <s v="Austin"/>
    <s v="Non-Profit"/>
    <s v="Online"/>
    <x v="3"/>
    <s v="Laptops"/>
    <s v="LAP-2846"/>
    <n v="160.82"/>
    <s v="High"/>
    <n v="258.52"/>
    <x v="49"/>
    <n v="17"/>
    <n v="13631.647199999999"/>
    <n v="2733.94"/>
    <n v="10897.707199999999"/>
    <n v="0.79944169916604058"/>
  </r>
  <r>
    <s v="ORD-2023-517216"/>
    <d v="2023-09-19T00:00:00"/>
    <d v="2023-10-08T00:00:00"/>
    <n v="19"/>
    <s v="Sept-2023"/>
    <s v="Q3-2023"/>
    <x v="1"/>
    <s v="India"/>
    <s v="Bengaluru"/>
    <s v="Education"/>
    <s v="Direct"/>
    <x v="1"/>
    <s v="Printers"/>
    <s v="PRN-5005"/>
    <n v="385.32"/>
    <s v="High"/>
    <n v="606.76"/>
    <x v="147"/>
    <n v="8"/>
    <n v="18307.712480000002"/>
    <n v="3082.56"/>
    <n v="15225.152480000002"/>
    <n v="0.8316250594732959"/>
  </r>
  <r>
    <s v="ORD-2025-509940"/>
    <d v="2025-05-16T00:00:00"/>
    <d v="2025-05-27T00:00:00"/>
    <n v="11"/>
    <s v="May-2025"/>
    <s v="Q2-2025"/>
    <x v="1"/>
    <s v="China"/>
    <s v="Beijing"/>
    <s v="Enterprise"/>
    <s v="Online"/>
    <x v="9"/>
    <s v="Phones"/>
    <s v="PHN-3800"/>
    <n v="918.12"/>
    <s v="High"/>
    <n v="1337.69"/>
    <x v="148"/>
    <n v="8"/>
    <n v="17830.4548"/>
    <n v="7344.96"/>
    <n v="10485.4948"/>
    <n v="0.58806659267042372"/>
  </r>
  <r>
    <s v="ORD-2025-646342"/>
    <d v="2025-08-02T00:00:00"/>
    <d v="2025-08-08T00:00:00"/>
    <n v="6"/>
    <s v="Aug-2025"/>
    <s v="Q3-2025"/>
    <x v="1"/>
    <s v="Japan"/>
    <s v="Osaka"/>
    <s v="Consumer"/>
    <s v="Direct"/>
    <x v="13"/>
    <s v="Laptops"/>
    <s v="LAP-4828"/>
    <n v="1225.94"/>
    <s v="High"/>
    <n v="1793.08"/>
    <x v="29"/>
    <n v="22"/>
    <n v="9431.7695999999996"/>
    <n v="26970.68"/>
    <n v="-17538.910400000001"/>
    <n v="-1.8595567050323198"/>
  </r>
  <r>
    <s v="ORD-2024-866535"/>
    <d v="2024-12-04T00:00:00"/>
    <d v="2024-12-12T00:00:00"/>
    <n v="8"/>
    <s v="Dec-2024"/>
    <s v="Q4-2024"/>
    <x v="3"/>
    <s v="Germany"/>
    <s v="Frankfurt"/>
    <s v="Enterprise"/>
    <s v="Marketplace"/>
    <x v="5"/>
    <s v="Printers"/>
    <s v="PRN-5492"/>
    <n v="72.06"/>
    <s v="Medium"/>
    <n v="122.74"/>
    <x v="149"/>
    <n v="8"/>
    <n v="5532.6686399999999"/>
    <n v="576.48"/>
    <n v="4956.1886400000003"/>
    <n v="0.89580435093615152"/>
  </r>
  <r>
    <s v="ORD-2023-747341"/>
    <d v="2023-04-19T00:00:00"/>
    <d v="2023-04-28T00:00:00"/>
    <n v="9"/>
    <s v="Apr-2023"/>
    <s v="Q2-2023"/>
    <x v="2"/>
    <s v="Brazil"/>
    <s v="Rio de Janeiro"/>
    <s v="Corporate"/>
    <s v="Distributor"/>
    <x v="12"/>
    <s v="Phones"/>
    <s v="PHN-7132"/>
    <n v="1013.54"/>
    <s v="High"/>
    <n v="927.93"/>
    <x v="30"/>
    <n v="16"/>
    <n v="4411.308"/>
    <n v="16216.64"/>
    <n v="-11805.331999999999"/>
    <n v="-2.6761522886182507"/>
  </r>
  <r>
    <s v="ORD-2024-853298"/>
    <d v="2024-03-06T00:00:00"/>
    <d v="2024-03-26T00:00:00"/>
    <n v="20"/>
    <s v="Mar-2024"/>
    <s v="Q1-2024"/>
    <x v="0"/>
    <s v="Nigeria"/>
    <s v="Port Harcourt"/>
    <s v="Consumer"/>
    <s v="Marketplace"/>
    <x v="2"/>
    <s v="Phones"/>
    <s v="PHN-4741"/>
    <n v="65.64"/>
    <s v="Medium"/>
    <n v="151.88"/>
    <x v="150"/>
    <n v="23"/>
    <n v="10322.677609999999"/>
    <n v="1509.72"/>
    <n v="8812.9576099999995"/>
    <n v="0.8537472488206479"/>
  </r>
  <r>
    <s v="ORD-2024-544865"/>
    <d v="2024-02-16T00:00:00"/>
    <d v="2024-03-04T00:00:00"/>
    <n v="17"/>
    <s v="Feb-2024"/>
    <s v="Q1-2024"/>
    <x v="2"/>
    <s v="Canada"/>
    <s v="Montreal"/>
    <s v="Non-Profit"/>
    <s v="Retail"/>
    <x v="14"/>
    <s v="Laptops"/>
    <s v="LAP-2774"/>
    <n v="1350.98"/>
    <s v="High"/>
    <n v="2210.4"/>
    <x v="151"/>
    <n v="6"/>
    <n v="6352.3798799999995"/>
    <n v="8105.88"/>
    <n v="-1753.5001200000006"/>
    <n v="-0.27603829637468102"/>
  </r>
  <r>
    <s v="ORD-2025-946490"/>
    <d v="2025-04-22T00:00:00"/>
    <d v="2025-05-02T00:00:00"/>
    <n v="10"/>
    <s v="Apr-2025"/>
    <s v="Q2-2025"/>
    <x v="3"/>
    <s v="Germany"/>
    <s v="Berlin"/>
    <s v="Corporate"/>
    <s v="Marketplace"/>
    <x v="0"/>
    <s v="Monitors"/>
    <s v="MON-2842"/>
    <n v="20.149999999999999"/>
    <s v="Low"/>
    <n v="39.74"/>
    <x v="102"/>
    <n v="18"/>
    <n v="26996.417099999999"/>
    <n v="362.7"/>
    <n v="26633.717099999998"/>
    <n v="0.98656488382675045"/>
  </r>
  <r>
    <s v="ORD-2024-320972"/>
    <d v="2024-11-08T00:00:00"/>
    <d v="2024-11-08T00:00:00"/>
    <n v="0"/>
    <s v="Nov-2024"/>
    <s v="Q4-2024"/>
    <x v="0"/>
    <s v="Kenya"/>
    <s v="Nakuru"/>
    <s v="Enterprise"/>
    <s v="Marketplace"/>
    <x v="12"/>
    <s v="Networking"/>
    <s v="NET-2628"/>
    <n v="803.28"/>
    <s v="High"/>
    <n v="1009"/>
    <x v="46"/>
    <n v="4"/>
    <n v="2237.6023999999998"/>
    <n v="3213.12"/>
    <n v="-975.51760000000013"/>
    <n v="-0.43596556743056775"/>
  </r>
  <r>
    <s v="ORD-2025-248586"/>
    <d v="2025-09-12T00:00:00"/>
    <d v="2025-09-30T00:00:00"/>
    <n v="18"/>
    <s v="Sept-2025"/>
    <s v="Q3-2025"/>
    <x v="1"/>
    <s v="Japan"/>
    <s v="Nagoya"/>
    <s v="Non-Profit"/>
    <s v="Marketplace"/>
    <x v="9"/>
    <s v="Monitors"/>
    <s v="MON-2998"/>
    <n v="1212.99"/>
    <s v="High"/>
    <n v="1653.64"/>
    <x v="105"/>
    <n v="8"/>
    <n v="11792.958000000001"/>
    <n v="9703.92"/>
    <n v="2089.0380000000005"/>
    <n v="0.17714283388442495"/>
  </r>
  <r>
    <s v="ORD-2024-664046"/>
    <d v="2024-09-02T00:00:00"/>
    <d v="2024-09-08T00:00:00"/>
    <n v="6"/>
    <s v="Sept-2024"/>
    <s v="Q3-2024"/>
    <x v="2"/>
    <s v="USA"/>
    <s v="Austin"/>
    <s v="Consumer"/>
    <s v="Direct"/>
    <x v="10"/>
    <s v="Components"/>
    <s v="CMP-7563"/>
    <n v="462.94"/>
    <s v="High"/>
    <n v="1015.7"/>
    <x v="17"/>
    <n v="14"/>
    <n v="26961.185719999998"/>
    <n v="6481.16"/>
    <n v="20480.025719999998"/>
    <n v="0.75961146266678359"/>
  </r>
  <r>
    <s v="ORD-2023-276806"/>
    <d v="2023-03-04T00:00:00"/>
    <d v="2023-03-24T00:00:00"/>
    <n v="20"/>
    <s v="Mar-2023"/>
    <s v="Q1-2023"/>
    <x v="2"/>
    <s v="Canada"/>
    <s v="Montreal"/>
    <s v="Consumer"/>
    <s v="Distributor"/>
    <x v="2"/>
    <s v="Laptops"/>
    <s v="LAP-6160"/>
    <n v="481.71"/>
    <s v="High"/>
    <n v="912.45"/>
    <x v="91"/>
    <n v="24"/>
    <n v="17084.938320000001"/>
    <n v="11561.039999999999"/>
    <n v="5523.8983200000021"/>
    <n v="0.3233197695266834"/>
  </r>
  <r>
    <s v="ORD-2024-220234"/>
    <d v="2024-03-15T00:00:00"/>
    <d v="2024-04-09T00:00:00"/>
    <n v="25"/>
    <s v="Mar-2024"/>
    <s v="Q1-2024"/>
    <x v="2"/>
    <s v="Canada"/>
    <s v="Vancouver"/>
    <s v="Consumer"/>
    <s v="Online"/>
    <x v="9"/>
    <s v="Monitors"/>
    <s v="MON-4361"/>
    <n v="648.64"/>
    <s v="High"/>
    <n v="815.19"/>
    <x v="152"/>
    <n v="28"/>
    <n v="50537.130000000005"/>
    <n v="18161.919999999998"/>
    <n v="32375.210000000006"/>
    <n v="0.64062225140208795"/>
  </r>
  <r>
    <s v="ORD-2024-301260"/>
    <d v="2024-07-29T00:00:00"/>
    <d v="2024-07-31T00:00:00"/>
    <n v="2"/>
    <s v="Jul-2024"/>
    <s v="Q3-2024"/>
    <x v="2"/>
    <s v="USA"/>
    <s v="New York"/>
    <s v="Education"/>
    <s v="Marketplace"/>
    <x v="2"/>
    <s v="Printers"/>
    <s v="PRN-2829"/>
    <n v="798.97"/>
    <s v="High"/>
    <n v="1814.06"/>
    <x v="153"/>
    <n v="16"/>
    <n v="29033.704000000002"/>
    <n v="12783.52"/>
    <n v="16250.184000000001"/>
    <n v="0.55970068441835741"/>
  </r>
  <r>
    <s v="ORD-2024-350100"/>
    <d v="2024-10-27T00:00:00"/>
    <d v="2024-11-20T00:00:00"/>
    <n v="24"/>
    <s v="Oct-2024"/>
    <s v="Q4-2024"/>
    <x v="1"/>
    <s v="Japan"/>
    <s v="Nagoya"/>
    <s v="Non-Profit"/>
    <s v="Online"/>
    <x v="10"/>
    <s v="Monitors"/>
    <s v="MON-8939"/>
    <n v="317.25"/>
    <s v="High"/>
    <n v="758.92"/>
    <x v="114"/>
    <n v="9"/>
    <n v="18599.828130000002"/>
    <n v="2855.25"/>
    <n v="15744.578130000002"/>
    <n v="0.84649051700672895"/>
  </r>
  <r>
    <s v="ORD-2024-855600"/>
    <d v="2024-04-29T00:00:00"/>
    <d v="2024-05-19T00:00:00"/>
    <n v="20"/>
    <s v="Apr-2024"/>
    <s v="Q2-2024"/>
    <x v="3"/>
    <s v="Germany"/>
    <s v="Frankfurt"/>
    <s v="Enterprise"/>
    <s v="Marketplace"/>
    <x v="0"/>
    <s v="Laptops"/>
    <s v="LAP-5009"/>
    <n v="668.97"/>
    <s v="High"/>
    <n v="1667.44"/>
    <x v="76"/>
    <n v="15"/>
    <n v="39508.723799999992"/>
    <n v="10034.550000000001"/>
    <n v="29474.17379999999"/>
    <n v="0.74601685311839905"/>
  </r>
  <r>
    <s v="ORD-2023-474313"/>
    <d v="2023-10-05T00:00:00"/>
    <d v="2023-10-06T00:00:00"/>
    <n v="1"/>
    <s v="Oct-2023"/>
    <s v="Q4-2023"/>
    <x v="1"/>
    <s v="India"/>
    <s v="Bengaluru"/>
    <s v="Non-Profit"/>
    <s v="Online"/>
    <x v="2"/>
    <s v="Components"/>
    <s v="CMP-4807"/>
    <n v="1470.26"/>
    <s v="High"/>
    <n v="2562.5500000000002"/>
    <x v="122"/>
    <n v="9"/>
    <n v="828.33146999999997"/>
    <n v="13232.34"/>
    <n v="-12404.008530000001"/>
    <n v="-14.974691870634834"/>
  </r>
  <r>
    <s v="ORD-2023-256951"/>
    <d v="2023-04-19T00:00:00"/>
    <d v="2023-05-07T00:00:00"/>
    <n v="18"/>
    <s v="Apr-2023"/>
    <s v="Q2-2023"/>
    <x v="3"/>
    <s v="United Kingdom"/>
    <s v="London"/>
    <s v="Non-Profit"/>
    <s v="Direct"/>
    <x v="10"/>
    <s v="Networking"/>
    <s v="NET-2439"/>
    <n v="516.96"/>
    <s v="High"/>
    <n v="745.38"/>
    <x v="115"/>
    <n v="4"/>
    <n v="3533.4890799999994"/>
    <n v="2067.84"/>
    <n v="1465.6490799999992"/>
    <n v="0.41478805985159561"/>
  </r>
  <r>
    <s v="ORD-2025-184754"/>
    <d v="2025-06-27T00:00:00"/>
    <d v="2025-07-05T00:00:00"/>
    <n v="8"/>
    <s v="Jun-2025"/>
    <s v="Q2-2025"/>
    <x v="3"/>
    <s v="Germany"/>
    <s v="Munich"/>
    <s v="Small Business"/>
    <s v="Direct"/>
    <x v="3"/>
    <s v="Monitors"/>
    <s v="MON-7626"/>
    <n v="314.93"/>
    <s v="High"/>
    <n v="687.95"/>
    <x v="44"/>
    <n v="8"/>
    <n v="9725.3304000000007"/>
    <n v="2519.44"/>
    <n v="7205.8904000000002"/>
    <n v="0.74094042090333501"/>
  </r>
  <r>
    <s v="ORD-2023-888140"/>
    <d v="2023-10-11T00:00:00"/>
    <d v="2023-10-13T00:00:00"/>
    <n v="2"/>
    <s v="Oct-2023"/>
    <s v="Q4-2023"/>
    <x v="2"/>
    <s v="Brazil"/>
    <s v="Brasília"/>
    <s v="Consumer"/>
    <s v="Distributor"/>
    <x v="15"/>
    <s v="Accessories"/>
    <s v="ACC-3567"/>
    <n v="715.94"/>
    <s v="High"/>
    <n v="550.07000000000005"/>
    <x v="78"/>
    <n v="16"/>
    <n v="10026.7744"/>
    <n v="11455.04"/>
    <n v="-1428.2656000000006"/>
    <n v="-0.14244517159975201"/>
  </r>
  <r>
    <s v="ORD-2023-638181"/>
    <d v="2023-05-20T00:00:00"/>
    <d v="2023-06-07T00:00:00"/>
    <n v="18"/>
    <s v="May-2023"/>
    <s v="Q2-2023"/>
    <x v="0"/>
    <s v="Nigeria"/>
    <s v="Port Harcourt"/>
    <s v="Enterprise"/>
    <s v="Distributor"/>
    <x v="6"/>
    <s v="Components"/>
    <s v="CMP-4630"/>
    <n v="1120.06"/>
    <s v="High"/>
    <n v="2068.21"/>
    <x v="117"/>
    <n v="12"/>
    <n v="69.481920000000002"/>
    <n v="13440.72"/>
    <n v="-13371.238079999999"/>
    <n v="-192.44197742376721"/>
  </r>
  <r>
    <s v="ORD-2023-521280"/>
    <d v="2023-05-27T00:00:00"/>
    <d v="2023-06-19T00:00:00"/>
    <n v="23"/>
    <s v="May-2023"/>
    <s v="Q2-2023"/>
    <x v="3"/>
    <s v="Germany"/>
    <s v="Berlin"/>
    <s v="Education"/>
    <s v="Retail"/>
    <x v="7"/>
    <s v="Accessories"/>
    <s v="ACC-1882"/>
    <n v="1471.58"/>
    <s v="High"/>
    <n v="2576.65"/>
    <x v="140"/>
    <n v="7"/>
    <n v="17916.436439999998"/>
    <n v="10301.06"/>
    <n v="7615.3764399999982"/>
    <n v="0.42504972824830334"/>
  </r>
  <r>
    <s v="ORD-2023-630430"/>
    <d v="2023-08-04T00:00:00"/>
    <d v="2023-08-24T00:00:00"/>
    <n v="20"/>
    <s v="Aug-2023"/>
    <s v="Q3-2023"/>
    <x v="2"/>
    <s v="Brazil"/>
    <s v="Brasília"/>
    <s v="Non-Profit"/>
    <s v="Direct"/>
    <x v="15"/>
    <s v="Networking"/>
    <s v="NET-9125"/>
    <n v="582.88"/>
    <s v="High"/>
    <n v="1044.1400000000001"/>
    <x v="154"/>
    <n v="10"/>
    <n v="12481.436800000001"/>
    <n v="5828.8"/>
    <n v="6652.6368000000011"/>
    <n v="0.53300248253470306"/>
  </r>
  <r>
    <s v="ORD-2025-908258"/>
    <d v="2025-06-21T00:00:00"/>
    <d v="2025-06-27T00:00:00"/>
    <n v="6"/>
    <s v="Jun-2025"/>
    <s v="Q2-2025"/>
    <x v="0"/>
    <s v="South Africa"/>
    <s v="Durban"/>
    <s v="Enterprise"/>
    <s v="Distributor"/>
    <x v="13"/>
    <s v="Phones"/>
    <s v="PHN-3819"/>
    <n v="93.91"/>
    <s v="Medium"/>
    <n v="99.04"/>
    <x v="92"/>
    <n v="6"/>
    <n v="5632.3692599999995"/>
    <n v="563.46"/>
    <n v="5068.9092599999994"/>
    <n v="0.89996039428707486"/>
  </r>
  <r>
    <s v="ORD-2025-440093"/>
    <d v="2025-04-16T00:00:00"/>
    <d v="2025-04-26T00:00:00"/>
    <n v="10"/>
    <s v="Apr-2025"/>
    <s v="Q2-2025"/>
    <x v="0"/>
    <s v="Nigeria"/>
    <s v="Port Harcourt"/>
    <s v="Enterprise"/>
    <s v="Marketplace"/>
    <x v="9"/>
    <s v="Laptops"/>
    <s v="LAP-3490"/>
    <n v="1457.44"/>
    <s v="High"/>
    <n v="1996.81"/>
    <x v="38"/>
    <n v="23"/>
    <n v="24932.711619999998"/>
    <n v="33521.120000000003"/>
    <n v="-8588.4083800000044"/>
    <n v="-0.3444634707566559"/>
  </r>
  <r>
    <s v="ORD-2025-898022"/>
    <d v="2025-09-02T00:00:00"/>
    <d v="2025-09-11T00:00:00"/>
    <n v="9"/>
    <s v="Sept-2025"/>
    <s v="Q3-2025"/>
    <x v="2"/>
    <s v="Canada"/>
    <s v="Toronto"/>
    <s v="Corporate"/>
    <s v="Distributor"/>
    <x v="12"/>
    <s v="Printers"/>
    <s v="PRN-1276"/>
    <n v="1207.6300000000001"/>
    <s v="High"/>
    <n v="921.68"/>
    <x v="124"/>
    <n v="17"/>
    <n v="1617.8811600000001"/>
    <n v="20529.710000000003"/>
    <n v="-18911.828840000002"/>
    <n v="-11.689257102171831"/>
  </r>
  <r>
    <s v="ORD-2024-500511"/>
    <d v="2024-10-08T00:00:00"/>
    <d v="2024-10-08T00:00:00"/>
    <n v="0"/>
    <s v="Oct-2024"/>
    <s v="Q4-2024"/>
    <x v="3"/>
    <s v="United Kingdom"/>
    <s v="London"/>
    <s v="Corporate"/>
    <s v="Online"/>
    <x v="6"/>
    <s v="Monitors"/>
    <s v="MON-9733"/>
    <n v="1108.1099999999999"/>
    <s v="High"/>
    <n v="2503.79"/>
    <x v="50"/>
    <n v="19"/>
    <n v="32644.137120000007"/>
    <n v="21054.089999999997"/>
    <n v="11590.04712000001"/>
    <n v="0.35504222633898824"/>
  </r>
  <r>
    <s v="ORD-2023-632893"/>
    <d v="2023-05-07T00:00:00"/>
    <d v="2023-05-05T00:00:00"/>
    <n v="2"/>
    <s v="May-2023"/>
    <s v="Q2-2023"/>
    <x v="0"/>
    <s v="Nigeria"/>
    <s v="Port Harcourt"/>
    <s v="Non-Profit"/>
    <s v="Marketplace"/>
    <x v="8"/>
    <s v="Components"/>
    <s v="CMP-9392"/>
    <n v="1269.6500000000001"/>
    <s v="High"/>
    <n v="2462.77"/>
    <x v="105"/>
    <n v="8"/>
    <n v="3736.3119999999999"/>
    <n v="10157.200000000001"/>
    <n v="-6420.8880000000008"/>
    <n v="-1.7185095891349547"/>
  </r>
  <r>
    <s v="ORD-2023-967239"/>
    <d v="2023-12-24T00:00:00"/>
    <d v="2024-01-01T00:00:00"/>
    <n v="8"/>
    <s v="Dec-2023"/>
    <s v="Q4-2023"/>
    <x v="2"/>
    <s v="Brazil"/>
    <s v="São Paulo"/>
    <s v="Education"/>
    <s v="Direct"/>
    <x v="0"/>
    <s v="Phones"/>
    <s v="PHN-3014"/>
    <n v="526.49"/>
    <s v="High"/>
    <n v="496.2"/>
    <x v="5"/>
    <n v="14"/>
    <n v="15054.199999999999"/>
    <n v="7370.8600000000006"/>
    <n v="7683.3399999999983"/>
    <n v="0.51037849902352828"/>
  </r>
  <r>
    <s v="ORD-2024-885858"/>
    <d v="2024-01-10T00:00:00"/>
    <d v="2024-01-23T00:00:00"/>
    <n v="13"/>
    <s v="Jan-2024"/>
    <s v="Q1-2024"/>
    <x v="3"/>
    <s v="France"/>
    <s v="Marseille"/>
    <s v="Corporate"/>
    <s v="Direct"/>
    <x v="8"/>
    <s v="Printers"/>
    <s v="PRN-6776"/>
    <n v="720"/>
    <s v="High"/>
    <n v="907.59"/>
    <x v="69"/>
    <n v="10"/>
    <n v="27872.062200000004"/>
    <n v="7200"/>
    <n v="20672.062200000004"/>
    <n v="0.7416768106954067"/>
  </r>
  <r>
    <s v="ORD-2023-253245"/>
    <d v="2023-08-03T00:00:00"/>
    <d v="2023-08-14T00:00:00"/>
    <n v="11"/>
    <s v="Aug-2023"/>
    <s v="Q3-2023"/>
    <x v="2"/>
    <s v="Brazil"/>
    <s v="Brasília"/>
    <s v="Corporate"/>
    <s v="Direct"/>
    <x v="1"/>
    <s v="Accessories"/>
    <s v="ACC-3951"/>
    <n v="232.73"/>
    <s v="High"/>
    <n v="334.19"/>
    <x v="61"/>
    <n v="25"/>
    <n v="10046.682500000001"/>
    <n v="5818.25"/>
    <n v="4228.4325000000008"/>
    <n v="0.42087848401698774"/>
  </r>
  <r>
    <s v="ORD-2025-484073"/>
    <d v="2025-02-19T00:00:00"/>
    <d v="2025-03-09T00:00:00"/>
    <n v="18"/>
    <s v="Feb-2025"/>
    <s v="Q1-2025"/>
    <x v="1"/>
    <s v="India"/>
    <s v="Delhi"/>
    <s v="Small Business"/>
    <s v="Direct"/>
    <x v="7"/>
    <s v="Monitors"/>
    <s v="MON-1436"/>
    <n v="325.87"/>
    <s v="High"/>
    <n v="538.79"/>
    <x v="155"/>
    <n v="16"/>
    <n v="6753.7724800000005"/>
    <n v="5213.92"/>
    <n v="1539.8524800000005"/>
    <n v="0.22799886797489516"/>
  </r>
  <r>
    <s v="ORD-2024-745822"/>
    <d v="2024-03-31T00:00:00"/>
    <d v="2024-04-17T00:00:00"/>
    <n v="17"/>
    <s v="Mar-2024"/>
    <s v="Q1-2024"/>
    <x v="3"/>
    <s v="Germany"/>
    <s v="Frankfurt"/>
    <s v="Education"/>
    <s v="Direct"/>
    <x v="10"/>
    <s v="Monitors"/>
    <s v="MON-8651"/>
    <n v="1025.51"/>
    <s v="High"/>
    <n v="1436.54"/>
    <x v="23"/>
    <n v="28"/>
    <n v="101.73576"/>
    <n v="28714.28"/>
    <n v="-28612.544239999999"/>
    <n v="-281.24372629643699"/>
  </r>
  <r>
    <s v="ORD-2023-369160"/>
    <d v="2023-07-24T00:00:00"/>
    <d v="2023-08-13T00:00:00"/>
    <n v="20"/>
    <s v="Jul-2023"/>
    <s v="Q3-2023"/>
    <x v="2"/>
    <s v="Canada"/>
    <s v="Montreal"/>
    <s v="Education"/>
    <s v="Direct"/>
    <x v="0"/>
    <s v="Monitors"/>
    <s v="MON-3307"/>
    <n v="1082.3800000000001"/>
    <s v="High"/>
    <n v="1766.55"/>
    <x v="156"/>
    <n v="20"/>
    <n v="9651.4527999999991"/>
    <n v="21647.600000000002"/>
    <n v="-11996.147200000003"/>
    <n v="-1.242936938986015"/>
  </r>
  <r>
    <s v="ORD-2024-834983"/>
    <d v="2024-03-16T00:00:00"/>
    <d v="2024-04-13T00:00:00"/>
    <n v="28"/>
    <s v="Mar-2024"/>
    <s v="Q1-2024"/>
    <x v="3"/>
    <s v="France"/>
    <s v="Paris"/>
    <s v="Small Business"/>
    <s v="Online"/>
    <x v="11"/>
    <s v="Printers"/>
    <s v="PRN-8758"/>
    <n v="287.61"/>
    <s v="High"/>
    <n v="628.54"/>
    <x v="157"/>
    <n v="21"/>
    <n v="25903.83495"/>
    <n v="6039.81"/>
    <n v="19864.024949999999"/>
    <n v="0.76683722654741504"/>
  </r>
  <r>
    <s v="ORD-2024-499009"/>
    <d v="2024-01-25T00:00:00"/>
    <d v="2024-01-27T00:00:00"/>
    <n v="2"/>
    <s v="Jan-2024"/>
    <s v="Q1-2024"/>
    <x v="2"/>
    <s v="Brazil"/>
    <s v="São Paulo"/>
    <s v="Non-Profit"/>
    <s v="Marketplace"/>
    <x v="13"/>
    <s v="Laptops"/>
    <s v="LAP-7056"/>
    <n v="1410.97"/>
    <s v="High"/>
    <n v="1650.75"/>
    <x v="157"/>
    <n v="6"/>
    <n v="7059.0227999999997"/>
    <n v="8465.82"/>
    <n v="-1406.7972"/>
    <n v="-0.19929064402511917"/>
  </r>
  <r>
    <s v="ORD-2024-948800"/>
    <d v="2024-03-27T00:00:00"/>
    <d v="2024-04-11T00:00:00"/>
    <n v="15"/>
    <s v="Mar-2024"/>
    <s v="Q1-2024"/>
    <x v="2"/>
    <s v="USA"/>
    <s v="San Francisco"/>
    <s v="Small Business"/>
    <s v="Direct"/>
    <x v="7"/>
    <s v="Networking"/>
    <s v="NET-5523"/>
    <n v="1338.35"/>
    <s v="High"/>
    <n v="2247.14"/>
    <x v="158"/>
    <n v="40"/>
    <n v="73316.94"/>
    <n v="53534"/>
    <n v="19782.940000000002"/>
    <n v="0.26982768238827209"/>
  </r>
  <r>
    <s v="ORD-2025-678328"/>
    <d v="2025-06-24T00:00:00"/>
    <d v="2025-07-14T00:00:00"/>
    <n v="20"/>
    <s v="Jun-2025"/>
    <s v="Q2-2025"/>
    <x v="3"/>
    <s v="Germany"/>
    <s v="Berlin"/>
    <s v="Corporate"/>
    <s v="Direct"/>
    <x v="7"/>
    <s v="Accessories"/>
    <s v="ACC-8094"/>
    <n v="385.08"/>
    <s v="High"/>
    <n v="893.19"/>
    <x v="102"/>
    <n v="8"/>
    <n v="6655.0732799999996"/>
    <n v="3080.64"/>
    <n v="3574.4332799999997"/>
    <n v="0.53709901147775185"/>
  </r>
  <r>
    <s v="ORD-2024-580808"/>
    <d v="2024-06-16T00:00:00"/>
    <d v="2024-07-03T00:00:00"/>
    <n v="17"/>
    <s v="Jun-2024"/>
    <s v="Q2-2024"/>
    <x v="0"/>
    <s v="South Africa"/>
    <s v="Johannesburg"/>
    <s v="Enterprise"/>
    <s v="Marketplace"/>
    <x v="9"/>
    <s v="Phones"/>
    <s v="PHN-6832"/>
    <n v="1173.83"/>
    <s v="High"/>
    <n v="2328.9"/>
    <x v="18"/>
    <n v="17"/>
    <n v="8039.3543999999993"/>
    <n v="19955.11"/>
    <n v="-11915.7556"/>
    <n v="-1.4821781709237749"/>
  </r>
  <r>
    <s v="ORD-2023-211715"/>
    <d v="2023-10-30T00:00:00"/>
    <d v="2023-11-14T00:00:00"/>
    <n v="15"/>
    <s v="Oct-2023"/>
    <s v="Q4-2023"/>
    <x v="1"/>
    <s v="India"/>
    <s v="Bengaluru"/>
    <s v="Corporate"/>
    <s v="Online"/>
    <x v="9"/>
    <s v="Laptops"/>
    <s v="LAP-2378"/>
    <n v="953.46"/>
    <s v="High"/>
    <n v="2066.75"/>
    <x v="159"/>
    <n v="5"/>
    <n v="919.40919999999994"/>
    <n v="4767.3"/>
    <n v="-3847.8908000000001"/>
    <n v="-4.1851776118838062"/>
  </r>
  <r>
    <s v="ORD-2023-715175"/>
    <d v="2023-06-15T00:00:00"/>
    <d v="2023-06-23T00:00:00"/>
    <n v="8"/>
    <s v="Jun-2023"/>
    <s v="Q2-2023"/>
    <x v="2"/>
    <s v="USA"/>
    <s v="San Francisco"/>
    <s v="Consumer"/>
    <s v="Distributor"/>
    <x v="7"/>
    <s v="Monitors"/>
    <s v="MON-5424"/>
    <n v="1097.0899999999999"/>
    <s v="High"/>
    <n v="2182.31"/>
    <x v="0"/>
    <n v="9"/>
    <n v="15941.402639999998"/>
    <n v="9873.81"/>
    <n v="6067.5926399999989"/>
    <n v="0.38061849242646062"/>
  </r>
  <r>
    <s v="ORD-2025-685236"/>
    <d v="2025-03-14T00:00:00"/>
    <d v="2025-03-29T00:00:00"/>
    <n v="15"/>
    <s v="Mar-2025"/>
    <s v="Q1-2025"/>
    <x v="1"/>
    <s v="Japan"/>
    <s v="Tokyo"/>
    <s v="Non-Profit"/>
    <s v="Direct"/>
    <x v="10"/>
    <s v="Networking"/>
    <s v="NET-8430"/>
    <n v="1106.96"/>
    <s v="High"/>
    <n v="2726.62"/>
    <x v="160"/>
    <n v="7"/>
    <n v="2643.1280400000001"/>
    <n v="7748.72"/>
    <n v="-5105.5919599999997"/>
    <n v="-1.9316476094741137"/>
  </r>
  <r>
    <s v="ORD-2023-274037"/>
    <d v="2023-08-15T00:00:00"/>
    <d v="2023-08-25T00:00:00"/>
    <n v="10"/>
    <s v="Aug-2023"/>
    <s v="Q3-2023"/>
    <x v="0"/>
    <s v="Kenya"/>
    <s v="Nairobi"/>
    <s v="Small Business"/>
    <s v="Retail"/>
    <x v="13"/>
    <s v="Phones"/>
    <s v="PHN-1234"/>
    <n v="91.85"/>
    <s v="Medium"/>
    <n v="111.29"/>
    <x v="5"/>
    <n v="6"/>
    <n v="1349.6999999999998"/>
    <n v="551.09999999999991"/>
    <n v="798.59999999999991"/>
    <n v="0.59168704156479224"/>
  </r>
  <r>
    <s v="ORD-2025-983096"/>
    <d v="2025-05-17T00:00:00"/>
    <d v="2025-05-28T00:00:00"/>
    <n v="11"/>
    <s v="May-2025"/>
    <s v="Q2-2025"/>
    <x v="1"/>
    <s v="India"/>
    <s v="Bengaluru"/>
    <s v="Corporate"/>
    <s v="Distributor"/>
    <x v="5"/>
    <s v="Laptops"/>
    <s v="LAP-9016"/>
    <n v="623.4"/>
    <s v="High"/>
    <n v="1100.0899999999999"/>
    <x v="60"/>
    <n v="12"/>
    <n v="8208.8608800000002"/>
    <n v="7480.7999999999993"/>
    <n v="728.06088000000091"/>
    <n v="8.8692071974790357E-2"/>
  </r>
  <r>
    <s v="ORD-2024-366010"/>
    <d v="2024-01-13T00:00:00"/>
    <d v="2024-02-05T00:00:00"/>
    <n v="23"/>
    <s v="Jan-2024"/>
    <s v="Q1-2024"/>
    <x v="3"/>
    <s v="Germany"/>
    <s v="Frankfurt"/>
    <s v="Education"/>
    <s v="Direct"/>
    <x v="5"/>
    <s v="Laptops"/>
    <s v="LAP-9931"/>
    <n v="1017.93"/>
    <s v="High"/>
    <n v="1529.14"/>
    <x v="131"/>
    <n v="12"/>
    <n v="31932.989400000002"/>
    <n v="12215.16"/>
    <n v="19717.829400000002"/>
    <n v="0.61747521201381794"/>
  </r>
  <r>
    <s v="ORD-2023-610470"/>
    <d v="2023-06-24T00:00:00"/>
    <d v="2023-07-21T00:00:00"/>
    <n v="27"/>
    <s v="Jun-2023"/>
    <s v="Q2-2023"/>
    <x v="1"/>
    <s v="Japan"/>
    <s v="Nagoya"/>
    <s v="Consumer"/>
    <s v="Marketplace"/>
    <x v="1"/>
    <s v="Phones"/>
    <s v="PHN-6818"/>
    <n v="554.76"/>
    <s v="High"/>
    <n v="728.69"/>
    <x v="97"/>
    <n v="7"/>
    <n v="314.11380000000003"/>
    <n v="3883.3199999999997"/>
    <n v="-3569.2061999999996"/>
    <n v="-11.362780622818862"/>
  </r>
  <r>
    <s v="ORD-2025-541048"/>
    <d v="2025-04-04T00:00:00"/>
    <d v="2025-04-13T00:00:00"/>
    <n v="9"/>
    <s v="Apr-2025"/>
    <s v="Q2-2025"/>
    <x v="3"/>
    <s v="Germany"/>
    <s v="Munich"/>
    <s v="Consumer"/>
    <s v="Marketplace"/>
    <x v="9"/>
    <s v="Phones"/>
    <s v="PHN-3803"/>
    <n v="7.02"/>
    <s v="Low"/>
    <n v="6.28"/>
    <x v="61"/>
    <n v="14"/>
    <n v="9999.9964400000008"/>
    <n v="98.28"/>
    <n v="9901.7164400000001"/>
    <n v="0.99017199650123067"/>
  </r>
  <r>
    <s v="ORD-2024-862371"/>
    <d v="2024-09-07T00:00:00"/>
    <d v="2024-09-07T00:00:00"/>
    <n v="0"/>
    <s v="Sept-2024"/>
    <s v="Q3-2024"/>
    <x v="1"/>
    <s v="India"/>
    <s v="Mumbai"/>
    <s v="Education"/>
    <s v="Distributor"/>
    <x v="5"/>
    <s v="Networking"/>
    <s v="NET-9835"/>
    <n v="1066.6500000000001"/>
    <s v="High"/>
    <n v="2569.77"/>
    <x v="61"/>
    <n v="9"/>
    <n v="11640.572819999999"/>
    <n v="9599.85"/>
    <n v="2040.722819999999"/>
    <n v="0.17531120259767416"/>
  </r>
  <r>
    <s v="ORD-2024-277241"/>
    <d v="2024-01-28T00:00:00"/>
    <d v="2024-01-30T00:00:00"/>
    <n v="2"/>
    <s v="Jan-2024"/>
    <s v="Q1-2024"/>
    <x v="0"/>
    <s v="South Africa"/>
    <s v="Cape Town"/>
    <s v="Consumer"/>
    <s v="Direct"/>
    <x v="9"/>
    <s v="Accessories"/>
    <s v="ACC-6223"/>
    <n v="798.45"/>
    <s v="High"/>
    <n v="1592.02"/>
    <x v="72"/>
    <n v="18"/>
    <n v="12473.159039999999"/>
    <n v="14372.1"/>
    <n v="-1898.9409600000017"/>
    <n v="-0.15224218290733843"/>
  </r>
  <r>
    <s v="ORD-2023-369150"/>
    <d v="2023-07-18T00:00:00"/>
    <d v="2023-08-10T00:00:00"/>
    <n v="23"/>
    <s v="Jul-2023"/>
    <s v="Q3-2023"/>
    <x v="0"/>
    <s v="South Africa"/>
    <s v="Johannesburg"/>
    <s v="Small Business"/>
    <s v="Retail"/>
    <x v="4"/>
    <s v="Components"/>
    <s v="CMP-8659"/>
    <n v="1271.56"/>
    <s v="High"/>
    <n v="995.47"/>
    <x v="98"/>
    <n v="13"/>
    <n v="7796.3839200000002"/>
    <n v="16530.28"/>
    <n v="-8733.8960799999986"/>
    <n v="-1.1202496143878966"/>
  </r>
  <r>
    <s v="ORD-2025-922513"/>
    <d v="2025-08-28T00:00:00"/>
    <d v="2025-08-26T00:00:00"/>
    <n v="2"/>
    <s v="Aug-2025"/>
    <s v="Q3-2025"/>
    <x v="0"/>
    <s v="Nigeria"/>
    <s v="Port Harcourt"/>
    <s v="Small Business"/>
    <s v="Retail"/>
    <x v="8"/>
    <s v="Accessories"/>
    <s v="ACC-4483"/>
    <n v="521.05999999999995"/>
    <s v="High"/>
    <n v="1240.31"/>
    <x v="34"/>
    <n v="18"/>
    <n v="7371.4888800000008"/>
    <n v="9379.0799999999981"/>
    <n v="-2007.5911199999973"/>
    <n v="-0.27234540439271437"/>
  </r>
  <r>
    <s v="ORD-2025-752845"/>
    <d v="2025-03-30T00:00:00"/>
    <d v="2025-04-07T00:00:00"/>
    <n v="8"/>
    <s v="Mar-2025"/>
    <s v="Q1-2025"/>
    <x v="2"/>
    <s v="Brazil"/>
    <s v="São Paulo"/>
    <s v="Non-Profit"/>
    <s v="Direct"/>
    <x v="4"/>
    <s v="Printers"/>
    <s v="PRN-8763"/>
    <n v="71.62"/>
    <s v="Medium"/>
    <n v="118.37"/>
    <x v="161"/>
    <n v="11"/>
    <n v="10911.020999999999"/>
    <n v="787.82"/>
    <n v="10123.200999999999"/>
    <n v="0.92779594136973986"/>
  </r>
  <r>
    <s v="ORD-2023-667815"/>
    <d v="2023-10-21T00:00:00"/>
    <d v="2023-11-09T00:00:00"/>
    <n v="19"/>
    <s v="Oct-2023"/>
    <s v="Q4-2023"/>
    <x v="3"/>
    <s v="United Kingdom"/>
    <s v="London"/>
    <s v="Non-Profit"/>
    <s v="Direct"/>
    <x v="8"/>
    <s v="Accessories"/>
    <s v="ACC-8557"/>
    <n v="1142.48"/>
    <s v="High"/>
    <n v="2105.5300000000002"/>
    <x v="162"/>
    <n v="14"/>
    <n v="2525.1498999999999"/>
    <n v="15994.720000000001"/>
    <n v="-13469.570100000001"/>
    <n v="-5.3341665379944381"/>
  </r>
  <r>
    <s v="ORD-2023-375011"/>
    <d v="2023-08-23T00:00:00"/>
    <d v="2023-09-22T00:00:00"/>
    <n v="30"/>
    <s v="Aug-2023"/>
    <s v="Q3-2023"/>
    <x v="3"/>
    <s v="United Kingdom"/>
    <s v="London"/>
    <s v="Consumer"/>
    <s v="Distributor"/>
    <x v="7"/>
    <s v="Accessories"/>
    <s v="ACC-1492"/>
    <n v="209.81"/>
    <s v="High"/>
    <n v="523"/>
    <x v="163"/>
    <n v="15"/>
    <n v="16636.221300000001"/>
    <n v="3147.15"/>
    <n v="13489.071300000001"/>
    <n v="0.81082543065233215"/>
  </r>
  <r>
    <s v="ORD-2025-487025"/>
    <d v="2025-04-11T00:00:00"/>
    <d v="2025-05-04T00:00:00"/>
    <n v="23"/>
    <s v="Apr-2025"/>
    <s v="Q2-2025"/>
    <x v="1"/>
    <s v="Japan"/>
    <s v="Osaka"/>
    <s v="Small Business"/>
    <s v="Online"/>
    <x v="12"/>
    <s v="Components"/>
    <s v="CMP-3743"/>
    <n v="786.2"/>
    <s v="High"/>
    <n v="1075.3"/>
    <x v="164"/>
    <n v="9"/>
    <n v="20054.987999999998"/>
    <n v="7075.8"/>
    <n v="12979.187999999998"/>
    <n v="0.64718004318925548"/>
  </r>
  <r>
    <s v="ORD-2025-398335"/>
    <d v="2025-06-01T00:00:00"/>
    <d v="2025-06-27T00:00:00"/>
    <n v="26"/>
    <s v="Jun-2025"/>
    <s v="Q2-2025"/>
    <x v="3"/>
    <s v="Germany"/>
    <s v="Munich"/>
    <s v="Consumer"/>
    <s v="Distributor"/>
    <x v="6"/>
    <s v="Laptops"/>
    <s v="LAP-1619"/>
    <n v="1362.31"/>
    <s v="High"/>
    <n v="3294.57"/>
    <x v="139"/>
    <n v="7"/>
    <n v="2693.96092"/>
    <n v="9536.17"/>
    <n v="-6842.2090800000005"/>
    <n v="-2.5398323447097373"/>
  </r>
  <r>
    <s v="ORD-2024-792137"/>
    <d v="2024-03-02T00:00:00"/>
    <d v="2024-03-16T00:00:00"/>
    <n v="14"/>
    <s v="Mar-2024"/>
    <s v="Q1-2024"/>
    <x v="2"/>
    <s v="Canada"/>
    <s v="Vancouver"/>
    <s v="Non-Profit"/>
    <s v="Direct"/>
    <x v="7"/>
    <s v="Printers"/>
    <s v="PRN-7976"/>
    <n v="248.24"/>
    <s v="High"/>
    <n v="464.05"/>
    <x v="36"/>
    <n v="11"/>
    <n v="28786.197329999999"/>
    <n v="2730.6400000000003"/>
    <n v="26055.55733"/>
    <n v="0.90514064887777934"/>
  </r>
  <r>
    <s v="ORD-2023-602648"/>
    <d v="2023-06-20T00:00:00"/>
    <d v="2023-07-08T00:00:00"/>
    <n v="18"/>
    <s v="Jun-2023"/>
    <s v="Q2-2023"/>
    <x v="2"/>
    <s v="USA"/>
    <s v="Austin"/>
    <s v="Non-Profit"/>
    <s v="Direct"/>
    <x v="9"/>
    <s v="Monitors"/>
    <s v="MON-4326"/>
    <n v="337"/>
    <s v="High"/>
    <n v="511.03"/>
    <x v="86"/>
    <n v="7"/>
    <n v="409.91860000000008"/>
    <n v="2359"/>
    <n v="-1949.0814"/>
    <n v="-4.7548010751402829"/>
  </r>
  <r>
    <s v="ORD-2024-207096"/>
    <d v="2024-03-26T00:00:00"/>
    <d v="2024-04-05T00:00:00"/>
    <n v="10"/>
    <s v="Mar-2024"/>
    <s v="Q1-2024"/>
    <x v="2"/>
    <s v="USA"/>
    <s v="Austin"/>
    <s v="Consumer"/>
    <s v="Direct"/>
    <x v="1"/>
    <s v="Monitors"/>
    <s v="MON-5444"/>
    <n v="5.66"/>
    <s v="Low"/>
    <n v="4.22"/>
    <x v="45"/>
    <n v="18"/>
    <n v="39520.356119999997"/>
    <n v="101.88"/>
    <n v="39418.476119999999"/>
    <n v="0.99742208800723742"/>
  </r>
  <r>
    <s v="ORD-2025-939953"/>
    <d v="2025-01-22T00:00:00"/>
    <d v="2025-01-22T00:00:00"/>
    <n v="0"/>
    <s v="Jan-2025"/>
    <s v="Q1-2025"/>
    <x v="3"/>
    <s v="France"/>
    <s v="Lyon"/>
    <s v="Small Business"/>
    <s v="Online"/>
    <x v="5"/>
    <s v="Accessories"/>
    <s v="ACC-5422"/>
    <n v="591.72"/>
    <s v="High"/>
    <n v="577.24"/>
    <x v="5"/>
    <n v="22"/>
    <n v="20500.48"/>
    <n v="13017.84"/>
    <n v="7482.6399999999994"/>
    <n v="0.36499828296703296"/>
  </r>
  <r>
    <s v="ORD-2025-191328"/>
    <d v="2025-05-10T00:00:00"/>
    <d v="2025-05-27T00:00:00"/>
    <n v="17"/>
    <s v="May-2025"/>
    <s v="Q2-2025"/>
    <x v="2"/>
    <s v="Canada"/>
    <s v="Vancouver"/>
    <s v="Education"/>
    <s v="Direct"/>
    <x v="0"/>
    <s v="Components"/>
    <s v="CMP-9307"/>
    <n v="862.89"/>
    <s v="High"/>
    <n v="1426.03"/>
    <x v="121"/>
    <n v="19"/>
    <n v="11111.531359999999"/>
    <n v="16394.91"/>
    <n v="-5283.3786400000008"/>
    <n v="-0.4754860935747745"/>
  </r>
  <r>
    <s v="ORD-2023-166668"/>
    <d v="2023-10-05T00:00:00"/>
    <d v="2023-10-31T00:00:00"/>
    <n v="26"/>
    <s v="Oct-2023"/>
    <s v="Q4-2023"/>
    <x v="1"/>
    <s v="China"/>
    <s v="Shanghai"/>
    <s v="Consumer"/>
    <s v="Not Provided"/>
    <x v="1"/>
    <s v="Printers"/>
    <s v="PRN-6520"/>
    <n v="649.91"/>
    <s v="High"/>
    <n v="1360.12"/>
    <x v="7"/>
    <n v="9"/>
    <n v="10311.923699999999"/>
    <n v="5849.19"/>
    <n v="4462.7336999999998"/>
    <n v="0.43277411953697836"/>
  </r>
  <r>
    <s v="ORD-2023-594700"/>
    <d v="2023-07-18T00:00:00"/>
    <d v="2023-07-22T00:00:00"/>
    <n v="4"/>
    <s v="Jul-2023"/>
    <s v="Q3-2023"/>
    <x v="2"/>
    <s v="Brazil"/>
    <s v="São Paulo"/>
    <s v="Consumer"/>
    <s v="Direct"/>
    <x v="9"/>
    <s v="Networking"/>
    <s v="NET-1699"/>
    <n v="1269.55"/>
    <s v="High"/>
    <n v="2071.1"/>
    <x v="31"/>
    <n v="22"/>
    <n v="18252.954719999998"/>
    <n v="27930.1"/>
    <n v="-9677.1452800000006"/>
    <n v="-0.53016870027057195"/>
  </r>
  <r>
    <s v="ORD-2025-278048"/>
    <d v="2025-06-22T00:00:00"/>
    <d v="2025-07-08T00:00:00"/>
    <n v="16"/>
    <s v="Jun-2025"/>
    <s v="Q2-2025"/>
    <x v="3"/>
    <s v="United Kingdom"/>
    <s v="London"/>
    <s v="Education"/>
    <s v="Direct"/>
    <x v="8"/>
    <s v="Phones"/>
    <s v="PHN-5316"/>
    <n v="892.73"/>
    <s v="High"/>
    <n v="979.84"/>
    <x v="155"/>
    <n v="10"/>
    <n v="26053.196400000001"/>
    <n v="8927.2999999999993"/>
    <n v="17125.896400000001"/>
    <n v="0.65734338839129935"/>
  </r>
  <r>
    <s v="ORD-2024-878493"/>
    <d v="2024-06-19T00:00:00"/>
    <d v="2024-06-20T00:00:00"/>
    <n v="1"/>
    <s v="Jun-2024"/>
    <s v="Q2-2024"/>
    <x v="0"/>
    <s v="Kenya"/>
    <s v="Kisumu"/>
    <s v="Small Business"/>
    <s v="Direct"/>
    <x v="1"/>
    <s v="Laptops"/>
    <s v="LAP-4607"/>
    <n v="231.63"/>
    <s v="High"/>
    <n v="537.39"/>
    <x v="164"/>
    <n v="12"/>
    <n v="2496.5855999999999"/>
    <n v="2779.56"/>
    <n v="-282.97440000000006"/>
    <n v="-0.11334456146827093"/>
  </r>
  <r>
    <s v="ORD-2025-138578"/>
    <d v="2025-04-09T00:00:00"/>
    <d v="2025-04-12T00:00:00"/>
    <n v="3"/>
    <s v="Apr-2025"/>
    <s v="Q2-2025"/>
    <x v="3"/>
    <s v="France"/>
    <s v="Lyon"/>
    <s v="Small Business"/>
    <s v="Distributor"/>
    <x v="10"/>
    <s v="Monitors"/>
    <s v="MON-5276"/>
    <n v="86.68"/>
    <s v="High"/>
    <n v="213.32"/>
    <x v="16"/>
    <n v="8"/>
    <n v="6818.0403199999992"/>
    <n v="693.44"/>
    <n v="6124.6003199999996"/>
    <n v="0.89829335594190218"/>
  </r>
  <r>
    <s v="ORD-2025-944081"/>
    <d v="2025-03-25T00:00:00"/>
    <d v="2025-03-26T00:00:00"/>
    <n v="1"/>
    <s v="Mar-2025"/>
    <s v="Q1-2025"/>
    <x v="0"/>
    <s v="Nigeria"/>
    <s v="Lagos"/>
    <s v="Education"/>
    <s v="Distributor"/>
    <x v="3"/>
    <s v="Accessories"/>
    <s v="ACC-9533"/>
    <n v="1450.43"/>
    <s v="High"/>
    <n v="1994.67"/>
    <x v="165"/>
    <n v="24"/>
    <n v="52560.144000000008"/>
    <n v="34810.32"/>
    <n v="17749.824000000008"/>
    <n v="0.33770501085385163"/>
  </r>
  <r>
    <s v="ORD-2025-364852"/>
    <d v="2025-05-18T00:00:00"/>
    <d v="2025-06-09T00:00:00"/>
    <n v="22"/>
    <s v="May-2025"/>
    <s v="Q2-2025"/>
    <x v="2"/>
    <s v="USA"/>
    <s v="New York"/>
    <s v="Consumer"/>
    <s v="Retail"/>
    <x v="10"/>
    <s v="Networking"/>
    <s v="NET-3749"/>
    <n v="382.96"/>
    <s v="High"/>
    <n v="552.84"/>
    <x v="166"/>
    <n v="8"/>
    <n v="7609.4092799999999"/>
    <n v="3063.68"/>
    <n v="4545.7292799999996"/>
    <n v="0.59738267620164065"/>
  </r>
  <r>
    <s v="ORD-2025-415018"/>
    <d v="2025-01-22T00:00:00"/>
    <d v="2025-02-04T00:00:00"/>
    <n v="13"/>
    <s v="Jan-2025"/>
    <s v="Q1-2025"/>
    <x v="1"/>
    <s v="Japan"/>
    <s v="Tokyo"/>
    <s v="Small Business"/>
    <s v="Distributor"/>
    <x v="4"/>
    <s v="Printers"/>
    <s v="PRN-2991"/>
    <n v="122.29"/>
    <s v="High"/>
    <n v="224.95"/>
    <x v="125"/>
    <n v="28"/>
    <n v="26941.13884"/>
    <n v="3424.1200000000003"/>
    <n v="23517.018840000001"/>
    <n v="0.8729036652705956"/>
  </r>
  <r>
    <s v="ORD-2023-884192"/>
    <d v="2023-01-10T00:00:00"/>
    <d v="2023-01-29T00:00:00"/>
    <n v="19"/>
    <s v="Jan-2023"/>
    <s v="Q1-2023"/>
    <x v="3"/>
    <s v="France"/>
    <s v="Lyon"/>
    <s v="Non-Profit"/>
    <s v="Direct"/>
    <x v="14"/>
    <s v="Laptops"/>
    <s v="LAP-4551"/>
    <n v="401.66"/>
    <s v="High"/>
    <n v="772.09"/>
    <x v="25"/>
    <n v="14"/>
    <n v="35096.967360000002"/>
    <n v="5623.2400000000007"/>
    <n v="29473.727360000001"/>
    <n v="0.83977988917615698"/>
  </r>
  <r>
    <s v="ORD-2024-165942"/>
    <d v="2024-12-29T00:00:00"/>
    <d v="2025-01-12T00:00:00"/>
    <n v="14"/>
    <s v="Dec-2024"/>
    <s v="Q4-2024"/>
    <x v="3"/>
    <s v="United Kingdom"/>
    <s v="Manchester"/>
    <s v="Corporate"/>
    <s v="Direct"/>
    <x v="5"/>
    <s v="Monitors"/>
    <s v="MON-6310"/>
    <n v="1399.72"/>
    <s v="High"/>
    <n v="3149.21"/>
    <x v="57"/>
    <n v="12"/>
    <n v="13444.761599999998"/>
    <n v="16796.64"/>
    <n v="-3351.8784000000014"/>
    <n v="-0.24930738823959525"/>
  </r>
  <r>
    <s v="ORD-2024-403664"/>
    <d v="2024-05-23T00:00:00"/>
    <d v="2024-06-06T00:00:00"/>
    <n v="14"/>
    <s v="May-2024"/>
    <s v="Q2-2024"/>
    <x v="2"/>
    <s v="Brazil"/>
    <s v="Rio de Janeiro"/>
    <s v="Non-Profit"/>
    <s v="Online"/>
    <x v="2"/>
    <s v="Networking"/>
    <s v="NET-1166"/>
    <n v="51.13"/>
    <s v="Medium"/>
    <n v="57.53"/>
    <x v="107"/>
    <n v="16"/>
    <n v="20144.693599999999"/>
    <n v="818.08"/>
    <n v="19326.613599999997"/>
    <n v="0.95938980178879452"/>
  </r>
  <r>
    <s v="ORD-2023-890605"/>
    <d v="2023-06-24T00:00:00"/>
    <d v="2023-06-22T00:00:00"/>
    <n v="2"/>
    <s v="Jun-2023"/>
    <s v="Q2-2023"/>
    <x v="2"/>
    <s v="Canada"/>
    <s v="Toronto"/>
    <s v="Non-Profit"/>
    <s v="Retail"/>
    <x v="12"/>
    <s v="Accessories"/>
    <s v="ACC-2903"/>
    <n v="471.42"/>
    <s v="High"/>
    <n v="824.81"/>
    <x v="167"/>
    <n v="15"/>
    <n v="6043.0032000000001"/>
    <n v="7071.3"/>
    <n v="-1028.2968000000001"/>
    <n v="-0.17016320626803574"/>
  </r>
  <r>
    <s v="ORD-2024-925626"/>
    <d v="2024-11-04T00:00:00"/>
    <d v="2024-11-05T00:00:00"/>
    <n v="1"/>
    <s v="Nov-2024"/>
    <s v="Q4-2024"/>
    <x v="3"/>
    <s v="United Kingdom"/>
    <s v="London"/>
    <s v="Corporate"/>
    <s v="Retail"/>
    <x v="12"/>
    <s v="Printers"/>
    <s v="PRN-2293"/>
    <n v="840.68"/>
    <s v="High"/>
    <n v="1493.53"/>
    <x v="5"/>
    <n v="27"/>
    <n v="35911.89"/>
    <n v="22698.359999999997"/>
    <n v="13213.530000000002"/>
    <n v="0.36794304059184862"/>
  </r>
  <r>
    <s v="ORD-2024-427031"/>
    <d v="2024-06-08T00:00:00"/>
    <d v="2024-06-24T00:00:00"/>
    <n v="16"/>
    <s v="Jun-2024"/>
    <s v="Q2-2024"/>
    <x v="0"/>
    <s v="South Africa"/>
    <s v="Durban"/>
    <s v="Education"/>
    <s v="Distributor"/>
    <x v="10"/>
    <s v="Monitors"/>
    <s v="MON-1389"/>
    <n v="597.85"/>
    <s v="High"/>
    <n v="741.92"/>
    <x v="8"/>
    <n v="7"/>
    <n v="11089.255379999999"/>
    <n v="4184.95"/>
    <n v="6904.3053799999989"/>
    <n v="0.62261217217995024"/>
  </r>
  <r>
    <s v="ORD-2025-231184"/>
    <d v="2025-06-01T00:00:00"/>
    <d v="2025-06-06T00:00:00"/>
    <n v="5"/>
    <s v="Jun-2025"/>
    <s v="Q2-2025"/>
    <x v="3"/>
    <s v="France"/>
    <s v="Paris"/>
    <s v="Consumer"/>
    <s v="Distributor"/>
    <x v="3"/>
    <s v="Components"/>
    <s v="CMP-4093"/>
    <n v="379.45"/>
    <s v="High"/>
    <n v="742.23"/>
    <x v="168"/>
    <n v="13"/>
    <n v="835.19799999999998"/>
    <n v="4932.8499999999995"/>
    <n v="-4097.6519999999991"/>
    <n v="-4.9062042773090919"/>
  </r>
  <r>
    <s v="ORD-2023-363031"/>
    <d v="2023-05-06T00:00:00"/>
    <d v="2023-05-14T00:00:00"/>
    <n v="8"/>
    <s v="May-2023"/>
    <s v="Q2-2023"/>
    <x v="1"/>
    <s v="Japan"/>
    <s v="Osaka"/>
    <s v="Enterprise"/>
    <s v="Marketplace"/>
    <x v="5"/>
    <s v="Phones"/>
    <s v="PHN-6131"/>
    <n v="291.18"/>
    <s v="High"/>
    <n v="479.54"/>
    <x v="169"/>
    <n v="22"/>
    <n v="34451.80992"/>
    <n v="6405.96"/>
    <n v="28045.849920000001"/>
    <n v="0.81406027680765747"/>
  </r>
  <r>
    <s v="ORD-2023-619570"/>
    <d v="2023-11-14T00:00:00"/>
    <d v="2023-11-30T00:00:00"/>
    <n v="16"/>
    <s v="Nov-2023"/>
    <s v="Q4-2023"/>
    <x v="2"/>
    <s v="Brazil"/>
    <s v="São Paulo"/>
    <s v="Enterprise"/>
    <s v="Direct"/>
    <x v="11"/>
    <s v="Networking"/>
    <s v="NET-4104"/>
    <n v="1017.92"/>
    <s v="High"/>
    <n v="1175.25"/>
    <x v="43"/>
    <n v="15"/>
    <n v="27971.861250000002"/>
    <n v="15268.8"/>
    <n v="12703.061250000002"/>
    <n v="0.45413714648681097"/>
  </r>
  <r>
    <s v="ORD-2025-861401"/>
    <d v="2025-04-01T00:00:00"/>
    <d v="2025-04-27T00:00:00"/>
    <n v="26"/>
    <s v="Apr-2025"/>
    <s v="Q2-2025"/>
    <x v="2"/>
    <s v="USA"/>
    <s v="San Francisco"/>
    <s v="Corporate"/>
    <s v="Direct"/>
    <x v="2"/>
    <s v="Monitors"/>
    <s v="MON-9319"/>
    <n v="156.55000000000001"/>
    <s v="High"/>
    <n v="227.45"/>
    <x v="170"/>
    <n v="13"/>
    <n v="3129.2583399999999"/>
    <n v="2035.15"/>
    <n v="1094.1083399999998"/>
    <n v="0.34963822769583153"/>
  </r>
  <r>
    <s v="ORD-2023-835010"/>
    <d v="2023-03-23T00:00:00"/>
    <d v="2023-04-15T00:00:00"/>
    <n v="23"/>
    <s v="Mar-2023"/>
    <s v="Q1-2023"/>
    <x v="0"/>
    <s v="Kenya"/>
    <s v="Mombasa"/>
    <s v="Small Business"/>
    <s v="Retail"/>
    <x v="0"/>
    <s v="Accessories"/>
    <s v="ACC-2988"/>
    <n v="875.36"/>
    <s v="High"/>
    <n v="1178.6199999999999"/>
    <x v="102"/>
    <n v="53"/>
    <n v="125232.05063999999"/>
    <n v="46394.080000000002"/>
    <n v="78837.970639999985"/>
    <n v="0.62953509295022747"/>
  </r>
  <r>
    <s v="ORD-2024-819979"/>
    <d v="2024-05-28T00:00:00"/>
    <d v="2024-06-18T00:00:00"/>
    <n v="21"/>
    <s v="May-2024"/>
    <s v="Q2-2024"/>
    <x v="3"/>
    <s v="Germany"/>
    <s v="Frankfurt"/>
    <s v="Small Business"/>
    <s v="Online"/>
    <x v="6"/>
    <s v="Phones"/>
    <s v="PHN-9399"/>
    <n v="986.85"/>
    <s v="High"/>
    <n v="2422.1"/>
    <x v="171"/>
    <n v="10"/>
    <n v="18944.864399999999"/>
    <n v="9868.5"/>
    <n v="9076.3643999999986"/>
    <n v="0.47909365875429538"/>
  </r>
  <r>
    <s v="ORD-2024-719055"/>
    <d v="2024-01-02T00:00:00"/>
    <d v="2024-01-01T00:00:00"/>
    <n v="1"/>
    <s v="Jan-2024"/>
    <s v="Q1-2024"/>
    <x v="2"/>
    <s v="USA"/>
    <s v="Chicago"/>
    <s v="Education"/>
    <s v="Marketplace"/>
    <x v="5"/>
    <s v="Networking"/>
    <s v="NET-4554"/>
    <n v="404.77"/>
    <s v="High"/>
    <n v="433.88"/>
    <x v="66"/>
    <n v="22"/>
    <n v="2540.7624000000005"/>
    <n v="8904.9399999999987"/>
    <n v="-6364.1775999999982"/>
    <n v="-2.504829888855407"/>
  </r>
  <r>
    <s v="ORD-2023-888245"/>
    <d v="2023-02-28T00:00:00"/>
    <d v="2023-02-27T00:00:00"/>
    <n v="1"/>
    <s v="Feb-2023"/>
    <s v="Q1-2023"/>
    <x v="3"/>
    <s v="France"/>
    <s v="Marseille"/>
    <s v="Corporate"/>
    <s v="Retail"/>
    <x v="11"/>
    <s v="Networking"/>
    <s v="NET-5195"/>
    <n v="1299.81"/>
    <s v="High"/>
    <n v="3149.13"/>
    <x v="172"/>
    <n v="14"/>
    <n v="24902.262840000003"/>
    <n v="18197.34"/>
    <n v="6704.9228400000029"/>
    <n v="0.26924954101881943"/>
  </r>
  <r>
    <s v="ORD-2024-206121"/>
    <d v="2024-02-18T00:00:00"/>
    <d v="2024-03-11T00:00:00"/>
    <n v="22"/>
    <s v="Feb-2024"/>
    <s v="Q1-2024"/>
    <x v="2"/>
    <s v="Brazil"/>
    <s v="São Paulo"/>
    <s v="Consumer"/>
    <s v="Online"/>
    <x v="8"/>
    <s v="Components"/>
    <s v="CMP-9801"/>
    <n v="80.48"/>
    <s v="Medium"/>
    <n v="65.650000000000006"/>
    <x v="166"/>
    <n v="13"/>
    <n v="24630.101600000002"/>
    <n v="1046.24"/>
    <n v="23583.8616"/>
    <n v="0.95752189670220433"/>
  </r>
  <r>
    <s v="ORD-2024-500890"/>
    <d v="2024-09-09T00:00:00"/>
    <d v="2024-10-08T00:00:00"/>
    <n v="29"/>
    <s v="Sept-2024"/>
    <s v="Q3-2024"/>
    <x v="2"/>
    <s v="Brazil"/>
    <s v="São Paulo"/>
    <s v="Education"/>
    <s v="Direct"/>
    <x v="1"/>
    <s v="Components"/>
    <s v="CMP-3093"/>
    <n v="1010.33"/>
    <s v="High"/>
    <n v="2492.14"/>
    <x v="130"/>
    <n v="11"/>
    <n v="4829.1857899999995"/>
    <n v="11113.630000000001"/>
    <n v="-6284.4442100000015"/>
    <n v="-1.3013465381707756"/>
  </r>
  <r>
    <s v="ORD-2023-144816"/>
    <d v="2023-05-07T00:00:00"/>
    <d v="2023-05-29T00:00:00"/>
    <n v="22"/>
    <s v="May-2023"/>
    <s v="Q2-2023"/>
    <x v="0"/>
    <s v="South Africa"/>
    <s v="Durban"/>
    <s v="Education"/>
    <s v="Distributor"/>
    <x v="11"/>
    <s v="Accessories"/>
    <s v="ACC-2364"/>
    <n v="653.86"/>
    <s v="High"/>
    <n v="931.84"/>
    <x v="173"/>
    <n v="12"/>
    <n v="11533.077720000001"/>
    <n v="7846.32"/>
    <n v="3686.7577200000014"/>
    <n v="0.3196681587956906"/>
  </r>
  <r>
    <s v="ORD-2024-153053"/>
    <d v="2024-01-12T00:00:00"/>
    <d v="2024-01-29T00:00:00"/>
    <n v="17"/>
    <s v="Jan-2024"/>
    <s v="Q1-2024"/>
    <x v="1"/>
    <s v="India"/>
    <s v="Hyderabad"/>
    <s v="Small Business"/>
    <s v="Direct"/>
    <x v="5"/>
    <s v="Components"/>
    <s v="CMP-5138"/>
    <n v="310.02"/>
    <s v="High"/>
    <n v="619.51"/>
    <x v="174"/>
    <n v="4"/>
    <n v="5572.5710399999998"/>
    <n v="1240.08"/>
    <n v="4332.4910399999999"/>
    <n v="0.77746717070115634"/>
  </r>
  <r>
    <s v="ORD-2023-536542"/>
    <d v="2023-06-10T00:00:00"/>
    <d v="2023-06-18T00:00:00"/>
    <n v="8"/>
    <s v="Jun-2023"/>
    <s v="Q2-2023"/>
    <x v="0"/>
    <s v="Kenya"/>
    <s v="Nakuru"/>
    <s v="Enterprise"/>
    <s v="Direct"/>
    <x v="10"/>
    <s v="Phones"/>
    <s v="PHN-2337"/>
    <n v="894.23"/>
    <s v="High"/>
    <n v="1421.55"/>
    <x v="14"/>
    <n v="3"/>
    <n v="5667.829200000001"/>
    <n v="2682.69"/>
    <n v="2985.139200000001"/>
    <n v="0.52668122038681064"/>
  </r>
  <r>
    <s v="ORD-2025-779530"/>
    <d v="2025-05-19T00:00:00"/>
    <d v="2025-05-17T00:00:00"/>
    <n v="2"/>
    <s v="May-2025"/>
    <s v="Q2-2025"/>
    <x v="2"/>
    <s v="Brazil"/>
    <s v="São Paulo"/>
    <s v="Small Business"/>
    <s v="Distributor"/>
    <x v="4"/>
    <s v="Monitors"/>
    <s v="MON-2993"/>
    <n v="383.77"/>
    <s v="High"/>
    <n v="952.56"/>
    <x v="175"/>
    <n v="10"/>
    <n v="841.56720000000018"/>
    <n v="3837.7"/>
    <n v="-2996.1327999999994"/>
    <n v="-3.5601824785946965"/>
  </r>
  <r>
    <s v="ORD-2023-163610"/>
    <d v="2023-10-22T00:00:00"/>
    <d v="2023-11-16T00:00:00"/>
    <n v="25"/>
    <s v="Oct-2023"/>
    <s v="Q4-2023"/>
    <x v="2"/>
    <s v="Canada"/>
    <s v="Toronto"/>
    <s v="Small Business"/>
    <s v="Marketplace"/>
    <x v="2"/>
    <s v="Laptops"/>
    <s v="LAP-9024"/>
    <n v="1373.31"/>
    <s v="High"/>
    <n v="3154.14"/>
    <x v="47"/>
    <n v="11"/>
    <n v="11668.448000000002"/>
    <n v="15106.41"/>
    <n v="-3437.9619999999977"/>
    <n v="-0.29463747021026249"/>
  </r>
  <r>
    <s v="ORD-2025-653781"/>
    <d v="2025-01-11T00:00:00"/>
    <d v="2025-01-23T00:00:00"/>
    <n v="12"/>
    <s v="Jan-2025"/>
    <s v="Q1-2025"/>
    <x v="2"/>
    <s v="USA"/>
    <s v="Austin"/>
    <s v="Consumer"/>
    <s v="Distributor"/>
    <x v="10"/>
    <s v="Phones"/>
    <s v="PHN-6307"/>
    <n v="100.69"/>
    <s v="High"/>
    <n v="226.14"/>
    <x v="176"/>
    <n v="12"/>
    <n v="27369.282600000002"/>
    <n v="1208.28"/>
    <n v="26161.002600000003"/>
    <n v="0.95585269743241286"/>
  </r>
  <r>
    <s v="ORD-2025-737787"/>
    <d v="2025-09-14T00:00:00"/>
    <d v="2025-09-26T00:00:00"/>
    <n v="12"/>
    <s v="Sept-2025"/>
    <s v="Q3-2025"/>
    <x v="3"/>
    <s v="United Kingdom"/>
    <s v="London"/>
    <s v="Small Business"/>
    <s v="Direct"/>
    <x v="13"/>
    <s v="Networking"/>
    <s v="NET-9003"/>
    <n v="425.15"/>
    <s v="High"/>
    <n v="885.92"/>
    <x v="177"/>
    <n v="13"/>
    <n v="21779.835220000001"/>
    <n v="5526.95"/>
    <n v="16252.88522"/>
    <n v="0.74623545384196899"/>
  </r>
  <r>
    <s v="ORD-2023-944052"/>
    <d v="2023-08-30T00:00:00"/>
    <d v="2023-09-03T00:00:00"/>
    <n v="4"/>
    <s v="Aug-2023"/>
    <s v="Q3-2023"/>
    <x v="1"/>
    <s v="India"/>
    <s v="Delhi"/>
    <s v="Small Business"/>
    <s v="Marketplace"/>
    <x v="4"/>
    <s v="Accessories"/>
    <s v="ACC-3068"/>
    <n v="1082.25"/>
    <s v="High"/>
    <n v="2433.34"/>
    <x v="178"/>
    <n v="4"/>
    <n v="2377.9312"/>
    <n v="4329"/>
    <n v="-1951.0688"/>
    <n v="-0.82049001249489473"/>
  </r>
  <r>
    <s v="ORD-2023-181257"/>
    <d v="2023-11-15T00:00:00"/>
    <d v="2023-12-06T00:00:00"/>
    <n v="21"/>
    <s v="Nov-2023"/>
    <s v="Q4-2023"/>
    <x v="3"/>
    <s v="United Kingdom"/>
    <s v="Manchester"/>
    <s v="Education"/>
    <s v="Direct"/>
    <x v="10"/>
    <s v="Accessories"/>
    <s v="ACC-1060"/>
    <n v="1184.99"/>
    <s v="High"/>
    <n v="1154.3399999999999"/>
    <x v="179"/>
    <n v="5"/>
    <n v="6720.9426000000003"/>
    <n v="5924.95"/>
    <n v="795.99260000000049"/>
    <n v="0.11843466718492737"/>
  </r>
  <r>
    <s v="ORD-2025-323492"/>
    <d v="2025-04-27T00:00:00"/>
    <d v="2025-05-27T00:00:00"/>
    <n v="0"/>
    <s v="Apr-2025"/>
    <s v="Q2-2025"/>
    <x v="1"/>
    <s v="India"/>
    <s v="Not Provided"/>
    <s v="Enterprise"/>
    <s v="Marketplace"/>
    <x v="10"/>
    <s v="Phones"/>
    <s v="PHN-3854"/>
    <n v="481.32"/>
    <s v="High"/>
    <n v="1135.99"/>
    <x v="180"/>
    <n v="5"/>
    <n v="7038.4882499999994"/>
    <n v="2406.6"/>
    <n v="4631.88825"/>
    <n v="0.65807998613906904"/>
  </r>
  <r>
    <s v="ORD-2024-332076"/>
    <d v="2024-04-09T00:00:00"/>
    <d v="2024-04-18T00:00:00"/>
    <n v="9"/>
    <s v="Apr-2024"/>
    <s v="Q2-2024"/>
    <x v="3"/>
    <s v="France"/>
    <s v="Lyon"/>
    <s v="Consumer"/>
    <s v="Online"/>
    <x v="6"/>
    <s v="Printers"/>
    <s v="PRN-1086"/>
    <n v="1288.8499999999999"/>
    <s v="High"/>
    <n v="2751.84"/>
    <x v="181"/>
    <n v="7"/>
    <n v="2362.5509599999996"/>
    <n v="9021.9499999999989"/>
    <n v="-6659.3990399999993"/>
    <n v="-2.8187324433416667"/>
  </r>
  <r>
    <s v="ORD-2024-571797"/>
    <d v="2024-07-11T00:00:00"/>
    <d v="2024-07-31T00:00:00"/>
    <n v="20"/>
    <s v="Jul-2024"/>
    <s v="Q3-2024"/>
    <x v="1"/>
    <s v="China"/>
    <s v="Shenzhen"/>
    <s v="Consumer"/>
    <s v="Online"/>
    <x v="3"/>
    <s v="Phones"/>
    <s v="PHN-7815"/>
    <n v="647.26"/>
    <s v="High"/>
    <n v="1374.72"/>
    <x v="72"/>
    <n v="22"/>
    <n v="36586.946879999996"/>
    <n v="14239.72"/>
    <n v="22347.226879999995"/>
    <n v="0.6107978059305067"/>
  </r>
  <r>
    <s v="ORD-2024-129345"/>
    <d v="2024-02-18T00:00:00"/>
    <d v="2024-03-03T00:00:00"/>
    <n v="14"/>
    <s v="Feb-2024"/>
    <s v="Q1-2024"/>
    <x v="2"/>
    <s v="Brazil"/>
    <s v="Not Provided"/>
    <s v="Enterprise"/>
    <s v="Distributor"/>
    <x v="8"/>
    <s v="Printers"/>
    <s v="PRN-5384"/>
    <n v="624.23"/>
    <s v="High"/>
    <n v="1318.37"/>
    <x v="182"/>
    <n v="37"/>
    <n v="32691.708900000005"/>
    <n v="23096.510000000002"/>
    <n v="9595.1989000000031"/>
    <n v="0.29350557749521627"/>
  </r>
  <r>
    <s v="ORD-2023-660608"/>
    <d v="2023-07-25T00:00:00"/>
    <d v="2023-08-10T00:00:00"/>
    <n v="16"/>
    <s v="Jul-2023"/>
    <s v="Q3-2023"/>
    <x v="0"/>
    <s v="Nigeria"/>
    <s v="Port Harcourt"/>
    <s v="Corporate"/>
    <s v="Distributor"/>
    <x v="2"/>
    <s v="Accessories"/>
    <s v="ACC-8178"/>
    <n v="506.83"/>
    <s v="High"/>
    <n v="441.74"/>
    <x v="183"/>
    <n v="9"/>
    <n v="5274.4607999999998"/>
    <n v="4561.47"/>
    <n v="712.99079999999958"/>
    <n v="0.1351779503224291"/>
  </r>
  <r>
    <s v="ORD-2023-825084"/>
    <d v="2023-07-14T00:00:00"/>
    <d v="2023-07-21T00:00:00"/>
    <n v="7"/>
    <s v="Jul-2023"/>
    <s v="Q3-2023"/>
    <x v="0"/>
    <s v="South Africa"/>
    <s v="Durban"/>
    <s v="Enterprise"/>
    <s v="Marketplace"/>
    <x v="15"/>
    <s v="Monitors"/>
    <s v="MON-1018"/>
    <n v="620.74"/>
    <s v="High"/>
    <n v="1330.07"/>
    <x v="184"/>
    <n v="28"/>
    <n v="23750.665119999998"/>
    <n v="17380.72"/>
    <n v="6369.9451199999967"/>
    <n v="0.26820070460409901"/>
  </r>
  <r>
    <s v="ORD-2023-261081"/>
    <d v="2023-07-24T00:00:00"/>
    <d v="2023-08-19T00:00:00"/>
    <n v="26"/>
    <s v="Jul-2023"/>
    <s v="Q3-2023"/>
    <x v="0"/>
    <s v="Kenya"/>
    <s v="Nairobi"/>
    <s v="Enterprise"/>
    <s v="Distributor"/>
    <x v="12"/>
    <s v="Accessories"/>
    <s v="ACC-1238"/>
    <n v="661.45"/>
    <s v="High"/>
    <n v="1634.86"/>
    <x v="185"/>
    <n v="24"/>
    <n v="31570.873200000005"/>
    <n v="15874.800000000001"/>
    <n v="15696.073200000004"/>
    <n v="0.49716943527555019"/>
  </r>
  <r>
    <s v="ORD-2023-766015"/>
    <d v="2023-04-13T00:00:00"/>
    <d v="2023-04-11T00:00:00"/>
    <n v="2"/>
    <s v="Apr-2023"/>
    <s v="Q2-2023"/>
    <x v="2"/>
    <s v="USA"/>
    <s v="San Francisco"/>
    <s v="Education"/>
    <s v="Marketplace"/>
    <x v="3"/>
    <s v="Networking"/>
    <s v="NET-1816"/>
    <n v="32.1"/>
    <s v="Medium"/>
    <n v="70.599999999999994"/>
    <x v="186"/>
    <n v="22"/>
    <n v="36385.454160000001"/>
    <n v="706.2"/>
    <n v="35679.254160000004"/>
    <n v="0.98059114510720191"/>
  </r>
  <r>
    <s v="ORD-2024-333192"/>
    <d v="2024-10-29T00:00:00"/>
    <d v="2024-11-04T00:00:00"/>
    <n v="6"/>
    <s v="Oct-2024"/>
    <s v="Q4-2024"/>
    <x v="0"/>
    <s v="Kenya"/>
    <s v="Nairobi"/>
    <s v="Corporate"/>
    <s v="Distributor"/>
    <x v="12"/>
    <s v="Printers"/>
    <s v="PRN-4893"/>
    <n v="805.81"/>
    <s v="High"/>
    <n v="1823.04"/>
    <x v="5"/>
    <n v="11"/>
    <n v="33921.800000000003"/>
    <n v="8863.91"/>
    <n v="25057.890000000003"/>
    <n v="0.73869576496530254"/>
  </r>
  <r>
    <s v="ORD-2024-647473"/>
    <d v="2024-02-17T00:00:00"/>
    <d v="2024-03-04T00:00:00"/>
    <n v="16"/>
    <s v="Feb-2024"/>
    <s v="Q1-2024"/>
    <x v="1"/>
    <s v="India"/>
    <s v="Delhi"/>
    <s v="Small Business"/>
    <s v="Marketplace"/>
    <x v="9"/>
    <s v="Phones"/>
    <s v="PHN-1717"/>
    <n v="1231.8"/>
    <s v="High"/>
    <n v="2015.99"/>
    <x v="187"/>
    <n v="6"/>
    <n v="1430.8961399999998"/>
    <n v="7390.7999999999993"/>
    <n v="-5959.9038599999994"/>
    <n v="-4.1651547539991265"/>
  </r>
  <r>
    <s v="ORD-2024-892908"/>
    <d v="2024-07-13T00:00:00"/>
    <d v="2024-07-12T00:00:00"/>
    <n v="1"/>
    <s v="Jul-2024"/>
    <s v="Q3-2024"/>
    <x v="1"/>
    <s v="Japan"/>
    <s v="Nagoya"/>
    <s v="Small Business"/>
    <s v="Marketplace"/>
    <x v="9"/>
    <s v="Networking"/>
    <s v="NET-9575"/>
    <n v="105.13"/>
    <s v="High"/>
    <n v="244.13"/>
    <x v="88"/>
    <n v="14"/>
    <n v="9511.1577400000006"/>
    <n v="1471.82"/>
    <n v="8039.3377400000008"/>
    <n v="0.84525332874986048"/>
  </r>
  <r>
    <s v="ORD-2023-573146"/>
    <d v="2023-12-01T00:00:00"/>
    <d v="2023-12-18T00:00:00"/>
    <n v="17"/>
    <s v="Dec-2023"/>
    <s v="Q4-2023"/>
    <x v="1"/>
    <s v="Japan"/>
    <s v="Nagoya"/>
    <s v="Small Business"/>
    <s v="Direct"/>
    <x v="13"/>
    <s v="Laptops"/>
    <s v="LAP-3604"/>
    <n v="1495.79"/>
    <s v="High"/>
    <n v="2783.12"/>
    <x v="113"/>
    <n v="5"/>
    <n v="7516.3549999999996"/>
    <n v="7478.95"/>
    <n v="37.404999999999745"/>
    <n v="4.9764812864745937E-3"/>
  </r>
  <r>
    <s v="ORD-2024-901115"/>
    <d v="2024-07-25T00:00:00"/>
    <d v="2024-08-02T00:00:00"/>
    <n v="8"/>
    <s v="Jul-2024"/>
    <s v="Q3-2024"/>
    <x v="2"/>
    <s v="Canada"/>
    <s v="Montreal"/>
    <s v="Consumer"/>
    <s v="Direct"/>
    <x v="1"/>
    <s v="Accessories"/>
    <s v="ACC-6626"/>
    <n v="986.81"/>
    <s v="High"/>
    <n v="2050.31"/>
    <x v="172"/>
    <n v="43"/>
    <n v="60620.497860000003"/>
    <n v="42432.829999999994"/>
    <n v="18187.667860000009"/>
    <n v="0.30002504931588508"/>
  </r>
  <r>
    <s v="ORD-2023-898009"/>
    <d v="2023-05-04T00:00:00"/>
    <d v="2023-05-16T00:00:00"/>
    <n v="12"/>
    <s v="May-2023"/>
    <s v="Q2-2023"/>
    <x v="0"/>
    <s v="Nigeria"/>
    <s v="Abuja"/>
    <s v="Small Business"/>
    <s v="Marketplace"/>
    <x v="1"/>
    <s v="Phones"/>
    <s v="PHN-1670"/>
    <n v="77.739999999999995"/>
    <s v="Medium"/>
    <n v="147.12"/>
    <x v="5"/>
    <n v="15"/>
    <n v="3760.95"/>
    <n v="1166.0999999999999"/>
    <n v="2594.85"/>
    <n v="0.68994535955011371"/>
  </r>
  <r>
    <s v="ORD-2023-208944"/>
    <d v="2023-12-21T00:00:00"/>
    <d v="2024-01-06T00:00:00"/>
    <n v="16"/>
    <s v="Dec-2023"/>
    <s v="Q4-2023"/>
    <x v="0"/>
    <s v="Nigeria"/>
    <s v="Not Provided"/>
    <s v="Corporate"/>
    <s v="Marketplace"/>
    <x v="11"/>
    <s v="Components"/>
    <s v="CMP-4792"/>
    <n v="932.61"/>
    <s v="High"/>
    <n v="1982.98"/>
    <x v="41"/>
    <n v="16"/>
    <n v="47563.605759999999"/>
    <n v="14921.76"/>
    <n v="32641.845759999997"/>
    <n v="0.68627777979463256"/>
  </r>
  <r>
    <s v="ORD-2025-480172"/>
    <d v="2025-06-17T00:00:00"/>
    <d v="2025-07-05T00:00:00"/>
    <n v="18"/>
    <s v="Jun-2025"/>
    <s v="Q2-2025"/>
    <x v="1"/>
    <s v="India"/>
    <s v="Delhi"/>
    <s v="Consumer"/>
    <s v="Marketplace"/>
    <x v="4"/>
    <s v="Laptops"/>
    <s v="LAP-1990"/>
    <n v="982.93"/>
    <s v="High"/>
    <n v="2299.3000000000002"/>
    <x v="139"/>
    <n v="6"/>
    <n v="6418.5448799999995"/>
    <n v="5897.58"/>
    <n v="520.96487999999954"/>
    <n v="8.1165574088811171E-2"/>
  </r>
  <r>
    <s v="ORD-2023-735274"/>
    <d v="2023-02-23T00:00:00"/>
    <d v="2023-03-08T00:00:00"/>
    <n v="13"/>
    <s v="Feb-2023"/>
    <s v="Q1-2023"/>
    <x v="3"/>
    <s v="United Kingdom"/>
    <s v="Manchester"/>
    <s v="Small Business"/>
    <s v="Direct"/>
    <x v="0"/>
    <s v="Printers"/>
    <s v="PRN-7410"/>
    <n v="307.37"/>
    <s v="High"/>
    <n v="462.61"/>
    <x v="70"/>
    <n v="11"/>
    <n v="19625.658360000001"/>
    <n v="3381.07"/>
    <n v="16244.588360000002"/>
    <n v="0.82772195775652957"/>
  </r>
  <r>
    <s v="ORD-2023-212701"/>
    <d v="2023-12-02T00:00:00"/>
    <d v="2023-12-16T00:00:00"/>
    <n v="14"/>
    <s v="Dec-2023"/>
    <s v="Q4-2023"/>
    <x v="3"/>
    <s v="Germany"/>
    <s v="Frankfurt"/>
    <s v="Education"/>
    <s v="Direct"/>
    <x v="13"/>
    <s v="Monitors"/>
    <s v="MON-4278"/>
    <n v="879.08"/>
    <s v="High"/>
    <n v="1093.3900000000001"/>
    <x v="139"/>
    <n v="17"/>
    <n v="24437.027399999999"/>
    <n v="14944.36"/>
    <n v="9492.6673999999985"/>
    <n v="0.38845426019369272"/>
  </r>
  <r>
    <s v="ORD-2023-479747"/>
    <d v="2023-07-14T00:00:00"/>
    <d v="2023-07-14T00:00:00"/>
    <n v="0"/>
    <s v="Jul-2023"/>
    <s v="Q3-2023"/>
    <x v="0"/>
    <s v="Nigeria"/>
    <s v="Lagos"/>
    <s v="Education"/>
    <s v="Retail"/>
    <x v="2"/>
    <s v="Accessories"/>
    <s v="ACC-5334"/>
    <n v="956.38"/>
    <s v="High"/>
    <n v="1454.22"/>
    <x v="188"/>
    <n v="19"/>
    <n v="18891.856940000001"/>
    <n v="18171.22"/>
    <n v="720.63694000000032"/>
    <n v="3.8145373548440616E-2"/>
  </r>
  <r>
    <s v="ORD-2024-915495"/>
    <d v="2024-08-08T00:00:00"/>
    <d v="2024-08-20T00:00:00"/>
    <n v="12"/>
    <s v="Aug-2024"/>
    <s v="Q3-2024"/>
    <x v="1"/>
    <s v="Japan"/>
    <s v="Osaka"/>
    <s v="Small Business"/>
    <s v="Retail"/>
    <x v="10"/>
    <s v="Networking"/>
    <s v="NET-8957"/>
    <n v="1233.3599999999999"/>
    <s v="High"/>
    <n v="2120.4"/>
    <x v="94"/>
    <n v="20"/>
    <n v="31286.9964"/>
    <n v="24667.199999999997"/>
    <n v="6619.7964000000029"/>
    <n v="0.21158299490838958"/>
  </r>
  <r>
    <s v="ORD-2024-225829"/>
    <d v="2024-11-07T00:00:00"/>
    <d v="2024-11-26T00:00:00"/>
    <n v="19"/>
    <s v="Nov-2024"/>
    <s v="Q4-2024"/>
    <x v="2"/>
    <s v="Brazil"/>
    <s v="Rio de Janeiro"/>
    <s v="Non-Profit"/>
    <s v="Distributor"/>
    <x v="1"/>
    <s v="Printers"/>
    <s v="PRN-9960"/>
    <n v="55.35"/>
    <s v="Medium"/>
    <n v="128.68"/>
    <x v="137"/>
    <n v="10"/>
    <n v="4722.4031999999997"/>
    <n v="553.5"/>
    <n v="4168.9031999999997"/>
    <n v="0.88279272722837387"/>
  </r>
  <r>
    <s v="ORD-2024-921935"/>
    <d v="2024-01-01T00:00:00"/>
    <d v="2024-01-27T00:00:00"/>
    <n v="26"/>
    <s v="Jan-2024"/>
    <s v="Q1-2024"/>
    <x v="3"/>
    <s v="United Kingdom"/>
    <s v="Manchester"/>
    <s v="Education"/>
    <s v="Distributor"/>
    <x v="14"/>
    <s v="Accessories"/>
    <s v="ACC-3103"/>
    <n v="657.45"/>
    <s v="High"/>
    <n v="1325.96"/>
    <x v="150"/>
    <n v="21"/>
    <n v="19532.683799999999"/>
    <n v="13806.45"/>
    <n v="5726.2337999999982"/>
    <n v="0.29316164939914702"/>
  </r>
  <r>
    <s v="ORD-2025-949776"/>
    <d v="2025-08-14T00:00:00"/>
    <d v="2025-09-11T00:00:00"/>
    <n v="28"/>
    <s v="Aug-2025"/>
    <s v="Q3-2025"/>
    <x v="2"/>
    <s v="Brazil"/>
    <s v="São Paulo"/>
    <s v="Non-Profit"/>
    <s v="Direct"/>
    <x v="9"/>
    <s v="Printers"/>
    <s v="PRN-9490"/>
    <n v="1203.02"/>
    <s v="High"/>
    <n v="2439.33"/>
    <x v="5"/>
    <n v="18"/>
    <n v="26190"/>
    <n v="21654.36"/>
    <n v="4535.6399999999994"/>
    <n v="0.17318213058419241"/>
  </r>
  <r>
    <s v="ORD-2024-510591"/>
    <d v="2024-04-03T00:00:00"/>
    <d v="2024-04-21T00:00:00"/>
    <n v="18"/>
    <s v="Apr-2024"/>
    <s v="Q2-2024"/>
    <x v="2"/>
    <s v="Brazil"/>
    <s v="Brasília"/>
    <s v="Small Business"/>
    <s v="Distributor"/>
    <x v="5"/>
    <s v="Networking"/>
    <s v="NET-3850"/>
    <n v="1176.69"/>
    <s v="High"/>
    <n v="2201.54"/>
    <x v="189"/>
    <n v="27"/>
    <n v="28646.702999999998"/>
    <n v="31770.63"/>
    <n v="-3123.9270000000033"/>
    <n v="-0.1090501409533936"/>
  </r>
  <r>
    <s v="ORD-2024-961756"/>
    <d v="2024-11-25T00:00:00"/>
    <d v="2024-12-07T00:00:00"/>
    <n v="12"/>
    <s v="Nov-2024"/>
    <s v="Q4-2024"/>
    <x v="1"/>
    <s v="China"/>
    <s v="Shanghai"/>
    <s v="Corporate"/>
    <s v="Distributor"/>
    <x v="8"/>
    <s v="Accessories"/>
    <s v="ACC-7047"/>
    <n v="769.9"/>
    <s v="High"/>
    <n v="814.36"/>
    <x v="5"/>
    <n v="5"/>
    <n v="4499.1500000000005"/>
    <n v="3849.5"/>
    <n v="649.65000000000055"/>
    <n v="0.14439394107775924"/>
  </r>
  <r>
    <s v="ORD-2024-892173"/>
    <d v="2024-01-18T00:00:00"/>
    <d v="2024-02-03T00:00:00"/>
    <n v="16"/>
    <s v="Jan-2024"/>
    <s v="Q1-2024"/>
    <x v="0"/>
    <s v="South Africa"/>
    <s v="Cape Town"/>
    <s v="Non-Profit"/>
    <s v="Distributor"/>
    <x v="4"/>
    <s v="Printers"/>
    <s v="PRN-6660"/>
    <n v="666.23"/>
    <s v="High"/>
    <n v="1382.91"/>
    <x v="166"/>
    <n v="13"/>
    <n v="9412.9557600000007"/>
    <n v="8660.99"/>
    <n v="751.96576000000096"/>
    <n v="7.9886252434697616E-2"/>
  </r>
  <r>
    <s v="ORD-2024-704056"/>
    <d v="2024-06-23T00:00:00"/>
    <d v="2024-06-25T00:00:00"/>
    <n v="2"/>
    <s v="Jun-2024"/>
    <s v="Q2-2024"/>
    <x v="3"/>
    <s v="United Kingdom"/>
    <s v="Birmingham"/>
    <s v="Small Business"/>
    <s v="Marketplace"/>
    <x v="4"/>
    <s v="Accessories"/>
    <s v="ACC-7838"/>
    <n v="951.44"/>
    <s v="High"/>
    <n v="1646.43"/>
    <x v="46"/>
    <n v="24"/>
    <n v="12696.811199999998"/>
    <n v="22834.560000000001"/>
    <n v="-10137.748800000003"/>
    <n v="-0.79844841671741995"/>
  </r>
  <r>
    <s v="ORD-2025-591006"/>
    <d v="2025-06-25T00:00:00"/>
    <d v="2025-07-10T00:00:00"/>
    <n v="15"/>
    <s v="Jun-2025"/>
    <s v="Q2-2025"/>
    <x v="3"/>
    <s v="United Kingdom"/>
    <s v="Birmingham"/>
    <s v="Non-Profit"/>
    <s v="Marketplace"/>
    <x v="14"/>
    <s v="Phones"/>
    <s v="PHN-5383"/>
    <n v="546.83000000000004"/>
    <s v="High"/>
    <n v="400.84"/>
    <x v="117"/>
    <n v="13"/>
    <n v="19391.5501"/>
    <n v="7108.7900000000009"/>
    <n v="12282.7601"/>
    <n v="0.63340785221703344"/>
  </r>
  <r>
    <s v="ORD-2023-159821"/>
    <d v="2023-07-01T00:00:00"/>
    <d v="2023-07-08T00:00:00"/>
    <n v="7"/>
    <s v="Jul-2023"/>
    <s v="Q3-2023"/>
    <x v="0"/>
    <s v="Nigeria"/>
    <s v="Port Harcourt"/>
    <s v="Corporate"/>
    <s v="Retail"/>
    <x v="8"/>
    <s v="Laptops"/>
    <s v="LAP-3904"/>
    <n v="834.26"/>
    <s v="High"/>
    <n v="1780.56"/>
    <x v="170"/>
    <n v="47"/>
    <n v="45086.595219999996"/>
    <n v="39210.22"/>
    <n v="5876.3752199999944"/>
    <n v="0.13033530678744376"/>
  </r>
  <r>
    <s v="ORD-2024-343877"/>
    <d v="2024-03-09T00:00:00"/>
    <d v="2024-03-26T00:00:00"/>
    <n v="17"/>
    <s v="Mar-2024"/>
    <s v="Q1-2024"/>
    <x v="1"/>
    <s v="China"/>
    <s v="Shenzhen"/>
    <s v="Enterprise"/>
    <s v="Online"/>
    <x v="11"/>
    <s v="Monitors"/>
    <s v="MON-5749"/>
    <n v="1029.67"/>
    <s v="High"/>
    <n v="1118.43"/>
    <x v="190"/>
    <n v="9"/>
    <n v="278.85311999999999"/>
    <n v="9267.0300000000007"/>
    <n v="-8988.1768800000009"/>
    <n v="-32.232656676030743"/>
  </r>
  <r>
    <s v="ORD-2023-386663"/>
    <d v="2023-06-05T00:00:00"/>
    <d v="2023-06-28T00:00:00"/>
    <n v="23"/>
    <s v="Jun-2023"/>
    <s v="Q2-2023"/>
    <x v="3"/>
    <s v="United Kingdom"/>
    <s v="Birmingham"/>
    <s v="Corporate"/>
    <s v="Direct"/>
    <x v="11"/>
    <s v="Printers"/>
    <s v="PRN-3690"/>
    <n v="605.82000000000005"/>
    <s v="High"/>
    <n v="771.12"/>
    <x v="191"/>
    <n v="19"/>
    <n v="24421.848359999996"/>
    <n v="11510.580000000002"/>
    <n v="12911.268359999995"/>
    <n v="0.52867695227962652"/>
  </r>
  <r>
    <s v="ORD-2025-125517"/>
    <d v="2025-03-21T00:00:00"/>
    <d v="2025-04-09T00:00:00"/>
    <n v="19"/>
    <s v="Mar-2025"/>
    <s v="Q1-2025"/>
    <x v="1"/>
    <s v="Japan"/>
    <s v="Tokyo"/>
    <s v="Small Business"/>
    <s v="Distributor"/>
    <x v="6"/>
    <s v="Components"/>
    <s v="CMP-7055"/>
    <n v="1055.45"/>
    <s v="High"/>
    <n v="1210.04"/>
    <x v="99"/>
    <n v="18"/>
    <n v="10065.26988"/>
    <n v="18998.100000000002"/>
    <n v="-8932.8301200000024"/>
    <n v="-0.887490372985409"/>
  </r>
  <r>
    <s v="ORD-2024-819778"/>
    <d v="2024-06-02T00:00:00"/>
    <d v="2024-06-15T00:00:00"/>
    <n v="13"/>
    <s v="Jun-2024"/>
    <s v="Q2-2024"/>
    <x v="0"/>
    <s v="Kenya"/>
    <s v="Mombasa"/>
    <s v="Education"/>
    <s v="Online"/>
    <x v="7"/>
    <s v="Phones"/>
    <s v="PHN-6866"/>
    <n v="1295.18"/>
    <s v="High"/>
    <n v="3024.03"/>
    <x v="98"/>
    <n v="8"/>
    <n v="13814.925440000001"/>
    <n v="10361.44"/>
    <n v="3453.4854400000004"/>
    <n v="0.24998219896292109"/>
  </r>
  <r>
    <s v="ORD-2025-624006"/>
    <d v="2025-03-15T00:00:00"/>
    <d v="2025-03-29T00:00:00"/>
    <n v="14"/>
    <s v="Mar-2025"/>
    <s v="Q1-2025"/>
    <x v="1"/>
    <s v="India"/>
    <s v="Mumbai"/>
    <s v="Enterprise"/>
    <s v="Direct"/>
    <x v="0"/>
    <s v="Components"/>
    <s v="CMP-3259"/>
    <n v="935.83"/>
    <s v="High"/>
    <n v="2303.46"/>
    <x v="52"/>
    <n v="9"/>
    <n v="13539.891150000001"/>
    <n v="8422.4700000000012"/>
    <n v="5117.4211500000001"/>
    <n v="0.37795142466858012"/>
  </r>
  <r>
    <s v="ORD-2023-132101"/>
    <d v="2023-09-25T00:00:00"/>
    <d v="2023-10-09T00:00:00"/>
    <n v="14"/>
    <s v="Sept-2023"/>
    <s v="Q3-2023"/>
    <x v="2"/>
    <s v="USA"/>
    <s v="New York"/>
    <s v="Small Business"/>
    <s v="Marketplace"/>
    <x v="1"/>
    <s v="Laptops"/>
    <s v="LAP-6750"/>
    <n v="1279.56"/>
    <s v="High"/>
    <n v="3083.8"/>
    <x v="192"/>
    <n v="5"/>
    <n v="12985.618199999999"/>
    <n v="6397.7999999999993"/>
    <n v="6587.8181999999997"/>
    <n v="0.50731648648040495"/>
  </r>
  <r>
    <s v="ORD-2025-306903"/>
    <d v="2025-06-24T00:00:00"/>
    <d v="2025-07-23T00:00:00"/>
    <n v="29"/>
    <s v="Jun-2025"/>
    <s v="Q2-2025"/>
    <x v="2"/>
    <s v="Canada"/>
    <s v="Vancouver"/>
    <s v="Non-Profit"/>
    <s v="Marketplace"/>
    <x v="2"/>
    <s v="Printers"/>
    <s v="PRN-3775"/>
    <n v="255.4"/>
    <s v="High"/>
    <n v="322.70999999999998"/>
    <x v="158"/>
    <n v="16"/>
    <n v="11923.994400000001"/>
    <n v="4086.4"/>
    <n v="7837.5944000000018"/>
    <n v="0.65729604837788258"/>
  </r>
  <r>
    <s v="ORD-2023-813340"/>
    <d v="2023-12-26T00:00:00"/>
    <d v="2024-01-03T00:00:00"/>
    <n v="8"/>
    <s v="Dec-2023"/>
    <s v="Q4-2023"/>
    <x v="3"/>
    <s v="France"/>
    <s v="Lyon"/>
    <s v="Small Business"/>
    <s v="Retail"/>
    <x v="12"/>
    <s v="Laptops"/>
    <s v="LAP-2942"/>
    <n v="492.75"/>
    <s v="High"/>
    <n v="731.29"/>
    <x v="193"/>
    <n v="6"/>
    <n v="17698.503240000002"/>
    <n v="2956.5"/>
    <n v="14742.003240000002"/>
    <n v="0.83295197566096557"/>
  </r>
  <r>
    <s v="ORD-2023-855675"/>
    <d v="2023-02-05T00:00:00"/>
    <d v="2023-02-28T00:00:00"/>
    <n v="23"/>
    <s v="Feb-2023"/>
    <s v="Q1-2023"/>
    <x v="2"/>
    <s v="USA"/>
    <s v="Austin"/>
    <s v="Non-Profit"/>
    <s v="Distributor"/>
    <x v="4"/>
    <s v="Phones"/>
    <s v="PHN-2036"/>
    <n v="1214.49"/>
    <s v="High"/>
    <n v="1533.95"/>
    <x v="5"/>
    <n v="11"/>
    <n v="15891.92"/>
    <n v="13359.39"/>
    <n v="2532.5300000000007"/>
    <n v="0.15935959909186559"/>
  </r>
  <r>
    <s v="ORD-2023-545150"/>
    <d v="2023-04-06T00:00:00"/>
    <d v="2023-04-08T00:00:00"/>
    <n v="2"/>
    <s v="Apr-2023"/>
    <s v="Q2-2023"/>
    <x v="0"/>
    <s v="Nigeria"/>
    <s v="Abuja"/>
    <s v="Small Business"/>
    <s v="Marketplace"/>
    <x v="11"/>
    <s v="Monitors"/>
    <s v="MON-4373"/>
    <n v="720.35"/>
    <s v="High"/>
    <n v="1571.66"/>
    <x v="105"/>
    <n v="23"/>
    <n v="59066.056200000006"/>
    <n v="16568.05"/>
    <n v="42498.006200000003"/>
    <n v="0.71949964047201787"/>
  </r>
  <r>
    <s v="ORD-2025-269934"/>
    <d v="2025-04-04T00:00:00"/>
    <d v="2025-04-10T00:00:00"/>
    <n v="6"/>
    <s v="Apr-2025"/>
    <s v="Q2-2025"/>
    <x v="3"/>
    <s v="United Kingdom"/>
    <s v="Birmingham"/>
    <s v="Non-Profit"/>
    <s v="Direct"/>
    <x v="13"/>
    <s v="Printers"/>
    <s v="PRN-8657"/>
    <n v="290.14"/>
    <s v="High"/>
    <n v="250.73"/>
    <x v="76"/>
    <n v="17"/>
    <n v="26958.519419999997"/>
    <n v="4932.38"/>
    <n v="22026.139419999996"/>
    <n v="0.81703817174986382"/>
  </r>
  <r>
    <s v="ORD-2024-690270"/>
    <d v="2024-05-17T00:00:00"/>
    <d v="2024-05-27T00:00:00"/>
    <n v="10"/>
    <s v="May-2024"/>
    <s v="Q2-2024"/>
    <x v="2"/>
    <s v="USA"/>
    <s v="Austin"/>
    <s v="Non-Profit"/>
    <s v="Online"/>
    <x v="0"/>
    <s v="Phones"/>
    <s v="PHN-7974"/>
    <n v="1484.23"/>
    <s v="High"/>
    <n v="3472.81"/>
    <x v="194"/>
    <n v="12"/>
    <n v="11597.65056"/>
    <n v="17810.760000000002"/>
    <n v="-6213.109440000002"/>
    <n v="-0.53572138665988589"/>
  </r>
  <r>
    <s v="ORD-2024-868223"/>
    <d v="2024-03-03T00:00:00"/>
    <d v="2024-03-19T00:00:00"/>
    <n v="16"/>
    <s v="Mar-2024"/>
    <s v="Q1-2024"/>
    <x v="1"/>
    <s v="China"/>
    <s v="Beijing"/>
    <s v="Consumer"/>
    <s v="Distributor"/>
    <x v="3"/>
    <s v="Phones"/>
    <s v="PHN-4915"/>
    <n v="988.83"/>
    <s v="High"/>
    <n v="1206.04"/>
    <x v="96"/>
    <n v="34"/>
    <n v="35635.084480000005"/>
    <n v="33620.22"/>
    <n v="2014.8644800000038"/>
    <n v="5.6541594033005182E-2"/>
  </r>
  <r>
    <s v="ORD-2025-188059"/>
    <d v="2025-06-27T00:00:00"/>
    <d v="2025-07-11T00:00:00"/>
    <n v="14"/>
    <s v="Jun-2025"/>
    <s v="Q2-2025"/>
    <x v="1"/>
    <s v="China"/>
    <s v="Shanghai"/>
    <s v="Small Business"/>
    <s v="Marketplace"/>
    <x v="4"/>
    <s v="Networking"/>
    <s v="NET-3535"/>
    <n v="1227.7"/>
    <s v="High"/>
    <n v="2197.23"/>
    <x v="74"/>
    <n v="22"/>
    <n v="23483.321620000002"/>
    <n v="27009.4"/>
    <n v="-3526.078379999999"/>
    <n v="-0.15015245445503542"/>
  </r>
  <r>
    <s v="ORD-2023-281890"/>
    <d v="2023-03-13T00:00:00"/>
    <d v="2023-04-04T00:00:00"/>
    <n v="22"/>
    <s v="Mar-2023"/>
    <s v="Q1-2023"/>
    <x v="0"/>
    <s v="South Africa"/>
    <s v="Durban"/>
    <s v="Small Business"/>
    <s v="Retail"/>
    <x v="8"/>
    <s v="Components"/>
    <s v="CMP-2574"/>
    <n v="1113.7"/>
    <s v="High"/>
    <n v="1620.6"/>
    <x v="23"/>
    <n v="11"/>
    <n v="11379.122369999999"/>
    <n v="12250.7"/>
    <n v="-871.57763000000159"/>
    <n v="-7.6594450930401736E-2"/>
  </r>
  <r>
    <s v="ORD-2025-636162"/>
    <d v="2025-01-07T00:00:00"/>
    <d v="2025-01-20T00:00:00"/>
    <n v="13"/>
    <s v="Jan-2025"/>
    <s v="Q1-2025"/>
    <x v="0"/>
    <s v="South Africa"/>
    <s v="Cape Town"/>
    <s v="Corporate"/>
    <s v="Direct"/>
    <x v="11"/>
    <s v="Networking"/>
    <s v="NET-7901"/>
    <n v="432.13"/>
    <s v="High"/>
    <n v="1034.6600000000001"/>
    <x v="77"/>
    <n v="7"/>
    <n v="5599.5724400000008"/>
    <n v="3024.91"/>
    <n v="2574.662440000001"/>
    <n v="0.45979625544410324"/>
  </r>
  <r>
    <s v="ORD-2025-915869"/>
    <d v="2025-02-06T00:00:00"/>
    <d v="2025-02-15T00:00:00"/>
    <n v="9"/>
    <s v="Feb-2025"/>
    <s v="Q1-2025"/>
    <x v="2"/>
    <s v="Brazil"/>
    <s v="São Paulo"/>
    <s v="Non-Profit"/>
    <s v="Distributor"/>
    <x v="9"/>
    <s v="Networking"/>
    <s v="NET-5482"/>
    <n v="837.39"/>
    <s v="High"/>
    <n v="1905.42"/>
    <x v="195"/>
    <n v="18"/>
    <n v="35734.358879999992"/>
    <n v="15073.02"/>
    <n v="20661.338879999992"/>
    <n v="0.57819251632254265"/>
  </r>
  <r>
    <s v="ORD-2025-192876"/>
    <d v="2025-01-31T00:00:00"/>
    <d v="2025-02-17T00:00:00"/>
    <n v="17"/>
    <s v="Jan-2025"/>
    <s v="Q1-2025"/>
    <x v="3"/>
    <s v="United Kingdom"/>
    <s v="London"/>
    <s v="Enterprise"/>
    <s v="Retail"/>
    <x v="10"/>
    <s v="Components"/>
    <s v="CMP-5820"/>
    <n v="378.26"/>
    <s v="High"/>
    <n v="541.55999999999995"/>
    <x v="196"/>
    <n v="25"/>
    <n v="36365.557499999995"/>
    <n v="9456.5"/>
    <n v="26909.057499999995"/>
    <n v="0.73995998823887132"/>
  </r>
  <r>
    <s v="ORD-2025-822030"/>
    <d v="2025-08-07T00:00:00"/>
    <d v="2025-09-06T00:00:00"/>
    <n v="30"/>
    <s v="Aug-2025"/>
    <s v="Q3-2025"/>
    <x v="2"/>
    <s v="Canada"/>
    <s v="Montreal"/>
    <s v="Education"/>
    <s v="Direct"/>
    <x v="12"/>
    <s v="Networking"/>
    <s v="NET-1336"/>
    <n v="833.73"/>
    <s v="High"/>
    <n v="1116.5999999999999"/>
    <x v="166"/>
    <n v="14"/>
    <n v="16015.544160000001"/>
    <n v="11672.220000000001"/>
    <n v="4343.3241600000001"/>
    <n v="0.27119429203334666"/>
  </r>
  <r>
    <s v="ORD-2025-789245"/>
    <d v="2025-07-23T00:00:00"/>
    <d v="2025-08-17T00:00:00"/>
    <n v="25"/>
    <s v="Jul-2025"/>
    <s v="Q3-2025"/>
    <x v="3"/>
    <s v="United Kingdom"/>
    <s v="Birmingham"/>
    <s v="Education"/>
    <s v="Online"/>
    <x v="2"/>
    <s v="Printers"/>
    <s v="PRN-5876"/>
    <n v="1142.06"/>
    <s v="High"/>
    <n v="1455"/>
    <x v="117"/>
    <n v="28"/>
    <n v="13660.278240000001"/>
    <n v="31977.68"/>
    <n v="-18317.401760000001"/>
    <n v="-1.3409244993533893"/>
  </r>
  <r>
    <s v="ORD-2023-594955"/>
    <d v="2023-06-20T00:00:00"/>
    <d v="2023-07-08T00:00:00"/>
    <n v="18"/>
    <s v="Jun-2023"/>
    <s v="Q2-2023"/>
    <x v="2"/>
    <s v="USA"/>
    <s v="New York"/>
    <s v="Consumer"/>
    <s v="Marketplace"/>
    <x v="7"/>
    <s v="Networking"/>
    <s v="NET-3828"/>
    <n v="1145.53"/>
    <s v="High"/>
    <n v="1278.3"/>
    <x v="168"/>
    <n v="41"/>
    <n v="73589.497799999997"/>
    <n v="46966.729999999996"/>
    <n v="26622.767800000001"/>
    <n v="0.36177401118234026"/>
  </r>
  <r>
    <s v="ORD-2024-398783"/>
    <d v="2024-07-18T00:00:00"/>
    <d v="2024-08-07T00:00:00"/>
    <n v="20"/>
    <s v="Jul-2024"/>
    <s v="Q3-2024"/>
    <x v="3"/>
    <s v="France"/>
    <s v="Marseille"/>
    <s v="Corporate"/>
    <s v="Retail"/>
    <x v="9"/>
    <s v="Monitors"/>
    <s v="MON-7622"/>
    <n v="941.35"/>
    <s v="High"/>
    <n v="899.83"/>
    <x v="193"/>
    <n v="18"/>
    <n v="14867.190359999997"/>
    <n v="16944.3"/>
    <n v="-2077.1096400000024"/>
    <n v="-0.13971097360725546"/>
  </r>
  <r>
    <s v="ORD-2023-676553"/>
    <d v="2023-05-20T00:00:00"/>
    <d v="2023-06-19T00:00:00"/>
    <n v="30"/>
    <s v="May-2023"/>
    <s v="Q2-2023"/>
    <x v="1"/>
    <s v="India"/>
    <s v="Delhi"/>
    <s v="Non-Profit"/>
    <s v="Marketplace"/>
    <x v="10"/>
    <s v="Laptops"/>
    <s v="LAP-2806"/>
    <n v="1161.2"/>
    <s v="High"/>
    <n v="878.73"/>
    <x v="197"/>
    <n v="31"/>
    <n v="20697.168600000001"/>
    <n v="35997.200000000004"/>
    <n v="-15300.031400000003"/>
    <n v="-0.73923306591801174"/>
  </r>
  <r>
    <s v="ORD-2025-866565"/>
    <d v="2025-05-12T00:00:00"/>
    <d v="2025-05-26T00:00:00"/>
    <n v="14"/>
    <s v="May-2025"/>
    <s v="Q2-2025"/>
    <x v="1"/>
    <s v="India"/>
    <s v="Hyderabad"/>
    <s v="Corporate"/>
    <s v="Marketplace"/>
    <x v="3"/>
    <s v="Printers"/>
    <s v="PRN-8850"/>
    <n v="320.12"/>
    <s v="High"/>
    <n v="594.41999999999996"/>
    <x v="67"/>
    <n v="18"/>
    <n v="18697.996800000001"/>
    <n v="5762.16"/>
    <n v="12935.836800000001"/>
    <n v="0.69183008952060576"/>
  </r>
  <r>
    <s v="ORD-2024-527858"/>
    <d v="2024-05-07T00:00:00"/>
    <d v="2024-05-12T00:00:00"/>
    <n v="5"/>
    <s v="May-2024"/>
    <s v="Q2-2024"/>
    <x v="0"/>
    <s v="Nigeria"/>
    <s v="Abuja"/>
    <s v="Non-Profit"/>
    <s v="Distributor"/>
    <x v="4"/>
    <s v="Laptops"/>
    <s v="LAP-9100"/>
    <n v="1163.99"/>
    <s v="High"/>
    <n v="1617.85"/>
    <x v="110"/>
    <n v="14"/>
    <n v="30720.11922"/>
    <n v="16295.86"/>
    <n v="14424.25922"/>
    <n v="0.4695378659406127"/>
  </r>
  <r>
    <s v="ORD-2023-619385"/>
    <d v="2023-09-30T00:00:00"/>
    <d v="2023-10-03T00:00:00"/>
    <n v="3"/>
    <s v="Sept-2023"/>
    <s v="Q3-2023"/>
    <x v="1"/>
    <s v="China"/>
    <s v="Beijing"/>
    <s v="Non-Profit"/>
    <s v="Retail"/>
    <x v="1"/>
    <s v="Laptops"/>
    <s v="LAP-5763"/>
    <n v="1019.36"/>
    <s v="High"/>
    <n v="972.91"/>
    <x v="6"/>
    <n v="17"/>
    <n v="44766.472129999995"/>
    <n v="17329.12"/>
    <n v="27437.352129999996"/>
    <n v="0.61289958365097552"/>
  </r>
  <r>
    <s v="ORD-2023-835226"/>
    <d v="2023-10-26T00:00:00"/>
    <d v="2023-11-05T00:00:00"/>
    <n v="10"/>
    <s v="Oct-2023"/>
    <s v="Q4-2023"/>
    <x v="0"/>
    <s v="South Africa"/>
    <s v="Cape Town"/>
    <s v="Non-Profit"/>
    <s v="Online"/>
    <x v="2"/>
    <s v="Laptops"/>
    <s v="LAP-7320"/>
    <n v="20.38"/>
    <s v="Low"/>
    <n v="42.56"/>
    <x v="3"/>
    <n v="11"/>
    <n v="27736.667200000004"/>
    <n v="224.17999999999998"/>
    <n v="27512.487200000003"/>
    <n v="0.99191755814123195"/>
  </r>
  <r>
    <s v="ORD-2025-485946"/>
    <d v="2025-06-15T00:00:00"/>
    <d v="2025-06-30T00:00:00"/>
    <n v="15"/>
    <s v="Jun-2025"/>
    <s v="Q2-2025"/>
    <x v="0"/>
    <s v="South Africa"/>
    <s v="Johannesburg"/>
    <s v="Small Business"/>
    <s v="Direct"/>
    <x v="0"/>
    <s v="Monitors"/>
    <s v="MON-5891"/>
    <n v="1487.59"/>
    <s v="High"/>
    <n v="1480.83"/>
    <x v="99"/>
    <n v="11"/>
    <n v="9830.4127899999985"/>
    <n v="16363.49"/>
    <n v="-6533.0772100000013"/>
    <n v="-0.66457811584939586"/>
  </r>
  <r>
    <s v="ORD-2024-307849"/>
    <d v="2024-08-10T00:00:00"/>
    <d v="2024-09-07T00:00:00"/>
    <n v="28"/>
    <s v="Aug-2024"/>
    <s v="Q3-2024"/>
    <x v="3"/>
    <s v="France"/>
    <s v="Marseille"/>
    <s v="Non-Profit"/>
    <s v="Direct"/>
    <x v="9"/>
    <s v="Printers"/>
    <s v="PRN-1183"/>
    <n v="229.96"/>
    <s v="High"/>
    <n v="564.26"/>
    <x v="52"/>
    <n v="5"/>
    <n v="3562.7712500000002"/>
    <n v="1149.8"/>
    <n v="2412.9712500000005"/>
    <n v="0.67727369530109471"/>
  </r>
  <r>
    <s v="ORD-2023-368449"/>
    <d v="2023-10-09T00:00:00"/>
    <d v="2023-10-26T00:00:00"/>
    <n v="17"/>
    <s v="Oct-2023"/>
    <s v="Q4-2023"/>
    <x v="1"/>
    <s v="China"/>
    <s v="Shanghai"/>
    <s v="Consumer"/>
    <s v="Marketplace"/>
    <x v="0"/>
    <s v="Components"/>
    <s v="CMP-2096"/>
    <n v="1132.03"/>
    <s v="High"/>
    <n v="2137.21"/>
    <x v="198"/>
    <n v="35"/>
    <n v="3551.7390999999998"/>
    <n v="39621.049999999996"/>
    <n v="-36069.310899999997"/>
    <n v="-10.155394268683755"/>
  </r>
  <r>
    <s v="ORD-2024-251426"/>
    <d v="2024-03-09T00:00:00"/>
    <d v="2024-03-26T00:00:00"/>
    <n v="17"/>
    <s v="Mar-2024"/>
    <s v="Q1-2024"/>
    <x v="2"/>
    <s v="USA"/>
    <s v="San Francisco"/>
    <s v="Education"/>
    <s v="Direct"/>
    <x v="2"/>
    <s v="Phones"/>
    <s v="PHN-3398"/>
    <n v="1137.4100000000001"/>
    <s v="High"/>
    <n v="1680.93"/>
    <x v="116"/>
    <n v="9"/>
    <n v="5499.1688399999994"/>
    <n v="10236.69"/>
    <n v="-4737.5211600000011"/>
    <n v="-0.86149767316473258"/>
  </r>
  <r>
    <s v="ORD-2023-927385"/>
    <d v="2023-05-29T00:00:00"/>
    <d v="2023-06-20T00:00:00"/>
    <n v="22"/>
    <s v="May-2023"/>
    <s v="Q2-2023"/>
    <x v="3"/>
    <s v="United Kingdom"/>
    <s v="London"/>
    <s v="Small Business"/>
    <s v="Direct"/>
    <x v="11"/>
    <s v="Components"/>
    <s v="CMP-8545"/>
    <n v="1295.3900000000001"/>
    <s v="High"/>
    <n v="2905.06"/>
    <x v="135"/>
    <n v="8"/>
    <n v="11663.26656"/>
    <n v="10363.120000000001"/>
    <n v="1300.1465599999992"/>
    <n v="0.11147362133168971"/>
  </r>
  <r>
    <s v="ORD-2025-486350"/>
    <d v="2025-05-27T00:00:00"/>
    <d v="2025-06-08T00:00:00"/>
    <n v="12"/>
    <s v="May-2025"/>
    <s v="Q2-2025"/>
    <x v="1"/>
    <s v="Japan"/>
    <s v="Osaka"/>
    <s v="Corporate"/>
    <s v="Retail"/>
    <x v="10"/>
    <s v="Accessories"/>
    <s v="ACC-1249"/>
    <n v="653.6"/>
    <s v="High"/>
    <n v="842.09"/>
    <x v="199"/>
    <n v="19"/>
    <n v="29072.046299999998"/>
    <n v="12418.4"/>
    <n v="16653.6463"/>
    <n v="0.5728405261930255"/>
  </r>
  <r>
    <s v="ORD-2025-677880"/>
    <d v="2025-08-21T00:00:00"/>
    <d v="2025-09-14T00:00:00"/>
    <n v="24"/>
    <s v="Aug-2025"/>
    <s v="Q3-2025"/>
    <x v="3"/>
    <s v="Germany"/>
    <s v="Berlin"/>
    <s v="Non-Profit"/>
    <s v="Online"/>
    <x v="8"/>
    <s v="Monitors"/>
    <s v="MON-9662"/>
    <n v="1397.67"/>
    <s v="High"/>
    <n v="3131.37"/>
    <x v="172"/>
    <n v="20"/>
    <n v="51745.059600000001"/>
    <n v="27953.4"/>
    <n v="23791.659599999999"/>
    <n v="0.45978610873993464"/>
  </r>
  <r>
    <s v="ORD-2024-102866"/>
    <d v="2024-12-12T00:00:00"/>
    <d v="2024-12-20T00:00:00"/>
    <n v="8"/>
    <s v="Dec-2024"/>
    <s v="Q4-2024"/>
    <x v="1"/>
    <s v="Japan"/>
    <s v="Tokyo"/>
    <s v="Corporate"/>
    <s v="Retail"/>
    <x v="5"/>
    <s v="Laptops"/>
    <s v="LAP-8347"/>
    <n v="1202.47"/>
    <s v="High"/>
    <n v="1444.72"/>
    <x v="65"/>
    <n v="17"/>
    <n v="19144.697220000002"/>
    <n v="20441.990000000002"/>
    <n v="-1297.2927799999998"/>
    <n v="-6.7762512255599913E-2"/>
  </r>
  <r>
    <s v="ORD-2025-588029"/>
    <d v="2025-09-14T00:00:00"/>
    <d v="2025-09-23T00:00:00"/>
    <n v="9"/>
    <s v="Sept-2025"/>
    <s v="Q3-2025"/>
    <x v="0"/>
    <s v="South Africa"/>
    <s v="Durban"/>
    <s v="Non-Profit"/>
    <s v="Online"/>
    <x v="14"/>
    <s v="Components"/>
    <s v="CMP-6898"/>
    <n v="1310.3"/>
    <s v="High"/>
    <n v="2875.8"/>
    <x v="200"/>
    <n v="5"/>
    <n v="14660.399949999999"/>
    <n v="6551.5"/>
    <n v="8108.8999499999991"/>
    <n v="0.55311587525959682"/>
  </r>
  <r>
    <s v="ORD-2024-972999"/>
    <d v="2024-09-06T00:00:00"/>
    <d v="2024-10-04T00:00:00"/>
    <n v="28"/>
    <s v="Sept-2024"/>
    <s v="Q3-2024"/>
    <x v="0"/>
    <s v="South Africa"/>
    <s v="Cape Town"/>
    <s v="Corporate"/>
    <s v="Marketplace"/>
    <x v="14"/>
    <s v="Monitors"/>
    <s v="MON-3504"/>
    <n v="1174.17"/>
    <s v="High"/>
    <n v="1641.61"/>
    <x v="153"/>
    <n v="9"/>
    <n v="18353.975399999999"/>
    <n v="10567.53"/>
    <n v="7786.4453999999987"/>
    <n v="0.42423754147561943"/>
  </r>
  <r>
    <s v="ORD-2025-608069"/>
    <d v="2025-04-12T00:00:00"/>
    <d v="2025-04-30T00:00:00"/>
    <n v="18"/>
    <s v="Apr-2025"/>
    <s v="Q2-2025"/>
    <x v="0"/>
    <s v="Kenya"/>
    <s v="Kisumu"/>
    <s v="Corporate"/>
    <s v="Marketplace"/>
    <x v="9"/>
    <s v="Networking"/>
    <s v="NET-3432"/>
    <n v="1119.04"/>
    <s v="High"/>
    <n v="1299.02"/>
    <x v="109"/>
    <n v="14"/>
    <n v="26377.532999999999"/>
    <n v="15666.56"/>
    <n v="10710.973"/>
    <n v="0.40606424414292269"/>
  </r>
  <r>
    <s v="ORD-2024-626750"/>
    <d v="2024-08-12T00:00:00"/>
    <d v="2024-08-15T00:00:00"/>
    <n v="3"/>
    <s v="Aug-2024"/>
    <s v="Q3-2024"/>
    <x v="2"/>
    <s v="USA"/>
    <s v="Chicago"/>
    <s v="Corporate"/>
    <s v="Marketplace"/>
    <x v="14"/>
    <s v="Printers"/>
    <s v="PRN-5591"/>
    <n v="850.7"/>
    <s v="High"/>
    <n v="1118.56"/>
    <x v="79"/>
    <n v="19"/>
    <n v="24777.808799999999"/>
    <n v="16163.300000000001"/>
    <n v="8614.5087999999978"/>
    <n v="0.34767032345491333"/>
  </r>
  <r>
    <s v="ORD-2024-170021"/>
    <d v="2024-11-05T00:00:00"/>
    <d v="2024-11-08T00:00:00"/>
    <n v="3"/>
    <s v="Nov-2024"/>
    <s v="Q4-2024"/>
    <x v="2"/>
    <s v="Canada"/>
    <s v="Toronto"/>
    <s v="Education"/>
    <s v="Marketplace"/>
    <x v="7"/>
    <s v="Components"/>
    <s v="CMP-2015"/>
    <n v="1020.4"/>
    <s v="High"/>
    <n v="1184.71"/>
    <x v="192"/>
    <n v="16"/>
    <n v="5658.8054400000001"/>
    <n v="16326.4"/>
    <n v="-10667.59456"/>
    <n v="-1.8851318839475772"/>
  </r>
  <r>
    <s v="ORD-2024-678110"/>
    <d v="2024-07-24T00:00:00"/>
    <d v="2024-08-08T00:00:00"/>
    <n v="15"/>
    <s v="Jul-2024"/>
    <s v="Q3-2024"/>
    <x v="3"/>
    <s v="France"/>
    <s v="Marseille"/>
    <s v="Enterprise"/>
    <s v="Marketplace"/>
    <x v="10"/>
    <s v="Laptops"/>
    <s v="LAP-9901"/>
    <n v="501.5"/>
    <s v="High"/>
    <n v="1201.47"/>
    <x v="38"/>
    <n v="5"/>
    <n v="9079.5053000000007"/>
    <n v="2507.5"/>
    <n v="6572.0053000000007"/>
    <n v="0.72382856585809807"/>
  </r>
  <r>
    <s v="ORD-2025-909340"/>
    <d v="2025-01-20T00:00:00"/>
    <d v="2025-02-03T00:00:00"/>
    <n v="14"/>
    <s v="Jan-2025"/>
    <s v="Q1-2025"/>
    <x v="2"/>
    <s v="Brazil"/>
    <s v="Brasília"/>
    <s v="Enterprise"/>
    <s v="Marketplace"/>
    <x v="9"/>
    <s v="Components"/>
    <s v="CMP-8658"/>
    <n v="974.11"/>
    <s v="High"/>
    <n v="880.99"/>
    <x v="95"/>
    <n v="10"/>
    <n v="11831.2565"/>
    <n v="9741.1"/>
    <n v="2090.1564999999991"/>
    <n v="0.17666394942920891"/>
  </r>
  <r>
    <s v="ORD-2023-854471"/>
    <d v="2023-03-06T00:00:00"/>
    <d v="2023-04-04T00:00:00"/>
    <n v="29"/>
    <s v="Mar-2023"/>
    <s v="Q1-2023"/>
    <x v="1"/>
    <s v="China"/>
    <s v="Beijing"/>
    <s v="Small Business"/>
    <s v="Direct"/>
    <x v="0"/>
    <s v="Monitors"/>
    <s v="MON-2073"/>
    <n v="1126.29"/>
    <s v="High"/>
    <n v="2050.87"/>
    <x v="201"/>
    <n v="7"/>
    <n v="18113.986799999999"/>
    <n v="7884.03"/>
    <n v="10229.9568"/>
    <n v="0.56475456855251771"/>
  </r>
  <r>
    <s v="ORD-2024-390951"/>
    <d v="2024-12-20T00:00:00"/>
    <d v="2025-01-14T00:00:00"/>
    <n v="25"/>
    <s v="Dec-2024"/>
    <s v="Q4-2024"/>
    <x v="1"/>
    <s v="India"/>
    <s v="Delhi"/>
    <s v="Small Business"/>
    <s v="Retail"/>
    <x v="12"/>
    <s v="Printers"/>
    <s v="PRN-9378"/>
    <n v="1361.34"/>
    <s v="High"/>
    <n v="1737.9"/>
    <x v="202"/>
    <n v="14"/>
    <n v="3596.8387000000007"/>
    <n v="19058.759999999998"/>
    <n v="-15461.921299999998"/>
    <n v="-4.2987530411080135"/>
  </r>
  <r>
    <s v="ORD-2025-881624"/>
    <d v="2025-02-21T00:00:00"/>
    <d v="2025-03-21T00:00:00"/>
    <n v="0"/>
    <s v="Feb-2025"/>
    <s v="Q1-2025"/>
    <x v="0"/>
    <s v="Nigeria"/>
    <s v="Abuja"/>
    <s v="Enterprise"/>
    <s v="Marketplace"/>
    <x v="2"/>
    <s v="Phones"/>
    <s v="PHN-5887"/>
    <n v="1437.39"/>
    <s v="High"/>
    <n v="1388.31"/>
    <x v="159"/>
    <n v="18"/>
    <n v="15273.329759999999"/>
    <n v="25873.02"/>
    <n v="-10599.690240000002"/>
    <n v="-0.69399995983587026"/>
  </r>
  <r>
    <s v="ORD-2025-512310"/>
    <d v="2025-03-08T00:00:00"/>
    <d v="2025-03-15T00:00:00"/>
    <n v="7"/>
    <s v="Mar-2025"/>
    <s v="Q1-2025"/>
    <x v="1"/>
    <s v="India"/>
    <s v="Bengaluru"/>
    <s v="Corporate"/>
    <s v="Distributor"/>
    <x v="11"/>
    <s v="Laptops"/>
    <s v="LAP-8119"/>
    <n v="475.66"/>
    <s v="High"/>
    <n v="529.14"/>
    <x v="124"/>
    <n v="11"/>
    <n v="1687.7889600000003"/>
    <n v="5232.26"/>
    <n v="-3544.4710399999999"/>
    <n v="-2.1000676767076372"/>
  </r>
  <r>
    <s v="ORD-2023-674887"/>
    <d v="2023-12-16T00:00:00"/>
    <d v="2023-12-19T00:00:00"/>
    <n v="3"/>
    <s v="Dec-2023"/>
    <s v="Q4-2023"/>
    <x v="1"/>
    <s v="China"/>
    <s v="Beijing"/>
    <s v="Education"/>
    <s v="Retail"/>
    <x v="8"/>
    <s v="Accessories"/>
    <s v="ACC-9644"/>
    <n v="1415.05"/>
    <s v="High"/>
    <n v="1972.38"/>
    <x v="5"/>
    <n v="12"/>
    <n v="10899.599999999999"/>
    <n v="16980.599999999999"/>
    <n v="-6081"/>
    <n v="-0.5579103820323682"/>
  </r>
  <r>
    <s v="ORD-2024-542244"/>
    <d v="2024-08-30T00:00:00"/>
    <d v="2024-09-05T00:00:00"/>
    <n v="6"/>
    <s v="Aug-2024"/>
    <s v="Q3-2024"/>
    <x v="1"/>
    <s v="Japan"/>
    <s v="Nagoya"/>
    <s v="Education"/>
    <s v="Online"/>
    <x v="13"/>
    <s v="Laptops"/>
    <s v="LAP-7009"/>
    <n v="466.16"/>
    <s v="High"/>
    <n v="876.81"/>
    <x v="65"/>
    <n v="8"/>
    <n v="1725.8445600000002"/>
    <n v="3729.28"/>
    <n v="-2003.43544"/>
    <n v="-1.1608435002976165"/>
  </r>
  <r>
    <s v="ORD-2024-375848"/>
    <d v="2024-05-18T00:00:00"/>
    <d v="2024-05-21T00:00:00"/>
    <n v="3"/>
    <s v="May-2024"/>
    <s v="Q2-2024"/>
    <x v="3"/>
    <s v="France"/>
    <s v="Marseille"/>
    <s v="Non-Profit"/>
    <s v="Marketplace"/>
    <x v="14"/>
    <s v="Printers"/>
    <s v="PRN-1725"/>
    <n v="663.66"/>
    <s v="High"/>
    <n v="824.26"/>
    <x v="177"/>
    <n v="11"/>
    <n v="10290.80514"/>
    <n v="7300.2599999999993"/>
    <n v="2990.5451400000011"/>
    <n v="0.29060361160429093"/>
  </r>
  <r>
    <s v="ORD-2023-933238"/>
    <d v="2023-03-17T00:00:00"/>
    <d v="2023-04-06T00:00:00"/>
    <n v="20"/>
    <s v="Mar-2023"/>
    <s v="Q1-2023"/>
    <x v="3"/>
    <s v="Germany"/>
    <s v="Munich"/>
    <s v="Consumer"/>
    <s v="Retail"/>
    <x v="7"/>
    <s v="Phones"/>
    <s v="PHN-8483"/>
    <n v="692.18"/>
    <s v="High"/>
    <n v="1159.3499999999999"/>
    <x v="0"/>
    <n v="2"/>
    <n v="2175.1027199999999"/>
    <n v="1384.36"/>
    <n v="790.74271999999996"/>
    <n v="0.36354270202006828"/>
  </r>
  <r>
    <s v="ORD-2023-732585"/>
    <d v="2023-08-25T00:00:00"/>
    <d v="2023-09-16T00:00:00"/>
    <n v="22"/>
    <s v="Aug-2023"/>
    <s v="Q3-2023"/>
    <x v="0"/>
    <s v="Nigeria"/>
    <s v="Abuja"/>
    <s v="Corporate"/>
    <s v="Marketplace"/>
    <x v="4"/>
    <s v="Phones"/>
    <s v="PHN-3971"/>
    <n v="1196.83"/>
    <s v="High"/>
    <n v="2513.5100000000002"/>
    <x v="200"/>
    <n v="7"/>
    <n v="3118.7353400000002"/>
    <n v="8377.81"/>
    <n v="-5259.0746599999993"/>
    <n v="-1.6862843706385162"/>
  </r>
  <r>
    <s v="ORD-2024-465898"/>
    <d v="2024-06-06T00:00:00"/>
    <d v="2024-06-24T00:00:00"/>
    <n v="18"/>
    <s v="Jun-2024"/>
    <s v="Q2-2024"/>
    <x v="1"/>
    <s v="India"/>
    <s v="Bengaluru"/>
    <s v="Small Business"/>
    <s v="Direct"/>
    <x v="10"/>
    <s v="Networking"/>
    <s v="NET-6578"/>
    <n v="1253.25"/>
    <s v="High"/>
    <n v="3087.13"/>
    <x v="3"/>
    <n v="11"/>
    <n v="22569.275520000003"/>
    <n v="13785.75"/>
    <n v="8783.5255200000029"/>
    <n v="0.38918065899884063"/>
  </r>
  <r>
    <s v="ORD-2023-987081"/>
    <d v="2023-08-29T00:00:00"/>
    <d v="2023-09-13T00:00:00"/>
    <n v="15"/>
    <s v="Aug-2023"/>
    <s v="Q3-2023"/>
    <x v="2"/>
    <s v="Canada"/>
    <s v="Vancouver"/>
    <s v="Small Business"/>
    <s v="Marketplace"/>
    <x v="7"/>
    <s v="Printers"/>
    <s v="PRN-9975"/>
    <n v="1287.6400000000001"/>
    <s v="High"/>
    <n v="2717.15"/>
    <x v="195"/>
    <n v="7"/>
    <n v="3875.12664"/>
    <n v="9013.4800000000014"/>
    <n v="-5138.353360000001"/>
    <n v="-1.3259833387019324"/>
  </r>
  <r>
    <s v="ORD-2024-655710"/>
    <d v="2024-11-30T00:00:00"/>
    <d v="2024-12-10T00:00:00"/>
    <n v="10"/>
    <s v="Nov-2024"/>
    <s v="Q4-2024"/>
    <x v="1"/>
    <s v="India"/>
    <s v="Hyderabad"/>
    <s v="Small Business"/>
    <s v="Retail"/>
    <x v="9"/>
    <s v="Accessories"/>
    <s v="ACC-1075"/>
    <n v="851.49"/>
    <s v="High"/>
    <n v="901.79"/>
    <x v="103"/>
    <n v="16"/>
    <n v="41052.309600000001"/>
    <n v="13623.84"/>
    <n v="27428.4696"/>
    <n v="0.66813462792358946"/>
  </r>
  <r>
    <s v="ORD-2025-411385"/>
    <d v="2025-06-05T00:00:00"/>
    <d v="2025-06-14T00:00:00"/>
    <n v="9"/>
    <s v="Jun-2025"/>
    <s v="Q2-2025"/>
    <x v="1"/>
    <s v="India"/>
    <s v="Delhi"/>
    <s v="Non-Profit"/>
    <s v="Retail"/>
    <x v="8"/>
    <s v="Accessories"/>
    <s v="ACC-2902"/>
    <n v="618.69000000000005"/>
    <s v="High"/>
    <n v="796.15"/>
    <x v="168"/>
    <n v="11"/>
    <n v="1948.1462000000001"/>
    <n v="6805.59"/>
    <n v="-4857.4438"/>
    <n v="-2.4933671815801093"/>
  </r>
  <r>
    <s v="ORD-2025-222035"/>
    <d v="2025-03-14T00:00:00"/>
    <d v="2025-04-08T00:00:00"/>
    <n v="25"/>
    <s v="Mar-2025"/>
    <s v="Q1-2025"/>
    <x v="1"/>
    <s v="China"/>
    <s v="Not Provided"/>
    <s v="Corporate"/>
    <s v="Distributor"/>
    <x v="14"/>
    <s v="Printers"/>
    <s v="PRN-5815"/>
    <n v="80.59"/>
    <s v="Medium"/>
    <n v="157.82"/>
    <x v="203"/>
    <n v="6"/>
    <n v="4846.6447200000002"/>
    <n v="483.54"/>
    <n v="4363.1047200000003"/>
    <n v="0.90023201040409662"/>
  </r>
  <r>
    <s v="ORD-2024-749242"/>
    <d v="2024-01-16T00:00:00"/>
    <d v="2024-02-11T00:00:00"/>
    <n v="26"/>
    <s v="Jan-2024"/>
    <s v="Q1-2024"/>
    <x v="3"/>
    <s v="Germany"/>
    <s v="Frankfurt"/>
    <s v="Non-Profit"/>
    <s v="Distributor"/>
    <x v="6"/>
    <s v="Monitors"/>
    <s v="MON-4195"/>
    <n v="504.93"/>
    <s v="High"/>
    <n v="819.06"/>
    <x v="204"/>
    <n v="15"/>
    <n v="5749.1559000000007"/>
    <n v="7573.95"/>
    <n v="-1824.7940999999992"/>
    <n v="-0.31740209027902672"/>
  </r>
  <r>
    <s v="ORD-2023-623293"/>
    <d v="2023-10-12T00:00:00"/>
    <d v="2023-10-29T00:00:00"/>
    <n v="17"/>
    <s v="Oct-2023"/>
    <s v="Q4-2023"/>
    <x v="1"/>
    <s v="Japan"/>
    <s v="Nagoya"/>
    <s v="Non-Profit"/>
    <s v="Direct"/>
    <x v="10"/>
    <s v="Phones"/>
    <s v="PHN-8478"/>
    <n v="1102.19"/>
    <s v="High"/>
    <n v="1711.16"/>
    <x v="102"/>
    <n v="10"/>
    <n v="11198.649599999999"/>
    <n v="11021.900000000001"/>
    <n v="176.74959999999737"/>
    <n v="1.5783117278711657E-2"/>
  </r>
  <r>
    <s v="ORD-2025-276968"/>
    <d v="2025-02-25T00:00:00"/>
    <d v="2025-03-17T00:00:00"/>
    <n v="20"/>
    <s v="Feb-2025"/>
    <s v="Q1-2025"/>
    <x v="2"/>
    <s v="USA"/>
    <s v="San Francisco"/>
    <s v="Non-Profit"/>
    <s v="Marketplace"/>
    <x v="10"/>
    <s v="Phones"/>
    <s v="PHN-1044"/>
    <n v="1205.26"/>
    <s v="High"/>
    <n v="1696.35"/>
    <x v="205"/>
    <n v="6"/>
    <n v="1853.32482"/>
    <n v="7231.5599999999995"/>
    <n v="-5378.2351799999997"/>
    <n v="-2.9019387869634206"/>
  </r>
  <r>
    <s v="ORD-2025-650841"/>
    <d v="2025-07-03T00:00:00"/>
    <d v="2025-07-06T00:00:00"/>
    <n v="3"/>
    <s v="Jul-2025"/>
    <s v="Q3-2025"/>
    <x v="0"/>
    <s v="Nigeria"/>
    <s v="Lagos"/>
    <s v="Consumer"/>
    <s v="Online"/>
    <x v="15"/>
    <s v="Laptops"/>
    <s v="LAP-8910"/>
    <n v="1313.3"/>
    <s v="High"/>
    <n v="2884.34"/>
    <x v="87"/>
    <n v="42"/>
    <n v="78253.279020000002"/>
    <n v="55158.6"/>
    <n v="23094.679020000003"/>
    <n v="0.29512730085211453"/>
  </r>
  <r>
    <s v="ORD-2025-831576"/>
    <d v="2025-09-15T00:00:00"/>
    <d v="2025-09-25T00:00:00"/>
    <n v="10"/>
    <s v="Sept-2025"/>
    <s v="Q3-2025"/>
    <x v="1"/>
    <s v="India"/>
    <s v="Delhi"/>
    <s v="Consumer"/>
    <s v="Retail"/>
    <x v="8"/>
    <s v="Phones"/>
    <s v="PHN-2859"/>
    <n v="1488.91"/>
    <s v="High"/>
    <n v="1483.74"/>
    <x v="21"/>
    <n v="24"/>
    <n v="20866.559999999998"/>
    <n v="35733.840000000004"/>
    <n v="-14867.280000000006"/>
    <n v="-0.71249309900625724"/>
  </r>
  <r>
    <s v="ORD-2024-468655"/>
    <d v="2024-02-19T00:00:00"/>
    <d v="2024-03-06T00:00:00"/>
    <n v="16"/>
    <s v="Feb-2024"/>
    <s v="Q1-2024"/>
    <x v="1"/>
    <s v="China"/>
    <s v="Beijing"/>
    <s v="Education"/>
    <s v="Marketplace"/>
    <x v="7"/>
    <s v="Printers"/>
    <s v="PRN-6308"/>
    <n v="1477.84"/>
    <s v="High"/>
    <n v="3197.47"/>
    <x v="28"/>
    <n v="24"/>
    <n v="38737.627919999999"/>
    <n v="35468.159999999996"/>
    <n v="3269.4679200000028"/>
    <n v="8.4400312965781696E-2"/>
  </r>
  <r>
    <s v="ORD-2024-515105"/>
    <d v="2024-02-27T00:00:00"/>
    <d v="2024-03-26T00:00:00"/>
    <n v="28"/>
    <s v="Feb-2024"/>
    <s v="Q1-2024"/>
    <x v="1"/>
    <s v="India"/>
    <s v="Mumbai"/>
    <s v="Education"/>
    <s v="Marketplace"/>
    <x v="3"/>
    <s v="Laptops"/>
    <s v="LAP-8469"/>
    <n v="1035.19"/>
    <s v="High"/>
    <n v="2322.6999999999998"/>
    <x v="122"/>
    <n v="8"/>
    <n v="13903.854800000001"/>
    <n v="8281.52"/>
    <n v="5622.3348000000005"/>
    <n v="0.40437237592555986"/>
  </r>
  <r>
    <s v="ORD-2025-803803"/>
    <d v="2025-08-28T00:00:00"/>
    <d v="2025-09-05T00:00:00"/>
    <n v="8"/>
    <s v="Aug-2025"/>
    <s v="Q3-2025"/>
    <x v="0"/>
    <s v="Nigeria"/>
    <s v="Port Harcourt"/>
    <s v="Small Business"/>
    <s v="Marketplace"/>
    <x v="6"/>
    <s v="Laptops"/>
    <s v="LAP-7553"/>
    <n v="1271.0999999999999"/>
    <s v="High"/>
    <n v="1932.42"/>
    <x v="11"/>
    <n v="21"/>
    <n v="33475.68"/>
    <n v="26693.1"/>
    <n v="6782.5800000000017"/>
    <n v="0.20261216501053905"/>
  </r>
  <r>
    <s v="ORD-2024-993481"/>
    <d v="2024-08-18T00:00:00"/>
    <d v="2024-09-12T00:00:00"/>
    <n v="25"/>
    <s v="Aug-2024"/>
    <s v="Q3-2024"/>
    <x v="1"/>
    <s v="India"/>
    <s v="Mumbai"/>
    <s v="Consumer"/>
    <s v="Marketplace"/>
    <x v="0"/>
    <s v="Phones"/>
    <s v="PHN-3077"/>
    <n v="1154.03"/>
    <s v="High"/>
    <n v="1590.36"/>
    <x v="206"/>
    <n v="18"/>
    <n v="8801.0369999999984"/>
    <n v="20772.54"/>
    <n v="-11971.503000000002"/>
    <n v="-1.360237776525653"/>
  </r>
  <r>
    <s v="ORD-2024-811752"/>
    <d v="2024-02-25T00:00:00"/>
    <d v="2024-03-09T00:00:00"/>
    <n v="13"/>
    <s v="Feb-2024"/>
    <s v="Q1-2024"/>
    <x v="3"/>
    <s v="France"/>
    <s v="Marseille"/>
    <s v="Small Business"/>
    <s v="Distributor"/>
    <x v="6"/>
    <s v="Monitors"/>
    <s v="MON-3350"/>
    <n v="322.44"/>
    <s v="High"/>
    <n v="395.61"/>
    <x v="5"/>
    <n v="34"/>
    <n v="53340.22"/>
    <n v="10962.96"/>
    <n v="42377.26"/>
    <n v="0.79447103892709858"/>
  </r>
  <r>
    <s v="ORD-2025-673091"/>
    <d v="2025-05-07T00:00:00"/>
    <d v="2025-05-13T00:00:00"/>
    <n v="6"/>
    <s v="May-2025"/>
    <s v="Q2-2025"/>
    <x v="1"/>
    <s v="India"/>
    <s v="Bengaluru"/>
    <s v="Enterprise"/>
    <s v="Direct"/>
    <x v="1"/>
    <s v="Phones"/>
    <s v="PHN-5683"/>
    <n v="935.98"/>
    <s v="High"/>
    <n v="2077.69"/>
    <x v="30"/>
    <n v="24"/>
    <n v="41071.932000000001"/>
    <n v="22463.52"/>
    <n v="18608.412"/>
    <n v="0.4530688256885505"/>
  </r>
  <r>
    <s v="ORD-2024-381197"/>
    <d v="2024-11-01T00:00:00"/>
    <d v="2024-11-12T00:00:00"/>
    <n v="11"/>
    <s v="Nov-2024"/>
    <s v="Q4-2024"/>
    <x v="3"/>
    <s v="Germany"/>
    <s v="Frankfurt"/>
    <s v="Consumer"/>
    <s v="Online"/>
    <x v="5"/>
    <s v="Printers"/>
    <s v="PRN-2409"/>
    <n v="599.84"/>
    <s v="High"/>
    <n v="1330.85"/>
    <x v="158"/>
    <n v="11"/>
    <n v="4820.6746499999999"/>
    <n v="6598.2400000000007"/>
    <n v="-1777.5653500000008"/>
    <n v="-0.36873787987330792"/>
  </r>
  <r>
    <s v="ORD-2024-651852"/>
    <d v="2024-12-28T00:00:00"/>
    <d v="2025-01-08T00:00:00"/>
    <n v="11"/>
    <s v="Dec-2024"/>
    <s v="Q4-2024"/>
    <x v="1"/>
    <s v="China"/>
    <s v="Shenzhen"/>
    <s v="Enterprise"/>
    <s v="Online"/>
    <x v="11"/>
    <s v="Laptops"/>
    <s v="LAP-8825"/>
    <n v="1201.31"/>
    <s v="High"/>
    <n v="2764.65"/>
    <x v="5"/>
    <n v="21"/>
    <n v="15909.390000000001"/>
    <n v="25227.51"/>
    <n v="-9318.1199999999972"/>
    <n v="-0.58569938885148942"/>
  </r>
  <r>
    <s v="ORD-2023-659070"/>
    <d v="2023-10-21T00:00:00"/>
    <d v="2023-10-21T00:00:00"/>
    <n v="0"/>
    <s v="Oct-2023"/>
    <s v="Q4-2023"/>
    <x v="3"/>
    <s v="United Kingdom"/>
    <s v="Manchester"/>
    <s v="Enterprise"/>
    <s v="Distributor"/>
    <x v="1"/>
    <s v="Monitors"/>
    <s v="MON-8697"/>
    <n v="384.19"/>
    <s v="High"/>
    <n v="278.35000000000002"/>
    <x v="121"/>
    <n v="10"/>
    <n v="3926.6623999999993"/>
    <n v="3841.9"/>
    <n v="84.762399999999161"/>
    <n v="2.1586373200812775E-2"/>
  </r>
  <r>
    <s v="ORD-2024-837651"/>
    <d v="2024-12-10T00:00:00"/>
    <d v="2024-12-19T00:00:00"/>
    <n v="9"/>
    <s v="Dec-2024"/>
    <s v="Q4-2024"/>
    <x v="0"/>
    <s v="Nigeria"/>
    <s v="Lagos"/>
    <s v="Corporate"/>
    <s v="Retail"/>
    <x v="7"/>
    <s v="Monitors"/>
    <s v="MON-4789"/>
    <n v="488.68"/>
    <s v="High"/>
    <n v="984.36"/>
    <x v="163"/>
    <n v="14"/>
    <n v="24647.104860000003"/>
    <n v="6841.52"/>
    <n v="17805.584860000003"/>
    <n v="0.72242094806424251"/>
  </r>
  <r>
    <s v="ORD-2024-581530"/>
    <d v="2024-09-07T00:00:00"/>
    <d v="2024-09-18T00:00:00"/>
    <n v="11"/>
    <s v="Sept-2024"/>
    <s v="Q3-2024"/>
    <x v="1"/>
    <s v="China"/>
    <s v="Beijing"/>
    <s v="Consumer"/>
    <s v="Distributor"/>
    <x v="7"/>
    <s v="Networking"/>
    <s v="NET-7998"/>
    <n v="181.74"/>
    <s v="Medium"/>
    <n v="190.84"/>
    <x v="207"/>
    <n v="13"/>
    <n v="2113.89984"/>
    <n v="2362.62"/>
    <n v="-248.72015999999985"/>
    <n v="-0.11765938730569177"/>
  </r>
  <r>
    <s v="ORD-2023-378104"/>
    <d v="2023-10-18T00:00:00"/>
    <d v="2023-10-20T00:00:00"/>
    <n v="2"/>
    <s v="Oct-2023"/>
    <s v="Q4-2023"/>
    <x v="0"/>
    <s v="Kenya"/>
    <s v="Kisumu"/>
    <s v="Consumer"/>
    <s v="Retail"/>
    <x v="1"/>
    <s v="Phones"/>
    <s v="PHN-8891"/>
    <n v="774.12"/>
    <s v="High"/>
    <n v="908.3"/>
    <x v="5"/>
    <n v="30"/>
    <n v="1884.6"/>
    <n v="23223.599999999999"/>
    <n v="-21339"/>
    <n v="-11.322827125119389"/>
  </r>
  <r>
    <s v="ORD-2024-972318"/>
    <d v="2024-12-24T00:00:00"/>
    <d v="2025-01-13T00:00:00"/>
    <n v="20"/>
    <s v="Dec-2024"/>
    <s v="Q4-2024"/>
    <x v="1"/>
    <s v="India"/>
    <s v="Bengaluru"/>
    <s v="Corporate"/>
    <s v="Marketplace"/>
    <x v="14"/>
    <s v="Networking"/>
    <s v="NET-9832"/>
    <n v="126.15"/>
    <s v="High"/>
    <n v="284.23"/>
    <x v="139"/>
    <n v="22"/>
    <n v="18664.94586"/>
    <n v="2775.3"/>
    <n v="15889.645860000001"/>
    <n v="0.85130950709331443"/>
  </r>
  <r>
    <s v="ORD-2023-752962"/>
    <d v="2023-04-21T00:00:00"/>
    <d v="2023-04-19T00:00:00"/>
    <n v="2"/>
    <s v="Apr-2023"/>
    <s v="Q2-2023"/>
    <x v="1"/>
    <s v="Japan"/>
    <s v="Nagoya"/>
    <s v="Small Business"/>
    <s v="Direct"/>
    <x v="12"/>
    <s v="Components"/>
    <s v="CMP-8604"/>
    <n v="607.04"/>
    <s v="High"/>
    <n v="1229.3399999999999"/>
    <x v="6"/>
    <n v="7"/>
    <n v="989.39469999999983"/>
    <n v="4249.28"/>
    <n v="-3259.8852999999999"/>
    <n v="-3.2948279387387061"/>
  </r>
  <r>
    <s v="ORD-2023-808024"/>
    <d v="2023-12-30T00:00:00"/>
    <d v="2024-01-08T00:00:00"/>
    <n v="9"/>
    <s v="Dec-2023"/>
    <s v="Q4-2023"/>
    <x v="3"/>
    <s v="France"/>
    <s v="Marseille"/>
    <s v="Consumer"/>
    <s v="Marketplace"/>
    <x v="4"/>
    <s v="Accessories"/>
    <s v="ACC-6594"/>
    <n v="861.1"/>
    <s v="High"/>
    <n v="1224.72"/>
    <x v="155"/>
    <n v="24"/>
    <n v="12060.128640000001"/>
    <n v="20666.400000000001"/>
    <n v="-8606.2713600000006"/>
    <n v="-0.71361356225135586"/>
  </r>
  <r>
    <s v="ORD-2023-156396"/>
    <d v="2023-02-21T00:00:00"/>
    <d v="2023-03-12T00:00:00"/>
    <n v="19"/>
    <s v="Feb-2023"/>
    <s v="Q1-2023"/>
    <x v="0"/>
    <s v="Kenya"/>
    <s v="Nakuru"/>
    <s v="Corporate"/>
    <s v="Online"/>
    <x v="9"/>
    <s v="Networking"/>
    <s v="NET-2499"/>
    <n v="352.65"/>
    <s v="High"/>
    <n v="485.86"/>
    <x v="208"/>
    <n v="6"/>
    <n v="15339.646139999999"/>
    <n v="2115.8999999999996"/>
    <n v="13223.746139999999"/>
    <n v="0.86206331093371624"/>
  </r>
  <r>
    <s v="ORD-2023-184577"/>
    <d v="2023-05-17T00:00:00"/>
    <d v="2023-06-03T00:00:00"/>
    <n v="17"/>
    <s v="May-2023"/>
    <s v="Q2-2023"/>
    <x v="1"/>
    <s v="China"/>
    <s v="Beijing"/>
    <s v="Non-Profit"/>
    <s v="Distributor"/>
    <x v="12"/>
    <s v="Printers"/>
    <s v="PRN-1923"/>
    <n v="979.59"/>
    <s v="High"/>
    <n v="2210.94"/>
    <x v="209"/>
    <n v="11"/>
    <n v="5497.3325000000004"/>
    <n v="10775.49"/>
    <n v="-5278.1574999999993"/>
    <n v="-0.96013066337173514"/>
  </r>
  <r>
    <s v="ORD-2024-446030"/>
    <d v="2024-03-23T00:00:00"/>
    <d v="2024-03-26T00:00:00"/>
    <n v="3"/>
    <s v="Mar-2024"/>
    <s v="Q1-2024"/>
    <x v="1"/>
    <s v="India"/>
    <s v="Bengaluru"/>
    <s v="Education"/>
    <s v="Direct"/>
    <x v="3"/>
    <s v="Phones"/>
    <s v="PHN-4346"/>
    <n v="382.21"/>
    <s v="High"/>
    <n v="571.89"/>
    <x v="135"/>
    <n v="26"/>
    <n v="48582.215760000006"/>
    <n v="9937.4599999999991"/>
    <n v="38644.755760000007"/>
    <n v="0.79545066348781124"/>
  </r>
  <r>
    <s v="ORD-2023-842820"/>
    <d v="2023-09-20T00:00:00"/>
    <d v="2023-09-28T00:00:00"/>
    <n v="8"/>
    <s v="Sept-2023"/>
    <s v="Q3-2023"/>
    <x v="1"/>
    <s v="India"/>
    <s v="Not Provided"/>
    <s v="Corporate"/>
    <s v="Not Provided"/>
    <x v="5"/>
    <s v="Accessories"/>
    <s v="ACC-1375"/>
    <n v="1362.06"/>
    <s v="High"/>
    <n v="3398.37"/>
    <x v="87"/>
    <n v="11"/>
    <n v="20287.469400000002"/>
    <n v="14982.66"/>
    <n v="5304.8094000000019"/>
    <n v="0.26148206537775487"/>
  </r>
  <r>
    <s v="ORD-2024-745424"/>
    <d v="2024-08-22T00:00:00"/>
    <d v="2024-09-04T00:00:00"/>
    <n v="13"/>
    <s v="Aug-2024"/>
    <s v="Q3-2024"/>
    <x v="3"/>
    <s v="Germany"/>
    <s v="Frankfurt"/>
    <s v="Non-Profit"/>
    <s v="Retail"/>
    <x v="4"/>
    <s v="Printers"/>
    <s v="PRN-4892"/>
    <n v="90.04"/>
    <s v="Medium"/>
    <n v="194.62"/>
    <x v="89"/>
    <n v="32"/>
    <n v="30688.61664"/>
    <n v="2881.28"/>
    <n v="27807.336640000001"/>
    <n v="0.90611241836673417"/>
  </r>
  <r>
    <s v="ORD-2024-510520"/>
    <d v="2024-09-25T00:00:00"/>
    <d v="2024-10-03T00:00:00"/>
    <n v="8"/>
    <s v="Sept-2024"/>
    <s v="Q3-2024"/>
    <x v="2"/>
    <s v="Canada"/>
    <s v="Toronto"/>
    <s v="Consumer"/>
    <s v="Online"/>
    <x v="6"/>
    <s v="Printers"/>
    <s v="PRN-9557"/>
    <n v="558.19000000000005"/>
    <s v="High"/>
    <n v="1031.6400000000001"/>
    <x v="5"/>
    <n v="21"/>
    <n v="19189.38"/>
    <n v="11721.990000000002"/>
    <n v="7467.3899999999994"/>
    <n v="0.3891418065617544"/>
  </r>
  <r>
    <s v="ORD-2023-769774"/>
    <d v="2023-06-13T00:00:00"/>
    <d v="2023-06-24T00:00:00"/>
    <n v="11"/>
    <s v="Jun-2023"/>
    <s v="Q2-2023"/>
    <x v="2"/>
    <s v="Canada"/>
    <s v="Toronto"/>
    <s v="Corporate"/>
    <s v="Online"/>
    <x v="0"/>
    <s v="Printers"/>
    <s v="PRN-8008"/>
    <n v="247.07"/>
    <s v="High"/>
    <n v="495.19"/>
    <x v="179"/>
    <n v="4"/>
    <n v="7167.5668799999994"/>
    <n v="988.28"/>
    <n v="6179.2868799999997"/>
    <n v="0.86211778466167588"/>
  </r>
  <r>
    <s v="ORD-2023-580751"/>
    <d v="2023-12-24T00:00:00"/>
    <d v="2024-01-13T00:00:00"/>
    <n v="20"/>
    <s v="Dec-2023"/>
    <s v="Q4-2023"/>
    <x v="1"/>
    <s v="Japan"/>
    <s v="Nagoya"/>
    <s v="Education"/>
    <s v="Direct"/>
    <x v="5"/>
    <s v="Laptops"/>
    <s v="LAP-1946"/>
    <n v="625.37"/>
    <s v="High"/>
    <n v="1319.04"/>
    <x v="13"/>
    <n v="8"/>
    <n v="10249.7088"/>
    <n v="5002.96"/>
    <n v="5246.7488000000003"/>
    <n v="0.51189247444766428"/>
  </r>
  <r>
    <s v="ORD-2025-473192"/>
    <d v="2025-03-30T00:00:00"/>
    <d v="2025-04-29T00:00:00"/>
    <n v="30"/>
    <s v="Mar-2025"/>
    <s v="Q1-2025"/>
    <x v="0"/>
    <s v="South Africa"/>
    <s v="Durban"/>
    <s v="Consumer"/>
    <s v="Marketplace"/>
    <x v="1"/>
    <s v="Monitors"/>
    <s v="MON-7106"/>
    <n v="194.6"/>
    <s v="High"/>
    <n v="314.87"/>
    <x v="210"/>
    <n v="25"/>
    <n v="28077.267750000003"/>
    <n v="4865"/>
    <n v="23212.267750000003"/>
    <n v="0.82672815448718295"/>
  </r>
  <r>
    <s v="ORD-2024-886939"/>
    <d v="2024-06-03T00:00:00"/>
    <d v="2024-06-24T00:00:00"/>
    <n v="21"/>
    <s v="Jun-2024"/>
    <s v="Q2-2024"/>
    <x v="2"/>
    <s v="Canada"/>
    <s v="Toronto"/>
    <s v="Small Business"/>
    <s v="Direct"/>
    <x v="3"/>
    <s v="Monitors"/>
    <s v="MON-5386"/>
    <n v="1205.5"/>
    <s v="High"/>
    <n v="2210.17"/>
    <x v="67"/>
    <n v="23"/>
    <n v="27698.182399999998"/>
    <n v="27726.5"/>
    <n v="-28.31760000000213"/>
    <n v="-1.0223631136172362E-3"/>
  </r>
  <r>
    <s v="ORD-2024-566589"/>
    <d v="2024-06-11T00:00:00"/>
    <d v="2024-07-09T00:00:00"/>
    <n v="28"/>
    <s v="Jun-2024"/>
    <s v="Q2-2024"/>
    <x v="0"/>
    <s v="Nigeria"/>
    <s v="Port Harcourt"/>
    <s v="Corporate"/>
    <s v="Marketplace"/>
    <x v="2"/>
    <s v="Phones"/>
    <s v="PHN-2436"/>
    <n v="895.54"/>
    <s v="High"/>
    <n v="1045"/>
    <x v="154"/>
    <n v="15"/>
    <n v="15173.8104"/>
    <n v="13433.099999999999"/>
    <n v="1740.7104000000018"/>
    <n v="0.11471808030499721"/>
  </r>
  <r>
    <s v="ORD-2023-109927"/>
    <d v="2023-07-22T00:00:00"/>
    <d v="2023-07-21T00:00:00"/>
    <n v="1"/>
    <s v="Jul-2023"/>
    <s v="Q3-2023"/>
    <x v="1"/>
    <s v="India"/>
    <s v="Delhi"/>
    <s v="Small Business"/>
    <s v="Distributor"/>
    <x v="6"/>
    <s v="Printers"/>
    <s v="PRN-2301"/>
    <n v="946.99"/>
    <s v="High"/>
    <n v="2132.19"/>
    <x v="211"/>
    <n v="7"/>
    <n v="1295.1351000000002"/>
    <n v="6628.93"/>
    <n v="-5333.7948999999999"/>
    <n v="-4.1183308984522151"/>
  </r>
  <r>
    <s v="ORD-2023-780206"/>
    <d v="2023-01-19T00:00:00"/>
    <d v="2023-02-03T00:00:00"/>
    <n v="15"/>
    <s v="Jan-2023"/>
    <s v="Q1-2023"/>
    <x v="3"/>
    <s v="United Kingdom"/>
    <s v="London"/>
    <s v="Enterprise"/>
    <s v="Distributor"/>
    <x v="3"/>
    <s v="Accessories"/>
    <s v="ACC-3645"/>
    <n v="873.06"/>
    <s v="High"/>
    <n v="2101.5500000000002"/>
    <x v="72"/>
    <n v="10"/>
    <n v="3365.5755999999997"/>
    <n v="8730.5999999999985"/>
    <n v="-5365.0243999999984"/>
    <n v="-1.5940882148064062"/>
  </r>
  <r>
    <s v="ORD-2024-851993"/>
    <d v="2024-05-01T00:00:00"/>
    <d v="2024-05-16T00:00:00"/>
    <n v="15"/>
    <s v="May-2024"/>
    <s v="Q2-2024"/>
    <x v="1"/>
    <s v="India"/>
    <s v="Bengaluru"/>
    <s v="Small Business"/>
    <s v="Retail"/>
    <x v="4"/>
    <s v="Components"/>
    <s v="CMP-6811"/>
    <n v="901.19"/>
    <s v="High"/>
    <n v="2125.44"/>
    <x v="88"/>
    <n v="12"/>
    <n v="28380.689880000002"/>
    <n v="10814.28"/>
    <n v="17566.409879999999"/>
    <n v="0.61895640853956568"/>
  </r>
  <r>
    <s v="ORD-2025-417942"/>
    <d v="2025-06-09T00:00:00"/>
    <d v="2025-06-24T00:00:00"/>
    <n v="15"/>
    <s v="Jun-2025"/>
    <s v="Q2-2025"/>
    <x v="1"/>
    <s v="Japan"/>
    <s v="Nagoya"/>
    <s v="Corporate"/>
    <s v="Direct"/>
    <x v="5"/>
    <s v="Phones"/>
    <s v="PHN-5675"/>
    <n v="400.39"/>
    <s v="High"/>
    <n v="712.75"/>
    <x v="158"/>
    <n v="19"/>
    <n v="11761.58805"/>
    <n v="7607.41"/>
    <n v="4154.1780500000004"/>
    <n v="0.35319873747831187"/>
  </r>
  <r>
    <s v="ORD-2023-172095"/>
    <d v="2023-05-24T00:00:00"/>
    <d v="2023-06-21T00:00:00"/>
    <n v="28"/>
    <s v="May-2023"/>
    <s v="Q2-2023"/>
    <x v="2"/>
    <s v="USA"/>
    <s v="Austin"/>
    <s v="Small Business"/>
    <s v="Marketplace"/>
    <x v="3"/>
    <s v="Monitors"/>
    <s v="MON-6882"/>
    <n v="813.97"/>
    <s v="High"/>
    <n v="1568.83"/>
    <x v="212"/>
    <n v="15"/>
    <n v="40381.984049999999"/>
    <n v="12209.550000000001"/>
    <n v="28172.434049999996"/>
    <n v="0.69764858544636066"/>
  </r>
  <r>
    <s v="ORD-2024-257550"/>
    <d v="2024-12-27T00:00:00"/>
    <d v="2024-12-29T00:00:00"/>
    <n v="2"/>
    <s v="Dec-2024"/>
    <s v="Q4-2024"/>
    <x v="2"/>
    <s v="Canada"/>
    <s v="Vancouver"/>
    <s v="Enterprise"/>
    <s v="Marketplace"/>
    <x v="0"/>
    <s v="Accessories"/>
    <s v="ACC-8620"/>
    <n v="1146.72"/>
    <s v="High"/>
    <n v="2074.34"/>
    <x v="95"/>
    <n v="8"/>
    <n v="674.07536000000005"/>
    <n v="9173.76"/>
    <n v="-8499.6846399999995"/>
    <n v="-12.60939821327989"/>
  </r>
  <r>
    <s v="ORD-2023-581799"/>
    <d v="2023-12-05T00:00:00"/>
    <d v="2023-12-12T00:00:00"/>
    <n v="7"/>
    <s v="Dec-2023"/>
    <s v="Q4-2023"/>
    <x v="2"/>
    <s v="Brazil"/>
    <s v="Brasília"/>
    <s v="Corporate"/>
    <s v="Direct"/>
    <x v="9"/>
    <s v="Phones"/>
    <s v="PHN-6506"/>
    <n v="307.43"/>
    <s v="High"/>
    <n v="495.19"/>
    <x v="5"/>
    <n v="42"/>
    <n v="116648.7"/>
    <n v="12912.06"/>
    <n v="103736.64"/>
    <n v="0.88930815345563219"/>
  </r>
  <r>
    <s v="ORD-2023-880296"/>
    <d v="2023-05-02T00:00:00"/>
    <d v="2023-05-19T00:00:00"/>
    <n v="17"/>
    <s v="May-2023"/>
    <s v="Q2-2023"/>
    <x v="1"/>
    <s v="China"/>
    <s v="Shanghai"/>
    <s v="Non-Profit"/>
    <s v="Direct"/>
    <x v="1"/>
    <s v="Monitors"/>
    <s v="MON-5086"/>
    <n v="714.28"/>
    <s v="High"/>
    <n v="757.59"/>
    <x v="29"/>
    <n v="12"/>
    <n v="5102.9222399999999"/>
    <n v="8571.36"/>
    <n v="-3468.4377600000007"/>
    <n v="-0.67969637726637211"/>
  </r>
  <r>
    <s v="ORD-2023-191563"/>
    <d v="2023-11-30T00:00:00"/>
    <d v="2023-12-10T00:00:00"/>
    <n v="10"/>
    <s v="Nov-2023"/>
    <s v="Q4-2023"/>
    <x v="3"/>
    <s v="Germany"/>
    <s v="Munich"/>
    <s v="Small Business"/>
    <s v="Direct"/>
    <x v="9"/>
    <s v="Laptops"/>
    <s v="LAP-4899"/>
    <n v="174.74"/>
    <s v="High"/>
    <n v="415.96"/>
    <x v="22"/>
    <n v="21"/>
    <n v="35310.318749999999"/>
    <n v="3669.54"/>
    <n v="31640.778749999998"/>
    <n v="0.89607740371927391"/>
  </r>
  <r>
    <s v="ORD-2024-202166"/>
    <d v="2024-05-05T00:00:00"/>
    <d v="2024-05-18T00:00:00"/>
    <n v="13"/>
    <s v="May-2024"/>
    <s v="Q2-2024"/>
    <x v="3"/>
    <s v="France"/>
    <s v="Marseille"/>
    <s v="Corporate"/>
    <s v="Marketplace"/>
    <x v="8"/>
    <s v="Components"/>
    <s v="CMP-3313"/>
    <n v="1264.04"/>
    <s v="High"/>
    <n v="1870.89"/>
    <x v="5"/>
    <n v="13"/>
    <n v="3774.29"/>
    <n v="16432.52"/>
    <n v="-12658.23"/>
    <n v="-3.3538042916681019"/>
  </r>
  <r>
    <s v="ORD-2023-539967"/>
    <d v="2023-07-09T00:00:00"/>
    <d v="2023-07-19T00:00:00"/>
    <n v="10"/>
    <s v="Jul-2023"/>
    <s v="Q3-2023"/>
    <x v="1"/>
    <s v="Japan"/>
    <s v="Tokyo"/>
    <s v="Enterprise"/>
    <s v="Distributor"/>
    <x v="13"/>
    <s v="Components"/>
    <s v="CMP-6649"/>
    <n v="141.26"/>
    <s v="High"/>
    <n v="206.88"/>
    <x v="105"/>
    <n v="9"/>
    <n v="4845.6680399999996"/>
    <n v="1271.3399999999999"/>
    <n v="3574.3280399999994"/>
    <n v="0.737633698902742"/>
  </r>
  <r>
    <s v="ORD-2023-704111"/>
    <d v="2023-05-17T00:00:00"/>
    <d v="2023-06-15T00:00:00"/>
    <n v="29"/>
    <s v="May-2023"/>
    <s v="Q2-2023"/>
    <x v="0"/>
    <s v="South Africa"/>
    <s v="Durban"/>
    <s v="Enterprise"/>
    <s v="Retail"/>
    <x v="11"/>
    <s v="Accessories"/>
    <s v="ACC-5206"/>
    <n v="40.89"/>
    <s v="Medium"/>
    <n v="62.82"/>
    <x v="31"/>
    <n v="17"/>
    <n v="30761.5425"/>
    <n v="695.13"/>
    <n v="30066.412499999999"/>
    <n v="0.97740262862306071"/>
  </r>
  <r>
    <s v="ORD-2024-356812"/>
    <d v="2024-03-07T00:00:00"/>
    <d v="2024-04-03T00:00:00"/>
    <n v="27"/>
    <s v="Mar-2024"/>
    <s v="Q1-2024"/>
    <x v="3"/>
    <s v="Germany"/>
    <s v="Frankfurt"/>
    <s v="Corporate"/>
    <s v="Direct"/>
    <x v="12"/>
    <s v="Printers"/>
    <s v="PRN-6911"/>
    <n v="738.16"/>
    <s v="High"/>
    <n v="956.49"/>
    <x v="136"/>
    <n v="5"/>
    <n v="733.01119999999992"/>
    <n v="3690.7999999999997"/>
    <n v="-2957.7887999999998"/>
    <n v="-4.0351208821911593"/>
  </r>
  <r>
    <s v="ORD-2025-306251"/>
    <d v="2025-04-10T00:00:00"/>
    <d v="2025-04-19T00:00:00"/>
    <n v="9"/>
    <s v="Apr-2025"/>
    <s v="Q2-2025"/>
    <x v="0"/>
    <s v="South Africa"/>
    <s v="Durban"/>
    <s v="Enterprise"/>
    <s v="Not Provided"/>
    <x v="3"/>
    <s v="Networking"/>
    <s v="NET-5270"/>
    <n v="113.74"/>
    <s v="Medium"/>
    <n v="165.7"/>
    <x v="213"/>
    <n v="13"/>
    <n v="31644.291119999994"/>
    <n v="1478.62"/>
    <n v="30165.671119999995"/>
    <n v="0.95327372022988777"/>
  </r>
  <r>
    <s v="ORD-2025-496178"/>
    <d v="2025-07-27T00:00:00"/>
    <d v="2025-08-15T00:00:00"/>
    <n v="19"/>
    <s v="Jul-2025"/>
    <s v="Q3-2025"/>
    <x v="1"/>
    <s v="Japan"/>
    <s v="Tokyo"/>
    <s v="Small Business"/>
    <s v="Marketplace"/>
    <x v="1"/>
    <s v="Components"/>
    <s v="CMP-5658"/>
    <n v="275.43"/>
    <s v="High"/>
    <n v="608.36"/>
    <x v="62"/>
    <n v="4"/>
    <n v="919.74484000000007"/>
    <n v="1101.72"/>
    <n v="-181.97515999999996"/>
    <n v="-0.19785396132257718"/>
  </r>
  <r>
    <s v="ORD-2024-508213"/>
    <d v="2024-11-22T00:00:00"/>
    <d v="2024-12-15T00:00:00"/>
    <n v="23"/>
    <s v="Nov-2024"/>
    <s v="Q4-2024"/>
    <x v="0"/>
    <s v="Kenya"/>
    <s v="Mombasa"/>
    <s v="Non-Profit"/>
    <s v="Distributor"/>
    <x v="0"/>
    <s v="Components"/>
    <s v="CMP-3938"/>
    <n v="1335.76"/>
    <s v="High"/>
    <n v="2665.91"/>
    <x v="126"/>
    <n v="40"/>
    <n v="21031.899600000001"/>
    <n v="53430.400000000001"/>
    <n v="-32398.500400000001"/>
    <n v="-1.5404457522229709"/>
  </r>
  <r>
    <s v="ORD-2024-787018"/>
    <d v="2024-06-23T00:00:00"/>
    <d v="2024-06-28T00:00:00"/>
    <n v="5"/>
    <s v="Jun-2024"/>
    <s v="Q2-2024"/>
    <x v="0"/>
    <s v="Nigeria"/>
    <s v="Port Harcourt"/>
    <s v="Non-Profit"/>
    <s v="Direct"/>
    <x v="12"/>
    <s v="Accessories"/>
    <s v="ACC-7671"/>
    <n v="242.31"/>
    <s v="High"/>
    <n v="587.95000000000005"/>
    <x v="83"/>
    <n v="6"/>
    <n v="3442.9930199999999"/>
    <n v="1453.8600000000001"/>
    <n v="1989.1330199999998"/>
    <n v="0.57773367777550699"/>
  </r>
  <r>
    <s v="ORD-2023-728177"/>
    <d v="2023-12-18T00:00:00"/>
    <d v="2024-01-14T00:00:00"/>
    <n v="27"/>
    <s v="Dec-2023"/>
    <s v="Q4-2023"/>
    <x v="1"/>
    <s v="India"/>
    <s v="Mumbai"/>
    <s v="Consumer"/>
    <s v="Distributor"/>
    <x v="14"/>
    <s v="Networking"/>
    <s v="NET-6014"/>
    <n v="1408.3"/>
    <s v="High"/>
    <n v="2193.13"/>
    <x v="88"/>
    <n v="7"/>
    <n v="82.523070000000004"/>
    <n v="9858.1"/>
    <n v="-9775.5769300000011"/>
    <n v="-118.45871621111527"/>
  </r>
  <r>
    <s v="ORD-2025-795385"/>
    <d v="2025-06-01T00:00:00"/>
    <d v="2025-06-05T00:00:00"/>
    <n v="4"/>
    <s v="Jun-2025"/>
    <s v="Q2-2025"/>
    <x v="3"/>
    <s v="Germany"/>
    <s v="Munich"/>
    <s v="Enterprise"/>
    <s v="Direct"/>
    <x v="12"/>
    <s v="Components"/>
    <s v="CMP-4159"/>
    <n v="1171.42"/>
    <s v="High"/>
    <n v="2187.8000000000002"/>
    <x v="214"/>
    <n v="15"/>
    <n v="7525.518"/>
    <n v="17571.300000000003"/>
    <n v="-10045.782000000003"/>
    <n v="-1.3348957506978261"/>
  </r>
  <r>
    <s v="ORD-2025-947929"/>
    <d v="2025-03-23T00:00:00"/>
    <d v="2025-04-02T00:00:00"/>
    <n v="10"/>
    <s v="Mar-2025"/>
    <s v="Q1-2025"/>
    <x v="3"/>
    <s v="Germany"/>
    <s v="Berlin"/>
    <s v="Enterprise"/>
    <s v="Online"/>
    <x v="6"/>
    <s v="Printers"/>
    <s v="PRN-3159"/>
    <n v="663.61"/>
    <s v="High"/>
    <n v="1002.11"/>
    <x v="215"/>
    <n v="17"/>
    <n v="12231.93996"/>
    <n v="11281.37"/>
    <n v="950.5699599999989"/>
    <n v="7.7712117874064429E-2"/>
  </r>
  <r>
    <s v="ORD-2023-931633"/>
    <d v="2023-05-14T00:00:00"/>
    <d v="2023-05-22T00:00:00"/>
    <n v="8"/>
    <s v="May-2023"/>
    <s v="Q2-2023"/>
    <x v="0"/>
    <s v="Kenya"/>
    <s v="Mombasa"/>
    <s v="Small Business"/>
    <s v="Distributor"/>
    <x v="9"/>
    <s v="Printers"/>
    <s v="PRN-9488"/>
    <n v="432.01"/>
    <s v="High"/>
    <n v="913.78"/>
    <x v="216"/>
    <n v="12"/>
    <n v="34019.286120000004"/>
    <n v="5184.12"/>
    <n v="28835.166120000005"/>
    <n v="0.84761232255981278"/>
  </r>
  <r>
    <s v="ORD-2023-243704"/>
    <d v="2023-08-29T00:00:00"/>
    <d v="2023-09-19T00:00:00"/>
    <n v="21"/>
    <s v="Aug-2023"/>
    <s v="Q3-2023"/>
    <x v="3"/>
    <s v="France"/>
    <s v="Lyon"/>
    <s v="Small Business"/>
    <s v="Direct"/>
    <x v="5"/>
    <s v="Printers"/>
    <s v="PRN-7079"/>
    <n v="784.46"/>
    <s v="High"/>
    <n v="1843.51"/>
    <x v="159"/>
    <n v="23"/>
    <n v="19353.546419999999"/>
    <n v="18042.580000000002"/>
    <n v="1310.966419999997"/>
    <n v="6.7737787770268371E-2"/>
  </r>
  <r>
    <s v="ORD-2025-779659"/>
    <d v="2025-07-03T00:00:00"/>
    <d v="2025-07-23T00:00:00"/>
    <n v="20"/>
    <s v="Jul-2025"/>
    <s v="Q3-2025"/>
    <x v="1"/>
    <s v="China"/>
    <s v="Beijing"/>
    <s v="Small Business"/>
    <s v="Online"/>
    <x v="12"/>
    <s v="Components"/>
    <s v="CMP-1220"/>
    <n v="647.36"/>
    <s v="High"/>
    <n v="1383.6"/>
    <x v="13"/>
    <n v="12"/>
    <n v="12733.240800000001"/>
    <n v="7768.32"/>
    <n v="4964.9208000000017"/>
    <n v="0.38991807961410746"/>
  </r>
  <r>
    <s v="ORD-2024-647571"/>
    <d v="2024-02-06T00:00:00"/>
    <d v="2024-02-28T00:00:00"/>
    <n v="22"/>
    <s v="Feb-2024"/>
    <s v="Q1-2024"/>
    <x v="0"/>
    <s v="Kenya"/>
    <s v="Kisumu"/>
    <s v="Non-Profit"/>
    <s v="Online"/>
    <x v="11"/>
    <s v="Monitors"/>
    <s v="MON-2462"/>
    <n v="834.93"/>
    <s v="High"/>
    <n v="1588.53"/>
    <x v="38"/>
    <n v="6"/>
    <n v="8549.7651600000008"/>
    <n v="5009.58"/>
    <n v="3540.1851600000009"/>
    <n v="0.4140681169305942"/>
  </r>
  <r>
    <s v="ORD-2025-683043"/>
    <d v="2025-08-13T00:00:00"/>
    <d v="2025-09-03T00:00:00"/>
    <n v="21"/>
    <s v="Aug-2025"/>
    <s v="Q3-2025"/>
    <x v="3"/>
    <s v="France"/>
    <s v="Paris"/>
    <s v="Education"/>
    <s v="Retail"/>
    <x v="2"/>
    <s v="Phones"/>
    <s v="PHN-9465"/>
    <n v="603.47"/>
    <s v="High"/>
    <n v="1344.05"/>
    <x v="44"/>
    <n v="18"/>
    <n v="13790.9763"/>
    <n v="10862.460000000001"/>
    <n v="2928.5162999999993"/>
    <n v="0.21235018002315031"/>
  </r>
  <r>
    <s v="ORD-2023-588455"/>
    <d v="2023-05-23T00:00:00"/>
    <d v="2023-05-25T00:00:00"/>
    <n v="2"/>
    <s v="May-2023"/>
    <s v="Q2-2023"/>
    <x v="2"/>
    <s v="Brazil"/>
    <s v="Rio de Janeiro"/>
    <s v="Enterprise"/>
    <s v="Retail"/>
    <x v="12"/>
    <s v="Printers"/>
    <s v="PRN-1271"/>
    <n v="690.49"/>
    <s v="High"/>
    <n v="1290.29"/>
    <x v="174"/>
    <n v="22"/>
    <n v="18794.101480000001"/>
    <n v="15190.78"/>
    <n v="3603.3214800000005"/>
    <n v="0.19172619046643566"/>
  </r>
  <r>
    <s v="ORD-2024-641220"/>
    <d v="2024-05-10T00:00:00"/>
    <d v="2024-05-16T00:00:00"/>
    <n v="6"/>
    <s v="May-2024"/>
    <s v="Q2-2024"/>
    <x v="3"/>
    <s v="United Kingdom"/>
    <s v="Birmingham"/>
    <s v="Non-Profit"/>
    <s v="Direct"/>
    <x v="3"/>
    <s v="Laptops"/>
    <s v="LAP-1066"/>
    <n v="210.76"/>
    <s v="High"/>
    <n v="221.58"/>
    <x v="25"/>
    <n v="5"/>
    <n v="7596.9201000000003"/>
    <n v="1053.8"/>
    <n v="6543.1201000000001"/>
    <n v="0.86128589137063583"/>
  </r>
  <r>
    <s v="ORD-2023-799597"/>
    <d v="2023-03-14T00:00:00"/>
    <d v="2023-03-18T00:00:00"/>
    <n v="4"/>
    <s v="Mar-2023"/>
    <s v="Q1-2023"/>
    <x v="3"/>
    <s v="Germany"/>
    <s v="Frankfurt"/>
    <s v="Enterprise"/>
    <s v="Direct"/>
    <x v="8"/>
    <s v="Components"/>
    <s v="CMP-8675"/>
    <n v="472.33"/>
    <s v="High"/>
    <n v="360.34"/>
    <x v="211"/>
    <n v="14"/>
    <n v="22462.4519"/>
    <n v="6612.62"/>
    <n v="15849.831900000001"/>
    <n v="0.70561450595693875"/>
  </r>
  <r>
    <s v="ORD-2023-569862"/>
    <d v="2023-07-16T00:00:00"/>
    <d v="2023-08-13T00:00:00"/>
    <n v="28"/>
    <s v="Jul-2023"/>
    <s v="Q3-2023"/>
    <x v="3"/>
    <s v="United Kingdom"/>
    <s v="Manchester"/>
    <s v="Non-Profit"/>
    <s v="Online"/>
    <x v="1"/>
    <s v="Laptops"/>
    <s v="LAP-1178"/>
    <n v="1039.03"/>
    <s v="High"/>
    <n v="2545.81"/>
    <x v="154"/>
    <n v="21"/>
    <n v="20043.767520000001"/>
    <n v="21819.63"/>
    <n v="-1775.8624799999998"/>
    <n v="-8.8599235559283701E-2"/>
  </r>
  <r>
    <s v="ORD-2023-609394"/>
    <d v="2023-04-16T00:00:00"/>
    <d v="2023-04-19T00:00:00"/>
    <n v="3"/>
    <s v="Apr-2023"/>
    <s v="Q2-2023"/>
    <x v="3"/>
    <s v="Germany"/>
    <s v="Munich"/>
    <s v="Corporate"/>
    <s v="Direct"/>
    <x v="5"/>
    <s v="Accessories"/>
    <s v="ACC-1731"/>
    <n v="553.61"/>
    <s v="High"/>
    <n v="699.47"/>
    <x v="113"/>
    <n v="33"/>
    <n v="31378.531800000001"/>
    <n v="18269.13"/>
    <n v="13109.4018"/>
    <n v="0.41778251078018885"/>
  </r>
  <r>
    <s v="ORD-2024-105586"/>
    <d v="2024-01-02T00:00:00"/>
    <d v="2024-01-15T00:00:00"/>
    <n v="13"/>
    <s v="Jan-2024"/>
    <s v="Q1-2024"/>
    <x v="1"/>
    <s v="Japan"/>
    <s v="Nagoya"/>
    <s v="Small Business"/>
    <s v="Marketplace"/>
    <x v="3"/>
    <s v="Networking"/>
    <s v="NET-1893"/>
    <n v="1219.06"/>
    <s v="High"/>
    <n v="2738.69"/>
    <x v="171"/>
    <n v="16"/>
    <n v="24019.121280000003"/>
    <n v="19504.96"/>
    <n v="4514.1612800000039"/>
    <n v="0.18794031752355611"/>
  </r>
  <r>
    <s v="ORD-2024-207792"/>
    <d v="2024-09-03T00:00:00"/>
    <d v="2024-09-07T00:00:00"/>
    <n v="4"/>
    <s v="Sept-2024"/>
    <s v="Q3-2024"/>
    <x v="1"/>
    <s v="Japan"/>
    <s v="Tokyo"/>
    <s v="Small Business"/>
    <s v="Distributor"/>
    <x v="13"/>
    <s v="Printers"/>
    <s v="PRN-3917"/>
    <n v="43.23"/>
    <s v="Medium"/>
    <n v="94.78"/>
    <x v="119"/>
    <n v="55"/>
    <n v="130292.46945000002"/>
    <n v="2377.6499999999996"/>
    <n v="127914.81945000002"/>
    <n v="0.98175143958790023"/>
  </r>
  <r>
    <s v="ORD-2025-417336"/>
    <d v="2025-08-30T00:00:00"/>
    <d v="2025-09-03T00:00:00"/>
    <n v="4"/>
    <s v="Aug-2025"/>
    <s v="Q3-2025"/>
    <x v="3"/>
    <s v="France"/>
    <s v="Marseille"/>
    <s v="Small Business"/>
    <s v="Marketplace"/>
    <x v="1"/>
    <s v="Laptops"/>
    <s v="LAP-3220"/>
    <n v="1286.56"/>
    <s v="High"/>
    <n v="2777.35"/>
    <x v="191"/>
    <n v="15"/>
    <n v="5660.0544"/>
    <n v="19298.399999999998"/>
    <n v="-13638.345599999997"/>
    <n v="-2.4095785369130014"/>
  </r>
  <r>
    <s v="ORD-2025-252117"/>
    <d v="2025-04-28T00:00:00"/>
    <d v="2025-05-19T00:00:00"/>
    <n v="21"/>
    <s v="Apr-2025"/>
    <s v="Q2-2025"/>
    <x v="3"/>
    <s v="Germany"/>
    <s v="Berlin"/>
    <s v="Corporate"/>
    <s v="Distributor"/>
    <x v="5"/>
    <s v="Phones"/>
    <s v="PHN-2462"/>
    <n v="350.76"/>
    <s v="High"/>
    <n v="492.18"/>
    <x v="114"/>
    <n v="11"/>
    <n v="19379.89097"/>
    <n v="3858.3599999999997"/>
    <n v="15521.53097"/>
    <n v="0.80090909665215726"/>
  </r>
  <r>
    <s v="ORD-2023-867175"/>
    <d v="2023-08-10T00:00:00"/>
    <d v="2023-08-15T00:00:00"/>
    <n v="5"/>
    <s v="Aug-2023"/>
    <s v="Q3-2023"/>
    <x v="2"/>
    <s v="Brazil"/>
    <s v="São Paulo"/>
    <s v="Education"/>
    <s v="Direct"/>
    <x v="3"/>
    <s v="Networking"/>
    <s v="NET-2894"/>
    <n v="1307.52"/>
    <s v="High"/>
    <n v="1921.65"/>
    <x v="82"/>
    <n v="13"/>
    <n v="9504.8996900000002"/>
    <n v="16997.759999999998"/>
    <n v="-7492.8603099999982"/>
    <n v="-0.78831555875157244"/>
  </r>
  <r>
    <s v="ORD-2024-382152"/>
    <d v="2024-12-08T00:00:00"/>
    <d v="2024-12-08T00:00:00"/>
    <n v="0"/>
    <s v="Dec-2024"/>
    <s v="Q4-2024"/>
    <x v="3"/>
    <s v="France"/>
    <s v="Lyon"/>
    <s v="Enterprise"/>
    <s v="Retail"/>
    <x v="10"/>
    <s v="Components"/>
    <s v="CMP-2335"/>
    <n v="257.44"/>
    <s v="High"/>
    <n v="290.33"/>
    <x v="77"/>
    <n v="23"/>
    <n v="6964.3963200000007"/>
    <n v="5921.12"/>
    <n v="1043.2763200000009"/>
    <n v="0.14980140015926044"/>
  </r>
  <r>
    <s v="ORD-2023-597666"/>
    <d v="2023-10-25T00:00:00"/>
    <d v="2023-11-24T00:00:00"/>
    <n v="30"/>
    <s v="Oct-2023"/>
    <s v="Q4-2023"/>
    <x v="3"/>
    <s v="France"/>
    <s v="Paris"/>
    <s v="Enterprise"/>
    <s v="Distributor"/>
    <x v="0"/>
    <s v="Phones"/>
    <s v="PHN-5938"/>
    <n v="287.85000000000002"/>
    <s v="High"/>
    <n v="602.91999999999996"/>
    <x v="217"/>
    <n v="11"/>
    <n v="15273.462600000001"/>
    <n v="3166.3500000000004"/>
    <n v="12107.1126"/>
    <n v="0.79268944554851628"/>
  </r>
  <r>
    <s v="ORD-2024-371409"/>
    <d v="2024-11-17T00:00:00"/>
    <d v="2024-11-28T00:00:00"/>
    <n v="11"/>
    <s v="Nov-2024"/>
    <s v="Q4-2024"/>
    <x v="2"/>
    <s v="Canada"/>
    <s v="Not Provided"/>
    <s v="Consumer"/>
    <s v="Distributor"/>
    <x v="8"/>
    <s v="Printers"/>
    <s v="PRN-1371"/>
    <n v="1008.16"/>
    <s v="High"/>
    <n v="2077.5"/>
    <x v="13"/>
    <n v="15"/>
    <n v="14894.108099999999"/>
    <n v="15122.4"/>
    <n v="-228.29190000000017"/>
    <n v="-1.5327665038230801E-2"/>
  </r>
  <r>
    <s v="ORD-2024-973420"/>
    <d v="2024-05-12T00:00:00"/>
    <d v="2024-05-24T00:00:00"/>
    <n v="12"/>
    <s v="May-2024"/>
    <s v="Q2-2024"/>
    <x v="3"/>
    <s v="United Kingdom"/>
    <s v="Manchester"/>
    <s v="Education"/>
    <s v="Marketplace"/>
    <x v="11"/>
    <s v="Printers"/>
    <s v="PRN-5813"/>
    <n v="111.02"/>
    <s v="Medium"/>
    <n v="172.88"/>
    <x v="115"/>
    <n v="29"/>
    <n v="70514.200349999999"/>
    <n v="3219.58"/>
    <n v="67294.620349999997"/>
    <n v="0.95434139529315387"/>
  </r>
  <r>
    <s v="ORD-2025-254721"/>
    <d v="2025-05-15T00:00:00"/>
    <d v="2025-06-05T00:00:00"/>
    <n v="21"/>
    <s v="May-2025"/>
    <s v="Q2-2025"/>
    <x v="1"/>
    <s v="Japan"/>
    <s v="Osaka"/>
    <s v="Enterprise"/>
    <s v="Direct"/>
    <x v="10"/>
    <s v="Phones"/>
    <s v="PHN-6480"/>
    <n v="1466.5"/>
    <s v="High"/>
    <n v="2778.74"/>
    <x v="157"/>
    <n v="4"/>
    <n v="3415.8503999999998"/>
    <n v="5866"/>
    <n v="-2450.1496000000002"/>
    <n v="-0.71728832152602473"/>
  </r>
  <r>
    <s v="ORD-2024-247032"/>
    <d v="2024-04-21T00:00:00"/>
    <d v="2024-05-19T00:00:00"/>
    <n v="28"/>
    <s v="Apr-2024"/>
    <s v="Q2-2024"/>
    <x v="0"/>
    <s v="Nigeria"/>
    <s v="Lagos"/>
    <s v="Corporate"/>
    <s v="Distributor"/>
    <x v="8"/>
    <s v="Accessories"/>
    <s v="ACC-2990"/>
    <n v="187.22"/>
    <s v="High"/>
    <n v="309.47000000000003"/>
    <x v="5"/>
    <n v="5"/>
    <n v="4877.1499999999996"/>
    <n v="936.1"/>
    <n v="3941.0499999999997"/>
    <n v="0.8080641358170243"/>
  </r>
  <r>
    <s v="ORD-2024-792353"/>
    <d v="2024-08-19T00:00:00"/>
    <d v="2024-09-07T00:00:00"/>
    <n v="19"/>
    <s v="Aug-2024"/>
    <s v="Q3-2024"/>
    <x v="3"/>
    <s v="France"/>
    <s v="Lyon"/>
    <s v="Corporate"/>
    <s v="Direct"/>
    <x v="1"/>
    <s v="Components"/>
    <s v="CMP-5435"/>
    <n v="297.58999999999997"/>
    <s v="High"/>
    <n v="666.41"/>
    <x v="5"/>
    <n v="10"/>
    <n v="1414.3000000000002"/>
    <n v="2975.8999999999996"/>
    <n v="-1561.5999999999995"/>
    <n v="-1.1041504631266346"/>
  </r>
  <r>
    <s v="ORD-2025-703623"/>
    <d v="2025-07-23T00:00:00"/>
    <d v="2025-08-19T00:00:00"/>
    <n v="27"/>
    <s v="Jul-2025"/>
    <s v="Q3-2025"/>
    <x v="1"/>
    <s v="Japan"/>
    <s v="Nagoya"/>
    <s v="Consumer"/>
    <s v="Marketplace"/>
    <x v="5"/>
    <s v="Accessories"/>
    <s v="ACC-1596"/>
    <n v="896.09"/>
    <s v="High"/>
    <n v="744.27"/>
    <x v="200"/>
    <n v="11"/>
    <n v="16395.611540000002"/>
    <n v="9856.99"/>
    <n v="6538.6215400000019"/>
    <n v="0.3988031507118765"/>
  </r>
  <r>
    <s v="ORD-2024-516704"/>
    <d v="2024-03-01T00:00:00"/>
    <d v="2024-02-29T00:00:00"/>
    <n v="1"/>
    <s v="Mar-2024"/>
    <s v="Q1-2024"/>
    <x v="2"/>
    <s v="Brazil"/>
    <s v="São Paulo"/>
    <s v="Non-Profit"/>
    <s v="Direct"/>
    <x v="2"/>
    <s v="Phones"/>
    <s v="PHN-7852"/>
    <n v="5.34"/>
    <s v="Low"/>
    <n v="12.69"/>
    <x v="191"/>
    <n v="10"/>
    <n v="2603.4792000000002"/>
    <n v="53.4"/>
    <n v="2550.0792000000001"/>
    <n v="0.97948898535467455"/>
  </r>
  <r>
    <s v="ORD-2024-578646"/>
    <d v="2024-05-27T00:00:00"/>
    <d v="2024-06-17T00:00:00"/>
    <n v="21"/>
    <s v="May-2024"/>
    <s v="Q2-2024"/>
    <x v="1"/>
    <s v="India"/>
    <s v="Delhi"/>
    <s v="Small Business"/>
    <s v="Online"/>
    <x v="10"/>
    <s v="Accessories"/>
    <s v="ACC-7240"/>
    <n v="465.02"/>
    <s v="High"/>
    <n v="651.55999999999995"/>
    <x v="174"/>
    <n v="19"/>
    <n v="27375.07992"/>
    <n v="8835.3799999999992"/>
    <n v="18539.699919999999"/>
    <n v="0.67724733495499501"/>
  </r>
  <r>
    <s v="ORD-2024-433936"/>
    <d v="2024-08-04T00:00:00"/>
    <d v="2024-08-17T00:00:00"/>
    <n v="13"/>
    <s v="Aug-2024"/>
    <s v="Q3-2024"/>
    <x v="2"/>
    <s v="USA"/>
    <s v="Austin"/>
    <s v="Consumer"/>
    <s v="Retail"/>
    <x v="14"/>
    <s v="Monitors"/>
    <s v="MON-8867"/>
    <n v="352.79"/>
    <s v="High"/>
    <n v="754.22"/>
    <x v="139"/>
    <n v="7"/>
    <n v="19254.791990000002"/>
    <n v="2469.5300000000002"/>
    <n v="16785.261990000003"/>
    <n v="0.87174465445887173"/>
  </r>
  <r>
    <s v="ORD-2023-434071"/>
    <d v="2023-06-20T00:00:00"/>
    <d v="2023-07-04T00:00:00"/>
    <n v="14"/>
    <s v="Jun-2023"/>
    <s v="Q2-2023"/>
    <x v="2"/>
    <s v="Brazil"/>
    <s v="Brasília"/>
    <s v="Non-Profit"/>
    <s v="Direct"/>
    <x v="0"/>
    <s v="Networking"/>
    <s v="NET-1228"/>
    <n v="1292.8599999999999"/>
    <s v="High"/>
    <n v="2981.01"/>
    <x v="56"/>
    <n v="12"/>
    <n v="10084.108319999999"/>
    <n v="15514.32"/>
    <n v="-5430.2116800000003"/>
    <n v="-0.5384920022358507"/>
  </r>
  <r>
    <s v="ORD-2024-728474"/>
    <d v="2024-09-09T00:00:00"/>
    <d v="2024-09-13T00:00:00"/>
    <n v="4"/>
    <s v="Sept-2024"/>
    <s v="Q3-2024"/>
    <x v="3"/>
    <s v="United Kingdom"/>
    <s v="London"/>
    <s v="Consumer"/>
    <s v="Marketplace"/>
    <x v="9"/>
    <s v="Networking"/>
    <s v="NET-1145"/>
    <n v="1133.08"/>
    <s v="High"/>
    <n v="976.17"/>
    <x v="174"/>
    <n v="27"/>
    <n v="30683.801159999999"/>
    <n v="30593.159999999996"/>
    <n v="90.641160000002856"/>
    <n v="2.9540394792469337E-3"/>
  </r>
  <r>
    <s v="ORD-2023-406606"/>
    <d v="2023-10-25T00:00:00"/>
    <d v="2023-10-28T00:00:00"/>
    <n v="3"/>
    <s v="Oct-2023"/>
    <s v="Q4-2023"/>
    <x v="2"/>
    <s v="Brazil"/>
    <s v="Brasília"/>
    <s v="Corporate"/>
    <s v="Distributor"/>
    <x v="4"/>
    <s v="Accessories"/>
    <s v="ACC-2867"/>
    <n v="509.31"/>
    <s v="High"/>
    <n v="1145.9000000000001"/>
    <x v="92"/>
    <n v="8"/>
    <n v="14622.761519999998"/>
    <n v="4074.48"/>
    <n v="10548.281519999999"/>
    <n v="0.7213604287789821"/>
  </r>
  <r>
    <s v="ORD-2025-823055"/>
    <d v="2025-09-08T00:00:00"/>
    <d v="2025-10-05T00:00:00"/>
    <n v="27"/>
    <s v="Sept-2025"/>
    <s v="Q3-2025"/>
    <x v="2"/>
    <s v="Brazil"/>
    <s v="Rio de Janeiro"/>
    <s v="Education"/>
    <s v="Online"/>
    <x v="0"/>
    <s v="Monitors"/>
    <s v="MON-9274"/>
    <n v="660.78"/>
    <s v="High"/>
    <n v="1630.39"/>
    <x v="218"/>
    <n v="13"/>
    <n v="8401.8940200000015"/>
    <n v="8590.14"/>
    <n v="-188.24597999999787"/>
    <n v="-2.2405183825443903E-2"/>
  </r>
  <r>
    <s v="ORD-2023-573656"/>
    <d v="2023-05-02T00:00:00"/>
    <d v="2023-05-16T00:00:00"/>
    <n v="14"/>
    <s v="May-2023"/>
    <s v="Q2-2023"/>
    <x v="1"/>
    <s v="India"/>
    <s v="Bengaluru"/>
    <s v="Non-Profit"/>
    <s v="Retail"/>
    <x v="4"/>
    <s v="Monitors"/>
    <s v="MON-4830"/>
    <n v="475.37"/>
    <s v="High"/>
    <n v="963.73"/>
    <x v="208"/>
    <n v="22"/>
    <n v="2493.1506600000002"/>
    <n v="10458.14"/>
    <n v="-7964.9893399999992"/>
    <n v="-3.194748503485946"/>
  </r>
  <r>
    <s v="ORD-2024-567435"/>
    <d v="2024-04-26T00:00:00"/>
    <d v="2024-04-24T00:00:00"/>
    <n v="2"/>
    <s v="Apr-2024"/>
    <s v="Q2-2024"/>
    <x v="3"/>
    <s v="United Kingdom"/>
    <s v="London"/>
    <s v="Non-Profit"/>
    <s v="Distributor"/>
    <x v="13"/>
    <s v="Phones"/>
    <s v="PHN-9107"/>
    <n v="1232.77"/>
    <s v="High"/>
    <n v="891.73"/>
    <x v="150"/>
    <n v="10"/>
    <n v="11877.497099999999"/>
    <n v="12327.7"/>
    <n v="-450.20290000000205"/>
    <n v="-3.7903852655960836E-2"/>
  </r>
  <r>
    <s v="ORD-2023-744942"/>
    <d v="2023-02-23T00:00:00"/>
    <d v="2023-03-18T00:00:00"/>
    <n v="23"/>
    <s v="Feb-2023"/>
    <s v="Q1-2023"/>
    <x v="1"/>
    <s v="China"/>
    <s v="Beijing"/>
    <s v="Education"/>
    <s v="Distributor"/>
    <x v="11"/>
    <s v="Printers"/>
    <s v="PRN-1060"/>
    <n v="770.11"/>
    <s v="High"/>
    <n v="1667.82"/>
    <x v="90"/>
    <n v="7"/>
    <n v="10393.181259999999"/>
    <n v="5390.77"/>
    <n v="5002.4112599999989"/>
    <n v="0.48131665703288229"/>
  </r>
  <r>
    <s v="ORD-2025-331237"/>
    <d v="2025-03-24T00:00:00"/>
    <d v="2025-03-25T00:00:00"/>
    <n v="1"/>
    <s v="Mar-2025"/>
    <s v="Q1-2025"/>
    <x v="1"/>
    <s v="China"/>
    <s v="Beijing"/>
    <s v="Non-Profit"/>
    <s v="Online"/>
    <x v="3"/>
    <s v="Networking"/>
    <s v="NET-8329"/>
    <n v="1133.03"/>
    <s v="High"/>
    <n v="1921.51"/>
    <x v="27"/>
    <n v="5"/>
    <n v="15022.784449999999"/>
    <n v="5665.15"/>
    <n v="9357.6344499999996"/>
    <n v="0.62289614026912299"/>
  </r>
  <r>
    <s v="ORD-2025-680118"/>
    <d v="2025-03-10T00:00:00"/>
    <d v="2025-03-27T00:00:00"/>
    <n v="17"/>
    <s v="Mar-2025"/>
    <s v="Q1-2025"/>
    <x v="2"/>
    <s v="Brazil"/>
    <s v="Rio de Janeiro"/>
    <s v="Enterprise"/>
    <s v="Direct"/>
    <x v="9"/>
    <s v="Networking"/>
    <s v="NET-6269"/>
    <n v="996.73"/>
    <s v="High"/>
    <n v="1217.43"/>
    <x v="68"/>
    <n v="9"/>
    <n v="8953.9748999999993"/>
    <n v="8970.57"/>
    <n v="-16.595100000000457"/>
    <n v="-1.8533779897015859E-3"/>
  </r>
  <r>
    <s v="ORD-2024-310809"/>
    <d v="2024-04-05T00:00:00"/>
    <d v="2024-04-09T00:00:00"/>
    <n v="4"/>
    <s v="Apr-2024"/>
    <s v="Q2-2024"/>
    <x v="0"/>
    <s v="Nigeria"/>
    <s v="Lagos"/>
    <s v="Non-Profit"/>
    <s v="Direct"/>
    <x v="11"/>
    <s v="Components"/>
    <s v="CMP-6529"/>
    <n v="395.07"/>
    <s v="High"/>
    <n v="970.27"/>
    <x v="82"/>
    <n v="38"/>
    <n v="4692.9673199999997"/>
    <n v="15012.66"/>
    <n v="-10319.69268"/>
    <n v="-2.1989696446469185"/>
  </r>
  <r>
    <s v="ORD-2025-474368"/>
    <d v="2025-04-27T00:00:00"/>
    <d v="2025-05-17T00:00:00"/>
    <n v="20"/>
    <s v="Apr-2025"/>
    <s v="Q2-2025"/>
    <x v="2"/>
    <s v="USA"/>
    <s v="Austin"/>
    <s v="Corporate"/>
    <s v="Direct"/>
    <x v="13"/>
    <s v="Phones"/>
    <s v="PHN-8776"/>
    <n v="932.26"/>
    <s v="High"/>
    <n v="1624.67"/>
    <x v="146"/>
    <n v="28"/>
    <n v="1435.9968000000001"/>
    <n v="26103.279999999999"/>
    <n v="-24667.283199999998"/>
    <n v="-17.177812095402995"/>
  </r>
  <r>
    <s v="ORD-2024-732543"/>
    <d v="2024-10-24T00:00:00"/>
    <d v="2024-10-28T00:00:00"/>
    <n v="4"/>
    <s v="Oct-2024"/>
    <s v="Q4-2024"/>
    <x v="1"/>
    <s v="China"/>
    <s v="Shanghai"/>
    <s v="Small Business"/>
    <s v="Distributor"/>
    <x v="2"/>
    <s v="Networking"/>
    <s v="NET-3728"/>
    <n v="1331.77"/>
    <s v="High"/>
    <n v="2606.11"/>
    <x v="113"/>
    <n v="6"/>
    <n v="7506.8196000000007"/>
    <n v="7990.62"/>
    <n v="-483.80039999999917"/>
    <n v="-6.444811861470591E-2"/>
  </r>
  <r>
    <s v="ORD-2023-867166"/>
    <d v="2023-04-13T00:00:00"/>
    <d v="2023-04-20T00:00:00"/>
    <n v="7"/>
    <s v="Apr-2023"/>
    <s v="Q2-2023"/>
    <x v="3"/>
    <s v="France"/>
    <s v="Lyon"/>
    <s v="Small Business"/>
    <s v="Online"/>
    <x v="8"/>
    <s v="Laptops"/>
    <s v="LAP-3565"/>
    <n v="227.02"/>
    <s v="High"/>
    <n v="434.72"/>
    <x v="199"/>
    <n v="10"/>
    <n v="25448.667200000004"/>
    <n v="2270.2000000000003"/>
    <n v="23178.467200000003"/>
    <n v="0.91079297072186161"/>
  </r>
  <r>
    <s v="ORD-2024-776337"/>
    <d v="2024-11-12T00:00:00"/>
    <d v="2024-11-21T00:00:00"/>
    <n v="9"/>
    <s v="Nov-2024"/>
    <s v="Q4-2024"/>
    <x v="1"/>
    <s v="India"/>
    <s v="Mumbai"/>
    <s v="Corporate"/>
    <s v="Direct"/>
    <x v="10"/>
    <s v="Laptops"/>
    <s v="LAP-5078"/>
    <n v="903.41"/>
    <s v="High"/>
    <n v="1860.41"/>
    <x v="86"/>
    <n v="5"/>
    <n v="6953.9874000000009"/>
    <n v="4517.05"/>
    <n v="2436.9374000000007"/>
    <n v="0.35043741954436103"/>
  </r>
  <r>
    <s v="ORD-2023-913592"/>
    <d v="2023-05-10T00:00:00"/>
    <d v="2023-05-14T00:00:00"/>
    <n v="4"/>
    <s v="May-2023"/>
    <s v="Q2-2023"/>
    <x v="1"/>
    <s v="India"/>
    <s v="Delhi"/>
    <s v="Non-Profit"/>
    <s v="Distributor"/>
    <x v="0"/>
    <s v="Monitors"/>
    <s v="MON-2465"/>
    <n v="622.6"/>
    <s v="High"/>
    <n v="833.69"/>
    <x v="219"/>
    <n v="14"/>
    <n v="7271.8528400000005"/>
    <n v="8716.4"/>
    <n v="-1444.5471599999992"/>
    <n v="-0.19864911897749557"/>
  </r>
  <r>
    <s v="ORD-2024-961501"/>
    <d v="2024-03-02T00:00:00"/>
    <d v="2024-03-23T00:00:00"/>
    <n v="21"/>
    <s v="Mar-2024"/>
    <s v="Q1-2024"/>
    <x v="2"/>
    <s v="USA"/>
    <s v="Chicago"/>
    <s v="Small Business"/>
    <s v="Online"/>
    <x v="9"/>
    <s v="Components"/>
    <s v="CMP-3223"/>
    <n v="225.01"/>
    <s v="High"/>
    <n v="333.48"/>
    <x v="45"/>
    <n v="12"/>
    <n v="28098.68448"/>
    <n v="2700.12"/>
    <n v="25398.564480000001"/>
    <n v="0.90390582157246957"/>
  </r>
  <r>
    <s v="ORD-2024-964950"/>
    <d v="2024-10-10T00:00:00"/>
    <d v="2024-10-11T00:00:00"/>
    <n v="1"/>
    <s v="Oct-2024"/>
    <s v="Q4-2024"/>
    <x v="3"/>
    <s v="United Kingdom"/>
    <s v="Manchester"/>
    <s v="Non-Profit"/>
    <s v="Distributor"/>
    <x v="4"/>
    <s v="Components"/>
    <s v="CMP-8127"/>
    <n v="1389.46"/>
    <s v="High"/>
    <n v="1784.7"/>
    <x v="34"/>
    <n v="33"/>
    <n v="40152.022679999995"/>
    <n v="45852.18"/>
    <n v="-5700.1573200000057"/>
    <n v="-0.14196438783242904"/>
  </r>
  <r>
    <s v="ORD-2023-349264"/>
    <d v="2023-06-01T00:00:00"/>
    <d v="2023-06-08T00:00:00"/>
    <n v="7"/>
    <s v="Jun-2023"/>
    <s v="Q2-2023"/>
    <x v="3"/>
    <s v="Germany"/>
    <s v="Frankfurt"/>
    <s v="Consumer"/>
    <s v="Online"/>
    <x v="8"/>
    <s v="Phones"/>
    <s v="PHN-1924"/>
    <n v="804.17"/>
    <s v="High"/>
    <n v="1072.29"/>
    <x v="195"/>
    <n v="5"/>
    <n v="11222.701599999999"/>
    <n v="4020.85"/>
    <n v="7201.8515999999981"/>
    <n v="0.64172174015568584"/>
  </r>
  <r>
    <s v="ORD-2025-137394"/>
    <d v="2025-01-04T00:00:00"/>
    <d v="2025-01-05T00:00:00"/>
    <n v="1"/>
    <s v="Jan-2025"/>
    <s v="Q1-2025"/>
    <x v="1"/>
    <s v="India"/>
    <s v="Delhi"/>
    <s v="Education"/>
    <s v="Retail"/>
    <x v="2"/>
    <s v="Components"/>
    <s v="CMP-1156"/>
    <n v="1428.33"/>
    <s v="High"/>
    <n v="3028.05"/>
    <x v="5"/>
    <n v="11"/>
    <n v="4033.7"/>
    <n v="15711.63"/>
    <n v="-11677.93"/>
    <n v="-2.8950913553313335"/>
  </r>
  <r>
    <s v="ORD-2025-635337"/>
    <d v="2025-08-05T00:00:00"/>
    <d v="2025-08-28T00:00:00"/>
    <n v="23"/>
    <s v="Aug-2025"/>
    <s v="Q3-2025"/>
    <x v="1"/>
    <s v="India"/>
    <s v="Mumbai"/>
    <s v="Non-Profit"/>
    <s v="Distributor"/>
    <x v="13"/>
    <s v="Laptops"/>
    <s v="LAP-3905"/>
    <n v="638.54"/>
    <s v="High"/>
    <n v="987.24"/>
    <x v="5"/>
    <n v="11"/>
    <n v="30771.51"/>
    <n v="7023.94"/>
    <n v="23747.57"/>
    <n v="0.77173885844406076"/>
  </r>
  <r>
    <s v="ORD-2023-568013"/>
    <d v="2023-09-30T00:00:00"/>
    <d v="2023-10-30T00:00:00"/>
    <n v="0"/>
    <s v="Sept-2023"/>
    <s v="Q3-2023"/>
    <x v="1"/>
    <s v="Japan"/>
    <s v="Tokyo"/>
    <s v="Enterprise"/>
    <s v="Online"/>
    <x v="14"/>
    <s v="Printers"/>
    <s v="PRN-1786"/>
    <n v="649.13"/>
    <s v="High"/>
    <n v="975.43"/>
    <x v="87"/>
    <n v="27"/>
    <n v="50294.07125999999"/>
    <n v="17526.509999999998"/>
    <n v="32767.561259999991"/>
    <n v="0.65151936280133227"/>
  </r>
  <r>
    <s v="ORD-2025-828263"/>
    <d v="2025-05-17T00:00:00"/>
    <d v="2025-05-30T00:00:00"/>
    <n v="13"/>
    <s v="May-2025"/>
    <s v="Q2-2025"/>
    <x v="0"/>
    <s v="Nigeria"/>
    <s v="Lagos"/>
    <s v="Consumer"/>
    <s v="Distributor"/>
    <x v="9"/>
    <s v="Accessories"/>
    <s v="ACC-3349"/>
    <n v="66.400000000000006"/>
    <s v="Medium"/>
    <n v="141.43"/>
    <x v="105"/>
    <n v="8"/>
    <n v="5994.1017599999996"/>
    <n v="531.20000000000005"/>
    <n v="5462.9017599999997"/>
    <n v="0.91137954921873066"/>
  </r>
  <r>
    <s v="ORD-2024-402240"/>
    <d v="2024-05-01T00:00:00"/>
    <d v="2024-05-26T00:00:00"/>
    <n v="25"/>
    <s v="May-2024"/>
    <s v="Q2-2024"/>
    <x v="3"/>
    <s v="Germany"/>
    <s v="Berlin"/>
    <s v="Non-Profit"/>
    <s v="Retail"/>
    <x v="5"/>
    <s v="Networking"/>
    <s v="NET-4228"/>
    <n v="930.71"/>
    <s v="High"/>
    <n v="1625.42"/>
    <x v="159"/>
    <n v="7"/>
    <n v="6873.6311000000005"/>
    <n v="6514.97"/>
    <n v="358.66110000000026"/>
    <n v="5.2179276830844216E-2"/>
  </r>
  <r>
    <s v="ORD-2023-125739"/>
    <d v="2023-05-01T00:00:00"/>
    <d v="2023-05-18T00:00:00"/>
    <n v="17"/>
    <s v="May-2023"/>
    <s v="Q2-2023"/>
    <x v="0"/>
    <s v="Nigeria"/>
    <s v="Port Harcourt"/>
    <s v="Corporate"/>
    <s v="Direct"/>
    <x v="9"/>
    <s v="Components"/>
    <s v="CMP-5633"/>
    <n v="327.97"/>
    <s v="High"/>
    <n v="299.94"/>
    <x v="216"/>
    <n v="3"/>
    <n v="4884.4215899999999"/>
    <n v="983.91000000000008"/>
    <n v="3900.5115900000001"/>
    <n v="0.79856161433435968"/>
  </r>
  <r>
    <s v="ORD-2024-892879"/>
    <d v="2024-07-09T00:00:00"/>
    <d v="2024-08-08T00:00:00"/>
    <n v="30"/>
    <s v="Jul-2024"/>
    <s v="Q3-2024"/>
    <x v="3"/>
    <s v="France"/>
    <s v="Marseille"/>
    <s v="Corporate"/>
    <s v="Direct"/>
    <x v="1"/>
    <s v="Components"/>
    <s v="CMP-5825"/>
    <n v="1062.3800000000001"/>
    <s v="High"/>
    <n v="1503.96"/>
    <x v="79"/>
    <n v="6"/>
    <n v="5187.1068000000005"/>
    <n v="6374.2800000000007"/>
    <n v="-1187.1732000000002"/>
    <n v="-0.22887001285572142"/>
  </r>
  <r>
    <s v="ORD-2023-472050"/>
    <d v="2023-05-10T00:00:00"/>
    <d v="2023-05-27T00:00:00"/>
    <n v="17"/>
    <s v="May-2023"/>
    <s v="Q2-2023"/>
    <x v="1"/>
    <s v="India"/>
    <s v="Mumbai"/>
    <s v="Consumer"/>
    <s v="Retail"/>
    <x v="12"/>
    <s v="Laptops"/>
    <s v="LAP-6499"/>
    <n v="1286.1600000000001"/>
    <s v="High"/>
    <n v="3101.11"/>
    <x v="165"/>
    <n v="23"/>
    <n v="50740.254000000001"/>
    <n v="29581.68"/>
    <n v="21158.574000000001"/>
    <n v="0.41699779429562966"/>
  </r>
  <r>
    <s v="ORD-2024-468615"/>
    <d v="2024-07-09T00:00:00"/>
    <d v="2024-07-12T00:00:00"/>
    <n v="3"/>
    <s v="Jul-2024"/>
    <s v="Q3-2024"/>
    <x v="1"/>
    <s v="China"/>
    <s v="Shanghai"/>
    <s v="Small Business"/>
    <s v="Retail"/>
    <x v="14"/>
    <s v="Accessories"/>
    <s v="ACC-3721"/>
    <n v="748.39"/>
    <s v="High"/>
    <n v="979.42"/>
    <x v="5"/>
    <n v="23"/>
    <n v="28777.83"/>
    <n v="17212.97"/>
    <n v="11564.86"/>
    <n v="0.401866992751017"/>
  </r>
  <r>
    <s v="ORD-2024-833375"/>
    <d v="2024-04-24T00:00:00"/>
    <d v="2024-05-10T00:00:00"/>
    <n v="16"/>
    <s v="Apr-2024"/>
    <s v="Q2-2024"/>
    <x v="0"/>
    <s v="Kenya"/>
    <s v="Kisumu"/>
    <s v="Non-Profit"/>
    <s v="Online"/>
    <x v="13"/>
    <s v="Monitors"/>
    <s v="MON-6190"/>
    <n v="513.30999999999995"/>
    <s v="High"/>
    <n v="1186.26"/>
    <x v="12"/>
    <n v="15"/>
    <n v="15014.232"/>
    <n v="7699.65"/>
    <n v="7314.5820000000003"/>
    <n v="0.48717656687335059"/>
  </r>
  <r>
    <s v="ORD-2024-206311"/>
    <d v="2024-01-13T00:00:00"/>
    <d v="2024-01-15T00:00:00"/>
    <n v="2"/>
    <s v="Jan-2024"/>
    <s v="Q1-2024"/>
    <x v="2"/>
    <s v="USA"/>
    <s v="San Francisco"/>
    <s v="Non-Profit"/>
    <s v="Direct"/>
    <x v="6"/>
    <s v="Components"/>
    <s v="CMP-2410"/>
    <n v="1061.3699999999999"/>
    <s v="High"/>
    <n v="1938.33"/>
    <x v="189"/>
    <n v="4"/>
    <n v="7912.9211999999989"/>
    <n v="4245.4799999999996"/>
    <n v="3667.4411999999993"/>
    <n v="0.46347500591816837"/>
  </r>
  <r>
    <s v="ORD-2024-364080"/>
    <d v="2024-04-16T00:00:00"/>
    <d v="2024-04-27T00:00:00"/>
    <n v="11"/>
    <s v="Apr-2024"/>
    <s v="Q2-2024"/>
    <x v="0"/>
    <s v="Kenya"/>
    <s v="Nakuru"/>
    <s v="Enterprise"/>
    <s v="Online"/>
    <x v="14"/>
    <s v="Printers"/>
    <s v="PRN-2641"/>
    <n v="401.3"/>
    <s v="High"/>
    <n v="826.47"/>
    <x v="152"/>
    <n v="13"/>
    <n v="2146.5795000000003"/>
    <n v="5216.9000000000005"/>
    <n v="-3070.3205000000003"/>
    <n v="-1.4303316043034977"/>
  </r>
  <r>
    <s v="ORD-2025-460466"/>
    <d v="2025-02-07T00:00:00"/>
    <d v="2025-02-16T00:00:00"/>
    <n v="9"/>
    <s v="Feb-2025"/>
    <s v="Q1-2025"/>
    <x v="0"/>
    <s v="Nigeria"/>
    <s v="Lagos"/>
    <s v="Small Business"/>
    <s v="Distributor"/>
    <x v="0"/>
    <s v="Printers"/>
    <s v="PRN-1882"/>
    <n v="90.68"/>
    <s v="Medium"/>
    <n v="118.17"/>
    <x v="157"/>
    <n v="21"/>
    <n v="36886.575600000004"/>
    <n v="1904.2800000000002"/>
    <n v="34982.295600000005"/>
    <n v="0.94837471440422894"/>
  </r>
  <r>
    <s v="ORD-2023-700699"/>
    <d v="2023-01-12T00:00:00"/>
    <d v="2023-01-26T00:00:00"/>
    <n v="14"/>
    <s v="Jan-2023"/>
    <s v="Q1-2023"/>
    <x v="1"/>
    <s v="China"/>
    <s v="Shenzhen"/>
    <s v="Non-Profit"/>
    <s v="Retail"/>
    <x v="12"/>
    <s v="Printers"/>
    <s v="PRN-1641"/>
    <n v="1083.0899999999999"/>
    <s v="High"/>
    <n v="1425.87"/>
    <x v="5"/>
    <n v="8"/>
    <n v="7653.6"/>
    <n v="8664.7199999999993"/>
    <n v="-1011.119999999999"/>
    <n v="-0.13211037942928805"/>
  </r>
  <r>
    <s v="ORD-2024-713332"/>
    <d v="2024-06-05T00:00:00"/>
    <d v="2024-06-23T00:00:00"/>
    <n v="18"/>
    <s v="Jun-2024"/>
    <s v="Q2-2024"/>
    <x v="0"/>
    <s v="Kenya"/>
    <s v="Nairobi"/>
    <s v="Consumer"/>
    <s v="Distributor"/>
    <x v="14"/>
    <s v="Laptops"/>
    <s v="LAP-1739"/>
    <n v="1208.74"/>
    <s v="High"/>
    <n v="1594.78"/>
    <x v="163"/>
    <n v="39"/>
    <n v="53128.40832000001"/>
    <n v="47140.86"/>
    <n v="5987.548320000009"/>
    <n v="0.11269956148387032"/>
  </r>
  <r>
    <s v="ORD-2023-640022"/>
    <d v="2023-08-24T00:00:00"/>
    <d v="2023-09-20T00:00:00"/>
    <n v="27"/>
    <s v="Aug-2023"/>
    <s v="Q3-2023"/>
    <x v="0"/>
    <s v="South Africa"/>
    <s v="Durban"/>
    <s v="Small Business"/>
    <s v="Marketplace"/>
    <x v="12"/>
    <s v="Printers"/>
    <s v="PRN-4732"/>
    <n v="1399.64"/>
    <s v="High"/>
    <n v="3342.11"/>
    <x v="5"/>
    <n v="10"/>
    <n v="29496.199999999997"/>
    <n v="13996.400000000001"/>
    <n v="15499.799999999996"/>
    <n v="0.52548463869922213"/>
  </r>
  <r>
    <s v="ORD-2024-532184"/>
    <d v="2024-01-25T00:00:00"/>
    <d v="2024-02-08T00:00:00"/>
    <n v="14"/>
    <s v="Jan-2024"/>
    <s v="Q1-2024"/>
    <x v="1"/>
    <s v="Japan"/>
    <s v="Osaka"/>
    <s v="Consumer"/>
    <s v="Marketplace"/>
    <x v="2"/>
    <s v="Networking"/>
    <s v="NET-9569"/>
    <n v="937.16"/>
    <s v="High"/>
    <n v="1069.77"/>
    <x v="16"/>
    <n v="9"/>
    <n v="22342.575059999999"/>
    <n v="8434.44"/>
    <n v="13908.135059999999"/>
    <n v="0.62249472241450754"/>
  </r>
  <r>
    <s v="ORD-2025-926547"/>
    <d v="2025-03-11T00:00:00"/>
    <d v="2025-03-26T00:00:00"/>
    <n v="15"/>
    <s v="Mar-2025"/>
    <s v="Q1-2025"/>
    <x v="3"/>
    <s v="Germany"/>
    <s v="Berlin"/>
    <s v="Small Business"/>
    <s v="Online"/>
    <x v="2"/>
    <s v="Phones"/>
    <s v="PHN-3007"/>
    <n v="116.97"/>
    <s v="Medium"/>
    <n v="140.82"/>
    <x v="153"/>
    <n v="5"/>
    <n v="8687.4149000000016"/>
    <n v="584.85"/>
    <n v="8102.5649000000012"/>
    <n v="0.93267847723032082"/>
  </r>
  <r>
    <s v="ORD-2025-778145"/>
    <d v="2025-04-22T00:00:00"/>
    <d v="2025-05-12T00:00:00"/>
    <n v="20"/>
    <s v="Apr-2025"/>
    <s v="Q2-2025"/>
    <x v="3"/>
    <s v="France"/>
    <s v="Lyon"/>
    <s v="Enterprise"/>
    <s v="Marketplace"/>
    <x v="11"/>
    <s v="Monitors"/>
    <s v="MON-9216"/>
    <n v="59.51"/>
    <s v="Medium"/>
    <n v="67.040000000000006"/>
    <x v="60"/>
    <n v="9"/>
    <n v="11813.082300000002"/>
    <n v="535.59"/>
    <n v="11277.492300000002"/>
    <n v="0.95466128260191674"/>
  </r>
  <r>
    <s v="ORD-2023-525643"/>
    <d v="2023-08-17T00:00:00"/>
    <d v="2023-09-03T00:00:00"/>
    <n v="17"/>
    <s v="Aug-2023"/>
    <s v="Q3-2023"/>
    <x v="0"/>
    <s v="South Africa"/>
    <s v="Durban"/>
    <s v="Enterprise"/>
    <s v="Retail"/>
    <x v="8"/>
    <s v="Phones"/>
    <s v="PHN-8072"/>
    <n v="676.37"/>
    <s v="High"/>
    <n v="1276.67"/>
    <x v="72"/>
    <n v="10"/>
    <n v="15494.3128"/>
    <n v="6763.7"/>
    <n v="8730.612799999999"/>
    <n v="0.56347208893317291"/>
  </r>
  <r>
    <s v="ORD-2025-312803"/>
    <d v="2025-06-24T00:00:00"/>
    <d v="2025-07-14T00:00:00"/>
    <n v="20"/>
    <s v="Jun-2025"/>
    <s v="Q2-2025"/>
    <x v="0"/>
    <s v="South Africa"/>
    <s v="Johannesburg"/>
    <s v="Enterprise"/>
    <s v="Marketplace"/>
    <x v="1"/>
    <s v="Laptops"/>
    <s v="LAP-1308"/>
    <n v="1151.06"/>
    <s v="High"/>
    <n v="2821.36"/>
    <x v="220"/>
    <n v="20"/>
    <n v="9059.1936000000005"/>
    <n v="23021.199999999997"/>
    <n v="-13962.006399999997"/>
    <n v="-1.5411974858336173"/>
  </r>
  <r>
    <s v="ORD-2025-149156"/>
    <d v="2025-01-10T00:00:00"/>
    <d v="2025-02-06T00:00:00"/>
    <n v="27"/>
    <s v="Jan-2025"/>
    <s v="Q1-2025"/>
    <x v="2"/>
    <s v="Brazil"/>
    <s v="Brasília"/>
    <s v="Non-Profit"/>
    <s v="Retail"/>
    <x v="5"/>
    <s v="Laptops"/>
    <s v="LAP-7353"/>
    <n v="725.62"/>
    <s v="High"/>
    <n v="1559.19"/>
    <x v="197"/>
    <n v="12"/>
    <n v="5128.6608000000006"/>
    <n v="8707.44"/>
    <n v="-3578.7791999999999"/>
    <n v="-0.69779994028850567"/>
  </r>
  <r>
    <s v="ORD-2023-215819"/>
    <d v="2023-07-01T00:00:00"/>
    <d v="2023-07-11T00:00:00"/>
    <n v="10"/>
    <s v="Jul-2023"/>
    <s v="Q3-2023"/>
    <x v="3"/>
    <s v="France"/>
    <s v="Paris"/>
    <s v="Corporate"/>
    <s v="Direct"/>
    <x v="9"/>
    <s v="Networking"/>
    <s v="NET-6533"/>
    <n v="479.5"/>
    <s v="High"/>
    <n v="656.66"/>
    <x v="9"/>
    <n v="14"/>
    <n v="21944.3966"/>
    <n v="6713"/>
    <n v="15231.3966"/>
    <n v="0.69409047228029042"/>
  </r>
  <r>
    <s v="ORD-2024-353078"/>
    <d v="2024-08-16T00:00:00"/>
    <d v="2024-08-26T00:00:00"/>
    <n v="10"/>
    <s v="Aug-2024"/>
    <s v="Q3-2024"/>
    <x v="2"/>
    <s v="USA"/>
    <s v="Chicago"/>
    <s v="Corporate"/>
    <s v="Distributor"/>
    <x v="4"/>
    <s v="Laptops"/>
    <s v="LAP-5763"/>
    <n v="1291.7"/>
    <s v="High"/>
    <n v="2657.84"/>
    <x v="24"/>
    <n v="21"/>
    <n v="31548.788040000003"/>
    <n v="27125.7"/>
    <n v="4423.0880400000024"/>
    <n v="0.14019835038962727"/>
  </r>
  <r>
    <s v="ORD-2023-621393"/>
    <d v="2023-07-07T00:00:00"/>
    <d v="2023-07-13T00:00:00"/>
    <n v="6"/>
    <s v="Jul-2023"/>
    <s v="Q3-2023"/>
    <x v="0"/>
    <s v="South Africa"/>
    <s v="Cape Town"/>
    <s v="Small Business"/>
    <s v="Marketplace"/>
    <x v="5"/>
    <s v="Accessories"/>
    <s v="ACC-9445"/>
    <n v="612.59"/>
    <s v="High"/>
    <n v="1424.74"/>
    <x v="221"/>
    <n v="15"/>
    <n v="10428.334800000001"/>
    <n v="9188.85"/>
    <n v="1239.4848000000002"/>
    <n v="0.11885740377265219"/>
  </r>
  <r>
    <s v="ORD-2023-974506"/>
    <d v="2023-12-28T00:00:00"/>
    <d v="2024-01-01T00:00:00"/>
    <n v="4"/>
    <s v="Dec-2023"/>
    <s v="Q4-2023"/>
    <x v="0"/>
    <s v="South Africa"/>
    <s v="Cape Town"/>
    <s v="Education"/>
    <s v="Distributor"/>
    <x v="8"/>
    <s v="Printers"/>
    <s v="PRN-1654"/>
    <n v="1141.8"/>
    <s v="High"/>
    <n v="2318.7399999999998"/>
    <x v="105"/>
    <n v="32"/>
    <n v="35256.783040000002"/>
    <n v="36537.599999999999"/>
    <n v="-1280.8169599999965"/>
    <n v="-3.6328242385213268E-2"/>
  </r>
  <r>
    <s v="ORD-2023-811823"/>
    <d v="2023-01-26T00:00:00"/>
    <d v="2023-02-15T00:00:00"/>
    <n v="20"/>
    <s v="Jan-2023"/>
    <s v="Q1-2023"/>
    <x v="3"/>
    <s v="Germany"/>
    <s v="Berlin"/>
    <s v="Small Business"/>
    <s v="Online"/>
    <x v="7"/>
    <s v="Networking"/>
    <s v="NET-8787"/>
    <n v="492.62"/>
    <s v="High"/>
    <n v="366.7"/>
    <x v="25"/>
    <n v="10"/>
    <n v="14063.653600000001"/>
    <n v="4926.2"/>
    <n v="9137.4536000000007"/>
    <n v="0.6497211791393952"/>
  </r>
  <r>
    <s v="ORD-2023-286720"/>
    <d v="2023-07-08T00:00:00"/>
    <d v="2023-07-09T00:00:00"/>
    <n v="1"/>
    <s v="Jul-2023"/>
    <s v="Q3-2023"/>
    <x v="0"/>
    <s v="Kenya"/>
    <s v="Nairobi"/>
    <s v="Consumer"/>
    <s v="Online"/>
    <x v="14"/>
    <s v="Laptops"/>
    <s v="LAP-1989"/>
    <n v="1258.72"/>
    <s v="High"/>
    <n v="2797.41"/>
    <x v="5"/>
    <n v="7"/>
    <n v="14806.33"/>
    <n v="8811.0400000000009"/>
    <n v="5995.2899999999991"/>
    <n v="0.40491397935882822"/>
  </r>
  <r>
    <s v="ORD-2024-626925"/>
    <d v="2024-06-07T00:00:00"/>
    <d v="2024-06-09T00:00:00"/>
    <n v="2"/>
    <s v="Jun-2024"/>
    <s v="Q2-2024"/>
    <x v="1"/>
    <s v="China"/>
    <s v="Shanghai"/>
    <s v="Corporate"/>
    <s v="Retail"/>
    <x v="7"/>
    <s v="Monitors"/>
    <s v="MON-8688"/>
    <n v="1370.28"/>
    <s v="High"/>
    <n v="2209.66"/>
    <x v="112"/>
    <n v="16"/>
    <n v="25485.499680000001"/>
    <n v="21924.48"/>
    <n v="3561.0196800000012"/>
    <n v="0.13972728511164123"/>
  </r>
  <r>
    <s v="ORD-2023-960380"/>
    <d v="2023-02-11T00:00:00"/>
    <d v="2023-02-12T00:00:00"/>
    <n v="1"/>
    <s v="Feb-2023"/>
    <s v="Q1-2023"/>
    <x v="0"/>
    <s v="Nigeria"/>
    <s v="Port Harcourt"/>
    <s v="Non-Profit"/>
    <s v="Direct"/>
    <x v="14"/>
    <s v="Accessories"/>
    <s v="ACC-8242"/>
    <n v="944.61"/>
    <s v="High"/>
    <n v="839.04"/>
    <x v="163"/>
    <n v="6"/>
    <n v="16141.518779999999"/>
    <n v="5667.66"/>
    <n v="10473.858779999999"/>
    <n v="0.64887690698458544"/>
  </r>
  <r>
    <s v="ORD-2023-453699"/>
    <d v="2023-07-01T00:00:00"/>
    <d v="2023-07-08T00:00:00"/>
    <n v="7"/>
    <s v="Jul-2023"/>
    <s v="Q3-2023"/>
    <x v="3"/>
    <s v="Germany"/>
    <s v="Frankfurt"/>
    <s v="Small Business"/>
    <s v="Distributor"/>
    <x v="13"/>
    <s v="Laptops"/>
    <s v="LAP-4666"/>
    <n v="460.21"/>
    <s v="High"/>
    <n v="1139.1500000000001"/>
    <x v="158"/>
    <n v="14"/>
    <n v="3592.1088"/>
    <n v="6442.94"/>
    <n v="-2850.8311999999996"/>
    <n v="-0.79363720831618456"/>
  </r>
  <r>
    <s v="ORD-2025-960931"/>
    <d v="2025-08-20T00:00:00"/>
    <d v="2025-08-26T00:00:00"/>
    <n v="6"/>
    <s v="Aug-2025"/>
    <s v="Q3-2025"/>
    <x v="2"/>
    <s v="USA"/>
    <s v="New York"/>
    <s v="Corporate"/>
    <s v="Retail"/>
    <x v="12"/>
    <s v="Networking"/>
    <s v="NET-5196"/>
    <n v="1304.95"/>
    <s v="High"/>
    <n v="1712.03"/>
    <x v="123"/>
    <n v="8"/>
    <n v="6286.3488000000007"/>
    <n v="10439.6"/>
    <n v="-4153.2511999999997"/>
    <n v="-0.66067781666839731"/>
  </r>
  <r>
    <s v="ORD-2024-419248"/>
    <d v="2024-03-04T00:00:00"/>
    <d v="2024-03-16T00:00:00"/>
    <n v="12"/>
    <s v="Mar-2024"/>
    <s v="Q1-2024"/>
    <x v="0"/>
    <s v="South Africa"/>
    <s v="Johannesburg"/>
    <s v="Enterprise"/>
    <s v="Distributor"/>
    <x v="12"/>
    <s v="Monitors"/>
    <s v="MON-8422"/>
    <n v="441.08"/>
    <s v="High"/>
    <n v="1054.29"/>
    <x v="1"/>
    <n v="6"/>
    <n v="216.49362000000002"/>
    <n v="2646.48"/>
    <n v="-2429.9863799999998"/>
    <n v="-11.224286332317782"/>
  </r>
  <r>
    <s v="ORD-2023-488227"/>
    <d v="2023-09-08T00:00:00"/>
    <d v="2023-10-02T00:00:00"/>
    <n v="24"/>
    <s v="Sept-2023"/>
    <s v="Q3-2023"/>
    <x v="2"/>
    <s v="Canada"/>
    <s v="Toronto"/>
    <s v="Education"/>
    <s v="Direct"/>
    <x v="8"/>
    <s v="Accessories"/>
    <s v="ACC-3415"/>
    <n v="1299.03"/>
    <s v="High"/>
    <n v="2451.2199999999998"/>
    <x v="222"/>
    <n v="8"/>
    <n v="4778.8646400000007"/>
    <n v="10392.24"/>
    <n v="-5613.3753599999991"/>
    <n v="-1.1746253101657214"/>
  </r>
  <r>
    <s v="ORD-2023-472078"/>
    <d v="2023-02-28T00:00:00"/>
    <d v="2023-03-06T00:00:00"/>
    <n v="6"/>
    <s v="Feb-2023"/>
    <s v="Q1-2023"/>
    <x v="3"/>
    <s v="Germany"/>
    <s v="Frankfurt"/>
    <s v="Small Business"/>
    <s v="Marketplace"/>
    <x v="14"/>
    <s v="Printers"/>
    <s v="PRN-9624"/>
    <n v="880.02"/>
    <s v="High"/>
    <n v="1251.21"/>
    <x v="82"/>
    <n v="29"/>
    <n v="22927.340840000001"/>
    <n v="25520.579999999998"/>
    <n v="-2593.2391599999974"/>
    <n v="-0.1131068438375428"/>
  </r>
  <r>
    <s v="ORD-2024-202877"/>
    <d v="2024-07-13T00:00:00"/>
    <d v="2024-08-03T00:00:00"/>
    <n v="21"/>
    <s v="Jul-2024"/>
    <s v="Q3-2024"/>
    <x v="2"/>
    <s v="Brazil"/>
    <s v="Rio de Janeiro"/>
    <s v="Corporate"/>
    <s v="Marketplace"/>
    <x v="12"/>
    <s v="Monitors"/>
    <s v="MON-6287"/>
    <n v="702.98"/>
    <s v="High"/>
    <n v="1104.8"/>
    <x v="30"/>
    <n v="12"/>
    <n v="1119.492"/>
    <n v="8435.76"/>
    <n v="-7316.268"/>
    <n v="-6.5353463892551265"/>
  </r>
  <r>
    <s v="ORD-2024-140633"/>
    <d v="2024-12-07T00:00:00"/>
    <d v="2024-12-26T00:00:00"/>
    <n v="19"/>
    <s v="Dec-2024"/>
    <s v="Q4-2024"/>
    <x v="3"/>
    <s v="United Kingdom"/>
    <s v="London"/>
    <s v="Enterprise"/>
    <s v="Online"/>
    <x v="14"/>
    <s v="Networking"/>
    <s v="NET-4491"/>
    <n v="1035.24"/>
    <s v="High"/>
    <n v="2383.41"/>
    <x v="189"/>
    <n v="15"/>
    <n v="10814.319"/>
    <n v="15528.6"/>
    <n v="-4714.2810000000009"/>
    <n v="-0.43592953009801183"/>
  </r>
  <r>
    <s v="ORD-2025-419532"/>
    <d v="2025-08-06T00:00:00"/>
    <d v="2025-08-23T00:00:00"/>
    <n v="17"/>
    <s v="Aug-2025"/>
    <s v="Q3-2025"/>
    <x v="2"/>
    <s v="Brazil"/>
    <s v="Brasília"/>
    <s v="Consumer"/>
    <s v="Distributor"/>
    <x v="8"/>
    <s v="Monitors"/>
    <s v="MON-4317"/>
    <n v="86.64"/>
    <s v="High"/>
    <n v="213.06"/>
    <x v="123"/>
    <n v="11"/>
    <n v="3015.5971999999997"/>
    <n v="953.04"/>
    <n v="2062.5571999999997"/>
    <n v="0.68396309692819712"/>
  </r>
  <r>
    <s v="ORD-2023-139236"/>
    <d v="2023-03-03T00:00:00"/>
    <d v="2023-03-20T00:00:00"/>
    <n v="17"/>
    <s v="Mar-2023"/>
    <s v="Q1-2023"/>
    <x v="1"/>
    <s v="Japan"/>
    <s v="Nagoya"/>
    <s v="Small Business"/>
    <s v="Online"/>
    <x v="14"/>
    <s v="Networking"/>
    <s v="NET-7349"/>
    <n v="1171.17"/>
    <s v="High"/>
    <n v="2030.64"/>
    <x v="87"/>
    <n v="11"/>
    <n v="10310.463239999999"/>
    <n v="12882.87"/>
    <n v="-2572.4067600000017"/>
    <n v="-0.24949478021707217"/>
  </r>
  <r>
    <s v="ORD-2025-337268"/>
    <d v="2025-02-16T00:00:00"/>
    <d v="2025-03-17T00:00:00"/>
    <n v="1"/>
    <s v="Feb-2025"/>
    <s v="Q1-2025"/>
    <x v="3"/>
    <s v="Germany"/>
    <s v="Munich"/>
    <s v="Consumer"/>
    <s v="Retail"/>
    <x v="4"/>
    <s v="Accessories"/>
    <s v="ACC-5150"/>
    <n v="730.42"/>
    <s v="High"/>
    <n v="956.7"/>
    <x v="174"/>
    <n v="22"/>
    <n v="6907.0267199999998"/>
    <n v="16069.24"/>
    <n v="-9162.2132799999999"/>
    <n v="-1.3265061293986133"/>
  </r>
  <r>
    <s v="ORD-2025-332931"/>
    <d v="2025-02-15T00:00:00"/>
    <d v="2025-03-01T00:00:00"/>
    <n v="14"/>
    <s v="Feb-2025"/>
    <s v="Q1-2025"/>
    <x v="0"/>
    <s v="Kenya"/>
    <s v="Mombasa"/>
    <s v="Education"/>
    <s v="Direct"/>
    <x v="4"/>
    <s v="Accessories"/>
    <s v="ACC-5144"/>
    <n v="1162.8599999999999"/>
    <s v="High"/>
    <n v="1447.68"/>
    <x v="24"/>
    <n v="12"/>
    <n v="5326.0402800000002"/>
    <n v="13954.32"/>
    <n v="-8628.2797199999986"/>
    <n v="-1.6200177367040112"/>
  </r>
  <r>
    <s v="ORD-2024-536442"/>
    <d v="2024-08-31T00:00:00"/>
    <d v="2024-09-26T00:00:00"/>
    <n v="26"/>
    <s v="Aug-2024"/>
    <s v="Q3-2024"/>
    <x v="1"/>
    <s v="Japan"/>
    <s v="Tokyo"/>
    <s v="Education"/>
    <s v="Online"/>
    <x v="2"/>
    <s v="Phones"/>
    <s v="PHN-6111"/>
    <n v="1189.03"/>
    <s v="High"/>
    <n v="2949.62"/>
    <x v="22"/>
    <n v="13"/>
    <n v="23507.575000000001"/>
    <n v="15457.39"/>
    <n v="8050.1850000000013"/>
    <n v="0.34245067813247437"/>
  </r>
  <r>
    <s v="ORD-2023-957692"/>
    <d v="2023-05-07T00:00:00"/>
    <d v="2023-05-20T00:00:00"/>
    <n v="13"/>
    <s v="May-2023"/>
    <s v="Q2-2023"/>
    <x v="1"/>
    <s v="India"/>
    <s v="Mumbai"/>
    <s v="Enterprise"/>
    <s v="Retail"/>
    <x v="14"/>
    <s v="Accessories"/>
    <s v="ACC-9283"/>
    <n v="1443.28"/>
    <s v="High"/>
    <n v="2580.5700000000002"/>
    <x v="5"/>
    <n v="18"/>
    <n v="1551.6000000000001"/>
    <n v="25979.040000000001"/>
    <n v="-24427.440000000002"/>
    <n v="-15.74338747099768"/>
  </r>
  <r>
    <s v="ORD-2025-874124"/>
    <d v="2025-05-14T00:00:00"/>
    <d v="2025-05-12T00:00:00"/>
    <n v="2"/>
    <s v="May-2025"/>
    <s v="Q2-2025"/>
    <x v="2"/>
    <s v="Canada"/>
    <s v="Vancouver"/>
    <s v="Non-Profit"/>
    <s v="Distributor"/>
    <x v="9"/>
    <s v="Printers"/>
    <s v="PRN-2407"/>
    <n v="883.5"/>
    <s v="High"/>
    <n v="1978.91"/>
    <x v="223"/>
    <n v="27"/>
    <n v="58944.550499999998"/>
    <n v="23854.5"/>
    <n v="35090.050499999998"/>
    <n v="0.59530610043416987"/>
  </r>
  <r>
    <s v="ORD-2024-687073"/>
    <d v="2024-03-11T00:00:00"/>
    <d v="2024-03-29T00:00:00"/>
    <n v="18"/>
    <s v="Mar-2024"/>
    <s v="Q1-2024"/>
    <x v="2"/>
    <s v="USA"/>
    <s v="New York"/>
    <s v="Corporate"/>
    <s v="Retail"/>
    <x v="12"/>
    <s v="Monitors"/>
    <s v="MON-7099"/>
    <n v="710.98"/>
    <s v="High"/>
    <n v="1481.45"/>
    <x v="126"/>
    <n v="9"/>
    <n v="7902.0638099999996"/>
    <n v="6398.82"/>
    <n v="1503.2438099999999"/>
    <n v="0.19023432942893434"/>
  </r>
  <r>
    <s v="ORD-2024-555229"/>
    <d v="2024-05-18T00:00:00"/>
    <d v="2024-05-22T00:00:00"/>
    <n v="4"/>
    <s v="May-2024"/>
    <s v="Q2-2024"/>
    <x v="0"/>
    <s v="Kenya"/>
    <s v="Nairobi"/>
    <s v="Corporate"/>
    <s v="Direct"/>
    <x v="10"/>
    <s v="Accessories"/>
    <s v="ACC-7354"/>
    <n v="857.42"/>
    <s v="High"/>
    <n v="1658.92"/>
    <x v="153"/>
    <n v="9"/>
    <n v="8897.572979999999"/>
    <n v="7716.78"/>
    <n v="1180.7929799999993"/>
    <n v="0.13270955828675871"/>
  </r>
  <r>
    <s v="ORD-2024-872291"/>
    <d v="2024-01-08T00:00:00"/>
    <d v="2024-01-12T00:00:00"/>
    <n v="4"/>
    <s v="Jan-2024"/>
    <s v="Q1-2024"/>
    <x v="1"/>
    <s v="India"/>
    <s v="Bengaluru"/>
    <s v="Corporate"/>
    <s v="Direct"/>
    <x v="6"/>
    <s v="Printers"/>
    <s v="PRN-6585"/>
    <n v="802.32"/>
    <s v="High"/>
    <n v="602.34"/>
    <x v="18"/>
    <n v="25"/>
    <n v="2719.64"/>
    <n v="20058"/>
    <n v="-17338.36"/>
    <n v="-6.3752408406995045"/>
  </r>
  <r>
    <s v="ORD-2024-250862"/>
    <d v="2024-10-25T00:00:00"/>
    <d v="2024-11-05T00:00:00"/>
    <n v="11"/>
    <s v="Oct-2024"/>
    <s v="Q4-2024"/>
    <x v="2"/>
    <s v="USA"/>
    <s v="New York"/>
    <s v="Corporate"/>
    <s v="Distributor"/>
    <x v="13"/>
    <s v="Components"/>
    <s v="CMP-9498"/>
    <n v="446.66"/>
    <s v="High"/>
    <n v="527.64"/>
    <x v="180"/>
    <n v="15"/>
    <n v="22209.693749999999"/>
    <n v="6699.9000000000005"/>
    <n v="15509.793749999997"/>
    <n v="0.6983344266059498"/>
  </r>
  <r>
    <s v="ORD-2024-331226"/>
    <d v="2024-11-30T00:00:00"/>
    <d v="2024-12-19T00:00:00"/>
    <n v="19"/>
    <s v="Nov-2024"/>
    <s v="Q4-2024"/>
    <x v="0"/>
    <s v="Kenya"/>
    <s v="Kisumu"/>
    <s v="Corporate"/>
    <s v="Online"/>
    <x v="4"/>
    <s v="Phones"/>
    <s v="PHN-1919"/>
    <n v="1195.98"/>
    <s v="High"/>
    <n v="1841.9"/>
    <x v="133"/>
    <n v="19"/>
    <n v="54978.38955"/>
    <n v="22723.62"/>
    <n v="32254.769550000001"/>
    <n v="0.58668087250293055"/>
  </r>
  <r>
    <s v="ORD-2023-356427"/>
    <d v="2023-04-13T00:00:00"/>
    <d v="2023-05-02T00:00:00"/>
    <n v="19"/>
    <s v="Apr-2023"/>
    <s v="Q2-2023"/>
    <x v="2"/>
    <s v="Canada"/>
    <s v="Montreal"/>
    <s v="Consumer"/>
    <s v="Distributor"/>
    <x v="6"/>
    <s v="Monitors"/>
    <s v="MON-6053"/>
    <n v="671.05"/>
    <s v="High"/>
    <n v="1645.48"/>
    <x v="81"/>
    <n v="6"/>
    <n v="11393.722979999999"/>
    <n v="4026.2999999999997"/>
    <n v="7367.4229799999994"/>
    <n v="0.64662121353419111"/>
  </r>
  <r>
    <s v="ORD-2025-659650"/>
    <d v="2025-02-04T00:00:00"/>
    <d v="2025-02-08T00:00:00"/>
    <n v="4"/>
    <s v="Feb-2025"/>
    <s v="Q1-2025"/>
    <x v="3"/>
    <s v="United Kingdom"/>
    <s v="Manchester"/>
    <s v="Enterprise"/>
    <s v="Marketplace"/>
    <x v="4"/>
    <s v="Networking"/>
    <s v="NET-2502"/>
    <n v="586.21"/>
    <s v="High"/>
    <n v="727.22"/>
    <x v="55"/>
    <n v="15"/>
    <n v="8408.8302000000003"/>
    <n v="8793.1500000000015"/>
    <n v="-384.31980000000112"/>
    <n v="-4.5704312117041096E-2"/>
  </r>
  <r>
    <s v="ORD-2024-207669"/>
    <d v="2024-01-24T00:00:00"/>
    <d v="2024-02-04T00:00:00"/>
    <n v="11"/>
    <s v="Jan-2024"/>
    <s v="Q1-2024"/>
    <x v="3"/>
    <s v="United Kingdom"/>
    <s v="Manchester"/>
    <s v="Consumer"/>
    <s v="Retail"/>
    <x v="5"/>
    <s v="Laptops"/>
    <s v="LAP-5689"/>
    <n v="525.34"/>
    <s v="High"/>
    <n v="1233.79"/>
    <x v="17"/>
    <n v="4"/>
    <n v="3248.9555599999999"/>
    <n v="2101.36"/>
    <n v="1147.5955599999998"/>
    <n v="0.35321983905498533"/>
  </r>
  <r>
    <s v="ORD-2024-979401"/>
    <d v="2024-02-08T00:00:00"/>
    <d v="2024-02-09T00:00:00"/>
    <n v="1"/>
    <s v="Feb-2024"/>
    <s v="Q1-2024"/>
    <x v="0"/>
    <s v="Kenya"/>
    <s v="Mombasa"/>
    <s v="Corporate"/>
    <s v="Direct"/>
    <x v="9"/>
    <s v="Components"/>
    <s v="CMP-5911"/>
    <n v="1233.52"/>
    <s v="High"/>
    <n v="1543.76"/>
    <x v="38"/>
    <n v="13"/>
    <n v="26490.27576"/>
    <n v="16035.76"/>
    <n v="10454.51576"/>
    <n v="0.39465484824382968"/>
  </r>
  <r>
    <s v="ORD-2025-929414"/>
    <d v="2025-06-26T00:00:00"/>
    <d v="2025-07-11T00:00:00"/>
    <n v="15"/>
    <s v="Jun-2025"/>
    <s v="Q2-2025"/>
    <x v="0"/>
    <s v="Nigeria"/>
    <s v="Port Harcourt"/>
    <s v="Small Business"/>
    <s v="Online"/>
    <x v="8"/>
    <s v="Laptops"/>
    <s v="LAP-7523"/>
    <n v="1170.1500000000001"/>
    <s v="High"/>
    <n v="2115.19"/>
    <x v="77"/>
    <n v="23"/>
    <n v="29597.640160000003"/>
    <n v="26913.45"/>
    <n v="2684.1901600000019"/>
    <n v="9.0689330145569333E-2"/>
  </r>
  <r>
    <s v="ORD-2024-766980"/>
    <d v="2024-11-04T00:00:00"/>
    <d v="2024-11-07T00:00:00"/>
    <n v="3"/>
    <s v="Nov-2024"/>
    <s v="Q4-2024"/>
    <x v="3"/>
    <s v="France"/>
    <s v="Lyon"/>
    <s v="Corporate"/>
    <s v="Online"/>
    <x v="7"/>
    <s v="Monitors"/>
    <s v="MON-1118"/>
    <n v="740.68"/>
    <s v="High"/>
    <n v="1837.19"/>
    <x v="115"/>
    <n v="17"/>
    <n v="9548.8744999999999"/>
    <n v="12591.56"/>
    <n v="-3042.6854999999996"/>
    <n v="-0.31864336472324561"/>
  </r>
  <r>
    <s v="ORD-2024-437164"/>
    <d v="2024-02-20T00:00:00"/>
    <d v="2024-02-20T00:00:00"/>
    <n v="0"/>
    <s v="Feb-2024"/>
    <s v="Q1-2024"/>
    <x v="2"/>
    <s v="USA"/>
    <s v="New York"/>
    <s v="Enterprise"/>
    <s v="Online"/>
    <x v="0"/>
    <s v="Networking"/>
    <s v="NET-9177"/>
    <n v="1407.05"/>
    <s v="High"/>
    <n v="2858.93"/>
    <x v="5"/>
    <n v="12"/>
    <n v="21446.400000000001"/>
    <n v="16884.599999999999"/>
    <n v="4561.8000000000029"/>
    <n v="0.2127070277529097"/>
  </r>
  <r>
    <s v="ORD-2025-169093"/>
    <d v="2025-04-13T00:00:00"/>
    <d v="2025-04-14T00:00:00"/>
    <n v="1"/>
    <s v="Apr-2025"/>
    <s v="Q2-2025"/>
    <x v="1"/>
    <s v="Japan"/>
    <s v="Osaka"/>
    <s v="Enterprise"/>
    <s v="Online"/>
    <x v="3"/>
    <s v="Components"/>
    <s v="CMP-6495"/>
    <n v="138.9"/>
    <s v="High"/>
    <n v="289.92"/>
    <x v="134"/>
    <n v="12"/>
    <n v="19793.834999999999"/>
    <n v="1666.8000000000002"/>
    <n v="18127.035"/>
    <n v="0.91579196249741401"/>
  </r>
  <r>
    <s v="ORD-2023-868460"/>
    <d v="2023-06-01T00:00:00"/>
    <d v="2023-06-01T00:00:00"/>
    <n v="0"/>
    <s v="Jun-2023"/>
    <s v="Q2-2023"/>
    <x v="1"/>
    <s v="India"/>
    <s v="Bengaluru"/>
    <s v="Corporate"/>
    <s v="Retail"/>
    <x v="6"/>
    <s v="Accessories"/>
    <s v="ACC-4587"/>
    <n v="669.37"/>
    <s v="High"/>
    <n v="997.2"/>
    <x v="104"/>
    <n v="5"/>
    <n v="3326.373"/>
    <n v="3346.85"/>
    <n v="-20.476999999999862"/>
    <n v="-6.1559542480653434E-3"/>
  </r>
  <r>
    <s v="ORD-2025-177994"/>
    <d v="2025-03-24T00:00:00"/>
    <d v="2025-04-04T00:00:00"/>
    <n v="11"/>
    <s v="Mar-2025"/>
    <s v="Q1-2025"/>
    <x v="1"/>
    <s v="India"/>
    <s v="Mumbai"/>
    <s v="Education"/>
    <s v="Marketplace"/>
    <x v="1"/>
    <s v="Phones"/>
    <s v="PHN-4395"/>
    <n v="23.83"/>
    <s v="Low"/>
    <n v="47.29"/>
    <x v="201"/>
    <n v="19"/>
    <n v="24114.036959999998"/>
    <n v="452.77"/>
    <n v="23661.266959999997"/>
    <n v="0.98122379920247083"/>
  </r>
  <r>
    <s v="ORD-2024-355095"/>
    <d v="2024-01-02T00:00:00"/>
    <d v="2024-01-02T00:00:00"/>
    <n v="0"/>
    <s v="Jan-2024"/>
    <s v="Q1-2024"/>
    <x v="2"/>
    <s v="Canada"/>
    <s v="Vancouver"/>
    <s v="Education"/>
    <s v="Direct"/>
    <x v="8"/>
    <s v="Laptops"/>
    <s v="LAP-3581"/>
    <n v="444.41"/>
    <s v="High"/>
    <n v="754.24"/>
    <x v="162"/>
    <n v="32"/>
    <n v="6980.1763200000005"/>
    <n v="14221.12"/>
    <n v="-7240.9436800000003"/>
    <n v="-1.0373582769324659"/>
  </r>
  <r>
    <s v="ORD-2023-126505"/>
    <d v="2023-12-19T00:00:00"/>
    <d v="2024-01-01T00:00:00"/>
    <n v="13"/>
    <s v="Dec-2023"/>
    <s v="Q4-2023"/>
    <x v="2"/>
    <s v="Canada"/>
    <s v="Toronto"/>
    <s v="Enterprise"/>
    <s v="Retail"/>
    <x v="11"/>
    <s v="Monitors"/>
    <s v="MON-6065"/>
    <n v="856.1"/>
    <s v="High"/>
    <n v="901.48"/>
    <x v="121"/>
    <n v="17"/>
    <n v="28925.557119999998"/>
    <n v="14553.7"/>
    <n v="14371.857119999997"/>
    <n v="0.49685670911634278"/>
  </r>
  <r>
    <s v="ORD-2023-340056"/>
    <d v="2023-04-26T00:00:00"/>
    <d v="2023-04-26T00:00:00"/>
    <n v="0"/>
    <s v="Apr-2023"/>
    <s v="Q2-2023"/>
    <x v="3"/>
    <s v="France"/>
    <s v="Marseille"/>
    <s v="Consumer"/>
    <s v="Direct"/>
    <x v="12"/>
    <s v="Components"/>
    <s v="CMP-4945"/>
    <n v="81.489999999999995"/>
    <s v="Medium"/>
    <n v="113.08"/>
    <x v="173"/>
    <n v="5"/>
    <n v="5580.6830999999993"/>
    <n v="407.45"/>
    <n v="5173.2330999999995"/>
    <n v="0.92698922467036338"/>
  </r>
  <r>
    <s v="ORD-2025-281413"/>
    <d v="2025-08-03T00:00:00"/>
    <d v="2025-08-16T00:00:00"/>
    <n v="13"/>
    <s v="Aug-2025"/>
    <s v="Q3-2025"/>
    <x v="2"/>
    <s v="Canada"/>
    <s v="Montreal"/>
    <s v="Enterprise"/>
    <s v="Distributor"/>
    <x v="7"/>
    <s v="Networking"/>
    <s v="NET-3785"/>
    <n v="698.66"/>
    <s v="High"/>
    <n v="868.62"/>
    <x v="3"/>
    <n v="15"/>
    <n v="7960.848"/>
    <n v="10479.9"/>
    <n v="-2519.0519999999997"/>
    <n v="-0.31643010895321699"/>
  </r>
  <r>
    <s v="ORD-2023-713614"/>
    <d v="2023-08-02T00:00:00"/>
    <d v="2023-08-19T00:00:00"/>
    <n v="17"/>
    <s v="Aug-2023"/>
    <s v="Q3-2023"/>
    <x v="2"/>
    <s v="Canada"/>
    <s v="Vancouver"/>
    <s v="Corporate"/>
    <s v="Online"/>
    <x v="9"/>
    <s v="Networking"/>
    <s v="NET-3689"/>
    <n v="175.38"/>
    <s v="High"/>
    <n v="347.9"/>
    <x v="3"/>
    <n v="43"/>
    <n v="109937.11616000001"/>
    <n v="7541.34"/>
    <n v="102395.77616000001"/>
    <n v="0.93140314878712571"/>
  </r>
  <r>
    <s v="ORD-2023-173313"/>
    <d v="2023-06-15T00:00:00"/>
    <d v="2023-07-12T00:00:00"/>
    <n v="27"/>
    <s v="Jun-2023"/>
    <s v="Q2-2023"/>
    <x v="3"/>
    <s v="United Kingdom"/>
    <s v="Manchester"/>
    <s v="Consumer"/>
    <s v="Direct"/>
    <x v="2"/>
    <s v="Accessories"/>
    <s v="ACC-3833"/>
    <n v="751.28"/>
    <s v="High"/>
    <n v="1111.8800000000001"/>
    <x v="157"/>
    <n v="7"/>
    <n v="5827.9980499999992"/>
    <n v="5258.96"/>
    <n v="569.0380499999992"/>
    <n v="9.7638682291597417E-2"/>
  </r>
  <r>
    <s v="ORD-2024-496601"/>
    <d v="2024-11-11T00:00:00"/>
    <d v="2024-11-24T00:00:00"/>
    <n v="13"/>
    <s v="Nov-2024"/>
    <s v="Q4-2024"/>
    <x v="3"/>
    <s v="United Kingdom"/>
    <s v="London"/>
    <s v="Corporate"/>
    <s v="Retail"/>
    <x v="6"/>
    <s v="Networking"/>
    <s v="NET-2932"/>
    <n v="164.53"/>
    <s v="High"/>
    <n v="327.72"/>
    <x v="143"/>
    <n v="14"/>
    <n v="8728.9427399999986"/>
    <n v="2303.42"/>
    <n v="6425.5227399999985"/>
    <n v="0.73611695383855846"/>
  </r>
  <r>
    <s v="ORD-2025-155182"/>
    <d v="2025-07-11T00:00:00"/>
    <d v="2025-08-03T00:00:00"/>
    <n v="23"/>
    <s v="Jul-2025"/>
    <s v="Q3-2025"/>
    <x v="0"/>
    <s v="Kenya"/>
    <s v="Nakuru"/>
    <s v="Small Business"/>
    <s v="Retail"/>
    <x v="0"/>
    <s v="Phones"/>
    <s v="PHN-7636"/>
    <n v="389.93"/>
    <s v="High"/>
    <n v="486.13"/>
    <x v="191"/>
    <n v="17"/>
    <n v="20722.29348"/>
    <n v="6628.81"/>
    <n v="14093.483479999999"/>
    <n v="0.6801121455789747"/>
  </r>
  <r>
    <s v="ORD-2023-244375"/>
    <d v="2023-06-03T00:00:00"/>
    <d v="2023-07-01T00:00:00"/>
    <n v="28"/>
    <s v="Jun-2023"/>
    <s v="Q2-2023"/>
    <x v="2"/>
    <s v="Brazil"/>
    <s v="Brasília"/>
    <s v="Small Business"/>
    <s v="Marketplace"/>
    <x v="8"/>
    <s v="Components"/>
    <s v="CMP-1223"/>
    <n v="860.4"/>
    <s v="High"/>
    <n v="2066.6"/>
    <x v="19"/>
    <n v="3"/>
    <n v="10661.9733"/>
    <n v="2581.1999999999998"/>
    <n v="8080.7732999999998"/>
    <n v="0.7579059778737206"/>
  </r>
  <r>
    <s v="ORD-2023-856322"/>
    <d v="2023-01-29T00:00:00"/>
    <d v="2023-02-06T00:00:00"/>
    <n v="8"/>
    <s v="Jan-2023"/>
    <s v="Q1-2023"/>
    <x v="2"/>
    <s v="Brazil"/>
    <s v="Brasília"/>
    <s v="Corporate"/>
    <s v="Marketplace"/>
    <x v="14"/>
    <s v="Monitors"/>
    <s v="MON-7207"/>
    <n v="41.84"/>
    <s v="Medium"/>
    <n v="86.2"/>
    <x v="204"/>
    <n v="27"/>
    <n v="4879.8919799999994"/>
    <n v="1129.68"/>
    <n v="3750.2119799999991"/>
    <n v="0.76850307247989524"/>
  </r>
  <r>
    <s v="ORD-2024-594527"/>
    <d v="2024-09-06T00:00:00"/>
    <d v="2024-09-04T00:00:00"/>
    <n v="2"/>
    <s v="Sept-2024"/>
    <s v="Q3-2024"/>
    <x v="1"/>
    <s v="Japan"/>
    <s v="Osaka"/>
    <s v="Corporate"/>
    <s v="Direct"/>
    <x v="8"/>
    <s v="Laptops"/>
    <s v="LAP-4483"/>
    <n v="1368.17"/>
    <s v="High"/>
    <n v="2307.75"/>
    <x v="196"/>
    <n v="21"/>
    <n v="2183.9422500000001"/>
    <n v="28731.57"/>
    <n v="-26547.62775"/>
    <n v="-12.155828639699607"/>
  </r>
  <r>
    <s v="ORD-2024-689872"/>
    <d v="2024-08-03T00:00:00"/>
    <d v="2024-08-09T00:00:00"/>
    <n v="6"/>
    <s v="Aug-2024"/>
    <s v="Q3-2024"/>
    <x v="0"/>
    <s v="Kenya"/>
    <s v="Mombasa"/>
    <s v="Consumer"/>
    <s v="Marketplace"/>
    <x v="10"/>
    <s v="Laptops"/>
    <s v="LAP-1969"/>
    <n v="643.21"/>
    <s v="High"/>
    <n v="1112.81"/>
    <x v="169"/>
    <n v="4"/>
    <n v="4918.1873199999991"/>
    <n v="2572.84"/>
    <n v="2345.3473199999989"/>
    <n v="0.47687230424562183"/>
  </r>
  <r>
    <s v="ORD-2025-246692"/>
    <d v="2025-04-17T00:00:00"/>
    <d v="2025-04-17T00:00:00"/>
    <n v="0"/>
    <s v="Apr-2025"/>
    <s v="Q2-2025"/>
    <x v="2"/>
    <s v="Brazil"/>
    <s v="São Paulo"/>
    <s v="Corporate"/>
    <s v="Distributor"/>
    <x v="4"/>
    <s v="Phones"/>
    <s v="PHN-4566"/>
    <n v="719.41"/>
    <s v="High"/>
    <n v="1125.99"/>
    <x v="208"/>
    <n v="21"/>
    <n v="32132.177279999996"/>
    <n v="15107.609999999999"/>
    <n v="17024.567279999996"/>
    <n v="0.52982924660373332"/>
  </r>
  <r>
    <s v="ORD-2023-378676"/>
    <d v="2023-05-03T00:00:00"/>
    <d v="2023-05-16T00:00:00"/>
    <n v="13"/>
    <s v="May-2023"/>
    <s v="Q2-2023"/>
    <x v="2"/>
    <s v="USA"/>
    <s v="New York"/>
    <s v="Corporate"/>
    <s v="Marketplace"/>
    <x v="4"/>
    <s v="Phones"/>
    <s v="PHN-5366"/>
    <n v="64.5"/>
    <s v="Medium"/>
    <n v="123.62"/>
    <x v="5"/>
    <n v="3"/>
    <n v="3085.38"/>
    <n v="193.5"/>
    <n v="2891.88"/>
    <n v="0.93728487252785719"/>
  </r>
  <r>
    <s v="ORD-2024-243988"/>
    <d v="2024-03-13T00:00:00"/>
    <d v="2024-04-06T00:00:00"/>
    <n v="24"/>
    <s v="Mar-2024"/>
    <s v="Q1-2024"/>
    <x v="0"/>
    <s v="Nigeria"/>
    <s v="Abuja"/>
    <s v="Consumer"/>
    <s v="Distributor"/>
    <x v="4"/>
    <s v="Components"/>
    <s v="CMP-9001"/>
    <n v="1232.78"/>
    <s v="High"/>
    <n v="1731.75"/>
    <x v="142"/>
    <n v="16"/>
    <n v="46878.839200000002"/>
    <n v="19724.48"/>
    <n v="27154.359200000003"/>
    <n v="0.5792455543566446"/>
  </r>
  <r>
    <s v="ORD-2024-572312"/>
    <d v="2024-06-16T00:00:00"/>
    <d v="2024-06-21T00:00:00"/>
    <n v="5"/>
    <s v="Jun-2024"/>
    <s v="Q2-2024"/>
    <x v="1"/>
    <s v="Japan"/>
    <s v="Tokyo"/>
    <s v="Small Business"/>
    <s v="Distributor"/>
    <x v="9"/>
    <s v="Phones"/>
    <s v="PHN-9677"/>
    <n v="1367.13"/>
    <s v="High"/>
    <n v="3062.01"/>
    <x v="172"/>
    <n v="25"/>
    <n v="62557.004249999998"/>
    <n v="34178.25"/>
    <n v="28378.754249999998"/>
    <n v="0.45364631171576603"/>
  </r>
  <r>
    <s v="ORD-2025-281062"/>
    <d v="2025-02-15T00:00:00"/>
    <d v="2025-02-27T00:00:00"/>
    <n v="12"/>
    <s v="Feb-2025"/>
    <s v="Q1-2025"/>
    <x v="3"/>
    <s v="France"/>
    <s v="Lyon"/>
    <s v="Non-Profit"/>
    <s v="Direct"/>
    <x v="11"/>
    <s v="Accessories"/>
    <s v="ACC-1604"/>
    <n v="1027.26"/>
    <s v="High"/>
    <n v="2200.41"/>
    <x v="167"/>
    <n v="6"/>
    <n v="10384.433280000001"/>
    <n v="6163.5599999999995"/>
    <n v="4220.8732800000016"/>
    <n v="0.40646159171047236"/>
  </r>
  <r>
    <s v="ORD-2023-727290"/>
    <d v="2023-04-03T00:00:00"/>
    <d v="2023-04-16T00:00:00"/>
    <n v="13"/>
    <s v="Apr-2023"/>
    <s v="Q2-2023"/>
    <x v="3"/>
    <s v="France"/>
    <s v="Marseille"/>
    <s v="Non-Profit"/>
    <s v="Marketplace"/>
    <x v="12"/>
    <s v="Accessories"/>
    <s v="ACC-4815"/>
    <n v="790.54"/>
    <s v="High"/>
    <n v="601.49"/>
    <x v="5"/>
    <n v="15"/>
    <n v="13537.050000000001"/>
    <n v="11858.099999999999"/>
    <n v="1678.9500000000025"/>
    <n v="0.12402628342216379"/>
  </r>
  <r>
    <s v="ORD-2025-993993"/>
    <d v="2025-08-30T00:00:00"/>
    <d v="2025-09-22T00:00:00"/>
    <n v="23"/>
    <s v="Aug-2025"/>
    <s v="Q3-2025"/>
    <x v="3"/>
    <s v="France"/>
    <s v="Marseille"/>
    <s v="Corporate"/>
    <s v="Direct"/>
    <x v="6"/>
    <s v="Components"/>
    <s v="CMP-5311"/>
    <n v="663.9"/>
    <s v="High"/>
    <n v="947.77"/>
    <x v="155"/>
    <n v="15"/>
    <n v="-417.04740000000004"/>
    <n v="9958.5"/>
    <n v="-10375.547399999999"/>
    <n v="24.878580708092169"/>
  </r>
  <r>
    <s v="ORD-2023-619493"/>
    <d v="2023-02-27T00:00:00"/>
    <d v="2023-02-26T00:00:00"/>
    <n v="1"/>
    <s v="Feb-2023"/>
    <s v="Q1-2023"/>
    <x v="2"/>
    <s v="USA"/>
    <s v="San Francisco"/>
    <s v="Non-Profit"/>
    <s v="Online"/>
    <x v="4"/>
    <s v="Networking"/>
    <s v="NET-1282"/>
    <n v="1015.91"/>
    <s v="High"/>
    <n v="2331.48"/>
    <x v="34"/>
    <n v="26"/>
    <n v="24128.64272"/>
    <n v="26413.66"/>
    <n v="-2285.01728"/>
    <n v="-9.4701442866737429E-2"/>
  </r>
  <r>
    <s v="ORD-2024-947056"/>
    <d v="2024-07-31T00:00:00"/>
    <d v="2024-08-15T00:00:00"/>
    <n v="15"/>
    <s v="Jul-2024"/>
    <s v="Q3-2024"/>
    <x v="1"/>
    <s v="Japan"/>
    <s v="Tokyo"/>
    <s v="Corporate"/>
    <s v="Marketplace"/>
    <x v="9"/>
    <s v="Monitors"/>
    <s v="MON-1564"/>
    <n v="1252.52"/>
    <s v="High"/>
    <n v="1417.24"/>
    <x v="98"/>
    <n v="5"/>
    <n v="4083.4300000000003"/>
    <n v="6262.6"/>
    <n v="-2179.17"/>
    <n v="-0.53366165209150151"/>
  </r>
  <r>
    <s v="ORD-2025-856556"/>
    <d v="2025-06-15T00:00:00"/>
    <d v="2025-07-12T00:00:00"/>
    <n v="27"/>
    <s v="Jun-2025"/>
    <s v="Q2-2025"/>
    <x v="3"/>
    <s v="France"/>
    <s v="Marseille"/>
    <s v="Consumer"/>
    <s v="Direct"/>
    <x v="0"/>
    <s v="Accessories"/>
    <s v="ACC-7906"/>
    <n v="318.83"/>
    <s v="High"/>
    <n v="699.5"/>
    <x v="164"/>
    <n v="13"/>
    <n v="4921.3008"/>
    <n v="4144.79"/>
    <n v="776.51080000000002"/>
    <n v="0.15778568137919957"/>
  </r>
  <r>
    <s v="ORD-2024-442776"/>
    <d v="2024-06-30T00:00:00"/>
    <d v="2024-07-21T00:00:00"/>
    <n v="21"/>
    <s v="Jun-2024"/>
    <s v="Q2-2024"/>
    <x v="0"/>
    <s v="Kenya"/>
    <s v="Kisumu"/>
    <s v="Small Business"/>
    <s v="Retail"/>
    <x v="11"/>
    <s v="Laptops"/>
    <s v="LAP-6577"/>
    <n v="753.43"/>
    <s v="High"/>
    <n v="1787.2"/>
    <x v="93"/>
    <n v="9"/>
    <n v="3448.4956200000001"/>
    <n v="6780.87"/>
    <n v="-3332.3743799999997"/>
    <n v="-0.9663269863744236"/>
  </r>
  <r>
    <s v="ORD-2025-705398"/>
    <d v="2025-02-17T00:00:00"/>
    <d v="2025-02-15T00:00:00"/>
    <n v="2"/>
    <s v="Feb-2025"/>
    <s v="Q1-2025"/>
    <x v="2"/>
    <s v="Canada"/>
    <s v="Toronto"/>
    <s v="Small Business"/>
    <s v="Retail"/>
    <x v="14"/>
    <s v="Components"/>
    <s v="CMP-5065"/>
    <n v="1133.47"/>
    <s v="High"/>
    <n v="1698.75"/>
    <x v="89"/>
    <n v="5"/>
    <n v="7459.2886500000004"/>
    <n v="5667.35"/>
    <n v="1791.9386500000001"/>
    <n v="0.24022916045754578"/>
  </r>
  <r>
    <s v="ORD-2023-689428"/>
    <d v="2023-01-07T00:00:00"/>
    <d v="2023-01-30T00:00:00"/>
    <n v="23"/>
    <s v="Jan-2023"/>
    <s v="Q1-2023"/>
    <x v="0"/>
    <s v="South Africa"/>
    <s v="Cape Town"/>
    <s v="Consumer"/>
    <s v="Online"/>
    <x v="8"/>
    <s v="Printers"/>
    <s v="PRN-4787"/>
    <n v="299.02"/>
    <s v="High"/>
    <n v="724.7"/>
    <x v="78"/>
    <n v="5"/>
    <n v="3702.9880000000003"/>
    <n v="1495.1"/>
    <n v="2207.8880000000004"/>
    <n v="0.59624497837962209"/>
  </r>
  <r>
    <s v="ORD-2025-683247"/>
    <d v="2025-03-10T00:00:00"/>
    <d v="2025-04-04T00:00:00"/>
    <n v="25"/>
    <s v="Mar-2025"/>
    <s v="Q1-2025"/>
    <x v="1"/>
    <s v="Japan"/>
    <s v="Osaka"/>
    <s v="Corporate"/>
    <s v="Direct"/>
    <x v="10"/>
    <s v="Printers"/>
    <s v="PRN-9867"/>
    <n v="783.72"/>
    <s v="High"/>
    <n v="1355.94"/>
    <x v="37"/>
    <n v="4"/>
    <n v="7467.4049999999997"/>
    <n v="3134.88"/>
    <n v="4332.5249999999996"/>
    <n v="0.58019151231251009"/>
  </r>
  <r>
    <s v="ORD-2024-585443"/>
    <d v="2024-08-17T00:00:00"/>
    <d v="2024-08-15T00:00:00"/>
    <n v="2"/>
    <s v="Aug-2024"/>
    <s v="Q3-2024"/>
    <x v="2"/>
    <s v="Brazil"/>
    <s v="Rio de Janeiro"/>
    <s v="Consumer"/>
    <s v="Direct"/>
    <x v="12"/>
    <s v="Monitors"/>
    <s v="MON-2849"/>
    <n v="165.3"/>
    <s v="High"/>
    <n v="275.07"/>
    <x v="112"/>
    <n v="25"/>
    <n v="57148.305"/>
    <n v="4132.5"/>
    <n v="53015.805"/>
    <n v="0.92768814403156841"/>
  </r>
  <r>
    <s v="ORD-2024-907733"/>
    <d v="2024-03-09T00:00:00"/>
    <d v="2024-03-22T00:00:00"/>
    <n v="13"/>
    <s v="Mar-2024"/>
    <s v="Q1-2024"/>
    <x v="3"/>
    <s v="United Kingdom"/>
    <s v="Manchester"/>
    <s v="Consumer"/>
    <s v="Online"/>
    <x v="6"/>
    <s v="Laptops"/>
    <s v="LAP-8633"/>
    <n v="985.45"/>
    <s v="High"/>
    <n v="1802.44"/>
    <x v="99"/>
    <n v="19"/>
    <n v="18416.456609999997"/>
    <n v="18723.55"/>
    <n v="-307.09339000000182"/>
    <n v="-1.6674944399089911E-2"/>
  </r>
  <r>
    <s v="ORD-2024-550400"/>
    <d v="2024-08-19T00:00:00"/>
    <d v="2024-09-02T00:00:00"/>
    <n v="14"/>
    <s v="Aug-2024"/>
    <s v="Q3-2024"/>
    <x v="2"/>
    <s v="Canada"/>
    <s v="Toronto"/>
    <s v="Consumer"/>
    <s v="Distributor"/>
    <x v="0"/>
    <s v="Printers"/>
    <s v="PRN-9793"/>
    <n v="1337.01"/>
    <s v="High"/>
    <n v="1269.78"/>
    <x v="75"/>
    <n v="7"/>
    <n v="3208.8335999999999"/>
    <n v="9359.07"/>
    <n v="-6150.2363999999998"/>
    <n v="-1.916657940754547"/>
  </r>
  <r>
    <s v="ORD-2025-189846"/>
    <d v="2025-08-11T00:00:00"/>
    <d v="2025-08-28T00:00:00"/>
    <n v="17"/>
    <s v="Aug-2025"/>
    <s v="Q3-2025"/>
    <x v="3"/>
    <s v="France"/>
    <s v="Paris"/>
    <s v="Education"/>
    <s v="Online"/>
    <x v="9"/>
    <s v="Networking"/>
    <s v="NET-6218"/>
    <n v="416.16"/>
    <s v="High"/>
    <n v="571.9"/>
    <x v="88"/>
    <n v="2"/>
    <n v="2667.2333200000003"/>
    <n v="832.32"/>
    <n v="1834.9133200000001"/>
    <n v="0.6879463098488886"/>
  </r>
  <r>
    <s v="ORD-2025-752192"/>
    <d v="2025-05-16T00:00:00"/>
    <d v="2025-05-18T00:00:00"/>
    <n v="2"/>
    <s v="May-2025"/>
    <s v="Q2-2025"/>
    <x v="1"/>
    <s v="Japan"/>
    <s v="Tokyo"/>
    <s v="Enterprise"/>
    <s v="Retail"/>
    <x v="1"/>
    <s v="Printers"/>
    <s v="PRN-6131"/>
    <n v="1144.3800000000001"/>
    <s v="High"/>
    <n v="2755.04"/>
    <x v="209"/>
    <n v="17"/>
    <n v="34640.985000000001"/>
    <n v="19454.460000000003"/>
    <n v="15186.524999999998"/>
    <n v="0.4383976090749151"/>
  </r>
  <r>
    <s v="ORD-2023-294716"/>
    <d v="2023-04-10T00:00:00"/>
    <d v="2023-04-25T00:00:00"/>
    <n v="15"/>
    <s v="Apr-2023"/>
    <s v="Q2-2023"/>
    <x v="3"/>
    <s v="United Kingdom"/>
    <s v="London"/>
    <s v="Small Business"/>
    <s v="Retail"/>
    <x v="14"/>
    <s v="Printers"/>
    <s v="PRN-5067"/>
    <n v="405.66"/>
    <s v="High"/>
    <n v="962.51"/>
    <x v="197"/>
    <n v="7"/>
    <n v="10511.386199999999"/>
    <n v="2839.6200000000003"/>
    <n v="7671.7661999999982"/>
    <n v="0.72985294746377016"/>
  </r>
  <r>
    <s v="ORD-2023-552115"/>
    <d v="2023-09-17T00:00:00"/>
    <d v="2023-10-02T00:00:00"/>
    <n v="15"/>
    <s v="Sept-2023"/>
    <s v="Q3-2023"/>
    <x v="2"/>
    <s v="Brazil"/>
    <s v="Rio de Janeiro"/>
    <s v="Small Business"/>
    <s v="Retail"/>
    <x v="5"/>
    <s v="Laptops"/>
    <s v="LAP-4932"/>
    <n v="689.33"/>
    <s v="High"/>
    <n v="668.27"/>
    <x v="63"/>
    <n v="13"/>
    <n v="486.56036000000006"/>
    <n v="8961.2900000000009"/>
    <n v="-8474.7296400000014"/>
    <n v="-17.417632706453933"/>
  </r>
  <r>
    <s v="ORD-2023-107265"/>
    <d v="2023-04-22T00:00:00"/>
    <d v="2023-05-14T00:00:00"/>
    <n v="22"/>
    <s v="Apr-2023"/>
    <s v="Q2-2023"/>
    <x v="1"/>
    <s v="Japan"/>
    <s v="Nagoya"/>
    <s v="Enterprise"/>
    <s v="Retail"/>
    <x v="8"/>
    <s v="Accessories"/>
    <s v="ACC-7713"/>
    <n v="1209.22"/>
    <s v="High"/>
    <n v="1404.33"/>
    <x v="172"/>
    <n v="11"/>
    <n v="0"/>
    <n v="13301.42"/>
    <n v="-13301.42"/>
    <n v="0"/>
  </r>
  <r>
    <s v="ORD-2025-262434"/>
    <d v="2025-06-19T00:00:00"/>
    <d v="2025-06-21T00:00:00"/>
    <n v="2"/>
    <s v="Jun-2025"/>
    <s v="Q2-2025"/>
    <x v="0"/>
    <s v="South Africa"/>
    <s v="Johannesburg"/>
    <s v="Small Business"/>
    <s v="Not Provided"/>
    <x v="10"/>
    <s v="Phones"/>
    <s v="PHN-7379"/>
    <n v="1466.27"/>
    <s v="High"/>
    <n v="3589.89"/>
    <x v="224"/>
    <n v="9"/>
    <n v="0"/>
    <n v="13196.43"/>
    <n v="-13196.43"/>
    <n v="0"/>
  </r>
  <r>
    <s v="ORD-2024-266562"/>
    <d v="2024-11-27T00:00:00"/>
    <d v="2024-12-24T00:00:00"/>
    <n v="27"/>
    <s v="Nov-2024"/>
    <s v="Q4-2024"/>
    <x v="0"/>
    <s v="Kenya"/>
    <s v="Mombasa"/>
    <s v="Corporate"/>
    <s v="Distributor"/>
    <x v="5"/>
    <s v="Printers"/>
    <s v="PRN-5569"/>
    <n v="143.33000000000001"/>
    <s v="High"/>
    <n v="233.51"/>
    <x v="196"/>
    <n v="14"/>
    <n v="0"/>
    <n v="2006.6200000000001"/>
    <n v="-2006.6200000000001"/>
    <n v="0"/>
  </r>
  <r>
    <s v="ORD-2024-838925"/>
    <d v="2024-01-28T00:00:00"/>
    <d v="2024-01-27T00:00:00"/>
    <n v="1"/>
    <s v="Jan-2024"/>
    <s v="Q1-2024"/>
    <x v="0"/>
    <s v="South Africa"/>
    <s v="Cape Town"/>
    <s v="Enterprise"/>
    <s v="Direct"/>
    <x v="7"/>
    <s v="Components"/>
    <s v="CMP-1470"/>
    <n v="109.75"/>
    <s v="Medium"/>
    <n v="124.25"/>
    <x v="18"/>
    <n v="19"/>
    <n v="0"/>
    <n v="2085.25"/>
    <n v="-2085.25"/>
    <n v="0"/>
  </r>
  <r>
    <s v="ORD-2023-664790"/>
    <d v="2023-04-16T00:00:00"/>
    <d v="2023-04-23T00:00:00"/>
    <n v="7"/>
    <s v="Apr-2023"/>
    <s v="Q2-2023"/>
    <x v="2"/>
    <s v="USA"/>
    <s v="Austin"/>
    <s v="Corporate"/>
    <s v="Distributor"/>
    <x v="7"/>
    <s v="Printers"/>
    <s v="PRN-9249"/>
    <n v="1099.1500000000001"/>
    <s v="High"/>
    <n v="1431.37"/>
    <x v="67"/>
    <n v="8"/>
    <n v="0"/>
    <n v="8793.2000000000007"/>
    <n v="-8793.2000000000007"/>
    <n v="0"/>
  </r>
  <r>
    <s v="ORD-2024-331408"/>
    <d v="2024-02-01T00:00:00"/>
    <d v="2024-02-01T00:00:00"/>
    <n v="0"/>
    <s v="Feb-2024"/>
    <s v="Q1-2024"/>
    <x v="2"/>
    <s v="USA"/>
    <s v="Austin"/>
    <s v="Consumer"/>
    <s v="Distributor"/>
    <x v="10"/>
    <s v="Printers"/>
    <s v="PRN-4906"/>
    <n v="714.43"/>
    <s v="High"/>
    <n v="1595.52"/>
    <x v="7"/>
    <n v="14"/>
    <n v="0"/>
    <n v="10002.019999999999"/>
    <n v="-10002.019999999999"/>
    <n v="0"/>
  </r>
  <r>
    <s v="ORD-2024-741404"/>
    <d v="2024-10-19T00:00:00"/>
    <d v="2024-11-06T00:00:00"/>
    <n v="18"/>
    <s v="Oct-2024"/>
    <s v="Q4-2024"/>
    <x v="2"/>
    <s v="USA"/>
    <s v="Chicago"/>
    <s v="Education"/>
    <s v="Not Provided"/>
    <x v="0"/>
    <s v="Monitors"/>
    <s v="MON-8129"/>
    <n v="942.02"/>
    <s v="High"/>
    <n v="1028.46"/>
    <x v="5"/>
    <n v="9"/>
    <n v="0"/>
    <n v="8478.18"/>
    <n v="-8478.18"/>
    <n v="0"/>
  </r>
  <r>
    <s v="ORD-2024-341535"/>
    <d v="2024-06-25T00:00:00"/>
    <d v="2024-06-30T00:00:00"/>
    <n v="5"/>
    <s v="Jun-2024"/>
    <s v="Q2-2024"/>
    <x v="0"/>
    <s v="Kenya"/>
    <s v="Kisumu"/>
    <s v="Education"/>
    <s v="Direct"/>
    <x v="12"/>
    <s v="Networking"/>
    <s v="NET-5987"/>
    <n v="1323.55"/>
    <s v="High"/>
    <n v="3230.35"/>
    <x v="118"/>
    <n v="26"/>
    <n v="0"/>
    <n v="34412.299999999996"/>
    <n v="-34412.299999999996"/>
    <n v="0"/>
  </r>
  <r>
    <s v="ORD-2023-451931"/>
    <d v="2023-07-30T00:00:00"/>
    <d v="2023-08-19T00:00:00"/>
    <n v="20"/>
    <s v="Jul-2023"/>
    <s v="Q3-2023"/>
    <x v="3"/>
    <s v="France"/>
    <s v="Paris"/>
    <s v="Enterprise"/>
    <s v="Marketplace"/>
    <x v="3"/>
    <s v="Networking"/>
    <s v="NET-5423"/>
    <n v="1418.51"/>
    <s v="High"/>
    <n v="2789.61"/>
    <x v="225"/>
    <n v="8"/>
    <n v="0"/>
    <n v="11348.08"/>
    <n v="-11348.08"/>
    <n v="0"/>
  </r>
  <r>
    <s v="ORD-2025-532859"/>
    <d v="2025-03-11T00:00:00"/>
    <d v="2025-03-27T00:00:00"/>
    <n v="16"/>
    <s v="Mar-2025"/>
    <s v="Q1-2025"/>
    <x v="1"/>
    <s v="Japan"/>
    <s v="Tokyo"/>
    <s v="Enterprise"/>
    <s v="Distributor"/>
    <x v="5"/>
    <s v="Printers"/>
    <s v="PRN-5264"/>
    <n v="1317.58"/>
    <s v="High"/>
    <n v="1897.74"/>
    <x v="226"/>
    <n v="6"/>
    <n v="0"/>
    <n v="7905.48"/>
    <n v="-7905.48"/>
    <n v="0"/>
  </r>
  <r>
    <s v="ORD-2023-502205"/>
    <d v="2023-10-09T00:00:00"/>
    <d v="2023-10-11T00:00:00"/>
    <n v="2"/>
    <s v="Oct-2023"/>
    <s v="Q4-2023"/>
    <x v="0"/>
    <s v="Nigeria"/>
    <s v="Port Harcourt"/>
    <s v="Education"/>
    <s v="Marketplace"/>
    <x v="11"/>
    <s v="Networking"/>
    <s v="NET-8856"/>
    <n v="391.16"/>
    <s v="High"/>
    <n v="902.47"/>
    <x v="140"/>
    <n v="12"/>
    <n v="0"/>
    <n v="4693.92"/>
    <n v="-4693.92"/>
    <n v="0"/>
  </r>
  <r>
    <s v="ORD-2024-930679"/>
    <d v="2024-12-17T00:00:00"/>
    <d v="2025-01-16T00:00:00"/>
    <n v="30"/>
    <s v="Dec-2024"/>
    <s v="Q4-2024"/>
    <x v="3"/>
    <s v="United Kingdom"/>
    <s v="Manchester"/>
    <s v="Corporate"/>
    <s v="Retail"/>
    <x v="14"/>
    <s v="Monitors"/>
    <s v="MON-4215"/>
    <n v="722.87"/>
    <s v="Low"/>
    <n v="-33.659999999999997"/>
    <x v="4"/>
    <n v="28"/>
    <n v="0"/>
    <n v="20240.36"/>
    <n v="-20240.36"/>
    <n v="0"/>
  </r>
  <r>
    <s v="ORD-2025-150713"/>
    <d v="2025-07-11T00:00:00"/>
    <d v="2025-07-16T00:00:00"/>
    <n v="5"/>
    <s v="Jul-2025"/>
    <s v="Q3-2025"/>
    <x v="3"/>
    <s v="United Kingdom"/>
    <s v="London"/>
    <s v="Enterprise"/>
    <s v="Online"/>
    <x v="11"/>
    <s v="Printers"/>
    <s v="PRN-5753"/>
    <n v="930.03"/>
    <s v="High"/>
    <n v="1086.68"/>
    <x v="14"/>
    <n v="26"/>
    <n v="0"/>
    <n v="24180.78"/>
    <n v="-24180.78"/>
    <n v="0"/>
  </r>
  <r>
    <s v="ORD-2024-756884"/>
    <d v="2024-10-13T00:00:00"/>
    <d v="2024-10-24T00:00:00"/>
    <n v="11"/>
    <s v="Oct-2024"/>
    <s v="Q4-2024"/>
    <x v="3"/>
    <s v="France"/>
    <s v="Paris"/>
    <s v="Education"/>
    <s v="Distributor"/>
    <x v="9"/>
    <s v="Components"/>
    <s v="CMP-5006"/>
    <n v="816.7"/>
    <s v="High"/>
    <n v="1010.75"/>
    <x v="58"/>
    <n v="43"/>
    <n v="0"/>
    <n v="35118.1"/>
    <n v="-35118.1"/>
    <n v="0"/>
  </r>
  <r>
    <s v="ORD-2023-755337"/>
    <d v="2023-09-08T00:00:00"/>
    <d v="2023-09-14T00:00:00"/>
    <n v="6"/>
    <s v="Sept-2023"/>
    <s v="Q3-2023"/>
    <x v="0"/>
    <s v="Kenya"/>
    <s v="Nakuru"/>
    <s v="Education"/>
    <s v="Direct"/>
    <x v="2"/>
    <s v="Accessories"/>
    <s v="ACC-4766"/>
    <n v="251.03"/>
    <s v="High"/>
    <n v="411.48"/>
    <x v="211"/>
    <n v="3"/>
    <n v="0"/>
    <n v="753.09"/>
    <n v="-753.09"/>
    <n v="0"/>
  </r>
  <r>
    <s v="ORD-2025-907040"/>
    <d v="2025-04-17T00:00:00"/>
    <d v="2025-05-03T00:00:00"/>
    <n v="16"/>
    <s v="Apr-2025"/>
    <s v="Q2-2025"/>
    <x v="2"/>
    <s v="Brazil"/>
    <s v="Rio de Janeiro"/>
    <s v="Consumer"/>
    <s v="Marketplace"/>
    <x v="1"/>
    <s v="Networking"/>
    <s v="NET-8610"/>
    <n v="168.68"/>
    <s v="High"/>
    <n v="413.34"/>
    <x v="63"/>
    <n v="7"/>
    <n v="0"/>
    <n v="1180.76"/>
    <n v="-1180.76"/>
    <n v="0"/>
  </r>
  <r>
    <s v="ORD-2024-817997"/>
    <d v="2024-07-28T00:00:00"/>
    <d v="2024-08-23T00:00:00"/>
    <n v="26"/>
    <s v="Jul-2024"/>
    <s v="Q3-2024"/>
    <x v="1"/>
    <s v="India"/>
    <s v="Hyderabad"/>
    <s v="Corporate"/>
    <s v="Retail"/>
    <x v="1"/>
    <s v="Networking"/>
    <s v="NET-4675"/>
    <n v="1339.24"/>
    <s v="High"/>
    <n v="1558.89"/>
    <x v="98"/>
    <n v="24"/>
    <n v="0"/>
    <n v="32141.760000000002"/>
    <n v="-32141.760000000002"/>
    <n v="0"/>
  </r>
  <r>
    <s v="ORD-2025-649633"/>
    <d v="2025-07-19T00:00:00"/>
    <d v="2025-07-31T00:00:00"/>
    <n v="12"/>
    <s v="Jul-2025"/>
    <s v="Q3-2025"/>
    <x v="0"/>
    <s v="Kenya"/>
    <s v="Nairobi"/>
    <s v="Small Business"/>
    <s v="Marketplace"/>
    <x v="7"/>
    <s v="Accessories"/>
    <s v="ACC-1028"/>
    <n v="619.64"/>
    <s v="High"/>
    <n v="861.16"/>
    <x v="139"/>
    <n v="14"/>
    <n v="0"/>
    <n v="8674.9599999999991"/>
    <n v="-8674.9599999999991"/>
    <n v="0"/>
  </r>
  <r>
    <s v="ORD-2023-885216"/>
    <d v="2023-08-03T00:00:00"/>
    <d v="2023-08-02T00:00:00"/>
    <n v="1"/>
    <s v="Aug-2023"/>
    <s v="Q3-2023"/>
    <x v="1"/>
    <s v="China"/>
    <s v="Shanghai"/>
    <s v="Non-Profit"/>
    <s v="Direct"/>
    <x v="1"/>
    <s v="Networking"/>
    <s v="NET-4735"/>
    <n v="1021.97"/>
    <s v="High"/>
    <n v="2296.25"/>
    <x v="64"/>
    <n v="26"/>
    <n v="0"/>
    <n v="26571.22"/>
    <n v="-26571.22"/>
    <n v="0"/>
  </r>
  <r>
    <s v="ORD-2023-561823"/>
    <d v="2023-11-19T00:00:00"/>
    <d v="2023-12-12T00:00:00"/>
    <n v="23"/>
    <s v="Nov-2023"/>
    <s v="Q4-2023"/>
    <x v="1"/>
    <s v="India"/>
    <s v="Delhi"/>
    <s v="Small Business"/>
    <s v="Direct"/>
    <x v="0"/>
    <s v="Networking"/>
    <s v="NET-2460"/>
    <n v="1349.04"/>
    <s v="High"/>
    <n v="2636.6"/>
    <x v="60"/>
    <n v="14"/>
    <n v="0"/>
    <n v="18886.559999999998"/>
    <n v="-18886.559999999998"/>
    <n v="0"/>
  </r>
  <r>
    <s v="ORD-2023-249805"/>
    <d v="2023-12-22T00:00:00"/>
    <d v="2024-01-16T00:00:00"/>
    <n v="25"/>
    <s v="Dec-2023"/>
    <s v="Q4-2023"/>
    <x v="1"/>
    <s v="India"/>
    <s v="Hyderabad"/>
    <s v="Small Business"/>
    <s v="Retail"/>
    <x v="8"/>
    <s v="Components"/>
    <s v="CMP-1555"/>
    <n v="1346.81"/>
    <s v="High"/>
    <n v="978.09"/>
    <x v="129"/>
    <n v="17"/>
    <n v="0"/>
    <n v="22895.77"/>
    <n v="-22895.77"/>
    <n v="0"/>
  </r>
  <r>
    <s v="ORD-2023-548934"/>
    <d v="2023-08-03T00:00:00"/>
    <d v="2023-08-30T00:00:00"/>
    <n v="27"/>
    <s v="Aug-2023"/>
    <s v="Q3-2023"/>
    <x v="1"/>
    <s v="China"/>
    <s v="Shanghai"/>
    <s v="Consumer"/>
    <s v="Distributor"/>
    <x v="13"/>
    <s v="Monitors"/>
    <s v="MON-3773"/>
    <n v="226.04"/>
    <s v="High"/>
    <n v="545.72"/>
    <x v="102"/>
    <n v="11"/>
    <n v="0"/>
    <n v="2486.44"/>
    <n v="-2486.44"/>
    <n v="0"/>
  </r>
  <r>
    <s v="ORD-2023-921939"/>
    <d v="2023-06-23T00:00:00"/>
    <d v="2023-07-18T00:00:00"/>
    <n v="25"/>
    <s v="Jun-2023"/>
    <s v="Q2-2023"/>
    <x v="2"/>
    <s v="Canada"/>
    <s v="Vancouver"/>
    <s v="Enterprise"/>
    <s v="Online"/>
    <x v="13"/>
    <s v="Phones"/>
    <s v="PHN-4677"/>
    <n v="807.02"/>
    <s v="High"/>
    <n v="1435.54"/>
    <x v="5"/>
    <n v="23"/>
    <n v="0"/>
    <n v="18561.46"/>
    <n v="-18561.46"/>
    <n v="0"/>
  </r>
  <r>
    <s v="ORD-2023-961864"/>
    <d v="2023-12-07T00:00:00"/>
    <d v="2024-01-02T00:00:00"/>
    <n v="26"/>
    <s v="Dec-2023"/>
    <s v="Q4-2023"/>
    <x v="3"/>
    <s v="Germany"/>
    <s v="Frankfurt"/>
    <s v="Enterprise"/>
    <s v="Distributor"/>
    <x v="6"/>
    <s v="Components"/>
    <s v="CMP-1940"/>
    <n v="1071.99"/>
    <s v="High"/>
    <n v="2397.3000000000002"/>
    <x v="227"/>
    <n v="18"/>
    <n v="0"/>
    <n v="19295.82"/>
    <n v="-19295.82"/>
    <n v="0"/>
  </r>
  <r>
    <s v="ORD-2023-455933"/>
    <d v="2023-11-19T00:00:00"/>
    <d v="2023-12-19T00:00:00"/>
    <n v="0"/>
    <s v="Nov-2023"/>
    <s v="Q4-2023"/>
    <x v="1"/>
    <s v="Japan"/>
    <s v="Nagoya"/>
    <s v="Consumer"/>
    <s v="Retail"/>
    <x v="15"/>
    <s v="Phones"/>
    <s v="PHN-9184"/>
    <n v="807.11"/>
    <s v="High"/>
    <n v="1853.86"/>
    <x v="23"/>
    <n v="8"/>
    <n v="0"/>
    <n v="6456.88"/>
    <n v="-6456.88"/>
    <n v="0"/>
  </r>
  <r>
    <s v="ORD-2025-728935"/>
    <d v="2025-02-28T00:00:00"/>
    <d v="2025-03-10T00:00:00"/>
    <n v="10"/>
    <s v="Feb-2025"/>
    <s v="Q1-2025"/>
    <x v="1"/>
    <s v="Japan"/>
    <s v="Osaka"/>
    <s v="Education"/>
    <s v="Distributor"/>
    <x v="13"/>
    <s v="Laptops"/>
    <s v="LAP-3017"/>
    <n v="51.86"/>
    <s v="Low"/>
    <n v="45.98"/>
    <x v="122"/>
    <n v="7"/>
    <n v="0"/>
    <n v="363.02"/>
    <n v="-363.02"/>
    <n v="0"/>
  </r>
  <r>
    <m/>
    <m/>
    <m/>
    <m/>
    <m/>
    <m/>
    <x v="4"/>
    <m/>
    <m/>
    <m/>
    <m/>
    <x v="16"/>
    <m/>
    <m/>
    <m/>
    <m/>
    <m/>
    <x v="228"/>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926575.4344300001"/>
    <n v="0.18398300334905798"/>
    <n v="1926575.4344300001"/>
    <n v="0.18398300334905798"/>
    <x v="0"/>
  </r>
  <r>
    <x v="1"/>
    <n v="1573214.03728"/>
    <n v="0.150237897938996"/>
    <n v="3499789.4717100002"/>
    <n v="0.33422090128805398"/>
    <x v="0"/>
  </r>
  <r>
    <x v="2"/>
    <n v="1493059.8076100003"/>
    <n v="0.14258337497442816"/>
    <n v="4992849.2793200007"/>
    <n v="0.47680427626248217"/>
    <x v="0"/>
  </r>
  <r>
    <x v="3"/>
    <n v="1471202.46594"/>
    <n v="0.14049605501082499"/>
    <n v="6464051.7452600002"/>
    <n v="0.61730033127330708"/>
    <x v="0"/>
  </r>
  <r>
    <x v="4"/>
    <n v="1405895.7169900001"/>
    <n v="0.13425942830207699"/>
    <n v="7869947.4622499999"/>
    <n v="0.75155975957538412"/>
    <x v="0"/>
  </r>
  <r>
    <x v="5"/>
    <n v="1352771.8338100002"/>
    <n v="0.12918623396857165"/>
    <n v="9222719.2960599996"/>
    <n v="0.88074599354395566"/>
    <x v="1"/>
  </r>
  <r>
    <x v="6"/>
    <n v="1248766.6529700004"/>
    <n v="0.11925400645604425"/>
    <n v="10471485.949030001"/>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BCAFD-5D9D-4AC8-9527-CBB691CAF3A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I27" firstHeaderRow="1" firstDataRow="2" firstDataCol="1" rowPageCount="1" colPageCount="1"/>
  <pivotFields count="15">
    <pivotField numFmtId="166" showAll="0"/>
    <pivotField axis="axisCol"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axis="axisRow" showAll="0">
      <items count="23">
        <item x="1"/>
        <item x="13"/>
        <item x="5"/>
        <item x="17"/>
        <item x="9"/>
        <item x="21"/>
        <item x="11"/>
        <item x="10"/>
        <item x="4"/>
        <item x="16"/>
        <item x="3"/>
        <item x="15"/>
        <item x="0"/>
        <item x="12"/>
        <item x="2"/>
        <item x="14"/>
        <item x="8"/>
        <item x="20"/>
        <item x="7"/>
        <item x="19"/>
        <item x="6"/>
        <item x="18"/>
        <item t="default"/>
      </items>
    </pivotField>
    <pivotField numFmtId="15" showAll="0"/>
    <pivotField showAll="0"/>
    <pivotField showAll="0"/>
    <pivotField axis="axisPage" showAll="0">
      <items count="13">
        <item x="5"/>
        <item x="3"/>
        <item x="9"/>
        <item x="7"/>
        <item x="6"/>
        <item x="4"/>
        <item x="2"/>
        <item x="0"/>
        <item x="1"/>
        <item x="11"/>
        <item x="8"/>
        <item x="10"/>
        <item t="default"/>
      </items>
    </pivotField>
    <pivotField showAll="0"/>
    <pivotField showAll="0"/>
    <pivotField showAll="0"/>
    <pivotField numFmtId="2" showAll="0"/>
    <pivotField numFmtId="2" showAll="0"/>
    <pivotField numFmtId="2" showAll="0"/>
    <pivotField numFmtId="2" showAll="0"/>
    <pivotField dataField="1" numFmtId="2"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pageFields count="1">
    <pageField fld="6" hier="-1"/>
  </pageFields>
  <dataFields count="1">
    <dataField name="Sum of Gross 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67BFBF-FE1A-4F4E-9A4F-545932A5D754}" name="PivotTable5"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
  <location ref="A3:B13"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sd="0" x="6"/>
        <item sd="0" x="0"/>
        <item sd="0" x="4"/>
        <item sd="0" x="5"/>
        <item sd="0" x="2"/>
        <item sd="0" x="3"/>
        <item sd="0" x="1"/>
        <item x="7"/>
        <item t="default"/>
      </items>
      <autoSortScope>
        <pivotArea dataOnly="0" outline="0" fieldPosition="0">
          <references count="1">
            <reference field="4294967294" count="1" selected="0">
              <x v="0"/>
            </reference>
          </references>
        </pivotArea>
      </autoSortScope>
    </pivotField>
    <pivotField axis="axisRow" showAll="0">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pivotField>
    <pivotField showAll="0"/>
    <pivotField showAll="0"/>
    <pivotField showAll="0"/>
    <pivotField showAll="0"/>
    <pivotField showAll="0"/>
    <pivotField dataField="1" showAll="0">
      <items count="609">
        <item x="591"/>
        <item x="32"/>
        <item x="606"/>
        <item x="86"/>
        <item x="154"/>
        <item x="146"/>
        <item x="260"/>
        <item x="467"/>
        <item x="272"/>
        <item x="221"/>
        <item x="546"/>
        <item x="70"/>
        <item x="363"/>
        <item x="57"/>
        <item x="285"/>
        <item x="80"/>
        <item x="90"/>
        <item x="25"/>
        <item x="28"/>
        <item x="297"/>
        <item x="605"/>
        <item x="151"/>
        <item x="87"/>
        <item x="204"/>
        <item x="180"/>
        <item x="455"/>
        <item x="462"/>
        <item x="217"/>
        <item x="113"/>
        <item x="256"/>
        <item x="315"/>
        <item x="328"/>
        <item x="101"/>
        <item x="279"/>
        <item x="464"/>
        <item x="437"/>
        <item x="549"/>
        <item x="27"/>
        <item x="450"/>
        <item x="282"/>
        <item x="0"/>
        <item x="491"/>
        <item x="343"/>
        <item x="506"/>
        <item x="185"/>
        <item x="556"/>
        <item x="265"/>
        <item x="408"/>
        <item x="410"/>
        <item x="168"/>
        <item x="93"/>
        <item x="421"/>
        <item x="435"/>
        <item x="417"/>
        <item x="75"/>
        <item x="434"/>
        <item x="525"/>
        <item x="412"/>
        <item x="583"/>
        <item x="189"/>
        <item x="248"/>
        <item x="82"/>
        <item x="213"/>
        <item x="335"/>
        <item x="332"/>
        <item x="152"/>
        <item x="500"/>
        <item x="304"/>
        <item x="292"/>
        <item x="102"/>
        <item x="321"/>
        <item x="493"/>
        <item x="281"/>
        <item x="88"/>
        <item x="602"/>
        <item x="295"/>
        <item x="560"/>
        <item x="551"/>
        <item x="586"/>
        <item x="413"/>
        <item x="318"/>
        <item x="191"/>
        <item x="63"/>
        <item x="601"/>
        <item x="565"/>
        <item x="137"/>
        <item x="571"/>
        <item x="451"/>
        <item x="79"/>
        <item x="489"/>
        <item x="466"/>
        <item x="595"/>
        <item x="257"/>
        <item x="392"/>
        <item x="391"/>
        <item x="20"/>
        <item x="109"/>
        <item x="544"/>
        <item x="406"/>
        <item x="98"/>
        <item x="195"/>
        <item x="143"/>
        <item x="171"/>
        <item x="597"/>
        <item x="267"/>
        <item x="347"/>
        <item x="459"/>
        <item x="77"/>
        <item x="26"/>
        <item x="415"/>
        <item x="432"/>
        <item x="514"/>
        <item x="105"/>
        <item x="593"/>
        <item x="59"/>
        <item x="56"/>
        <item x="124"/>
        <item x="83"/>
        <item x="119"/>
        <item x="104"/>
        <item x="244"/>
        <item x="92"/>
        <item x="207"/>
        <item x="358"/>
        <item x="2"/>
        <item x="219"/>
        <item x="212"/>
        <item x="231"/>
        <item x="505"/>
        <item x="354"/>
        <item x="547"/>
        <item x="430"/>
        <item x="324"/>
        <item x="460"/>
        <item x="418"/>
        <item x="490"/>
        <item x="582"/>
        <item x="519"/>
        <item x="584"/>
        <item x="594"/>
        <item x="237"/>
        <item x="148"/>
        <item x="457"/>
        <item x="535"/>
        <item x="520"/>
        <item x="193"/>
        <item x="9"/>
        <item x="338"/>
        <item x="167"/>
        <item x="554"/>
        <item x="440"/>
        <item x="393"/>
        <item x="243"/>
        <item x="326"/>
        <item x="575"/>
        <item x="378"/>
        <item x="263"/>
        <item x="107"/>
        <item x="402"/>
        <item x="482"/>
        <item x="327"/>
        <item x="153"/>
        <item x="108"/>
        <item x="419"/>
        <item x="42"/>
        <item x="72"/>
        <item x="578"/>
        <item x="517"/>
        <item x="312"/>
        <item x="232"/>
        <item x="214"/>
        <item x="198"/>
        <item x="545"/>
        <item x="186"/>
        <item x="246"/>
        <item x="349"/>
        <item x="161"/>
        <item x="115"/>
        <item x="111"/>
        <item x="277"/>
        <item x="333"/>
        <item x="271"/>
        <item x="227"/>
        <item x="13"/>
        <item x="305"/>
        <item x="518"/>
        <item x="196"/>
        <item x="174"/>
        <item x="553"/>
        <item x="509"/>
        <item x="485"/>
        <item x="573"/>
        <item x="122"/>
        <item x="334"/>
        <item x="275"/>
        <item x="158"/>
        <item x="233"/>
        <item x="445"/>
        <item x="61"/>
        <item x="182"/>
        <item x="510"/>
        <item x="41"/>
        <item x="290"/>
        <item x="596"/>
        <item x="598"/>
        <item x="507"/>
        <item x="345"/>
        <item x="468"/>
        <item x="476"/>
        <item x="307"/>
        <item x="527"/>
        <item x="225"/>
        <item x="289"/>
        <item x="558"/>
        <item x="524"/>
        <item x="176"/>
        <item x="576"/>
        <item x="121"/>
        <item x="136"/>
        <item x="278"/>
        <item x="38"/>
        <item x="283"/>
        <item x="499"/>
        <item x="169"/>
        <item x="564"/>
        <item x="129"/>
        <item x="4"/>
        <item x="473"/>
        <item x="96"/>
        <item x="228"/>
        <item x="531"/>
        <item x="579"/>
        <item x="427"/>
        <item x="99"/>
        <item x="559"/>
        <item x="504"/>
        <item x="39"/>
        <item x="6"/>
        <item x="534"/>
        <item x="403"/>
        <item x="222"/>
        <item x="226"/>
        <item x="118"/>
        <item x="156"/>
        <item x="359"/>
        <item x="242"/>
        <item x="484"/>
        <item x="344"/>
        <item x="568"/>
        <item x="188"/>
        <item x="273"/>
        <item x="65"/>
        <item x="258"/>
        <item x="62"/>
        <item x="390"/>
        <item x="94"/>
        <item x="128"/>
        <item x="205"/>
        <item x="286"/>
        <item x="259"/>
        <item x="270"/>
        <item x="365"/>
        <item x="496"/>
        <item x="159"/>
        <item x="74"/>
        <item x="31"/>
        <item x="446"/>
        <item x="164"/>
        <item x="411"/>
        <item x="552"/>
        <item x="301"/>
        <item x="245"/>
        <item x="589"/>
        <item x="502"/>
        <item x="538"/>
        <item x="604"/>
        <item x="52"/>
        <item x="581"/>
        <item x="550"/>
        <item x="409"/>
        <item x="291"/>
        <item x="134"/>
        <item x="130"/>
        <item x="201"/>
        <item x="314"/>
        <item x="300"/>
        <item x="216"/>
        <item x="420"/>
        <item x="513"/>
        <item x="67"/>
        <item x="377"/>
        <item x="563"/>
        <item x="325"/>
        <item x="206"/>
        <item x="374"/>
        <item x="287"/>
        <item x="394"/>
        <item x="329"/>
        <item x="453"/>
        <item x="29"/>
        <item x="249"/>
        <item x="69"/>
        <item x="532"/>
        <item x="51"/>
        <item x="404"/>
        <item x="501"/>
        <item x="369"/>
        <item x="84"/>
        <item x="218"/>
        <item x="438"/>
        <item x="469"/>
        <item x="209"/>
        <item x="288"/>
        <item x="262"/>
        <item x="5"/>
        <item x="12"/>
        <item x="360"/>
        <item x="472"/>
        <item x="368"/>
        <item x="183"/>
        <item x="37"/>
        <item x="310"/>
        <item x="210"/>
        <item x="114"/>
        <item x="229"/>
        <item x="590"/>
        <item x="367"/>
        <item x="239"/>
        <item x="382"/>
        <item x="474"/>
        <item x="162"/>
        <item x="366"/>
        <item x="192"/>
        <item x="425"/>
        <item x="208"/>
        <item x="172"/>
        <item x="540"/>
        <item x="194"/>
        <item x="23"/>
        <item x="54"/>
        <item x="135"/>
        <item x="33"/>
        <item x="45"/>
        <item x="224"/>
        <item x="498"/>
        <item x="398"/>
        <item x="15"/>
        <item x="120"/>
        <item x="112"/>
        <item x="541"/>
        <item x="17"/>
        <item x="384"/>
        <item x="487"/>
        <item x="523"/>
        <item x="503"/>
        <item x="268"/>
        <item x="449"/>
        <item x="140"/>
        <item x="407"/>
        <item x="486"/>
        <item x="238"/>
        <item x="439"/>
        <item x="533"/>
        <item x="131"/>
        <item x="68"/>
        <item x="371"/>
        <item x="431"/>
        <item x="280"/>
        <item x="18"/>
        <item x="381"/>
        <item x="22"/>
        <item x="125"/>
        <item x="543"/>
        <item x="492"/>
        <item x="141"/>
        <item x="177"/>
        <item x="133"/>
        <item x="293"/>
        <item x="47"/>
        <item x="251"/>
        <item x="34"/>
        <item x="8"/>
        <item x="43"/>
        <item x="175"/>
        <item x="370"/>
        <item x="50"/>
        <item x="241"/>
        <item x="261"/>
        <item x="1"/>
        <item x="405"/>
        <item x="123"/>
        <item x="66"/>
        <item x="302"/>
        <item x="240"/>
        <item x="399"/>
        <item x="85"/>
        <item x="600"/>
        <item x="234"/>
        <item x="190"/>
        <item x="254"/>
        <item x="436"/>
        <item x="170"/>
        <item x="386"/>
        <item x="475"/>
        <item x="352"/>
        <item x="46"/>
        <item x="320"/>
        <item x="14"/>
        <item x="397"/>
        <item x="7"/>
        <item x="444"/>
        <item x="495"/>
        <item x="471"/>
        <item x="483"/>
        <item x="361"/>
        <item x="71"/>
        <item x="355"/>
        <item x="350"/>
        <item x="570"/>
        <item x="478"/>
        <item x="294"/>
        <item x="311"/>
        <item x="157"/>
        <item x="442"/>
        <item x="299"/>
        <item x="385"/>
        <item x="580"/>
        <item x="423"/>
        <item x="465"/>
        <item x="10"/>
        <item x="53"/>
        <item x="49"/>
        <item x="569"/>
        <item x="331"/>
        <item x="236"/>
        <item x="536"/>
        <item x="76"/>
        <item x="561"/>
        <item x="530"/>
        <item x="477"/>
        <item x="106"/>
        <item x="414"/>
        <item x="44"/>
        <item x="548"/>
        <item x="220"/>
        <item x="376"/>
        <item x="555"/>
        <item x="116"/>
        <item x="339"/>
        <item x="480"/>
        <item x="572"/>
        <item x="592"/>
        <item x="21"/>
        <item x="364"/>
        <item x="351"/>
        <item x="323"/>
        <item x="433"/>
        <item x="103"/>
        <item x="132"/>
        <item x="401"/>
        <item x="322"/>
        <item x="264"/>
        <item x="36"/>
        <item x="508"/>
        <item x="542"/>
        <item x="19"/>
        <item x="89"/>
        <item x="97"/>
        <item x="274"/>
        <item x="11"/>
        <item x="303"/>
        <item x="356"/>
        <item x="48"/>
        <item x="179"/>
        <item x="400"/>
        <item x="566"/>
        <item x="150"/>
        <item x="308"/>
        <item x="373"/>
        <item x="250"/>
        <item x="247"/>
        <item x="142"/>
        <item x="81"/>
        <item x="330"/>
        <item x="494"/>
        <item x="117"/>
        <item x="448"/>
        <item x="389"/>
        <item x="269"/>
        <item x="317"/>
        <item x="447"/>
        <item x="511"/>
        <item x="452"/>
        <item x="203"/>
        <item x="357"/>
        <item x="522"/>
        <item x="296"/>
        <item x="574"/>
        <item x="138"/>
        <item x="253"/>
        <item x="395"/>
        <item x="529"/>
        <item x="60"/>
        <item x="567"/>
        <item x="126"/>
        <item x="497"/>
        <item x="443"/>
        <item x="387"/>
        <item x="461"/>
        <item x="515"/>
        <item x="235"/>
        <item x="353"/>
        <item x="144"/>
        <item x="24"/>
        <item x="479"/>
        <item x="100"/>
        <item x="537"/>
        <item x="340"/>
        <item x="463"/>
        <item x="178"/>
        <item x="284"/>
        <item x="147"/>
        <item x="40"/>
        <item x="585"/>
        <item x="266"/>
        <item x="337"/>
        <item x="166"/>
        <item x="426"/>
        <item x="342"/>
        <item x="3"/>
        <item x="470"/>
        <item x="73"/>
        <item x="316"/>
        <item x="603"/>
        <item x="230"/>
        <item x="139"/>
        <item x="309"/>
        <item x="539"/>
        <item x="458"/>
        <item x="375"/>
        <item x="379"/>
        <item x="313"/>
        <item x="380"/>
        <item x="341"/>
        <item x="173"/>
        <item x="336"/>
        <item x="526"/>
        <item x="211"/>
        <item x="155"/>
        <item x="223"/>
        <item x="202"/>
        <item x="424"/>
        <item x="197"/>
        <item x="255"/>
        <item x="298"/>
        <item x="512"/>
        <item x="165"/>
        <item x="454"/>
        <item x="127"/>
        <item x="416"/>
        <item x="429"/>
        <item x="145"/>
        <item x="160"/>
        <item x="30"/>
        <item x="110"/>
        <item x="78"/>
        <item x="64"/>
        <item x="388"/>
        <item x="362"/>
        <item x="200"/>
        <item x="184"/>
        <item x="587"/>
        <item x="348"/>
        <item x="95"/>
        <item x="181"/>
        <item x="441"/>
        <item x="55"/>
        <item x="163"/>
        <item x="516"/>
        <item x="252"/>
        <item x="521"/>
        <item x="187"/>
        <item x="396"/>
        <item x="306"/>
        <item x="528"/>
        <item x="428"/>
        <item x="199"/>
        <item x="562"/>
        <item x="599"/>
        <item x="149"/>
        <item x="557"/>
        <item x="372"/>
        <item x="346"/>
        <item x="588"/>
        <item x="215"/>
        <item x="488"/>
        <item x="276"/>
        <item x="383"/>
        <item x="91"/>
        <item x="422"/>
        <item x="16"/>
        <item x="35"/>
        <item x="58"/>
        <item x="577"/>
        <item x="456"/>
        <item x="319"/>
        <item x="481"/>
        <item x="607"/>
        <item t="default"/>
      </items>
    </pivotField>
    <pivotField showAll="0"/>
    <pivotField showAll="0"/>
    <pivotField showAll="0"/>
  </pivotFields>
  <rowFields count="2">
    <field x="12"/>
    <field x="13"/>
  </rowFields>
  <rowItems count="10">
    <i>
      <x v="6"/>
    </i>
    <i>
      <x v="5"/>
    </i>
    <i>
      <x v="3"/>
    </i>
    <i>
      <x v="4"/>
    </i>
    <i>
      <x v="2"/>
    </i>
    <i>
      <x/>
    </i>
    <i>
      <x v="1"/>
    </i>
    <i>
      <x v="7"/>
    </i>
    <i r="1">
      <x v="630"/>
    </i>
    <i t="grand">
      <x/>
    </i>
  </rowItems>
  <colItems count="1">
    <i/>
  </colItems>
  <dataFields count="1">
    <dataField name="Sum of Gross Revenue"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85F6C-AFC1-4D5C-9844-9FDB2A61512A}"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16:E31" firstHeaderRow="1" firstDataRow="1" firstDataCol="1"/>
  <pivotFields count="6">
    <pivotField axis="axisRow" showAll="0">
      <items count="8">
        <item x="5"/>
        <item x="6"/>
        <item x="4"/>
        <item x="2"/>
        <item x="3"/>
        <item x="1"/>
        <item x="0"/>
        <item t="default"/>
      </items>
    </pivotField>
    <pivotField dataField="1" showAll="0"/>
    <pivotField numFmtId="10" showAll="0"/>
    <pivotField numFmtId="2" showAll="0"/>
    <pivotField numFmtId="10" showAll="0"/>
    <pivotField axis="axisRow" showAll="0">
      <items count="4">
        <item x="0"/>
        <item x="1"/>
        <item x="2"/>
        <item t="default"/>
      </items>
    </pivotField>
  </pivotFields>
  <rowFields count="2">
    <field x="0"/>
    <field x="5"/>
  </rowFields>
  <rowItems count="15">
    <i>
      <x/>
    </i>
    <i r="1">
      <x v="1"/>
    </i>
    <i>
      <x v="1"/>
    </i>
    <i r="1">
      <x v="2"/>
    </i>
    <i>
      <x v="2"/>
    </i>
    <i r="1">
      <x/>
    </i>
    <i>
      <x v="3"/>
    </i>
    <i r="1">
      <x/>
    </i>
    <i>
      <x v="4"/>
    </i>
    <i r="1">
      <x/>
    </i>
    <i>
      <x v="5"/>
    </i>
    <i r="1">
      <x/>
    </i>
    <i>
      <x v="6"/>
    </i>
    <i r="1">
      <x/>
    </i>
    <i t="grand">
      <x/>
    </i>
  </rowItems>
  <colItems count="1">
    <i/>
  </colItems>
  <dataFields count="1">
    <dataField name="Sum of Gross Revenue" fld="1"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56D9C-8C72-4DD6-A6A8-D57F30632F36}"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A3:D20" firstHeaderRow="0" firstDataRow="1" firstDataCol="1" rowPageCount="1" colPageCount="1"/>
  <pivotFields count="18">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65" showAll="0"/>
    <pivotField numFmtId="164" showAll="0"/>
    <pivotField numFmtId="2" showAll="0"/>
    <pivotField axis="axisPage"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axis="axisRow" showAll="0">
      <items count="17">
        <item x="8"/>
        <item x="5"/>
        <item x="0"/>
        <item x="14"/>
        <item x="6"/>
        <item x="9"/>
        <item x="3"/>
        <item x="10"/>
        <item x="2"/>
        <item x="1"/>
        <item x="11"/>
        <item x="4"/>
        <item x="12"/>
        <item x="13"/>
        <item x="15"/>
        <item x="7"/>
        <item t="default"/>
      </items>
    </pivotField>
    <pivotField showAll="0"/>
    <pivotField numFmtId="2" showAll="0"/>
    <pivotField showAll="0"/>
    <pivotField numFmtId="2" showAll="0"/>
    <pivotField numFmtId="2" showAll="0"/>
    <pivotField numFmtId="2" showAll="0"/>
    <pivotField dataField="1" numFmtId="2" showAll="0"/>
    <pivotField showAll="0"/>
    <pivotField dataField="1" numFmtId="2" showAll="0">
      <items count="633">
        <item x="237"/>
        <item x="63"/>
        <item x="140"/>
        <item x="80"/>
        <item x="392"/>
        <item x="175"/>
        <item x="9"/>
        <item x="619"/>
        <item x="613"/>
        <item x="465"/>
        <item x="622"/>
        <item x="272"/>
        <item x="47"/>
        <item x="624"/>
        <item x="583"/>
        <item x="506"/>
        <item x="556"/>
        <item x="618"/>
        <item x="626"/>
        <item x="195"/>
        <item x="435"/>
        <item x="617"/>
        <item x="629"/>
        <item x="265"/>
        <item x="625"/>
        <item x="628"/>
        <item x="382"/>
        <item x="72"/>
        <item x="242"/>
        <item x="151"/>
        <item x="560"/>
        <item x="196"/>
        <item x="1"/>
        <item x="406"/>
        <item x="385"/>
        <item x="77"/>
        <item x="423"/>
        <item x="192"/>
        <item x="165"/>
        <item x="534"/>
        <item x="42"/>
        <item x="482"/>
        <item x="86"/>
        <item x="111"/>
        <item x="292"/>
        <item x="260"/>
        <item x="606"/>
        <item x="607"/>
        <item x="2"/>
        <item x="99"/>
        <item x="459"/>
        <item x="256"/>
        <item x="273"/>
        <item x="427"/>
        <item x="278"/>
        <item x="244"/>
        <item x="514"/>
        <item x="204"/>
        <item x="614"/>
        <item x="219"/>
        <item x="213"/>
        <item x="402"/>
        <item x="126"/>
        <item x="407"/>
        <item x="61"/>
        <item x="591"/>
        <item x="505"/>
        <item x="236"/>
        <item x="360"/>
        <item x="468"/>
        <item x="611"/>
        <item x="105"/>
        <item x="467"/>
        <item x="122"/>
        <item x="302"/>
        <item x="31"/>
        <item x="431"/>
        <item x="153"/>
        <item x="553"/>
        <item x="188"/>
        <item x="363"/>
        <item x="365"/>
        <item x="207"/>
        <item x="610"/>
        <item x="289"/>
        <item x="45"/>
        <item x="623"/>
        <item x="154"/>
        <item x="554"/>
        <item x="438"/>
        <item x="264"/>
        <item x="56"/>
        <item x="455"/>
        <item x="612"/>
        <item x="605"/>
        <item x="226"/>
        <item x="167"/>
        <item x="107"/>
        <item x="500"/>
        <item x="70"/>
        <item x="615"/>
        <item x="203"/>
        <item x="93"/>
        <item x="484"/>
        <item x="49"/>
        <item x="549"/>
        <item x="185"/>
        <item x="65"/>
        <item x="573"/>
        <item x="134"/>
        <item x="159"/>
        <item x="20"/>
        <item x="295"/>
        <item x="335"/>
        <item x="84"/>
        <item x="390"/>
        <item x="630"/>
        <item x="267"/>
        <item x="321"/>
        <item x="324"/>
        <item x="374"/>
        <item x="601"/>
        <item x="409"/>
        <item x="101"/>
        <item x="343"/>
        <item x="32"/>
        <item x="512"/>
        <item x="25"/>
        <item x="547"/>
        <item x="496"/>
        <item x="421"/>
        <item x="451"/>
        <item x="450"/>
        <item x="189"/>
        <item x="146"/>
        <item x="300"/>
        <item x="440"/>
        <item x="413"/>
        <item x="115"/>
        <item x="415"/>
        <item x="281"/>
        <item x="417"/>
        <item x="17"/>
        <item x="393"/>
        <item x="550"/>
        <item x="616"/>
        <item x="90"/>
        <item x="117"/>
        <item x="148"/>
        <item x="545"/>
        <item x="152"/>
        <item x="315"/>
        <item x="98"/>
        <item x="27"/>
        <item x="279"/>
        <item x="120"/>
        <item x="75"/>
        <item x="121"/>
        <item x="143"/>
        <item x="168"/>
        <item x="535"/>
        <item x="285"/>
        <item x="408"/>
        <item x="376"/>
        <item x="102"/>
        <item x="228"/>
        <item x="457"/>
        <item x="329"/>
        <item x="310"/>
        <item x="595"/>
        <item x="437"/>
        <item x="18"/>
        <item x="38"/>
        <item x="357"/>
        <item x="88"/>
        <item x="525"/>
        <item x="568"/>
        <item x="225"/>
        <item x="205"/>
        <item x="328"/>
        <item x="462"/>
        <item x="544"/>
        <item x="13"/>
        <item x="104"/>
        <item x="548"/>
        <item x="552"/>
        <item x="576"/>
        <item x="627"/>
        <item x="57"/>
        <item x="489"/>
        <item x="546"/>
        <item x="212"/>
        <item x="592"/>
        <item x="593"/>
        <item x="609"/>
        <item x="384"/>
        <item x="290"/>
        <item x="608"/>
        <item x="410"/>
        <item x="332"/>
        <item x="297"/>
        <item x="92"/>
        <item x="288"/>
        <item x="224"/>
        <item x="419"/>
        <item x="198"/>
        <item x="430"/>
        <item x="478"/>
        <item x="142"/>
        <item x="246"/>
        <item x="491"/>
        <item x="28"/>
        <item x="510"/>
        <item x="4"/>
        <item x="259"/>
        <item x="275"/>
        <item x="191"/>
        <item x="397"/>
        <item x="539"/>
        <item x="87"/>
        <item x="137"/>
        <item x="520"/>
        <item x="621"/>
        <item x="0"/>
        <item x="312"/>
        <item x="527"/>
        <item x="248"/>
        <item x="377"/>
        <item x="620"/>
        <item x="113"/>
        <item x="193"/>
        <item x="221"/>
        <item x="171"/>
        <item x="176"/>
        <item x="507"/>
        <item x="136"/>
        <item x="501"/>
        <item x="217"/>
        <item x="564"/>
        <item x="631"/>
        <item x="600"/>
        <item x="190"/>
        <item x="304"/>
        <item x="82"/>
        <item x="434"/>
        <item x="487"/>
        <item x="499"/>
        <item x="464"/>
        <item x="59"/>
        <item x="448"/>
        <item x="571"/>
        <item x="504"/>
        <item x="79"/>
        <item x="345"/>
        <item x="432"/>
        <item x="497"/>
        <item x="41"/>
        <item x="420"/>
        <item x="208"/>
        <item x="135"/>
        <item x="209"/>
        <item x="518"/>
        <item x="349"/>
        <item x="578"/>
        <item x="180"/>
        <item x="358"/>
        <item x="338"/>
        <item x="352"/>
        <item x="283"/>
        <item x="359"/>
        <item x="594"/>
        <item x="412"/>
        <item x="333"/>
        <item x="282"/>
        <item x="66"/>
        <item x="469"/>
        <item x="129"/>
        <item x="485"/>
        <item x="318"/>
        <item x="565"/>
        <item x="559"/>
        <item x="29"/>
        <item x="538"/>
        <item x="394"/>
        <item x="471"/>
        <item x="257"/>
        <item x="214"/>
        <item x="558"/>
        <item x="271"/>
        <item x="590"/>
        <item x="449"/>
        <item x="596"/>
        <item x="227"/>
        <item x="602"/>
        <item x="231"/>
        <item x="466"/>
        <item x="375"/>
        <item x="287"/>
        <item x="551"/>
        <item x="249"/>
        <item x="404"/>
        <item x="158"/>
        <item x="597"/>
        <item x="584"/>
        <item x="391"/>
        <item x="161"/>
        <item x="509"/>
        <item x="138"/>
        <item x="67"/>
        <item x="371"/>
        <item x="493"/>
        <item x="52"/>
        <item x="378"/>
        <item x="347"/>
        <item x="26"/>
        <item x="567"/>
        <item x="124"/>
        <item x="186"/>
        <item x="125"/>
        <item x="586"/>
        <item x="164"/>
        <item x="474"/>
        <item x="327"/>
        <item x="411"/>
        <item x="109"/>
        <item x="62"/>
        <item x="424"/>
        <item x="229"/>
        <item x="182"/>
        <item x="366"/>
        <item x="216"/>
        <item x="473"/>
        <item x="542"/>
        <item x="460"/>
        <item x="277"/>
        <item x="475"/>
        <item x="210"/>
        <item x="524"/>
        <item x="325"/>
        <item x="97"/>
        <item x="582"/>
        <item x="94"/>
        <item x="119"/>
        <item x="83"/>
        <item x="76"/>
        <item x="519"/>
        <item x="490"/>
        <item x="23"/>
        <item x="233"/>
        <item x="232"/>
        <item x="453"/>
        <item x="354"/>
        <item x="589"/>
        <item x="270"/>
        <item x="34"/>
        <item x="326"/>
        <item x="598"/>
        <item x="381"/>
        <item x="418"/>
        <item x="537"/>
        <item x="40"/>
        <item x="301"/>
        <item x="480"/>
        <item x="356"/>
        <item x="307"/>
        <item x="569"/>
        <item x="334"/>
        <item x="108"/>
        <item x="243"/>
        <item x="472"/>
        <item x="502"/>
        <item x="263"/>
        <item x="367"/>
        <item x="575"/>
        <item x="446"/>
        <item x="442"/>
        <item x="85"/>
        <item x="174"/>
        <item x="517"/>
        <item x="234"/>
        <item x="251"/>
        <item x="74"/>
        <item x="425"/>
        <item x="48"/>
        <item x="355"/>
        <item x="170"/>
        <item x="362"/>
        <item x="118"/>
        <item x="528"/>
        <item x="541"/>
        <item x="60"/>
        <item x="201"/>
        <item x="280"/>
        <item x="156"/>
        <item x="305"/>
        <item x="39"/>
        <item x="50"/>
        <item x="445"/>
        <item x="36"/>
        <item x="19"/>
        <item x="339"/>
        <item x="10"/>
        <item x="579"/>
        <item x="206"/>
        <item x="492"/>
        <item x="476"/>
        <item x="403"/>
        <item x="368"/>
        <item x="353"/>
        <item x="162"/>
        <item x="6"/>
        <item x="262"/>
        <item x="169"/>
        <item x="68"/>
        <item x="322"/>
        <item x="222"/>
        <item x="157"/>
        <item x="426"/>
        <item x="314"/>
        <item x="218"/>
        <item x="37"/>
        <item x="513"/>
        <item x="258"/>
        <item x="123"/>
        <item x="523"/>
        <item x="563"/>
        <item x="69"/>
        <item x="183"/>
        <item x="444"/>
        <item x="299"/>
        <item x="261"/>
        <item x="604"/>
        <item x="130"/>
        <item x="268"/>
        <item x="399"/>
        <item x="369"/>
        <item x="15"/>
        <item x="11"/>
        <item x="33"/>
        <item x="44"/>
        <item x="344"/>
        <item x="555"/>
        <item x="581"/>
        <item x="531"/>
        <item x="398"/>
        <item x="238"/>
        <item x="81"/>
        <item x="128"/>
        <item x="96"/>
        <item x="401"/>
        <item x="533"/>
        <item x="22"/>
        <item x="414"/>
        <item x="245"/>
        <item x="223"/>
        <item x="320"/>
        <item x="540"/>
        <item x="12"/>
        <item x="503"/>
        <item x="131"/>
        <item x="351"/>
        <item x="337"/>
        <item x="14"/>
        <item x="132"/>
        <item x="8"/>
        <item x="286"/>
        <item x="100"/>
        <item x="291"/>
        <item x="405"/>
        <item x="5"/>
        <item x="566"/>
        <item x="543"/>
        <item x="241"/>
        <item x="498"/>
        <item x="400"/>
        <item x="239"/>
        <item x="194"/>
        <item x="51"/>
        <item x="532"/>
        <item x="114"/>
        <item x="522"/>
        <item x="266"/>
        <item x="141"/>
        <item x="486"/>
        <item x="361"/>
        <item x="43"/>
        <item x="317"/>
        <item x="364"/>
        <item x="386"/>
        <item x="294"/>
        <item x="479"/>
        <item x="313"/>
        <item x="439"/>
        <item x="293"/>
        <item x="21"/>
        <item x="172"/>
        <item x="530"/>
        <item x="54"/>
        <item x="580"/>
        <item x="133"/>
        <item x="574"/>
        <item x="150"/>
        <item x="387"/>
        <item x="46"/>
        <item x="112"/>
        <item x="370"/>
        <item x="144"/>
        <item x="235"/>
        <item x="603"/>
        <item x="240"/>
        <item x="536"/>
        <item x="529"/>
        <item x="561"/>
        <item x="483"/>
        <item x="340"/>
        <item x="254"/>
        <item x="477"/>
        <item x="436"/>
        <item x="177"/>
        <item x="55"/>
        <item x="350"/>
        <item x="253"/>
        <item x="331"/>
        <item x="71"/>
        <item x="220"/>
        <item x="395"/>
        <item x="495"/>
        <item x="585"/>
        <item x="303"/>
        <item x="452"/>
        <item x="166"/>
        <item x="173"/>
        <item x="306"/>
        <item x="433"/>
        <item x="570"/>
        <item x="346"/>
        <item x="494"/>
        <item x="53"/>
        <item x="429"/>
        <item x="7"/>
        <item x="311"/>
        <item x="284"/>
        <item x="276"/>
        <item x="274"/>
        <item x="24"/>
        <item x="187"/>
        <item x="199"/>
        <item x="250"/>
        <item x="379"/>
        <item x="269"/>
        <item x="521"/>
        <item x="73"/>
        <item x="103"/>
        <item x="179"/>
        <item x="106"/>
        <item x="373"/>
        <item x="116"/>
        <item x="336"/>
        <item x="147"/>
        <item x="202"/>
        <item x="184"/>
        <item x="422"/>
        <item x="508"/>
        <item x="447"/>
        <item x="308"/>
        <item x="323"/>
        <item x="572"/>
        <item x="515"/>
        <item x="396"/>
        <item x="64"/>
        <item x="58"/>
        <item x="342"/>
        <item x="89"/>
        <item x="181"/>
        <item x="511"/>
        <item x="296"/>
        <item x="330"/>
        <item x="383"/>
        <item x="247"/>
        <item x="380"/>
        <item x="587"/>
        <item x="416"/>
        <item x="388"/>
        <item x="389"/>
        <item x="443"/>
        <item x="160"/>
        <item x="316"/>
        <item x="95"/>
        <item x="454"/>
        <item x="3"/>
        <item x="588"/>
        <item x="178"/>
        <item x="470"/>
        <item x="155"/>
        <item x="110"/>
        <item x="309"/>
        <item x="255"/>
        <item x="461"/>
        <item x="463"/>
        <item x="200"/>
        <item x="458"/>
        <item x="197"/>
        <item x="562"/>
        <item x="252"/>
        <item x="348"/>
        <item x="516"/>
        <item x="139"/>
        <item x="230"/>
        <item x="149"/>
        <item x="30"/>
        <item x="526"/>
        <item x="557"/>
        <item x="341"/>
        <item x="211"/>
        <item x="145"/>
        <item x="78"/>
        <item x="441"/>
        <item x="298"/>
        <item x="127"/>
        <item x="428"/>
        <item x="372"/>
        <item x="163"/>
        <item x="215"/>
        <item x="599"/>
        <item x="16"/>
        <item x="91"/>
        <item x="488"/>
        <item x="319"/>
        <item x="35"/>
        <item x="577"/>
        <item x="456"/>
        <item x="481"/>
        <item t="default"/>
      </items>
    </pivotField>
    <pivotField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pageFields count="1">
    <pageField fld="4" hier="-1"/>
  </pageFields>
  <dataFields count="3">
    <dataField name="Sum of Gross Revenue" fld="14" baseField="0" baseItem="0"/>
    <dataField name="Count of OrderID" fld="0" subtotal="count" baseField="0" baseItem="0"/>
    <dataField name="Sum of Gross Profit" fld="16" baseField="0" baseItem="0"/>
  </dataFields>
  <chartFormats count="6">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32"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FA317B-59E7-4862-96DE-8534BD4FFCD5}" name="PivotTable1" cacheId="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I10" firstHeaderRow="1" firstDataRow="2" firstDataCol="1"/>
  <pivotFields count="23">
    <pivotField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axis="axisCol" showAll="0">
      <items count="8">
        <item x="4"/>
        <item x="3"/>
        <item x="2"/>
        <item x="5"/>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6">
    <i>
      <x/>
    </i>
    <i>
      <x v="1"/>
    </i>
    <i>
      <x v="2"/>
    </i>
    <i>
      <x v="3"/>
    </i>
    <i>
      <x v="4"/>
    </i>
    <i t="grand">
      <x/>
    </i>
  </rowItems>
  <colFields count="1">
    <field x="10"/>
  </colFields>
  <colItems count="8">
    <i>
      <x/>
    </i>
    <i>
      <x v="1"/>
    </i>
    <i>
      <x v="2"/>
    </i>
    <i>
      <x v="3"/>
    </i>
    <i>
      <x v="4"/>
    </i>
    <i>
      <x v="5"/>
    </i>
    <i>
      <x v="6"/>
    </i>
    <i t="grand">
      <x/>
    </i>
  </colItems>
  <dataFields count="1">
    <dataField name="Sum of Gross Revenue" fld="19" baseField="0" baseItem="0"/>
  </dataFields>
  <chartFormats count="1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3" format="13" series="1">
      <pivotArea type="data" outline="0" fieldPosition="0">
        <references count="2">
          <reference field="4294967294" count="1" selected="0">
            <x v="0"/>
          </reference>
          <reference field="10" count="1" selected="0">
            <x v="0"/>
          </reference>
        </references>
      </pivotArea>
    </chartFormat>
    <chartFormat chart="3" format="14" series="1">
      <pivotArea type="data" outline="0" fieldPosition="0">
        <references count="2">
          <reference field="4294967294" count="1" selected="0">
            <x v="0"/>
          </reference>
          <reference field="10" count="1" selected="0">
            <x v="1"/>
          </reference>
        </references>
      </pivotArea>
    </chartFormat>
    <chartFormat chart="3" format="15" series="1">
      <pivotArea type="data" outline="0" fieldPosition="0">
        <references count="2">
          <reference field="4294967294" count="1" selected="0">
            <x v="0"/>
          </reference>
          <reference field="10" count="1" selected="0">
            <x v="2"/>
          </reference>
        </references>
      </pivotArea>
    </chartFormat>
    <chartFormat chart="3" format="16" series="1">
      <pivotArea type="data" outline="0" fieldPosition="0">
        <references count="2">
          <reference field="4294967294" count="1" selected="0">
            <x v="0"/>
          </reference>
          <reference field="10" count="1" selected="0">
            <x v="3"/>
          </reference>
        </references>
      </pivotArea>
    </chartFormat>
    <chartFormat chart="3" format="17" series="1">
      <pivotArea type="data" outline="0" fieldPosition="0">
        <references count="2">
          <reference field="4294967294" count="1" selected="0">
            <x v="0"/>
          </reference>
          <reference field="10" count="1" selected="0">
            <x v="4"/>
          </reference>
        </references>
      </pivotArea>
    </chartFormat>
    <chartFormat chart="3" format="18" series="1">
      <pivotArea type="data" outline="0" fieldPosition="0">
        <references count="2">
          <reference field="4294967294" count="1" selected="0">
            <x v="0"/>
          </reference>
          <reference field="10" count="1" selected="0">
            <x v="5"/>
          </reference>
        </references>
      </pivotArea>
    </chartFormat>
    <chartFormat chart="3" format="19"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3" format="20" series="1">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10DB12-0DD6-41BA-AC5A-069E1A58C7CE}"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H20" firstHeaderRow="1" firstDataRow="2" firstDataCol="1"/>
  <pivotFields count="23">
    <pivotField showAll="0"/>
    <pivotField showAll="0"/>
    <pivotField showAll="0"/>
    <pivotField showAll="0"/>
    <pivotField axis="axisRow" showAll="0">
      <items count="35">
        <item x="12"/>
        <item x="20"/>
        <item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h="1" x="29"/>
        <item h="1" x="11"/>
        <item h="1" x="33"/>
        <item t="default"/>
      </items>
    </pivotField>
    <pivotField showAll="0"/>
    <pivotField axis="axisRow" showAll="0">
      <items count="6">
        <item x="0"/>
        <item x="2"/>
        <item x="1"/>
        <item x="3"/>
        <item x="4"/>
        <item t="default"/>
      </items>
    </pivotField>
    <pivotField showAll="0"/>
    <pivotField showAll="0"/>
    <pivotField showAll="0"/>
    <pivotField axis="axisCol" showAll="0">
      <items count="8">
        <item x="4"/>
        <item x="3"/>
        <item x="2"/>
        <item x="5"/>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4"/>
    <field x="6"/>
  </rowFields>
  <rowItems count="16">
    <i>
      <x/>
    </i>
    <i r="1">
      <x/>
    </i>
    <i r="1">
      <x v="1"/>
    </i>
    <i r="1">
      <x v="2"/>
    </i>
    <i r="1">
      <x v="3"/>
    </i>
    <i>
      <x v="1"/>
    </i>
    <i r="1">
      <x/>
    </i>
    <i r="1">
      <x v="1"/>
    </i>
    <i r="1">
      <x v="2"/>
    </i>
    <i r="1">
      <x v="3"/>
    </i>
    <i>
      <x v="2"/>
    </i>
    <i r="1">
      <x/>
    </i>
    <i r="1">
      <x v="1"/>
    </i>
    <i r="1">
      <x v="2"/>
    </i>
    <i r="1">
      <x v="3"/>
    </i>
    <i t="grand">
      <x/>
    </i>
  </rowItems>
  <colFields count="1">
    <field x="10"/>
  </colFields>
  <colItems count="7">
    <i>
      <x/>
    </i>
    <i>
      <x v="1"/>
    </i>
    <i>
      <x v="2"/>
    </i>
    <i>
      <x v="3"/>
    </i>
    <i>
      <x v="4"/>
    </i>
    <i>
      <x v="5"/>
    </i>
    <i t="grand">
      <x/>
    </i>
  </colItems>
  <dataFields count="1">
    <dataField name="Sum of Gross Reven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B6A9C1-B1FA-4D08-B262-138FD3B528E3}"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28" firstHeaderRow="0" firstDataRow="1" firstDataCol="1"/>
  <pivotFields count="23">
    <pivotField dataField="1"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pivotField dataField="1" showAll="0">
      <items count="33">
        <item x="18"/>
        <item x="1"/>
        <item x="6"/>
        <item x="4"/>
        <item x="3"/>
        <item x="16"/>
        <item x="30"/>
        <item x="20"/>
        <item x="12"/>
        <item x="25"/>
        <item x="24"/>
        <item x="23"/>
        <item x="8"/>
        <item x="19"/>
        <item x="17"/>
        <item x="15"/>
        <item x="13"/>
        <item x="14"/>
        <item x="5"/>
        <item x="7"/>
        <item x="9"/>
        <item x="28"/>
        <item x="22"/>
        <item x="21"/>
        <item x="10"/>
        <item x="2"/>
        <item x="0"/>
        <item x="29"/>
        <item x="27"/>
        <item x="11"/>
        <item x="26"/>
        <item x="31"/>
        <item t="default"/>
      </items>
    </pivotField>
    <pivotField showAll="0"/>
    <pivotField showAll="0"/>
    <pivotField showAll="0"/>
    <pivotField axis="axisRow" showAll="0">
      <items count="14">
        <item x="5"/>
        <item x="3"/>
        <item x="9"/>
        <item h="1" x="7"/>
        <item h="1" x="6"/>
        <item h="1" x="4"/>
        <item h="1" x="2"/>
        <item h="1" x="0"/>
        <item h="1" x="1"/>
        <item h="1" x="11"/>
        <item h="1" x="8"/>
        <item h="1" x="10"/>
        <item h="1" x="12"/>
        <item t="default"/>
      </items>
    </pivotField>
    <pivotField showAll="0"/>
    <pivotField showAll="0"/>
    <pivotField showAll="0"/>
    <pivotField showAll="0"/>
    <pivotField axis="axisRow"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s>
  <rowFields count="2">
    <field x="7"/>
    <field x="12"/>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1">
    <field x="-2"/>
  </colFields>
  <colItems count="2">
    <i>
      <x/>
    </i>
    <i i="1">
      <x v="1"/>
    </i>
  </colItems>
  <dataFields count="2">
    <dataField name="Count of OrderID" fld="0" subtotal="count" baseField="0" baseItem="0"/>
    <dataField name="Sum of Leadtime days"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51DAF5-44AC-44F0-AB1D-0728AC27198A}"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C55" firstHeaderRow="0" firstDataRow="1" firstDataCol="1"/>
  <pivotFields count="23">
    <pivotField dataField="1" showAll="0"/>
    <pivotField showAll="0"/>
    <pivotField showAll="0"/>
    <pivotField showAll="0"/>
    <pivotField showAll="0"/>
    <pivotField showAll="0"/>
    <pivotField axis="axisRow" showAll="0" sortType="descending">
      <items count="6">
        <item h="1" x="4"/>
        <item h="1" x="3"/>
        <item x="1"/>
        <item x="2"/>
        <item x="0"/>
        <item t="default"/>
      </items>
    </pivotField>
    <pivotField showAll="0"/>
    <pivotField showAll="0"/>
    <pivotField showAll="0"/>
    <pivotField showAll="0"/>
    <pivotField axis="axisRow" showAll="0" sortType="descending">
      <items count="18">
        <item x="16"/>
        <item x="7"/>
        <item x="15"/>
        <item x="13"/>
        <item x="12"/>
        <item x="4"/>
        <item x="11"/>
        <item x="1"/>
        <item x="2"/>
        <item x="10"/>
        <item x="3"/>
        <item x="9"/>
        <item x="6"/>
        <item x="14"/>
        <item x="0"/>
        <item x="5"/>
        <item x="8"/>
        <item t="default"/>
      </items>
    </pivotField>
    <pivotField showAll="0"/>
    <pivotField showAll="0"/>
    <pivotField showAll="0"/>
    <pivotField showAll="0"/>
    <pivotField showAll="0"/>
    <pivotField dataField="1" showAll="0">
      <items count="230">
        <item x="5"/>
        <item x="140"/>
        <item x="10"/>
        <item x="20"/>
        <item x="99"/>
        <item x="19"/>
        <item x="84"/>
        <item x="170"/>
        <item x="212"/>
        <item x="108"/>
        <item x="205"/>
        <item x="113"/>
        <item x="106"/>
        <item x="118"/>
        <item x="109"/>
        <item x="179"/>
        <item x="134"/>
        <item x="71"/>
        <item x="8"/>
        <item x="195"/>
        <item x="76"/>
        <item x="42"/>
        <item x="32"/>
        <item x="16"/>
        <item x="188"/>
        <item x="208"/>
        <item x="174"/>
        <item x="89"/>
        <item x="221"/>
        <item x="107"/>
        <item x="215"/>
        <item x="58"/>
        <item x="216"/>
        <item x="54"/>
        <item x="130"/>
        <item x="114"/>
        <item x="223"/>
        <item x="133"/>
        <item x="121"/>
        <item x="92"/>
        <item x="193"/>
        <item x="163"/>
        <item x="227"/>
        <item x="96"/>
        <item x="201"/>
        <item x="176"/>
        <item x="72"/>
        <item x="143"/>
        <item x="55"/>
        <item x="90"/>
        <item x="68"/>
        <item x="88"/>
        <item x="3"/>
        <item x="93"/>
        <item x="13"/>
        <item x="43"/>
        <item x="171"/>
        <item x="202"/>
        <item x="117"/>
        <item x="164"/>
        <item x="226"/>
        <item x="104"/>
        <item x="200"/>
        <item x="26"/>
        <item x="147"/>
        <item x="24"/>
        <item x="167"/>
        <item x="25"/>
        <item x="168"/>
        <item x="119"/>
        <item x="77"/>
        <item x="142"/>
        <item x="12"/>
        <item x="148"/>
        <item x="73"/>
        <item x="224"/>
        <item x="199"/>
        <item x="74"/>
        <item x="165"/>
        <item x="27"/>
        <item x="4"/>
        <item x="172"/>
        <item x="67"/>
        <item x="52"/>
        <item x="192"/>
        <item x="105"/>
        <item x="86"/>
        <item x="14"/>
        <item x="46"/>
        <item x="95"/>
        <item x="0"/>
        <item x="139"/>
        <item x="60"/>
        <item x="158"/>
        <item x="144"/>
        <item x="85"/>
        <item x="45"/>
        <item x="18"/>
        <item x="173"/>
        <item x="153"/>
        <item x="82"/>
        <item x="213"/>
        <item x="22"/>
        <item x="38"/>
        <item x="110"/>
        <item x="137"/>
        <item x="31"/>
        <item x="49"/>
        <item x="2"/>
        <item x="191"/>
        <item x="112"/>
        <item x="61"/>
        <item x="157"/>
        <item x="29"/>
        <item x="81"/>
        <item x="159"/>
        <item x="23"/>
        <item x="78"/>
        <item x="169"/>
        <item x="56"/>
        <item x="17"/>
        <item x="41"/>
        <item x="180"/>
        <item x="34"/>
        <item x="6"/>
        <item x="135"/>
        <item x="9"/>
        <item x="209"/>
        <item x="102"/>
        <item x="136"/>
        <item x="125"/>
        <item x="69"/>
        <item x="131"/>
        <item x="161"/>
        <item x="87"/>
        <item x="181"/>
        <item x="129"/>
        <item x="75"/>
        <item x="64"/>
        <item x="196"/>
        <item x="156"/>
        <item x="211"/>
        <item x="150"/>
        <item x="21"/>
        <item x="36"/>
        <item x="189"/>
        <item x="225"/>
        <item x="145"/>
        <item x="122"/>
        <item x="155"/>
        <item x="30"/>
        <item x="166"/>
        <item x="120"/>
        <item x="94"/>
        <item x="79"/>
        <item x="111"/>
        <item x="35"/>
        <item x="15"/>
        <item x="50"/>
        <item x="57"/>
        <item x="63"/>
        <item x="37"/>
        <item x="70"/>
        <item x="51"/>
        <item x="197"/>
        <item x="98"/>
        <item x="7"/>
        <item x="124"/>
        <item x="115"/>
        <item x="47"/>
        <item x="138"/>
        <item x="91"/>
        <item x="53"/>
        <item x="44"/>
        <item x="162"/>
        <item x="222"/>
        <item x="219"/>
        <item x="182"/>
        <item x="126"/>
        <item x="123"/>
        <item x="207"/>
        <item x="66"/>
        <item x="154"/>
        <item x="203"/>
        <item x="218"/>
        <item x="97"/>
        <item x="217"/>
        <item x="152"/>
        <item x="204"/>
        <item x="83"/>
        <item x="214"/>
        <item x="127"/>
        <item x="146"/>
        <item x="128"/>
        <item x="1"/>
        <item x="149"/>
        <item x="177"/>
        <item x="183"/>
        <item x="65"/>
        <item x="28"/>
        <item x="103"/>
        <item x="220"/>
        <item x="11"/>
        <item x="116"/>
        <item x="48"/>
        <item x="194"/>
        <item x="62"/>
        <item x="132"/>
        <item x="101"/>
        <item x="187"/>
        <item x="151"/>
        <item x="100"/>
        <item x="141"/>
        <item x="178"/>
        <item x="190"/>
        <item x="80"/>
        <item x="186"/>
        <item x="39"/>
        <item x="210"/>
        <item x="40"/>
        <item x="184"/>
        <item x="206"/>
        <item x="160"/>
        <item x="33"/>
        <item x="59"/>
        <item x="175"/>
        <item x="198"/>
        <item x="185"/>
        <item x="228"/>
        <item t="default"/>
      </items>
    </pivotField>
    <pivotField showAll="0"/>
    <pivotField showAll="0"/>
    <pivotField showAll="0"/>
    <pivotField showAll="0"/>
    <pivotField showAll="0"/>
  </pivotFields>
  <rowFields count="2">
    <field x="6"/>
    <field x="11"/>
  </rowFields>
  <rowItems count="52">
    <i>
      <x v="2"/>
    </i>
    <i r="1">
      <x v="1"/>
    </i>
    <i r="1">
      <x v="2"/>
    </i>
    <i r="1">
      <x v="3"/>
    </i>
    <i r="1">
      <x v="4"/>
    </i>
    <i r="1">
      <x v="5"/>
    </i>
    <i r="1">
      <x v="6"/>
    </i>
    <i r="1">
      <x v="7"/>
    </i>
    <i r="1">
      <x v="8"/>
    </i>
    <i r="1">
      <x v="9"/>
    </i>
    <i r="1">
      <x v="10"/>
    </i>
    <i r="1">
      <x v="11"/>
    </i>
    <i r="1">
      <x v="12"/>
    </i>
    <i r="1">
      <x v="13"/>
    </i>
    <i r="1">
      <x v="14"/>
    </i>
    <i r="1">
      <x v="15"/>
    </i>
    <i r="1">
      <x v="16"/>
    </i>
    <i>
      <x v="3"/>
    </i>
    <i r="1">
      <x v="1"/>
    </i>
    <i r="1">
      <x v="2"/>
    </i>
    <i r="1">
      <x v="3"/>
    </i>
    <i r="1">
      <x v="4"/>
    </i>
    <i r="1">
      <x v="5"/>
    </i>
    <i r="1">
      <x v="6"/>
    </i>
    <i r="1">
      <x v="7"/>
    </i>
    <i r="1">
      <x v="8"/>
    </i>
    <i r="1">
      <x v="9"/>
    </i>
    <i r="1">
      <x v="10"/>
    </i>
    <i r="1">
      <x v="11"/>
    </i>
    <i r="1">
      <x v="12"/>
    </i>
    <i r="1">
      <x v="13"/>
    </i>
    <i r="1">
      <x v="14"/>
    </i>
    <i r="1">
      <x v="15"/>
    </i>
    <i r="1">
      <x v="16"/>
    </i>
    <i>
      <x v="4"/>
    </i>
    <i r="1">
      <x v="1"/>
    </i>
    <i r="1">
      <x v="2"/>
    </i>
    <i r="1">
      <x v="3"/>
    </i>
    <i r="1">
      <x v="4"/>
    </i>
    <i r="1">
      <x v="5"/>
    </i>
    <i r="1">
      <x v="6"/>
    </i>
    <i r="1">
      <x v="7"/>
    </i>
    <i r="1">
      <x v="8"/>
    </i>
    <i r="1">
      <x v="9"/>
    </i>
    <i r="1">
      <x v="10"/>
    </i>
    <i r="1">
      <x v="11"/>
    </i>
    <i r="1">
      <x v="12"/>
    </i>
    <i r="1">
      <x v="13"/>
    </i>
    <i r="1">
      <x v="14"/>
    </i>
    <i r="1">
      <x v="15"/>
    </i>
    <i r="1">
      <x v="16"/>
    </i>
    <i t="grand">
      <x/>
    </i>
  </rowItems>
  <colFields count="1">
    <field x="-2"/>
  </colFields>
  <colItems count="2">
    <i>
      <x/>
    </i>
    <i i="1">
      <x v="1"/>
    </i>
  </colItems>
  <dataFields count="2">
    <dataField name="Count of OrderID" fld="0" subtotal="count" baseField="0" baseItem="0"/>
    <dataField name="Sum of DiscountPc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8DFC167A-90C3-46A9-B59B-45C4E40598A2}" sourceName="ProductCategory">
  <pivotTables>
    <pivotTable tabId="13" name="PivotTable5"/>
  </pivotTables>
  <data>
    <tabular pivotCacheId="737800872">
      <items count="8">
        <i x="6" s="1"/>
        <i x="0" s="1"/>
        <i x="4" s="1"/>
        <i x="5" s="1"/>
        <i x="2" s="1"/>
        <i x="3" s="1"/>
        <i x="1"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7FFB3822-5386-4D30-9609-1F1711DCB03F}" sourceName="SKU">
  <pivotTables>
    <pivotTable tabId="13" name="PivotTable5"/>
  </pivotTables>
  <data>
    <tabular pivotCacheId="737800872">
      <items count="631">
        <i x="139" s="1"/>
        <i x="621" s="1"/>
        <i x="333" s="1"/>
        <i x="415" s="1"/>
        <i x="340" s="1"/>
        <i x="394" s="1"/>
        <i x="441" s="1"/>
        <i x="293" s="1"/>
        <i x="491" s="1"/>
        <i x="587" s="1"/>
        <i x="207" s="1"/>
        <i x="14" s="1"/>
        <i x="478" s="1"/>
        <i x="58" s="1"/>
        <i x="261" s="1"/>
        <i x="59" s="1"/>
        <i x="325" s="1"/>
        <i x="103" s="1"/>
        <i x="170" s="1"/>
        <i x="70" s="1"/>
        <i x="497" s="1"/>
        <i x="416" s="1"/>
        <i x="312" s="1"/>
        <i x="319" s="1"/>
        <i x="489" s="1"/>
        <i x="332" s="1"/>
        <i x="355" s="1"/>
        <i x="516" s="1"/>
        <i x="185" s="1"/>
        <i x="545" s="1"/>
        <i x="221" s="1"/>
        <i x="259" s="1"/>
        <i x="450" s="1"/>
        <i x="521" s="1"/>
        <i x="576" s="1"/>
        <i x="270" s="1"/>
        <i x="22" s="1"/>
        <i x="158" s="1"/>
        <i x="131" s="1"/>
        <i x="154" s="1"/>
        <i x="290" s="1"/>
        <i x="76" s="1"/>
        <i x="113" s="1"/>
        <i x="569" s="1"/>
        <i x="187" s="1"/>
        <i x="618" s="1"/>
        <i x="588" s="1"/>
        <i x="227" s="1"/>
        <i x="552" s="1"/>
        <i x="551" s="1"/>
        <i x="97" s="1"/>
        <i x="460" s="1"/>
        <i x="214" s="1"/>
        <i x="352" s="1"/>
        <i x="299" s="1"/>
        <i x="57" s="1"/>
        <i x="288" s="1"/>
        <i x="50" s="1"/>
        <i x="147" s="1"/>
        <i x="437" s="1"/>
        <i x="346" s="1"/>
        <i x="180" s="1"/>
        <i x="358" s="1"/>
        <i x="142" s="1"/>
        <i x="493" s="1"/>
        <i x="557" s="1"/>
        <i x="465" s="1"/>
        <i x="604" s="1"/>
        <i x="360" s="1"/>
        <i x="592" s="1"/>
        <i x="10" s="1"/>
        <i x="277" s="1"/>
        <i x="18" s="1"/>
        <i x="338" s="1"/>
        <i x="541" s="1"/>
        <i x="292" s="1"/>
        <i x="454" s="1"/>
        <i x="25" s="1"/>
        <i x="209" s="1"/>
        <i x="93" s="1"/>
        <i x="66" s="1"/>
        <i x="77" s="1"/>
        <i x="554" s="1"/>
        <i x="536" s="1"/>
        <i x="306" s="1"/>
        <i x="182" s="1"/>
        <i x="408" s="1"/>
        <i x="109" s="1"/>
        <i x="75" s="1"/>
        <i x="169" s="1"/>
        <i x="513" s="1"/>
        <i x="471" s="1"/>
        <i x="579" s="1"/>
        <i x="607" s="1"/>
        <i x="624" s="1"/>
        <i x="34" s="1"/>
        <i x="172" s="1"/>
        <i x="627" s="1"/>
        <i x="401" s="1"/>
        <i x="126" s="1"/>
        <i x="391" s="1"/>
        <i x="124" s="1"/>
        <i x="484" s="1"/>
        <i x="523" s="1"/>
        <i x="377" s="1"/>
        <i x="24" s="1"/>
        <i x="87" s="1"/>
        <i x="82" s="1"/>
        <i x="324" s="1"/>
        <i x="510" s="1"/>
        <i x="367" s="1"/>
        <i x="458" s="1"/>
        <i x="12" s="1"/>
        <i x="136" s="1"/>
        <i x="9" s="1"/>
        <i x="294" s="1"/>
        <i x="157" s="1"/>
        <i x="464" s="1"/>
        <i x="210" s="1"/>
        <i x="315" s="1"/>
        <i x="467" s="1"/>
        <i x="85" s="1"/>
        <i x="161" s="1"/>
        <i x="260" s="1"/>
        <i x="348" s="1"/>
        <i x="256" s="1"/>
        <i x="573" s="1"/>
        <i x="220" s="1"/>
        <i x="617" s="1"/>
        <i x="594" s="1"/>
        <i x="326" s="1"/>
        <i x="74" s="1"/>
        <i x="171" s="1"/>
        <i x="589" s="1"/>
        <i x="490" s="1"/>
        <i x="518" s="1"/>
        <i x="463" s="1"/>
        <i x="78" s="1"/>
        <i x="519" s="1"/>
        <i x="564" s="1"/>
        <i x="44" s="1"/>
        <i x="127" s="1"/>
        <i x="125" s="1"/>
        <i x="110" s="1"/>
        <i x="568" s="1"/>
        <i x="504" s="1"/>
        <i x="459" s="1"/>
        <i x="451" s="1"/>
        <i x="397" s="1"/>
        <i x="30" s="1"/>
        <i x="230" s="1"/>
        <i x="61" s="1"/>
        <i x="365" s="1"/>
        <i x="222" s="1"/>
        <i x="206" s="1"/>
        <i x="69" s="1"/>
        <i x="250" s="1"/>
        <i x="36" s="1"/>
        <i x="60" s="1"/>
        <i x="105" s="1"/>
        <i x="511" s="1"/>
        <i x="101" s="1"/>
        <i x="86" s="1"/>
        <i x="234" s="1"/>
        <i x="0" s="1"/>
        <i x="37" s="1"/>
        <i x="393" s="1"/>
        <i x="436" s="1"/>
        <i x="403" s="1"/>
        <i x="289" s="1"/>
        <i x="476" s="1"/>
        <i x="237" s="1"/>
        <i x="585" s="1"/>
        <i x="177" s="1"/>
        <i x="300" s="1"/>
        <i x="267" s="1"/>
        <i x="559" s="1"/>
        <i x="323" s="1"/>
        <i x="475" s="1"/>
        <i x="477" s="1"/>
        <i x="533" s="1"/>
        <i x="166" s="1"/>
        <i x="145" s="1"/>
        <i x="295" s="1"/>
        <i x="15" s="1"/>
        <i x="527" s="1"/>
        <i x="445" s="1"/>
        <i x="582" s="1"/>
        <i x="539" s="1"/>
        <i x="349" s="1"/>
        <i x="119" s="1"/>
        <i x="279" s="1"/>
        <i x="246" s="1"/>
        <i x="384" s="1"/>
        <i x="239" s="1"/>
        <i x="370" s="1"/>
        <i x="629" s="1"/>
        <i x="481" s="1"/>
        <i x="146" s="1"/>
        <i x="19" s="1"/>
        <i x="64" s="1"/>
        <i x="264" s="1"/>
        <i x="507" s="1"/>
        <i x="571" s="1"/>
        <i x="345" s="1"/>
        <i x="99" s="1"/>
        <i x="53" s="1"/>
        <i x="362" s="1"/>
        <i x="514" s="1"/>
        <i x="581" s="1"/>
        <i x="71" s="1"/>
        <i x="309" s="1"/>
        <i x="304" s="1"/>
        <i x="542" s="1"/>
        <i x="242" s="1"/>
        <i x="457" s="1"/>
        <i x="603" s="1"/>
        <i x="23" s="1"/>
        <i x="255" s="1"/>
        <i x="508" s="1"/>
        <i x="104" s="1"/>
        <i x="190" s="1"/>
        <i x="563" s="1"/>
        <i x="387" s="1"/>
        <i x="251" s="1"/>
        <i x="151" s="1"/>
        <i x="520" s="1"/>
        <i x="593" s="1"/>
        <i x="368" s="1"/>
        <i x="56" s="1"/>
        <i x="409" s="1"/>
        <i x="275" s="1"/>
        <i x="173" s="1"/>
        <i x="102" s="1"/>
        <i x="388" s="1"/>
        <i x="534" s="1"/>
        <i x="565" s="1"/>
        <i x="425" s="1"/>
        <i x="52" s="1"/>
        <i x="192" s="1"/>
        <i x="407" s="1"/>
        <i x="117" s="1"/>
        <i x="396" s="1"/>
        <i x="424" s="1"/>
        <i x="72" s="1"/>
        <i x="5" s="1"/>
        <i x="598" s="1"/>
        <i x="430" s="1"/>
        <i x="421" s="1"/>
        <i x="283" s="1"/>
        <i x="329" s="1"/>
        <i x="386" s="1"/>
        <i x="111" s="1"/>
        <i x="224" s="1"/>
        <i x="132" s="1"/>
        <i x="20" s="1"/>
        <i x="402" s="1"/>
        <i x="284" s="1"/>
        <i x="33" s="1"/>
        <i x="339" s="1"/>
        <i x="566" s="1"/>
        <i x="314" s="1"/>
        <i x="271" s="1"/>
        <i x="591" s="1"/>
        <i x="216" s="1"/>
        <i x="186" s="1"/>
        <i x="205" s="1"/>
        <i x="96" s="1"/>
        <i x="404" s="1"/>
        <i x="167" s="1"/>
        <i x="140" s="1"/>
        <i x="68" s="1"/>
        <i x="472" s="1"/>
        <i x="509" s="1"/>
        <i x="217" s="1"/>
        <i x="115" s="1"/>
        <i x="247" s="1"/>
        <i x="597" s="1"/>
        <i x="89" s="1"/>
        <i x="328" s="1"/>
        <i x="249" s="1"/>
        <i x="135" s="1"/>
        <i x="273" s="1"/>
        <i x="427" s="1"/>
        <i x="83" s="1"/>
        <i x="398" s="1"/>
        <i x="121" s="1"/>
        <i x="625" s="1"/>
        <i x="418" s="1"/>
        <i x="615" s="1"/>
        <i x="189" s="1"/>
        <i x="351" s="1"/>
        <i x="549" s="1"/>
        <i x="297" s="1"/>
        <i x="51" s="1"/>
        <i x="252" s="1"/>
        <i x="372" s="1"/>
        <i x="432" s="1"/>
        <i x="499" s="1"/>
        <i x="55" s="1"/>
        <i x="204" s="1"/>
        <i x="456" s="1"/>
        <i x="130" s="1"/>
        <i x="63" s="1"/>
        <i x="233" s="1"/>
        <i x="178" s="1"/>
        <i x="305" s="1"/>
        <i x="447" s="1"/>
        <i x="280" s="1"/>
        <i x="298" s="1"/>
        <i x="183" s="1"/>
        <i x="363" s="1"/>
        <i x="389" s="1"/>
        <i x="561" s="1"/>
        <i x="572" s="1"/>
        <i x="522" s="1"/>
        <i x="547" s="1"/>
        <i x="310" s="1"/>
        <i x="195" s="1"/>
        <i x="165" s="1"/>
        <i x="67" s="1"/>
        <i x="453" s="1"/>
        <i x="8" s="1"/>
        <i x="175" s="1"/>
        <i x="556" s="1"/>
        <i x="446" s="1"/>
        <i x="580" s="1"/>
        <i x="191" s="1"/>
        <i x="168" s="1"/>
        <i x="383" s="1"/>
        <i x="258" s="1"/>
        <i x="211" s="1"/>
        <i x="188" s="1"/>
        <i x="79" s="1"/>
        <i x="610" s="1"/>
        <i x="544" s="1"/>
        <i x="6" s="1"/>
        <i x="272" s="1"/>
        <i x="540" s="1"/>
        <i x="431" s="1"/>
        <i x="184" s="1"/>
        <i x="494" s="1"/>
        <i x="254" s="1"/>
        <i x="88" s="1"/>
        <i x="118" s="1"/>
        <i x="531" s="1"/>
        <i x="163" s="1"/>
        <i x="498" s="1"/>
        <i x="318" s="1"/>
        <i x="395" s="1"/>
        <i x="266" s="1"/>
        <i x="160" s="1"/>
        <i x="40" s="1"/>
        <i x="496" s="1"/>
        <i x="311" s="1"/>
        <i x="495" s="1"/>
        <i x="590" s="1"/>
        <i x="380" s="1"/>
        <i x="41" s="1"/>
        <i x="223" s="1"/>
        <i x="226" s="1"/>
        <i x="302" s="1"/>
        <i x="98" s="1"/>
        <i x="341" s="1"/>
        <i x="73" s="1"/>
        <i x="479" s="1"/>
        <i x="90" s="1"/>
        <i x="45" s="1"/>
        <i x="47" s="1"/>
        <i x="144" s="1"/>
        <i x="257" s="1"/>
        <i x="623" s="1"/>
        <i x="438" s="1"/>
        <i x="562" s="1"/>
        <i x="248" s="1"/>
        <i x="483" s="1"/>
        <i x="577" s="1"/>
        <i x="114" s="1"/>
        <i x="21" s="1"/>
        <i x="399" s="1"/>
        <i x="198" s="1"/>
        <i x="376" s="1"/>
        <i x="575" s="1"/>
        <i x="506" s="1"/>
        <i x="307" s="1"/>
        <i x="574" s="1"/>
        <i x="382" s="1"/>
        <i x="357" s="1"/>
        <i x="317" s="1"/>
        <i x="129" s="1"/>
        <i x="517" s="1"/>
        <i x="112" s="1"/>
        <i x="548" s="1"/>
        <i x="321" s="1"/>
        <i x="620" s="1"/>
        <i x="622" s="1"/>
        <i x="80" s="1"/>
        <i x="322" s="1"/>
        <i x="543" s="1"/>
        <i x="48" s="1"/>
        <i x="462" s="1"/>
        <i x="612" s="1"/>
        <i x="379" s="1"/>
        <i x="276" s="1"/>
        <i x="194" s="1"/>
        <i x="611" s="1"/>
        <i x="466" s="1"/>
        <i x="203" s="1"/>
        <i x="600" s="1"/>
        <i x="503" s="1"/>
        <i x="120" s="1"/>
        <i x="108" s="1"/>
        <i x="535" s="1"/>
        <i x="413" s="1"/>
        <i x="84" s="1"/>
        <i x="550" s="1"/>
        <i x="215" s="1"/>
        <i x="378" s="1"/>
        <i x="155" s="1"/>
        <i x="32" s="1"/>
        <i x="433" s="1"/>
        <i x="502" s="1"/>
        <i x="281" s="1"/>
        <i x="123" s="1"/>
        <i x="619" s="1"/>
        <i x="156" s="1"/>
        <i x="538" s="1"/>
        <i x="614" s="1"/>
        <i x="353" s="1"/>
        <i x="331" s="1"/>
        <i x="262" s="1"/>
        <i x="567" s="1"/>
        <i x="529" s="1"/>
        <i x="344" s="1"/>
        <i x="2" s="1"/>
        <i x="29" s="1"/>
        <i x="435" s="1"/>
        <i x="287" s="1"/>
        <i x="54" s="1"/>
        <i x="420" s="1"/>
        <i x="17" s="1"/>
        <i x="282" s="1"/>
        <i x="347" s="1"/>
        <i x="213" s="1"/>
        <i x="343" s="1"/>
        <i x="28" s="1"/>
        <i x="560" s="1"/>
        <i x="512" s="1"/>
        <i x="202" s="1"/>
        <i x="371" s="1"/>
        <i x="327" s="1"/>
        <i x="107" s="1"/>
        <i x="448" s="1"/>
        <i x="238" s="1"/>
        <i x="482" s="1"/>
        <i x="231" s="1"/>
        <i x="422" s="1"/>
        <i x="133" s="1"/>
        <i x="530" s="1"/>
        <i x="268" s="1"/>
        <i x="426" s="1"/>
        <i x="200" s="1"/>
        <i x="392" s="1"/>
        <i x="91" s="1"/>
        <i x="241" s="1"/>
        <i x="286" s="1"/>
        <i x="263" s="1"/>
        <i x="334" s="1"/>
        <i x="412" s="1"/>
        <i x="440" s="1"/>
        <i x="128" s="1"/>
        <i x="570" s="1"/>
        <i x="3" s="1"/>
        <i x="583" s="1"/>
        <i x="149" s="1"/>
        <i x="65" s="1"/>
        <i x="626" s="1"/>
        <i x="245" s="1"/>
        <i x="31" s="1"/>
        <i x="375" s="1"/>
        <i x="197" s="1"/>
        <i x="303" s="1"/>
        <i x="584" s="1"/>
        <i x="361" s="1"/>
        <i x="162" s="1"/>
        <i x="452" s="1"/>
        <i x="428" s="1"/>
        <i x="406" s="1"/>
        <i x="485" s="1"/>
        <i x="553" s="1"/>
        <i x="316" s="1"/>
        <i x="330" s="1"/>
        <i x="488" s="1"/>
        <i x="455" s="1"/>
        <i x="285" s="1"/>
        <i x="278" s="1"/>
        <i x="27" s="1"/>
        <i x="366" s="1"/>
        <i x="94" s="1"/>
        <i x="11" s="1"/>
        <i x="244" s="1"/>
        <i x="225" s="1"/>
        <i x="605" s="1"/>
        <i x="181" s="1"/>
        <i x="578" s="1"/>
        <i x="336" s="1"/>
        <i x="492" s="1"/>
        <i x="122" s="1"/>
        <i x="374" s="1"/>
        <i x="137" s="1"/>
        <i x="141" s="1"/>
        <i x="532" s="1"/>
        <i x="62" s="1"/>
        <i x="100" s="1"/>
        <i x="419" s="1"/>
        <i x="411" s="1"/>
        <i x="505" s="1"/>
        <i x="236" s="1"/>
        <i x="434" s="1"/>
        <i x="106" s="1"/>
        <i x="500" s="1"/>
        <i x="628" s="1"/>
        <i x="159" s="1"/>
        <i x="320" s="1"/>
        <i x="473" s="1"/>
        <i x="586" s="1"/>
        <i x="196" s="1"/>
        <i x="501" s="1"/>
        <i x="335" s="1"/>
        <i x="232" s="1"/>
        <i x="390" s="1"/>
        <i x="474" s="1"/>
        <i x="265" s="1"/>
        <i x="486" s="1"/>
        <i x="49" s="1"/>
        <i x="526" s="1"/>
        <i x="537" s="1"/>
        <i x="410" s="1"/>
        <i x="515" s="1"/>
        <i x="525" s="1"/>
        <i x="439" s="1"/>
        <i x="228" s="1"/>
        <i x="313" s="1"/>
        <i x="449" s="1"/>
        <i x="555" s="1"/>
        <i x="429" s="1"/>
        <i x="46" s="1"/>
        <i x="524" s="1"/>
        <i x="219" s="1"/>
        <i x="253" s="1"/>
        <i x="308" s="1"/>
        <i x="212" s="1"/>
        <i x="42" s="1"/>
        <i x="468" s="1"/>
        <i x="364" s="1"/>
        <i x="369" s="1"/>
        <i x="174" s="1"/>
        <i x="480" s="1"/>
        <i x="164" s="1"/>
        <i x="26" s="1"/>
        <i x="148" s="1"/>
        <i x="143" s="1"/>
        <i x="35" s="1"/>
        <i x="528" s="1"/>
        <i x="595" s="1"/>
        <i x="134" s="1"/>
        <i x="442" s="1"/>
        <i x="342" s="1"/>
        <i x="609" s="1"/>
        <i x="138" s="1"/>
        <i x="193" s="1"/>
        <i x="240" s="1"/>
        <i x="602" s="1"/>
        <i x="176" s="1"/>
        <i x="613" s="1"/>
        <i x="337" s="1"/>
        <i x="243" s="1"/>
        <i x="606" s="1"/>
        <i x="400" s="1"/>
        <i x="218" s="1"/>
        <i x="616" s="1"/>
        <i x="487" s="1"/>
        <i x="417" s="1"/>
        <i x="381" s="1"/>
        <i x="208" s="1"/>
        <i x="601" s="1"/>
        <i x="150" s="1"/>
        <i x="7" s="1"/>
        <i x="423" s="1"/>
        <i x="116" s="1"/>
        <i x="92" s="1"/>
        <i x="301" s="1"/>
        <i x="39" s="1"/>
        <i x="558" s="1"/>
        <i x="359" s="1"/>
        <i x="269" s="1"/>
        <i x="16" s="1"/>
        <i x="461" s="1"/>
        <i x="199" s="1"/>
        <i x="229" s="1"/>
        <i x="470" s="1"/>
        <i x="153" s="1"/>
        <i x="38" s="1"/>
        <i x="350" s="1"/>
        <i x="235" s="1"/>
        <i x="296" s="1"/>
        <i x="444" s="1"/>
        <i x="4" s="1"/>
        <i x="179" s="1"/>
        <i x="152" s="1"/>
        <i x="13" s="1"/>
        <i x="201" s="1"/>
        <i x="373" s="1"/>
        <i x="274" s="1"/>
        <i x="291" s="1"/>
        <i x="385" s="1"/>
        <i x="95" s="1"/>
        <i x="608" s="1"/>
        <i x="1" s="1"/>
        <i x="405" s="1"/>
        <i x="469" s="1"/>
        <i x="356" s="1"/>
        <i x="443" s="1"/>
        <i x="546" s="1"/>
        <i x="81" s="1"/>
        <i x="43" s="1"/>
        <i x="599" s="1"/>
        <i x="596" s="1"/>
        <i x="354" s="1"/>
        <i x="414" s="1"/>
        <i x="63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Revenue" xr10:uid="{B1856CB3-CF4B-45DA-A991-72A8F938D01F}" sourceName="Gross Revenue">
  <pivotTables>
    <pivotTable tabId="13" name="PivotTable5"/>
  </pivotTables>
  <data>
    <tabular pivotCacheId="737800872">
      <items count="608">
        <i x="591" s="1"/>
        <i x="32" s="1"/>
        <i x="606" s="1"/>
        <i x="86" s="1"/>
        <i x="154" s="1"/>
        <i x="146" s="1"/>
        <i x="260" s="1"/>
        <i x="467" s="1"/>
        <i x="272" s="1"/>
        <i x="221" s="1"/>
        <i x="546" s="1"/>
        <i x="70" s="1"/>
        <i x="363" s="1"/>
        <i x="57" s="1"/>
        <i x="285" s="1"/>
        <i x="80" s="1"/>
        <i x="90" s="1"/>
        <i x="25" s="1"/>
        <i x="28" s="1"/>
        <i x="297" s="1"/>
        <i x="605" s="1"/>
        <i x="151" s="1"/>
        <i x="87" s="1"/>
        <i x="204" s="1"/>
        <i x="180" s="1"/>
        <i x="455" s="1"/>
        <i x="462" s="1"/>
        <i x="217" s="1"/>
        <i x="113" s="1"/>
        <i x="256" s="1"/>
        <i x="315" s="1"/>
        <i x="328" s="1"/>
        <i x="101" s="1"/>
        <i x="279" s="1"/>
        <i x="464" s="1"/>
        <i x="437" s="1"/>
        <i x="549" s="1"/>
        <i x="27" s="1"/>
        <i x="450" s="1"/>
        <i x="282" s="1"/>
        <i x="0" s="1"/>
        <i x="491" s="1"/>
        <i x="343" s="1"/>
        <i x="506" s="1"/>
        <i x="185" s="1"/>
        <i x="556" s="1"/>
        <i x="265" s="1"/>
        <i x="408" s="1"/>
        <i x="410" s="1"/>
        <i x="168" s="1"/>
        <i x="93" s="1"/>
        <i x="421" s="1"/>
        <i x="435" s="1"/>
        <i x="417" s="1"/>
        <i x="75" s="1"/>
        <i x="434" s="1"/>
        <i x="525" s="1"/>
        <i x="412" s="1"/>
        <i x="583" s="1"/>
        <i x="189" s="1"/>
        <i x="248" s="1"/>
        <i x="82" s="1"/>
        <i x="213" s="1"/>
        <i x="335" s="1"/>
        <i x="332" s="1"/>
        <i x="152" s="1"/>
        <i x="500" s="1"/>
        <i x="304" s="1"/>
        <i x="292" s="1"/>
        <i x="102" s="1"/>
        <i x="321" s="1"/>
        <i x="493" s="1"/>
        <i x="281" s="1"/>
        <i x="88" s="1"/>
        <i x="602" s="1"/>
        <i x="295" s="1"/>
        <i x="560" s="1"/>
        <i x="551" s="1"/>
        <i x="586" s="1"/>
        <i x="413" s="1"/>
        <i x="318" s="1"/>
        <i x="191" s="1"/>
        <i x="63" s="1"/>
        <i x="601" s="1"/>
        <i x="565" s="1"/>
        <i x="137" s="1"/>
        <i x="571" s="1"/>
        <i x="451" s="1"/>
        <i x="79" s="1"/>
        <i x="489" s="1"/>
        <i x="466" s="1"/>
        <i x="595" s="1"/>
        <i x="257" s="1"/>
        <i x="392" s="1"/>
        <i x="391" s="1"/>
        <i x="20" s="1"/>
        <i x="109" s="1"/>
        <i x="544" s="1"/>
        <i x="406" s="1"/>
        <i x="98" s="1"/>
        <i x="195" s="1"/>
        <i x="143" s="1"/>
        <i x="171" s="1"/>
        <i x="597" s="1"/>
        <i x="267" s="1"/>
        <i x="347" s="1"/>
        <i x="459" s="1"/>
        <i x="77" s="1"/>
        <i x="26" s="1"/>
        <i x="415" s="1"/>
        <i x="432" s="1"/>
        <i x="514" s="1"/>
        <i x="105" s="1"/>
        <i x="593" s="1"/>
        <i x="59" s="1"/>
        <i x="56" s="1"/>
        <i x="124" s="1"/>
        <i x="83" s="1"/>
        <i x="119" s="1"/>
        <i x="104" s="1"/>
        <i x="244" s="1"/>
        <i x="92" s="1"/>
        <i x="207" s="1"/>
        <i x="358" s="1"/>
        <i x="2" s="1"/>
        <i x="219" s="1"/>
        <i x="212" s="1"/>
        <i x="231" s="1"/>
        <i x="505" s="1"/>
        <i x="354" s="1"/>
        <i x="547" s="1"/>
        <i x="430" s="1"/>
        <i x="324" s="1"/>
        <i x="460" s="1"/>
        <i x="418" s="1"/>
        <i x="490" s="1"/>
        <i x="582" s="1"/>
        <i x="519" s="1"/>
        <i x="584" s="1"/>
        <i x="594" s="1"/>
        <i x="237" s="1"/>
        <i x="148" s="1"/>
        <i x="457" s="1"/>
        <i x="535" s="1"/>
        <i x="520" s="1"/>
        <i x="193" s="1"/>
        <i x="9" s="1"/>
        <i x="338" s="1"/>
        <i x="167" s="1"/>
        <i x="554" s="1"/>
        <i x="440" s="1"/>
        <i x="393" s="1"/>
        <i x="243" s="1"/>
        <i x="326" s="1"/>
        <i x="575" s="1"/>
        <i x="378" s="1"/>
        <i x="263" s="1"/>
        <i x="107" s="1"/>
        <i x="402" s="1"/>
        <i x="482" s="1"/>
        <i x="327" s="1"/>
        <i x="153" s="1"/>
        <i x="108" s="1"/>
        <i x="419" s="1"/>
        <i x="42" s="1"/>
        <i x="72" s="1"/>
        <i x="578" s="1"/>
        <i x="517" s="1"/>
        <i x="312" s="1"/>
        <i x="232" s="1"/>
        <i x="214" s="1"/>
        <i x="198" s="1"/>
        <i x="545" s="1"/>
        <i x="186" s="1"/>
        <i x="246" s="1"/>
        <i x="349" s="1"/>
        <i x="161" s="1"/>
        <i x="115" s="1"/>
        <i x="111" s="1"/>
        <i x="277" s="1"/>
        <i x="333" s="1"/>
        <i x="271" s="1"/>
        <i x="227" s="1"/>
        <i x="13" s="1"/>
        <i x="305" s="1"/>
        <i x="518" s="1"/>
        <i x="196" s="1"/>
        <i x="174" s="1"/>
        <i x="553" s="1"/>
        <i x="509" s="1"/>
        <i x="485" s="1"/>
        <i x="573" s="1"/>
        <i x="122" s="1"/>
        <i x="334" s="1"/>
        <i x="275" s="1"/>
        <i x="158" s="1"/>
        <i x="233" s="1"/>
        <i x="445" s="1"/>
        <i x="61" s="1"/>
        <i x="182" s="1"/>
        <i x="510" s="1"/>
        <i x="41" s="1"/>
        <i x="290" s="1"/>
        <i x="596" s="1"/>
        <i x="598" s="1"/>
        <i x="507" s="1"/>
        <i x="345" s="1"/>
        <i x="468" s="1"/>
        <i x="476" s="1"/>
        <i x="307" s="1"/>
        <i x="527" s="1"/>
        <i x="225" s="1"/>
        <i x="289" s="1"/>
        <i x="558" s="1"/>
        <i x="524" s="1"/>
        <i x="176" s="1"/>
        <i x="576" s="1"/>
        <i x="121" s="1"/>
        <i x="136" s="1"/>
        <i x="278" s="1"/>
        <i x="38" s="1"/>
        <i x="283" s="1"/>
        <i x="499" s="1"/>
        <i x="169" s="1"/>
        <i x="564" s="1"/>
        <i x="129" s="1"/>
        <i x="4" s="1"/>
        <i x="473" s="1"/>
        <i x="96" s="1"/>
        <i x="228" s="1"/>
        <i x="531" s="1"/>
        <i x="579" s="1"/>
        <i x="427" s="1"/>
        <i x="99" s="1"/>
        <i x="559" s="1"/>
        <i x="504" s="1"/>
        <i x="39" s="1"/>
        <i x="6" s="1"/>
        <i x="534" s="1"/>
        <i x="403" s="1"/>
        <i x="222" s="1"/>
        <i x="226" s="1"/>
        <i x="118" s="1"/>
        <i x="156" s="1"/>
        <i x="359" s="1"/>
        <i x="242" s="1"/>
        <i x="484" s="1"/>
        <i x="344" s="1"/>
        <i x="568" s="1"/>
        <i x="188" s="1"/>
        <i x="273" s="1"/>
        <i x="65" s="1"/>
        <i x="258" s="1"/>
        <i x="62" s="1"/>
        <i x="390" s="1"/>
        <i x="94" s="1"/>
        <i x="128" s="1"/>
        <i x="205" s="1"/>
        <i x="286" s="1"/>
        <i x="259" s="1"/>
        <i x="270" s="1"/>
        <i x="365" s="1"/>
        <i x="496" s="1"/>
        <i x="159" s="1"/>
        <i x="74" s="1"/>
        <i x="31" s="1"/>
        <i x="446" s="1"/>
        <i x="164" s="1"/>
        <i x="411" s="1"/>
        <i x="552" s="1"/>
        <i x="301" s="1"/>
        <i x="245" s="1"/>
        <i x="589" s="1"/>
        <i x="502" s="1"/>
        <i x="538" s="1"/>
        <i x="604" s="1"/>
        <i x="52" s="1"/>
        <i x="581" s="1"/>
        <i x="550" s="1"/>
        <i x="409" s="1"/>
        <i x="291" s="1"/>
        <i x="134" s="1"/>
        <i x="130" s="1"/>
        <i x="201" s="1"/>
        <i x="314" s="1"/>
        <i x="300" s="1"/>
        <i x="216" s="1"/>
        <i x="420" s="1"/>
        <i x="513" s="1"/>
        <i x="67" s="1"/>
        <i x="377" s="1"/>
        <i x="563" s="1"/>
        <i x="325" s="1"/>
        <i x="206" s="1"/>
        <i x="374" s="1"/>
        <i x="287" s="1"/>
        <i x="394" s="1"/>
        <i x="329" s="1"/>
        <i x="453" s="1"/>
        <i x="29" s="1"/>
        <i x="249" s="1"/>
        <i x="69" s="1"/>
        <i x="532" s="1"/>
        <i x="51" s="1"/>
        <i x="404" s="1"/>
        <i x="501" s="1"/>
        <i x="369" s="1"/>
        <i x="84" s="1"/>
        <i x="218" s="1"/>
        <i x="438" s="1"/>
        <i x="469" s="1"/>
        <i x="209" s="1"/>
        <i x="288" s="1"/>
        <i x="262" s="1"/>
        <i x="5" s="1"/>
        <i x="12" s="1"/>
        <i x="360" s="1"/>
        <i x="472" s="1"/>
        <i x="368" s="1"/>
        <i x="183" s="1"/>
        <i x="37" s="1"/>
        <i x="310" s="1"/>
        <i x="210" s="1"/>
        <i x="114" s="1"/>
        <i x="229" s="1"/>
        <i x="590" s="1"/>
        <i x="367" s="1"/>
        <i x="239" s="1"/>
        <i x="382" s="1"/>
        <i x="474" s="1"/>
        <i x="162" s="1"/>
        <i x="366" s="1"/>
        <i x="192" s="1"/>
        <i x="425" s="1"/>
        <i x="208" s="1"/>
        <i x="172" s="1"/>
        <i x="540" s="1"/>
        <i x="194" s="1"/>
        <i x="23" s="1"/>
        <i x="54" s="1"/>
        <i x="135" s="1"/>
        <i x="33" s="1"/>
        <i x="45" s="1"/>
        <i x="224" s="1"/>
        <i x="498" s="1"/>
        <i x="398" s="1"/>
        <i x="15" s="1"/>
        <i x="120" s="1"/>
        <i x="112" s="1"/>
        <i x="541" s="1"/>
        <i x="17" s="1"/>
        <i x="384" s="1"/>
        <i x="487" s="1"/>
        <i x="523" s="1"/>
        <i x="503" s="1"/>
        <i x="268" s="1"/>
        <i x="449" s="1"/>
        <i x="140" s="1"/>
        <i x="407" s="1"/>
        <i x="486" s="1"/>
        <i x="238" s="1"/>
        <i x="439" s="1"/>
        <i x="533" s="1"/>
        <i x="131" s="1"/>
        <i x="68" s="1"/>
        <i x="371" s="1"/>
        <i x="431" s="1"/>
        <i x="280" s="1"/>
        <i x="18" s="1"/>
        <i x="381" s="1"/>
        <i x="22" s="1"/>
        <i x="125" s="1"/>
        <i x="543" s="1"/>
        <i x="492" s="1"/>
        <i x="141" s="1"/>
        <i x="177" s="1"/>
        <i x="133" s="1"/>
        <i x="293" s="1"/>
        <i x="47" s="1"/>
        <i x="251" s="1"/>
        <i x="34" s="1"/>
        <i x="8" s="1"/>
        <i x="43" s="1"/>
        <i x="175" s="1"/>
        <i x="370" s="1"/>
        <i x="50" s="1"/>
        <i x="241" s="1"/>
        <i x="261" s="1"/>
        <i x="1" s="1"/>
        <i x="405" s="1"/>
        <i x="123" s="1"/>
        <i x="66" s="1"/>
        <i x="302" s="1"/>
        <i x="240" s="1"/>
        <i x="399" s="1"/>
        <i x="85" s="1"/>
        <i x="600" s="1"/>
        <i x="234" s="1"/>
        <i x="190" s="1"/>
        <i x="254" s="1"/>
        <i x="436" s="1"/>
        <i x="170" s="1"/>
        <i x="386" s="1"/>
        <i x="475" s="1"/>
        <i x="352" s="1"/>
        <i x="46" s="1"/>
        <i x="320" s="1"/>
        <i x="14" s="1"/>
        <i x="397" s="1"/>
        <i x="7" s="1"/>
        <i x="444" s="1"/>
        <i x="495" s="1"/>
        <i x="471" s="1"/>
        <i x="483" s="1"/>
        <i x="361" s="1"/>
        <i x="71" s="1"/>
        <i x="355" s="1"/>
        <i x="350" s="1"/>
        <i x="570" s="1"/>
        <i x="478" s="1"/>
        <i x="294" s="1"/>
        <i x="311" s="1"/>
        <i x="157" s="1"/>
        <i x="442" s="1"/>
        <i x="299" s="1"/>
        <i x="385" s="1"/>
        <i x="580" s="1"/>
        <i x="423" s="1"/>
        <i x="465" s="1"/>
        <i x="10" s="1"/>
        <i x="53" s="1"/>
        <i x="49" s="1"/>
        <i x="569" s="1"/>
        <i x="331" s="1"/>
        <i x="236" s="1"/>
        <i x="536" s="1"/>
        <i x="76" s="1"/>
        <i x="561" s="1"/>
        <i x="530" s="1"/>
        <i x="477" s="1"/>
        <i x="106" s="1"/>
        <i x="414" s="1"/>
        <i x="44" s="1"/>
        <i x="548" s="1"/>
        <i x="220" s="1"/>
        <i x="376" s="1"/>
        <i x="555" s="1"/>
        <i x="116" s="1"/>
        <i x="339" s="1"/>
        <i x="480" s="1"/>
        <i x="572" s="1"/>
        <i x="592" s="1"/>
        <i x="21" s="1"/>
        <i x="364" s="1"/>
        <i x="351" s="1"/>
        <i x="323" s="1"/>
        <i x="433" s="1"/>
        <i x="103" s="1"/>
        <i x="132" s="1"/>
        <i x="401" s="1"/>
        <i x="322" s="1"/>
        <i x="264" s="1"/>
        <i x="36" s="1"/>
        <i x="508" s="1"/>
        <i x="542" s="1"/>
        <i x="19" s="1"/>
        <i x="89" s="1"/>
        <i x="97" s="1"/>
        <i x="274" s="1"/>
        <i x="11" s="1"/>
        <i x="303" s="1"/>
        <i x="356" s="1"/>
        <i x="48" s="1"/>
        <i x="179" s="1"/>
        <i x="400" s="1"/>
        <i x="566" s="1"/>
        <i x="150" s="1"/>
        <i x="308" s="1"/>
        <i x="373" s="1"/>
        <i x="250" s="1"/>
        <i x="247" s="1"/>
        <i x="142" s="1"/>
        <i x="81" s="1"/>
        <i x="330" s="1"/>
        <i x="494" s="1"/>
        <i x="117" s="1"/>
        <i x="448" s="1"/>
        <i x="389" s="1"/>
        <i x="269" s="1"/>
        <i x="317" s="1"/>
        <i x="447" s="1"/>
        <i x="511" s="1"/>
        <i x="452" s="1"/>
        <i x="203" s="1"/>
        <i x="357" s="1"/>
        <i x="522" s="1"/>
        <i x="296" s="1"/>
        <i x="574" s="1"/>
        <i x="138" s="1"/>
        <i x="253" s="1"/>
        <i x="395" s="1"/>
        <i x="529" s="1"/>
        <i x="60" s="1"/>
        <i x="567" s="1"/>
        <i x="126" s="1"/>
        <i x="497" s="1"/>
        <i x="443" s="1"/>
        <i x="387" s="1"/>
        <i x="461" s="1"/>
        <i x="515" s="1"/>
        <i x="235" s="1"/>
        <i x="353" s="1"/>
        <i x="144" s="1"/>
        <i x="24" s="1"/>
        <i x="479" s="1"/>
        <i x="100" s="1"/>
        <i x="537" s="1"/>
        <i x="340" s="1"/>
        <i x="463" s="1"/>
        <i x="178" s="1"/>
        <i x="284" s="1"/>
        <i x="147" s="1"/>
        <i x="40" s="1"/>
        <i x="585" s="1"/>
        <i x="266" s="1"/>
        <i x="337" s="1"/>
        <i x="166" s="1"/>
        <i x="426" s="1"/>
        <i x="342" s="1"/>
        <i x="3" s="1"/>
        <i x="470" s="1"/>
        <i x="73" s="1"/>
        <i x="316" s="1"/>
        <i x="603" s="1"/>
        <i x="230" s="1"/>
        <i x="139" s="1"/>
        <i x="309" s="1"/>
        <i x="539" s="1"/>
        <i x="458" s="1"/>
        <i x="375" s="1"/>
        <i x="379" s="1"/>
        <i x="313" s="1"/>
        <i x="380" s="1"/>
        <i x="341" s="1"/>
        <i x="173" s="1"/>
        <i x="336" s="1"/>
        <i x="526" s="1"/>
        <i x="211" s="1"/>
        <i x="155" s="1"/>
        <i x="223" s="1"/>
        <i x="202" s="1"/>
        <i x="424" s="1"/>
        <i x="197" s="1"/>
        <i x="255" s="1"/>
        <i x="298" s="1"/>
        <i x="512" s="1"/>
        <i x="165" s="1"/>
        <i x="454" s="1"/>
        <i x="127" s="1"/>
        <i x="416" s="1"/>
        <i x="429" s="1"/>
        <i x="145" s="1"/>
        <i x="160" s="1"/>
        <i x="30" s="1"/>
        <i x="110" s="1"/>
        <i x="78" s="1"/>
        <i x="64" s="1"/>
        <i x="388" s="1"/>
        <i x="362" s="1"/>
        <i x="200" s="1"/>
        <i x="184" s="1"/>
        <i x="587" s="1"/>
        <i x="348" s="1"/>
        <i x="95" s="1"/>
        <i x="181" s="1"/>
        <i x="441" s="1"/>
        <i x="55" s="1"/>
        <i x="163" s="1"/>
        <i x="516" s="1"/>
        <i x="252" s="1"/>
        <i x="521" s="1"/>
        <i x="187" s="1"/>
        <i x="396" s="1"/>
        <i x="306" s="1"/>
        <i x="528" s="1"/>
        <i x="428" s="1"/>
        <i x="199" s="1"/>
        <i x="562" s="1"/>
        <i x="599" s="1"/>
        <i x="149" s="1"/>
        <i x="557" s="1"/>
        <i x="372" s="1"/>
        <i x="346" s="1"/>
        <i x="588" s="1"/>
        <i x="215" s="1"/>
        <i x="488" s="1"/>
        <i x="276" s="1"/>
        <i x="383" s="1"/>
        <i x="91" s="1"/>
        <i x="422" s="1"/>
        <i x="16" s="1"/>
        <i x="35" s="1"/>
        <i x="58" s="1"/>
        <i x="577" s="1"/>
        <i x="456" s="1"/>
        <i x="319" s="1"/>
        <i x="481" s="1"/>
        <i x="60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DA47E564-2082-4E9A-829B-891AFCEF569E}" sourceName="OrderID">
  <pivotTables>
    <pivotTable tabId="15" name="PivotTable6"/>
  </pivotTables>
  <data>
    <tabular pivotCacheId="1345100488">
      <items count="631">
        <i x="605" s="1"/>
        <i x="449" s="1"/>
        <i x="7" s="1"/>
        <i x="518" s="1"/>
        <i x="573" s="1"/>
        <i x="46" s="1"/>
        <i x="367" s="1"/>
        <i x="201" s="1"/>
        <i x="551" s="1"/>
        <i x="324" s="1"/>
        <i x="438" s="1"/>
        <i x="166" s="1"/>
        <i x="80" s="1"/>
        <i x="361" s="1"/>
        <i x="328" s="1"/>
        <i x="300" s="1"/>
        <i x="453" s="1"/>
        <i x="577" s="1"/>
        <i x="193" s="1"/>
        <i x="122" s="1"/>
        <i x="332" s="1"/>
        <i x="439" s="1"/>
        <i x="457" s="1"/>
        <i x="148" s="1"/>
        <i x="224" s="1"/>
        <i x="190" s="1"/>
        <i x="347" s="1"/>
        <i x="278" s="1"/>
        <i x="350" s="1"/>
        <i x="535" s="1"/>
        <i x="54" s="1"/>
        <i x="65" s="1"/>
        <i x="163" s="1"/>
        <i x="470" s="1"/>
        <i x="580" s="1"/>
        <i x="625" s="1"/>
        <i x="106" s="1"/>
        <i x="269" s="1"/>
        <i x="256" s="1"/>
        <i x="89" s="1"/>
        <i x="339" s="1"/>
        <i x="24" s="1"/>
        <i x="220" s="1"/>
        <i x="281" s="1"/>
        <i x="250" s="1"/>
        <i x="376" s="1"/>
        <i x="540" s="1"/>
        <i x="172" s="1"/>
        <i x="225" s="1"/>
        <i x="78" s="1"/>
        <i x="49" s="1"/>
        <i x="603" s="1"/>
        <i x="226" s="1"/>
        <i x="168" s="1"/>
        <i x="45" s="1"/>
        <i x="144" s="1"/>
        <i x="183" s="1"/>
        <i x="574" s="1"/>
        <i x="81" s="1"/>
        <i x="512" s="1"/>
        <i x="562" s="1"/>
        <i x="315" s="1"/>
        <i x="391" s="1"/>
        <i x="288" s="1"/>
        <i x="272" s="1"/>
        <i x="2" s="1"/>
        <i x="92" s="1"/>
        <i x="292" s="1"/>
        <i x="434" s="1"/>
        <i x="585" s="1"/>
        <i x="199" s="1"/>
        <i x="74" s="1"/>
        <i x="363" s="1"/>
        <i x="204" s="1"/>
        <i x="185" s="1"/>
        <i x="497" s="1"/>
        <i x="52" s="1"/>
        <i x="99" s="1"/>
        <i x="118" s="1"/>
        <i x="132" s="1"/>
        <i x="215" s="1"/>
        <i x="495" s="1"/>
        <i x="171" s="1"/>
        <i x="613" s="1"/>
        <i x="543" s="1"/>
        <i x="629" s="1"/>
        <i x="520" s="1"/>
        <i x="547" s="1"/>
        <i x="255" s="1"/>
        <i x="351" s="1"/>
        <i x="64" s="1"/>
        <i x="546" s="1"/>
        <i x="151" s="1"/>
        <i x="223" s="1"/>
        <i x="615" s="1"/>
        <i x="239" s="1"/>
        <i x="260" s="1"/>
        <i x="129" s="1"/>
        <i x="532" s="1"/>
        <i x="326" s="1"/>
        <i x="459" s="1"/>
        <i x="371" s="1"/>
        <i x="66" s="1"/>
        <i x="626" s="1"/>
        <i x="604" s="1"/>
        <i x="624" s="1"/>
        <i x="31" s="1"/>
        <i x="515" s="1"/>
        <i x="477" s="1"/>
        <i x="344" s="1"/>
        <i x="499" s="1"/>
        <i x="197" s="1"/>
        <i x="121" s="1"/>
        <i x="445" s="1"/>
        <i x="455" s="1"/>
        <i x="202" s="1"/>
        <i x="474" s="1"/>
        <i x="301" s="1"/>
        <i x="382" s="1"/>
        <i x="152" s="1"/>
        <i x="485" s="1"/>
        <i x="296" s="1"/>
        <i x="124" s="1"/>
        <i x="229" s="1"/>
        <i x="478" s="1"/>
        <i x="284" s="1"/>
        <i x="137" s="1"/>
        <i x="216" s="1"/>
        <i x="387" s="1"/>
        <i x="591" s="1"/>
        <i x="316" s="1"/>
        <i x="537" s="1"/>
        <i x="419" s="1"/>
        <i x="261" s="1"/>
        <i x="266" s="1"/>
        <i x="259" s="1"/>
        <i x="528" s="1"/>
        <i x="39" s="1"/>
        <i x="213" s="1"/>
        <i x="431" s="1"/>
        <i x="337" s="1"/>
        <i x="176" s="1"/>
        <i x="609" s="1"/>
        <i x="291" s="1"/>
        <i x="408" s="1"/>
        <i x="384" s="1"/>
        <i x="596" s="1"/>
        <i x="526" s="1"/>
        <i x="198" s="1"/>
        <i x="460" s="1"/>
        <i x="221" s="1"/>
        <i x="576" s="1"/>
        <i x="279" s="1"/>
        <i x="75" s="1"/>
        <i x="5" s="1"/>
        <i x="589" s="1"/>
        <i x="466" s="1"/>
        <i x="412" s="1"/>
        <i x="349" s="1"/>
        <i x="501" s="1"/>
        <i x="243" s="1"/>
        <i x="68" s="1"/>
        <i x="436" s="1"/>
        <i x="619" s="1"/>
        <i x="340" s="1"/>
        <i x="444" s="1"/>
        <i x="450" s="1"/>
        <i x="476" s="1"/>
        <i x="437" s="1"/>
        <i x="69" s="1"/>
        <i x="539" s="1"/>
        <i x="369" s="1"/>
        <i x="4" s="1"/>
        <i x="338" s="1"/>
        <i x="145" s="1"/>
        <i x="187" s="1"/>
        <i x="318" s="1"/>
        <i x="388" s="1"/>
        <i x="85" s="1"/>
        <i x="154" s="1"/>
        <i x="441" s="1"/>
        <i x="160" s="1"/>
        <i x="404" s="1"/>
        <i x="370" s="1"/>
        <i x="581" s="1"/>
        <i x="35" s="1"/>
        <i x="507" s="1"/>
        <i x="483" s="1"/>
        <i x="135" s="1"/>
        <i x="21" s="1"/>
        <i x="570" s="1"/>
        <i x="95" s="1"/>
        <i x="115" s="1"/>
        <i x="456" s="1"/>
        <i x="125" s="1"/>
        <i x="308" s="1"/>
        <i x="165" s="1"/>
        <i x="623" s="1"/>
        <i x="258" s="1"/>
        <i x="321" s="1"/>
        <i x="311" s="1"/>
        <i x="28" s="1"/>
        <i x="346" s="1"/>
        <i x="140" s="1"/>
        <i x="142" s="1"/>
        <i x="509" s="1"/>
        <i x="205" s="1"/>
        <i x="627" s="1"/>
        <i x="192" s="1"/>
        <i x="393" s="1"/>
        <i x="469" s="1"/>
        <i x="411" s="1"/>
        <i x="15" s="1"/>
        <i x="331" s="1"/>
        <i x="233" s="1"/>
        <i x="228" s="1"/>
        <i x="555" s="1"/>
        <i x="542" s="1"/>
        <i x="628" s="1"/>
        <i x="237" s="1"/>
        <i x="267" s="1"/>
        <i x="538" s="1"/>
        <i x="114" s="1"/>
        <i x="414" s="1"/>
        <i x="178" s="1"/>
        <i x="396" s="1"/>
        <i x="479" s="1"/>
        <i x="336" s="1"/>
        <i x="164" s="1"/>
        <i x="155" s="1"/>
        <i x="549" s="1"/>
        <i x="325" s="1"/>
        <i x="105" s="1"/>
        <i x="134" s="1"/>
        <i x="309" s="1"/>
        <i x="109" s="1"/>
        <i x="34" s="1"/>
        <i x="401" s="1"/>
        <i x="30" s="1"/>
        <i x="79" s="1"/>
        <i x="214" s="1"/>
        <i x="153" s="1"/>
        <i x="458" s="1"/>
        <i x="548" s="1"/>
        <i x="16" s="1"/>
        <i x="322" s="1"/>
        <i x="523" s="1"/>
        <i x="297" s="1"/>
        <i x="564" s="1"/>
        <i x="480" s="1"/>
        <i x="10" s="1"/>
        <i x="147" s="1"/>
        <i x="191" s="1"/>
        <i x="25" s="1"/>
        <i x="162" s="1"/>
        <i x="251" s="1"/>
        <i x="111" s="1"/>
        <i x="353" s="1"/>
        <i x="139" s="1"/>
        <i x="181" s="1"/>
        <i x="586" s="1"/>
        <i x="489" s="1"/>
        <i x="63" s="1"/>
        <i x="560" s="1"/>
        <i x="392" s="1"/>
        <i x="454" s="1"/>
        <i x="51" s="1"/>
        <i x="607" s="1"/>
        <i x="0" s="1"/>
        <i x="287" s="1"/>
        <i x="234" s="1"/>
        <i x="107" s="1"/>
        <i x="70" s="1"/>
        <i x="57" s="1"/>
        <i x="41" s="1"/>
        <i x="252" s="1"/>
        <i x="390" s="1"/>
        <i x="504" s="1"/>
        <i x="247" s="1"/>
        <i x="167" s="1"/>
        <i x="561" s="1"/>
        <i x="610" s="1"/>
        <i x="334" s="1"/>
        <i x="341" s="1"/>
        <i x="6" s="1"/>
        <i x="612" s="1"/>
        <i x="362" s="1"/>
        <i x="67" s="1"/>
        <i x="253" s="1"/>
        <i x="536" s="1"/>
        <i x="572" s="1"/>
        <i x="461" s="1"/>
        <i x="161" s="1"/>
        <i x="1" s="1"/>
        <i x="524" s="1"/>
        <i x="283" s="1"/>
        <i x="486" s="1"/>
        <i x="410" s="1"/>
        <i x="429" s="1"/>
        <i x="484" s="1"/>
        <i x="143" s="1"/>
        <i x="44" s="1"/>
        <i x="405" s="1"/>
        <i x="383" s="1"/>
        <i x="517" s="1"/>
        <i x="310" s="1"/>
        <i x="545" s="1"/>
        <i x="231" s="1"/>
        <i x="313" s="1"/>
        <i x="494" s="1"/>
        <i x="568" s="1"/>
        <i x="149" s="1"/>
        <i x="594" s="1"/>
        <i x="194" s="1"/>
        <i x="440" s="1"/>
        <i x="76" s="1"/>
        <i x="77" s="1"/>
        <i x="413" s="1"/>
        <i x="50" s="1"/>
        <i x="521" s="1"/>
        <i x="423" s="1"/>
        <i x="117" s="1"/>
        <i x="103" s="1"/>
        <i x="578" s="1"/>
        <i x="274" s="1"/>
        <i x="23" s="1"/>
        <i x="265" s="1"/>
        <i x="323" s="1"/>
        <i x="188" s="1"/>
        <i x="464" s="1"/>
        <i x="443" s="1"/>
        <i x="356" s="1"/>
        <i x="424" s="1"/>
        <i x="492" s="1"/>
        <i x="386" s="1"/>
        <i x="529" s="1"/>
        <i x="554" s="1"/>
        <i x="409" s="1"/>
        <i x="245" s="1"/>
        <i x="47" s="1"/>
        <i x="600" s="1"/>
        <i x="157" s="1"/>
        <i x="558" s="1"/>
        <i x="448" s="1"/>
        <i x="500" s="1"/>
        <i x="232" s="1"/>
        <i x="335" s="1"/>
        <i x="587" s="1"/>
        <i x="493" s="1"/>
        <i x="277" s="1"/>
        <i x="433" s="1"/>
        <i x="126" s="1"/>
        <i x="598" s="1"/>
        <i x="123" s="1"/>
        <i x="8" s="1"/>
        <i x="582" s="1"/>
        <i x="86" s="1"/>
        <i x="38" s="1"/>
        <i x="88" s="1"/>
        <i x="128" s="1"/>
        <i x="170" s="1"/>
        <i x="400" s="1"/>
        <i x="541" s="1"/>
        <i x="33" s="1"/>
        <i x="40" s="1"/>
        <i x="97" s="1"/>
        <i x="184" s="1"/>
        <i x="475" s="1"/>
        <i x="342" s="1"/>
        <i x="472" s="1"/>
        <i x="430" s="1"/>
        <i x="415" s="1"/>
        <i x="249" s="1"/>
        <i x="195" s="1"/>
        <i x="402" s="1"/>
        <i x="209" s="1"/>
        <i x="557" s="1"/>
        <i x="207" s="1"/>
        <i x="583" s="1"/>
        <i x="373" s="1"/>
        <i x="36" s="1"/>
        <i x="359" s="1"/>
        <i x="527" s="1"/>
        <i x="320" s="1"/>
        <i x="217" s="1"/>
        <i x="496" s="1"/>
        <i x="506" s="1"/>
        <i x="611" s="1"/>
        <i x="442" s="1"/>
        <i x="271" s="1"/>
        <i x="418" s="1"/>
        <i x="618" s="1"/>
        <i x="189" s="1"/>
        <i x="156" s="1"/>
        <i x="567" s="1"/>
        <i x="104" s="1"/>
        <i x="508" s="1"/>
        <i x="218" s="1"/>
        <i x="138" s="1"/>
        <i x="465" s="1"/>
        <i x="26" s="1"/>
        <i x="295" s="1"/>
        <i x="490" s="1"/>
        <i x="108" s="1"/>
        <i x="20" s="1"/>
        <i x="73" s="1"/>
        <i x="235" s="1"/>
        <i x="427" s="1"/>
        <i x="621" s="1"/>
        <i x="365" s="1"/>
        <i x="319" s="1"/>
        <i x="522" s="1"/>
        <i x="273" s="1"/>
        <i x="136" s="1"/>
        <i x="432" s="1"/>
        <i x="608" s="1"/>
        <i x="101" s="1"/>
        <i x="451" s="1"/>
        <i x="244" s="1"/>
        <i x="27" s="1"/>
        <i x="254" s="1"/>
        <i x="286" s="1"/>
        <i x="242" s="1"/>
        <i x="374" s="1"/>
        <i x="559" s="1"/>
        <i x="303" s="1"/>
        <i x="268" s="1"/>
        <i x="447" s="1"/>
        <i x="13" s="1"/>
        <i x="358" s="1"/>
        <i x="519" s="1"/>
        <i x="343" s="1"/>
        <i x="238" s="1"/>
        <i x="345" s="1"/>
        <i x="141" s="1"/>
        <i x="60" s="1"/>
        <i x="599" s="1"/>
        <i x="110" s="1"/>
        <i x="352" s="1"/>
        <i x="112" s="1"/>
        <i x="354" s="1"/>
        <i x="312" s="1"/>
        <i x="616" s="1"/>
        <i x="72" s="1"/>
        <i x="169" s="1"/>
        <i x="592" s="1"/>
        <i x="275" s="1"/>
        <i x="177" s="1"/>
        <i x="510" s="1"/>
        <i x="357" s="1"/>
        <i x="511" s="1"/>
        <i x="48" s="1"/>
        <i x="196" s="1"/>
        <i x="174" s="1"/>
        <i x="435" s="1"/>
        <i x="398" s="1"/>
        <i x="487" s="1"/>
        <i x="565" s="1"/>
        <i x="211" s="1"/>
        <i x="426" s="1"/>
        <i x="93" s="1"/>
        <i x="42" s="1"/>
        <i x="200" s="1"/>
        <i x="82" s="1"/>
        <i x="364" s="1"/>
        <i x="236" s="1"/>
        <i x="513" s="1"/>
        <i x="304" s="1"/>
        <i x="206" s="1"/>
        <i x="534" s="1"/>
        <i x="617" s="1"/>
        <i x="579" s="1"/>
        <i x="3" s="1"/>
        <i x="569" s="1"/>
        <i x="571" s="1"/>
        <i x="120" s="1"/>
        <i x="257" s="1"/>
        <i x="375" s="1"/>
        <i x="601" s="1"/>
        <i x="299" s="1"/>
        <i x="379" s="1"/>
        <i x="417" s="1"/>
        <i x="314" s="1"/>
        <i x="17" s="1"/>
        <i x="146" s="1"/>
        <i x="150" s="1"/>
        <i x="584" s="1"/>
        <i x="248" s="1"/>
        <i x="482" s="1"/>
        <i x="488" s="1"/>
        <i x="606" s="1"/>
        <i x="96" s="1"/>
        <i x="372" s="1"/>
        <i x="420" s="1"/>
        <i x="302" s="1"/>
        <i x="588" s="1"/>
        <i x="575" s="1"/>
        <i x="227" s="1"/>
        <i x="462" s="1"/>
        <i x="368" s="1"/>
        <i x="533" s="1"/>
        <i x="333" s="1"/>
        <i x="100" s="1"/>
        <i x="84" s="1"/>
        <i x="502" s="1"/>
        <i x="553" s="1"/>
        <i x="552" s="1"/>
        <i x="133" s="1"/>
        <i x="306" s="1"/>
        <i x="294" s="1"/>
        <i x="416" s="1"/>
        <i x="307" s="1"/>
        <i x="481" s="1"/>
        <i x="452" s="1"/>
        <i x="159" s="1"/>
        <i x="550" s="1"/>
        <i x="263" s="1"/>
        <i x="525" s="1"/>
        <i x="446" s="1"/>
        <i x="505" s="1"/>
        <i x="32" s="1"/>
        <i x="348" s="1"/>
        <i x="270" s="1"/>
        <i x="389" s="1"/>
        <i x="394" s="1"/>
        <i x="293" s="1"/>
        <i x="12" s="1"/>
        <i x="83" s="1"/>
        <i x="463" s="1"/>
        <i x="131" s="1"/>
        <i x="240" s="1"/>
        <i x="407" s="1"/>
        <i x="11" s="1"/>
        <i x="62" s="1"/>
        <i x="91" s="1"/>
        <i x="614" s="1"/>
        <i x="127" s="1"/>
        <i x="285" s="1"/>
        <i x="98" s="1"/>
        <i x="186" s="1"/>
        <i x="29" s="1"/>
        <i x="212" s="1"/>
        <i x="53" s="1"/>
        <i x="22" s="1"/>
        <i x="210" s="1"/>
        <i x="397" s="1"/>
        <i x="360" s="1"/>
        <i x="399" s="1"/>
        <i x="366" s="1"/>
        <i x="90" s="1"/>
        <i x="208" s="1"/>
        <i x="514" s="1"/>
        <i x="377" s="1"/>
        <i x="58" s="1"/>
        <i x="71" s="1"/>
        <i x="241" s="1"/>
        <i x="113" s="1"/>
        <i x="622" s="1"/>
        <i x="130" s="1"/>
        <i x="421" s="1"/>
        <i x="179" s="1"/>
        <i x="329" s="1"/>
        <i x="563" s="1"/>
        <i x="102" s="1"/>
        <i x="180" s="1"/>
        <i x="428" s="1"/>
        <i x="395" s="1"/>
        <i x="276" s="1"/>
        <i x="222" s="1"/>
        <i x="503" s="1"/>
        <i x="473" s="1"/>
        <i x="597" s="1"/>
        <i x="280" s="1"/>
        <i x="116" s="1"/>
        <i x="173" s="1"/>
        <i x="491" s="1"/>
        <i x="595" s="1"/>
        <i x="37" s="1"/>
        <i x="94" s="1"/>
        <i x="630" s="1"/>
        <i x="330" s="1"/>
        <i x="19" s="1"/>
        <i x="602" s="1"/>
        <i x="290" s="1"/>
        <i x="230" s="1"/>
        <i x="219" s="1"/>
        <i x="59" s="1"/>
        <i x="55" s="1"/>
        <i x="158" s="1"/>
        <i x="531" s="1"/>
        <i x="327" s="1"/>
        <i x="61" s="1"/>
        <i x="471" s="1"/>
        <i x="381" s="1"/>
        <i x="467" s="1"/>
        <i x="425" s="1"/>
        <i x="43" s="1"/>
        <i x="380" s="1"/>
        <i x="498" s="1"/>
        <i x="516" s="1"/>
        <i x="422" s="1"/>
        <i x="14" s="1"/>
        <i x="18" s="1"/>
        <i x="175" s="1"/>
        <i x="593" s="1"/>
        <i x="317" s="1"/>
        <i x="87" s="1"/>
        <i x="385" s="1"/>
        <i x="556" s="1"/>
        <i x="406" s="1"/>
        <i x="264" s="1"/>
        <i x="182" s="1"/>
        <i x="620" s="1"/>
        <i x="262" s="1"/>
        <i x="403" s="1"/>
        <i x="378" s="1"/>
        <i x="289" s="1"/>
        <i x="530" s="1"/>
        <i x="566" s="1"/>
        <i x="56" s="1"/>
        <i x="298" s="1"/>
        <i x="305" s="1"/>
        <i x="246" s="1"/>
        <i x="468" s="1"/>
        <i x="355" s="1"/>
        <i x="119" s="1"/>
        <i x="544" s="1"/>
        <i x="203" s="1"/>
        <i x="282" s="1"/>
        <i x="590"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BFEB596-3E89-483B-8BB1-4BA0A6A39D38}" sourceName="Salesperson">
  <pivotTables>
    <pivotTable tabId="15" name="PivotTable6"/>
  </pivotTables>
  <data>
    <tabular pivotCacheId="1345100488">
      <items count="16">
        <i x="8" s="1"/>
        <i x="5" s="1"/>
        <i x="0" s="1"/>
        <i x="14" s="1"/>
        <i x="6" s="1"/>
        <i x="9" s="1"/>
        <i x="3" s="1"/>
        <i x="10" s="1"/>
        <i x="2" s="1"/>
        <i x="1" s="1"/>
        <i x="11" s="1"/>
        <i x="4" s="1"/>
        <i x="12" s="1"/>
        <i x="13" s="1"/>
        <i x="15"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Profit" xr10:uid="{32FB17C8-C80F-4260-8B1F-BB4738F6AFCE}" sourceName="Gross Profit">
  <pivotTables>
    <pivotTable tabId="15" name="PivotTable6"/>
  </pivotTables>
  <data>
    <tabular pivotCacheId="1345100488">
      <items count="632">
        <i x="237" s="1"/>
        <i x="63" s="1"/>
        <i x="140" s="1"/>
        <i x="80" s="1"/>
        <i x="392" s="1"/>
        <i x="175" s="1"/>
        <i x="9" s="1"/>
        <i x="619" s="1"/>
        <i x="613" s="1"/>
        <i x="465" s="1"/>
        <i x="622" s="1"/>
        <i x="272" s="1"/>
        <i x="47" s="1"/>
        <i x="624" s="1"/>
        <i x="583" s="1"/>
        <i x="506" s="1"/>
        <i x="556" s="1"/>
        <i x="618" s="1"/>
        <i x="626" s="1"/>
        <i x="195" s="1"/>
        <i x="435" s="1"/>
        <i x="617" s="1"/>
        <i x="629" s="1"/>
        <i x="265" s="1"/>
        <i x="625" s="1"/>
        <i x="628" s="1"/>
        <i x="382" s="1"/>
        <i x="72" s="1"/>
        <i x="242" s="1"/>
        <i x="151" s="1"/>
        <i x="560" s="1"/>
        <i x="196" s="1"/>
        <i x="1" s="1"/>
        <i x="406" s="1"/>
        <i x="385" s="1"/>
        <i x="77" s="1"/>
        <i x="423" s="1"/>
        <i x="192" s="1"/>
        <i x="165" s="1"/>
        <i x="534" s="1"/>
        <i x="42" s="1"/>
        <i x="482" s="1"/>
        <i x="86" s="1"/>
        <i x="111" s="1"/>
        <i x="292" s="1"/>
        <i x="260" s="1"/>
        <i x="606" s="1"/>
        <i x="607" s="1"/>
        <i x="2" s="1"/>
        <i x="99" s="1"/>
        <i x="459" s="1"/>
        <i x="256" s="1"/>
        <i x="273" s="1"/>
        <i x="427" s="1"/>
        <i x="278" s="1"/>
        <i x="244" s="1"/>
        <i x="514" s="1"/>
        <i x="204" s="1"/>
        <i x="614" s="1"/>
        <i x="219" s="1"/>
        <i x="213" s="1"/>
        <i x="402" s="1"/>
        <i x="126" s="1"/>
        <i x="407" s="1"/>
        <i x="61" s="1"/>
        <i x="591" s="1"/>
        <i x="505" s="1"/>
        <i x="236" s="1"/>
        <i x="360" s="1"/>
        <i x="468" s="1"/>
        <i x="611" s="1"/>
        <i x="105" s="1"/>
        <i x="467" s="1"/>
        <i x="122" s="1"/>
        <i x="302" s="1"/>
        <i x="31" s="1"/>
        <i x="431" s="1"/>
        <i x="153" s="1"/>
        <i x="553" s="1"/>
        <i x="188" s="1"/>
        <i x="363" s="1"/>
        <i x="365" s="1"/>
        <i x="207" s="1"/>
        <i x="610" s="1"/>
        <i x="289" s="1"/>
        <i x="45" s="1"/>
        <i x="623" s="1"/>
        <i x="154" s="1"/>
        <i x="554" s="1"/>
        <i x="438" s="1"/>
        <i x="264" s="1"/>
        <i x="56" s="1"/>
        <i x="455" s="1"/>
        <i x="612" s="1"/>
        <i x="605" s="1"/>
        <i x="226" s="1"/>
        <i x="167" s="1"/>
        <i x="107" s="1"/>
        <i x="500" s="1"/>
        <i x="70" s="1"/>
        <i x="615" s="1"/>
        <i x="203" s="1"/>
        <i x="93" s="1"/>
        <i x="484" s="1"/>
        <i x="49" s="1"/>
        <i x="549" s="1"/>
        <i x="185" s="1"/>
        <i x="65" s="1"/>
        <i x="573" s="1"/>
        <i x="134" s="1"/>
        <i x="159" s="1"/>
        <i x="20" s="1"/>
        <i x="295" s="1"/>
        <i x="335" s="1"/>
        <i x="84" s="1"/>
        <i x="390" s="1"/>
        <i x="630" s="1"/>
        <i x="267" s="1"/>
        <i x="321" s="1"/>
        <i x="324" s="1"/>
        <i x="374" s="1"/>
        <i x="601" s="1"/>
        <i x="409" s="1"/>
        <i x="101" s="1"/>
        <i x="343" s="1"/>
        <i x="32" s="1"/>
        <i x="512" s="1"/>
        <i x="25" s="1"/>
        <i x="547" s="1"/>
        <i x="496" s="1"/>
        <i x="421" s="1"/>
        <i x="451" s="1"/>
        <i x="450" s="1"/>
        <i x="189" s="1"/>
        <i x="146" s="1"/>
        <i x="300" s="1"/>
        <i x="440" s="1"/>
        <i x="413" s="1"/>
        <i x="115" s="1"/>
        <i x="415" s="1"/>
        <i x="281" s="1"/>
        <i x="417" s="1"/>
        <i x="17" s="1"/>
        <i x="393" s="1"/>
        <i x="550" s="1"/>
        <i x="616" s="1"/>
        <i x="90" s="1"/>
        <i x="117" s="1"/>
        <i x="148" s="1"/>
        <i x="545" s="1"/>
        <i x="152" s="1"/>
        <i x="315" s="1"/>
        <i x="98" s="1"/>
        <i x="27" s="1"/>
        <i x="279" s="1"/>
        <i x="120" s="1"/>
        <i x="75" s="1"/>
        <i x="121" s="1"/>
        <i x="143" s="1"/>
        <i x="168" s="1"/>
        <i x="535" s="1"/>
        <i x="285" s="1"/>
        <i x="408" s="1"/>
        <i x="376" s="1"/>
        <i x="102" s="1"/>
        <i x="228" s="1"/>
        <i x="457" s="1"/>
        <i x="329" s="1"/>
        <i x="310" s="1"/>
        <i x="595" s="1"/>
        <i x="437" s="1"/>
        <i x="18" s="1"/>
        <i x="38" s="1"/>
        <i x="357" s="1"/>
        <i x="88" s="1"/>
        <i x="525" s="1"/>
        <i x="568" s="1"/>
        <i x="225" s="1"/>
        <i x="205" s="1"/>
        <i x="328" s="1"/>
        <i x="462" s="1"/>
        <i x="544" s="1"/>
        <i x="13" s="1"/>
        <i x="104" s="1"/>
        <i x="548" s="1"/>
        <i x="552" s="1"/>
        <i x="576" s="1"/>
        <i x="627" s="1"/>
        <i x="57" s="1"/>
        <i x="489" s="1"/>
        <i x="546" s="1"/>
        <i x="212" s="1"/>
        <i x="592" s="1"/>
        <i x="593" s="1"/>
        <i x="609" s="1"/>
        <i x="384" s="1"/>
        <i x="290" s="1"/>
        <i x="608" s="1"/>
        <i x="410" s="1"/>
        <i x="332" s="1"/>
        <i x="297" s="1"/>
        <i x="92" s="1"/>
        <i x="288" s="1"/>
        <i x="224" s="1"/>
        <i x="419" s="1"/>
        <i x="198" s="1"/>
        <i x="430" s="1"/>
        <i x="478" s="1"/>
        <i x="142" s="1"/>
        <i x="246" s="1"/>
        <i x="491" s="1"/>
        <i x="28" s="1"/>
        <i x="510" s="1"/>
        <i x="4" s="1"/>
        <i x="259" s="1"/>
        <i x="275" s="1"/>
        <i x="191" s="1"/>
        <i x="397" s="1"/>
        <i x="539" s="1"/>
        <i x="87" s="1"/>
        <i x="137" s="1"/>
        <i x="520" s="1"/>
        <i x="621" s="1"/>
        <i x="0" s="1"/>
        <i x="312" s="1"/>
        <i x="527" s="1"/>
        <i x="248" s="1"/>
        <i x="377" s="1"/>
        <i x="620" s="1"/>
        <i x="113" s="1"/>
        <i x="193" s="1"/>
        <i x="221" s="1"/>
        <i x="171" s="1"/>
        <i x="176" s="1"/>
        <i x="507" s="1"/>
        <i x="136" s="1"/>
        <i x="501" s="1"/>
        <i x="217" s="1"/>
        <i x="564" s="1"/>
        <i x="631" s="1"/>
        <i x="600" s="1"/>
        <i x="190" s="1"/>
        <i x="304" s="1"/>
        <i x="82" s="1"/>
        <i x="434" s="1"/>
        <i x="487" s="1"/>
        <i x="499" s="1"/>
        <i x="464" s="1"/>
        <i x="59" s="1"/>
        <i x="448" s="1"/>
        <i x="571" s="1"/>
        <i x="504" s="1"/>
        <i x="79" s="1"/>
        <i x="345" s="1"/>
        <i x="432" s="1"/>
        <i x="497" s="1"/>
        <i x="41" s="1"/>
        <i x="420" s="1"/>
        <i x="208" s="1"/>
        <i x="135" s="1"/>
        <i x="209" s="1"/>
        <i x="518" s="1"/>
        <i x="349" s="1"/>
        <i x="578" s="1"/>
        <i x="180" s="1"/>
        <i x="358" s="1"/>
        <i x="338" s="1"/>
        <i x="352" s="1"/>
        <i x="283" s="1"/>
        <i x="359" s="1"/>
        <i x="594" s="1"/>
        <i x="412" s="1"/>
        <i x="333" s="1"/>
        <i x="282" s="1"/>
        <i x="66" s="1"/>
        <i x="469" s="1"/>
        <i x="129" s="1"/>
        <i x="485" s="1"/>
        <i x="318" s="1"/>
        <i x="565" s="1"/>
        <i x="559" s="1"/>
        <i x="29" s="1"/>
        <i x="538" s="1"/>
        <i x="394" s="1"/>
        <i x="471" s="1"/>
        <i x="257" s="1"/>
        <i x="214" s="1"/>
        <i x="558" s="1"/>
        <i x="271" s="1"/>
        <i x="590" s="1"/>
        <i x="449" s="1"/>
        <i x="596" s="1"/>
        <i x="227" s="1"/>
        <i x="602" s="1"/>
        <i x="231" s="1"/>
        <i x="466" s="1"/>
        <i x="375" s="1"/>
        <i x="287" s="1"/>
        <i x="551" s="1"/>
        <i x="249" s="1"/>
        <i x="404" s="1"/>
        <i x="158" s="1"/>
        <i x="597" s="1"/>
        <i x="584" s="1"/>
        <i x="391" s="1"/>
        <i x="161" s="1"/>
        <i x="509" s="1"/>
        <i x="138" s="1"/>
        <i x="67" s="1"/>
        <i x="371" s="1"/>
        <i x="493" s="1"/>
        <i x="52" s="1"/>
        <i x="378" s="1"/>
        <i x="347" s="1"/>
        <i x="26" s="1"/>
        <i x="567" s="1"/>
        <i x="124" s="1"/>
        <i x="186" s="1"/>
        <i x="125" s="1"/>
        <i x="586" s="1"/>
        <i x="164" s="1"/>
        <i x="474" s="1"/>
        <i x="327" s="1"/>
        <i x="411" s="1"/>
        <i x="109" s="1"/>
        <i x="62" s="1"/>
        <i x="424" s="1"/>
        <i x="229" s="1"/>
        <i x="182" s="1"/>
        <i x="366" s="1"/>
        <i x="216" s="1"/>
        <i x="473" s="1"/>
        <i x="542" s="1"/>
        <i x="460" s="1"/>
        <i x="277" s="1"/>
        <i x="475" s="1"/>
        <i x="210" s="1"/>
        <i x="524" s="1"/>
        <i x="325" s="1"/>
        <i x="97" s="1"/>
        <i x="582" s="1"/>
        <i x="94" s="1"/>
        <i x="119" s="1"/>
        <i x="83" s="1"/>
        <i x="76" s="1"/>
        <i x="519" s="1"/>
        <i x="490" s="1"/>
        <i x="23" s="1"/>
        <i x="233" s="1"/>
        <i x="232" s="1"/>
        <i x="453" s="1"/>
        <i x="354" s="1"/>
        <i x="589" s="1"/>
        <i x="270" s="1"/>
        <i x="34" s="1"/>
        <i x="326" s="1"/>
        <i x="598" s="1"/>
        <i x="381" s="1"/>
        <i x="418" s="1"/>
        <i x="537" s="1"/>
        <i x="40" s="1"/>
        <i x="301" s="1"/>
        <i x="480" s="1"/>
        <i x="356" s="1"/>
        <i x="307" s="1"/>
        <i x="569" s="1"/>
        <i x="334" s="1"/>
        <i x="108" s="1"/>
        <i x="243" s="1"/>
        <i x="472" s="1"/>
        <i x="502" s="1"/>
        <i x="263" s="1"/>
        <i x="367" s="1"/>
        <i x="575" s="1"/>
        <i x="446" s="1"/>
        <i x="442" s="1"/>
        <i x="85" s="1"/>
        <i x="174" s="1"/>
        <i x="517" s="1"/>
        <i x="234" s="1"/>
        <i x="251" s="1"/>
        <i x="74" s="1"/>
        <i x="425" s="1"/>
        <i x="48" s="1"/>
        <i x="355" s="1"/>
        <i x="170" s="1"/>
        <i x="362" s="1"/>
        <i x="118" s="1"/>
        <i x="528" s="1"/>
        <i x="541" s="1"/>
        <i x="60" s="1"/>
        <i x="201" s="1"/>
        <i x="280" s="1"/>
        <i x="156" s="1"/>
        <i x="305" s="1"/>
        <i x="39" s="1"/>
        <i x="50" s="1"/>
        <i x="445" s="1"/>
        <i x="36" s="1"/>
        <i x="19" s="1"/>
        <i x="339" s="1"/>
        <i x="10" s="1"/>
        <i x="579" s="1"/>
        <i x="206" s="1"/>
        <i x="492" s="1"/>
        <i x="476" s="1"/>
        <i x="403" s="1"/>
        <i x="368" s="1"/>
        <i x="353" s="1"/>
        <i x="162" s="1"/>
        <i x="6" s="1"/>
        <i x="262" s="1"/>
        <i x="169" s="1"/>
        <i x="68" s="1"/>
        <i x="322" s="1"/>
        <i x="222" s="1"/>
        <i x="157" s="1"/>
        <i x="426" s="1"/>
        <i x="314" s="1"/>
        <i x="218" s="1"/>
        <i x="37" s="1"/>
        <i x="513" s="1"/>
        <i x="258" s="1"/>
        <i x="123" s="1"/>
        <i x="523" s="1"/>
        <i x="563" s="1"/>
        <i x="69" s="1"/>
        <i x="183" s="1"/>
        <i x="444" s="1"/>
        <i x="299" s="1"/>
        <i x="261" s="1"/>
        <i x="604" s="1"/>
        <i x="130" s="1"/>
        <i x="268" s="1"/>
        <i x="399" s="1"/>
        <i x="369" s="1"/>
        <i x="15" s="1"/>
        <i x="11" s="1"/>
        <i x="33" s="1"/>
        <i x="44" s="1"/>
        <i x="344" s="1"/>
        <i x="555" s="1"/>
        <i x="581" s="1"/>
        <i x="531" s="1"/>
        <i x="398" s="1"/>
        <i x="238" s="1"/>
        <i x="81" s="1"/>
        <i x="128" s="1"/>
        <i x="96" s="1"/>
        <i x="401" s="1"/>
        <i x="533" s="1"/>
        <i x="22" s="1"/>
        <i x="414" s="1"/>
        <i x="245" s="1"/>
        <i x="223" s="1"/>
        <i x="320" s="1"/>
        <i x="540" s="1"/>
        <i x="12" s="1"/>
        <i x="503" s="1"/>
        <i x="131" s="1"/>
        <i x="351" s="1"/>
        <i x="337" s="1"/>
        <i x="14" s="1"/>
        <i x="132" s="1"/>
        <i x="8" s="1"/>
        <i x="286" s="1"/>
        <i x="100" s="1"/>
        <i x="291" s="1"/>
        <i x="405" s="1"/>
        <i x="5" s="1"/>
        <i x="566" s="1"/>
        <i x="543" s="1"/>
        <i x="241" s="1"/>
        <i x="498" s="1"/>
        <i x="400" s="1"/>
        <i x="239" s="1"/>
        <i x="194" s="1"/>
        <i x="51" s="1"/>
        <i x="532" s="1"/>
        <i x="114" s="1"/>
        <i x="522" s="1"/>
        <i x="266" s="1"/>
        <i x="141" s="1"/>
        <i x="486" s="1"/>
        <i x="361" s="1"/>
        <i x="43" s="1"/>
        <i x="317" s="1"/>
        <i x="364" s="1"/>
        <i x="386" s="1"/>
        <i x="294" s="1"/>
        <i x="479" s="1"/>
        <i x="313" s="1"/>
        <i x="439" s="1"/>
        <i x="293" s="1"/>
        <i x="21" s="1"/>
        <i x="172" s="1"/>
        <i x="530" s="1"/>
        <i x="54" s="1"/>
        <i x="580" s="1"/>
        <i x="133" s="1"/>
        <i x="574" s="1"/>
        <i x="150" s="1"/>
        <i x="387" s="1"/>
        <i x="46" s="1"/>
        <i x="112" s="1"/>
        <i x="370" s="1"/>
        <i x="144" s="1"/>
        <i x="235" s="1"/>
        <i x="603" s="1"/>
        <i x="240" s="1"/>
        <i x="536" s="1"/>
        <i x="529" s="1"/>
        <i x="561" s="1"/>
        <i x="483" s="1"/>
        <i x="340" s="1"/>
        <i x="254" s="1"/>
        <i x="477" s="1"/>
        <i x="436" s="1"/>
        <i x="177" s="1"/>
        <i x="55" s="1"/>
        <i x="350" s="1"/>
        <i x="253" s="1"/>
        <i x="331" s="1"/>
        <i x="71" s="1"/>
        <i x="220" s="1"/>
        <i x="395" s="1"/>
        <i x="495" s="1"/>
        <i x="585" s="1"/>
        <i x="303" s="1"/>
        <i x="452" s="1"/>
        <i x="166" s="1"/>
        <i x="173" s="1"/>
        <i x="306" s="1"/>
        <i x="433" s="1"/>
        <i x="570" s="1"/>
        <i x="346" s="1"/>
        <i x="494" s="1"/>
        <i x="53" s="1"/>
        <i x="429" s="1"/>
        <i x="7" s="1"/>
        <i x="311" s="1"/>
        <i x="284" s="1"/>
        <i x="276" s="1"/>
        <i x="274" s="1"/>
        <i x="24" s="1"/>
        <i x="187" s="1"/>
        <i x="199" s="1"/>
        <i x="250" s="1"/>
        <i x="379" s="1"/>
        <i x="269" s="1"/>
        <i x="521" s="1"/>
        <i x="73" s="1"/>
        <i x="103" s="1"/>
        <i x="179" s="1"/>
        <i x="106" s="1"/>
        <i x="373" s="1"/>
        <i x="116" s="1"/>
        <i x="336" s="1"/>
        <i x="147" s="1"/>
        <i x="202" s="1"/>
        <i x="184" s="1"/>
        <i x="422" s="1"/>
        <i x="508" s="1"/>
        <i x="447" s="1"/>
        <i x="308" s="1"/>
        <i x="323" s="1"/>
        <i x="572" s="1"/>
        <i x="515" s="1"/>
        <i x="396" s="1"/>
        <i x="64" s="1"/>
        <i x="58" s="1"/>
        <i x="342" s="1"/>
        <i x="89" s="1"/>
        <i x="181" s="1"/>
        <i x="511" s="1"/>
        <i x="296" s="1"/>
        <i x="330" s="1"/>
        <i x="383" s="1"/>
        <i x="247" s="1"/>
        <i x="380" s="1"/>
        <i x="587" s="1"/>
        <i x="416" s="1"/>
        <i x="388" s="1"/>
        <i x="389" s="1"/>
        <i x="443" s="1"/>
        <i x="160" s="1"/>
        <i x="316" s="1"/>
        <i x="95" s="1"/>
        <i x="454" s="1"/>
        <i x="3" s="1"/>
        <i x="588" s="1"/>
        <i x="178" s="1"/>
        <i x="470" s="1"/>
        <i x="155" s="1"/>
        <i x="110" s="1"/>
        <i x="309" s="1"/>
        <i x="255" s="1"/>
        <i x="461" s="1"/>
        <i x="463" s="1"/>
        <i x="200" s="1"/>
        <i x="458" s="1"/>
        <i x="197" s="1"/>
        <i x="562" s="1"/>
        <i x="252" s="1"/>
        <i x="348" s="1"/>
        <i x="516" s="1"/>
        <i x="139" s="1"/>
        <i x="230" s="1"/>
        <i x="149" s="1"/>
        <i x="30" s="1"/>
        <i x="526" s="1"/>
        <i x="557" s="1"/>
        <i x="341" s="1"/>
        <i x="211" s="1"/>
        <i x="145" s="1"/>
        <i x="78" s="1"/>
        <i x="441" s="1"/>
        <i x="298" s="1"/>
        <i x="127" s="1"/>
        <i x="428" s="1"/>
        <i x="372" s="1"/>
        <i x="163" s="1"/>
        <i x="215" s="1"/>
        <i x="599" s="1"/>
        <i x="16" s="1"/>
        <i x="91" s="1"/>
        <i x="488" s="1"/>
        <i x="319" s="1"/>
        <i x="35" s="1"/>
        <i x="577" s="1"/>
        <i x="456" s="1"/>
        <i x="48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0655D9-D061-4BA3-A5C7-C702D2C01501}" sourceName="Region">
  <pivotTables>
    <pivotTable tabId="19" name="PivotTable1"/>
    <pivotTable tabId="20" name="PivotTable2"/>
  </pivotTables>
  <data>
    <tabular pivotCacheId="278489429">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time_days" xr10:uid="{EF2D6222-BC16-4E1A-AEF3-2C693540DD2B}" sourceName="Leadtime days">
  <pivotTables>
    <pivotTable tabId="22" name="PivotTable3"/>
  </pivotTables>
  <data>
    <tabular pivotCacheId="1248026111">
      <items count="32">
        <i x="18" s="1"/>
        <i x="1" s="1"/>
        <i x="6" s="1"/>
        <i x="4" s="1"/>
        <i x="3" s="1"/>
        <i x="16" s="1"/>
        <i x="30" s="1"/>
        <i x="20" s="1"/>
        <i x="12" s="1"/>
        <i x="25" s="1"/>
        <i x="24" s="1"/>
        <i x="23" s="1"/>
        <i x="8" s="1"/>
        <i x="19" s="1"/>
        <i x="17" s="1"/>
        <i x="15" s="1"/>
        <i x="13" s="1"/>
        <i x="14" s="1"/>
        <i x="5" s="1"/>
        <i x="7" s="1"/>
        <i x="9" s="1"/>
        <i x="28" s="1"/>
        <i x="22" s="1"/>
        <i x="21" s="1"/>
        <i x="10" s="1"/>
        <i x="2" s="1"/>
        <i x="0" s="1"/>
        <i x="29" s="1"/>
        <i x="27" s="1"/>
        <i x="11" s="1"/>
        <i x="26" s="1"/>
        <i x="3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9A370B0-B157-4099-8F8B-ACD3C6F8F3D7}" sourceName="Country">
  <pivotTables>
    <pivotTable tabId="22" name="PivotTable3"/>
  </pivotTables>
  <data>
    <tabular pivotCacheId="1248026111">
      <items count="13">
        <i x="5" s="1"/>
        <i x="3" s="1"/>
        <i x="9" s="1"/>
        <i x="7"/>
        <i x="6"/>
        <i x="4"/>
        <i x="2"/>
        <i x="0"/>
        <i x="1"/>
        <i x="11"/>
        <i x="8"/>
        <i x="10"/>
        <i x="12"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Pct" xr10:uid="{7BB2E6A8-805A-4408-B146-AEF97AF9BC32}" sourceName="DiscountPct">
  <pivotTables>
    <pivotTable tabId="25" name="PivotTable1"/>
  </pivotTables>
  <data>
    <tabular pivotCacheId="1858317149">
      <items count="229">
        <i x="5" s="1"/>
        <i x="140" s="1"/>
        <i x="20" s="1"/>
        <i x="99" s="1"/>
        <i x="19" s="1"/>
        <i x="84" s="1"/>
        <i x="170" s="1"/>
        <i x="212" s="1"/>
        <i x="205" s="1"/>
        <i x="113" s="1"/>
        <i x="106" s="1"/>
        <i x="118" s="1"/>
        <i x="109" s="1"/>
        <i x="179" s="1"/>
        <i x="134" s="1"/>
        <i x="71" s="1"/>
        <i x="8" s="1"/>
        <i x="195" s="1"/>
        <i x="42" s="1"/>
        <i x="16" s="1"/>
        <i x="188" s="1"/>
        <i x="208" s="1"/>
        <i x="174" s="1"/>
        <i x="89" s="1"/>
        <i x="221" s="1"/>
        <i x="107" s="1"/>
        <i x="58" s="1"/>
        <i x="216" s="1"/>
        <i x="54" s="1"/>
        <i x="130" s="1"/>
        <i x="114" s="1"/>
        <i x="223" s="1"/>
        <i x="133" s="1"/>
        <i x="121" s="1"/>
        <i x="92" s="1"/>
        <i x="163" s="1"/>
        <i x="96" s="1"/>
        <i x="201" s="1"/>
        <i x="176" s="1"/>
        <i x="72" s="1"/>
        <i x="143" s="1"/>
        <i x="55" s="1"/>
        <i x="90" s="1"/>
        <i x="68" s="1"/>
        <i x="88" s="1"/>
        <i x="3" s="1"/>
        <i x="93" s="1"/>
        <i x="13" s="1"/>
        <i x="43" s="1"/>
        <i x="171" s="1"/>
        <i x="202" s="1"/>
        <i x="117" s="1"/>
        <i x="164" s="1"/>
        <i x="226" s="1"/>
        <i x="104" s="1"/>
        <i x="200" s="1"/>
        <i x="26" s="1"/>
        <i x="147" s="1"/>
        <i x="24" s="1"/>
        <i x="167" s="1"/>
        <i x="25" s="1"/>
        <i x="168" s="1"/>
        <i x="119" s="1"/>
        <i x="77" s="1"/>
        <i x="142" s="1"/>
        <i x="12" s="1"/>
        <i x="148" s="1"/>
        <i x="73" s="1"/>
        <i x="224" s="1"/>
        <i x="199" s="1"/>
        <i x="74" s="1"/>
        <i x="165" s="1"/>
        <i x="27" s="1"/>
        <i x="4" s="1"/>
        <i x="172" s="1"/>
        <i x="67" s="1"/>
        <i x="52" s="1"/>
        <i x="192" s="1"/>
        <i x="105" s="1"/>
        <i x="86" s="1"/>
        <i x="14" s="1"/>
        <i x="46" s="1"/>
        <i x="95" s="1"/>
        <i x="0" s="1"/>
        <i x="139" s="1"/>
        <i x="60" s="1"/>
        <i x="158" s="1"/>
        <i x="144" s="1"/>
        <i x="85" s="1"/>
        <i x="45" s="1"/>
        <i x="18" s="1"/>
        <i x="173" s="1"/>
        <i x="153" s="1"/>
        <i x="82" s="1"/>
        <i x="213" s="1"/>
        <i x="22" s="1"/>
        <i x="38" s="1"/>
        <i x="110" s="1"/>
        <i x="137" s="1"/>
        <i x="31" s="1"/>
        <i x="49" s="1"/>
        <i x="2" s="1"/>
        <i x="191" s="1"/>
        <i x="112" s="1"/>
        <i x="61" s="1"/>
        <i x="157" s="1"/>
        <i x="29" s="1"/>
        <i x="81" s="1"/>
        <i x="159" s="1"/>
        <i x="23" s="1"/>
        <i x="78" s="1"/>
        <i x="169" s="1"/>
        <i x="56" s="1"/>
        <i x="17" s="1"/>
        <i x="41" s="1"/>
        <i x="180" s="1"/>
        <i x="34" s="1"/>
        <i x="6" s="1"/>
        <i x="135" s="1"/>
        <i x="9" s="1"/>
        <i x="209" s="1"/>
        <i x="102" s="1"/>
        <i x="136" s="1"/>
        <i x="125" s="1"/>
        <i x="69" s="1"/>
        <i x="161" s="1"/>
        <i x="87" s="1"/>
        <i x="129" s="1"/>
        <i x="75" s="1"/>
        <i x="64" s="1"/>
        <i x="196" s="1"/>
        <i x="156" s="1"/>
        <i x="211" s="1"/>
        <i x="150" s="1"/>
        <i x="21" s="1"/>
        <i x="36" s="1"/>
        <i x="189" s="1"/>
        <i x="145" s="1"/>
        <i x="122" s="1"/>
        <i x="155" s="1"/>
        <i x="30" s="1"/>
        <i x="166" s="1"/>
        <i x="94" s="1"/>
        <i x="79" s="1"/>
        <i x="111" s="1"/>
        <i x="35" s="1"/>
        <i x="15" s="1"/>
        <i x="50" s="1"/>
        <i x="57" s="1"/>
        <i x="63" s="1"/>
        <i x="37" s="1"/>
        <i x="70" s="1"/>
        <i x="51" s="1"/>
        <i x="197" s="1"/>
        <i x="98" s="1"/>
        <i x="7" s="1"/>
        <i x="124" s="1"/>
        <i x="115" s="1"/>
        <i x="47" s="1"/>
        <i x="138" s="1"/>
        <i x="91" s="1"/>
        <i x="53" s="1"/>
        <i x="44" s="1"/>
        <i x="162" s="1"/>
        <i x="222" s="1"/>
        <i x="219" s="1"/>
        <i x="182" s="1"/>
        <i x="126" s="1"/>
        <i x="123" s="1"/>
        <i x="207" s="1"/>
        <i x="66" s="1"/>
        <i x="154" s="1"/>
        <i x="203" s="1"/>
        <i x="218" s="1"/>
        <i x="97" s="1"/>
        <i x="152" s="1"/>
        <i x="204" s="1"/>
        <i x="83" s="1"/>
        <i x="127" s="1"/>
        <i x="146" s="1"/>
        <i x="128" s="1"/>
        <i x="1" s="1"/>
        <i x="183" s="1"/>
        <i x="65" s="1"/>
        <i x="28" s="1"/>
        <i x="103" s="1"/>
        <i x="220" s="1"/>
        <i x="11" s="1"/>
        <i x="116" s="1"/>
        <i x="48" s="1"/>
        <i x="194" s="1"/>
        <i x="62" s="1"/>
        <i x="132" s="1"/>
        <i x="101" s="1"/>
        <i x="187" s="1"/>
        <i x="151" s="1"/>
        <i x="100" s="1"/>
        <i x="141" s="1"/>
        <i x="178" s="1"/>
        <i x="190" s="1"/>
        <i x="80" s="1"/>
        <i x="186" s="1"/>
        <i x="39" s="1"/>
        <i x="210" s="1"/>
        <i x="40" s="1"/>
        <i x="184" s="1"/>
        <i x="206" s="1"/>
        <i x="160" s="1"/>
        <i x="33" s="1"/>
        <i x="59" s="1"/>
        <i x="175" s="1"/>
        <i x="198" s="1"/>
        <i x="185" s="1"/>
        <i x="10" s="1" nd="1"/>
        <i x="108" s="1" nd="1"/>
        <i x="76" s="1" nd="1"/>
        <i x="32" s="1" nd="1"/>
        <i x="215" s="1" nd="1"/>
        <i x="193" s="1" nd="1"/>
        <i x="227" s="1" nd="1"/>
        <i x="131" s="1" nd="1"/>
        <i x="181" s="1" nd="1"/>
        <i x="225" s="1" nd="1"/>
        <i x="120" s="1" nd="1"/>
        <i x="217" s="1" nd="1"/>
        <i x="214" s="1" nd="1"/>
        <i x="149" s="1" nd="1"/>
        <i x="177" s="1" nd="1"/>
        <i x="228"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9E3B02C-D86B-434F-B3C8-FA46BEA454F8}" sourceName="Channel">
  <pivotTables>
    <pivotTable tabId="19" name="PivotTable1"/>
  </pivotTables>
  <data>
    <tabular pivotCacheId="278489429">
      <items count="7">
        <i x="4" s="1"/>
        <i x="3" s="1"/>
        <i x="2" s="1"/>
        <i x="5" s="1"/>
        <i x="1" s="1"/>
        <i x="0" s="1"/>
        <i x="6"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F80622-6D32-47D9-82F3-3776E2300F07}" sourceName="Month">
  <pivotTables>
    <pivotTable tabId="15" name="PivotTable6"/>
  </pivotTables>
  <data>
    <tabular pivotCacheId="1345100488">
      <items count="33">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019E7688-9353-40AE-A415-B814CE3EDC9A}" cache="Slicer_ProductCategory" caption="ProductCategory" rowHeight="234950"/>
  <slicer name="SKU" xr10:uid="{CDCEBF66-0876-4ED5-B39E-744E5909E258}" cache="Slicer_SKU" caption="SKU" rowHeight="234950"/>
  <slicer name="Gross Revenue" xr10:uid="{521A5FB7-834D-48E4-9CF4-797A47F4AE20}" cache="Slicer_Gross_Revenue" caption="Gross Revenu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353D3D71-E3B4-4ADE-B85D-354E86C2A1DC}" cache="Slicer_OrderID" caption="OrderID" rowHeight="234950"/>
  <slicer name="Salesperson" xr10:uid="{A106C4C1-4165-4C29-8E54-3611863C5C77}" cache="Slicer_Salesperson" caption="Salesperson" rowHeight="234950"/>
  <slicer name="Gross Profit" xr10:uid="{57C963B4-E565-4F22-A55C-43D413B9B095}" cache="Slicer_Gross_Profit" caption="Gross Profit" rowHeight="234950"/>
  <slicer name="Month" xr10:uid="{5D7291CD-7E9F-4988-B125-EB06B722D0CD}"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565579-3778-4D8F-9213-87832D632519}" cache="Slicer_Region" caption="Region" rowHeight="234950"/>
  <slicer name="Channel" xr10:uid="{166E4C3D-C813-4E85-9E53-C7CA2EDDFAB0}" cache="Slicer_Channel" caption="Channe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time days" xr10:uid="{07E230BD-71C8-4CEB-8428-E7A768239004}" cache="Slicer_Leadtime_days" caption="Leadtime days" rowHeight="234950"/>
  <slicer name="Country" xr10:uid="{95F9AC03-EC07-4AA4-9929-A337F0152A60}" cache="Slicer_Country" caption="Count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Pct" xr10:uid="{8D4BB5A3-8070-43F7-9ED9-16D9FEC0AAB3}" cache="Slicer_DiscountPct" caption="DiscountPc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894F9460-4840-4427-A04D-A7A61817014D}" cache="Slicer_ProductCategory" caption="ProductCategory" rowHeight="234950"/>
  <slicer name="SKU 1" xr10:uid="{F40596B7-3472-4749-B41F-BF1EC72A4931}" cache="Slicer_SKU" caption="SKU" rowHeight="234950"/>
  <slicer name="Gross Revenue 1" xr10:uid="{D5E929FF-F324-4123-AD56-6E49E9C4D156}" cache="Slicer_Gross_Revenue" caption="Gross Revenue" rowHeight="234950"/>
  <slicer name="OrderID 1" xr10:uid="{357CD88E-9A65-4631-BD2D-613A55BAEDDB}" cache="Slicer_OrderID" caption="OrderID" rowHeight="234950"/>
  <slicer name="Salesperson 1" xr10:uid="{611F4B3B-A84A-4E06-94EE-2C100129E97D}" cache="Slicer_Salesperson" caption="Salesperson" rowHeight="234950"/>
  <slicer name="Gross Profit 1" xr10:uid="{518FB1D0-3723-4D41-93D9-F9CF2C8BB92A}" cache="Slicer_Gross_Profit" caption="Gross Profit" rowHeight="234950"/>
  <slicer name="Region 1" xr10:uid="{360EE5F1-AEDC-482F-8B91-9B8F986F8E13}" cache="Slicer_Region" caption="Region" rowHeight="234950"/>
  <slicer name="Leadtime days 1" xr10:uid="{6F5362F7-68FA-4D14-B307-83A809BC55F0}" cache="Slicer_Leadtime_days" caption="Leadtime days" rowHeight="234950"/>
  <slicer name="Country 1" xr10:uid="{801C16A6-4507-4B8B-BE13-9902EB20CA02}" cache="Slicer_Country" caption="Country" rowHeight="234950"/>
  <slicer name="DiscountPct 1" xr10:uid="{E0B56D63-0F90-4B7A-B806-3712459475C6}" cache="Slicer_DiscountPct" caption="DiscountPct" rowHeight="234950"/>
  <slicer name="Channel 1" xr10:uid="{CF05C39E-7036-4DF3-8D19-7F0AD9363BAD}" cache="Slicer_Channel" caption="Channel" rowHeight="234950"/>
  <slicer name="Month 1" xr10:uid="{CB6B4840-1342-423E-9052-5A63AC9AE43B}" cache="Slicer_Month" caption="Month"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2" xr10:uid="{A4734932-73AA-4586-9B98-E5C5E1224D3E}" cache="Slicer_ProductCategory" caption="ProductCategory" rowHeight="234950"/>
  <slicer name="Salesperson 2" xr10:uid="{436922B2-FFE4-459E-AECE-316DAA27BF0A}" cache="Slicer_Salesperson" caption="Salesperson" rowHeight="234950"/>
  <slicer name="Region 2" xr10:uid="{7A093C8B-9437-4CED-8F42-DE3B8B7BC02E}" cache="Slicer_Region" caption="Region" rowHeight="234950"/>
  <slicer name="Country 2" xr10:uid="{F90E3AC7-75FA-43AA-870E-533F78AF8536}" cache="Slicer_Country" caption="Country" rowHeight="234950"/>
  <slicer name="Channel 2" xr10:uid="{0E3DCC8B-4DE9-41D7-8E03-CA1A98CF488E}" cache="Slicer_Channel" caption="Channel" rowHeight="234950"/>
  <slicer name="Month 2" xr10:uid="{6E442EAF-4BCF-4D95-88AF-F4302F586195}"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A8F3F-529E-44FA-9989-147C082B7B49}" name="Table1" displayName="Table1" ref="A1:W633" totalsRowShown="0" headerRowDxfId="18" headerRowBorderDxfId="17" tableBorderDxfId="16">
  <autoFilter ref="A1:W633" xr:uid="{AF1A8F3F-529E-44FA-9989-147C082B7B49}"/>
  <tableColumns count="23">
    <tableColumn id="1" xr3:uid="{94077901-EF2C-469A-831B-1E266AF93E41}" name="OrderID"/>
    <tableColumn id="2" xr3:uid="{E924CB2F-404D-4D12-AF08-CCD65D1FDA4B}" name="OrderDate" dataDxfId="15"/>
    <tableColumn id="3" xr3:uid="{BB3B819E-3ABC-4252-B7EF-FF34F9C2F4A1}" name="RequiredDate" dataDxfId="14"/>
    <tableColumn id="4" xr3:uid="{CBB37EB6-DF5C-4D9E-8143-4836397CDE39}" name="Leadtime days" dataDxfId="13">
      <calculatedColumnFormula>DATEDIF(B2,C2, "MD")</calculatedColumnFormula>
    </tableColumn>
    <tableColumn id="5" xr3:uid="{FE2B682C-0FD0-4FB8-9AE7-24C683218411}" name="Month" dataDxfId="12">
      <calculatedColumnFormula>TEXT(Data!B2,"MMM-YYYY")</calculatedColumnFormula>
    </tableColumn>
    <tableColumn id="6" xr3:uid="{FA1C0526-88F0-4B7E-8627-8E9B3EA3860C}" name="Quarter" dataDxfId="11">
      <calculatedColumnFormula>"Q"&amp;ROUNDUP(MONTH(B2)/3,0)&amp;"-"&amp;YEAR(B2)</calculatedColumnFormula>
    </tableColumn>
    <tableColumn id="7" xr3:uid="{C4635A40-3D0E-46DA-846F-A424D66F9557}" name="Region"/>
    <tableColumn id="8" xr3:uid="{7D7D4D24-3736-415A-8C33-156AF0F8F21E}" name="Country"/>
    <tableColumn id="9" xr3:uid="{A13AA7B9-9D90-4AB1-8464-18935F590913}" name="City"/>
    <tableColumn id="10" xr3:uid="{D2343D6D-145C-438A-8CD1-92CA111F7D5F}" name="CustomerSegment"/>
    <tableColumn id="11" xr3:uid="{E986B810-A956-4451-B49E-192304BABB46}" name="Channel"/>
    <tableColumn id="12" xr3:uid="{4552B0C1-18E1-4B8F-9F0E-A5283DF2CBFA}" name="Salesperson"/>
    <tableColumn id="13" xr3:uid="{E5841025-4A73-4D2D-9E76-0C8DDCBCC2FD}" name="ProductCategory"/>
    <tableColumn id="14" xr3:uid="{D20AF0B6-B467-4152-8E0F-8AE95627A473}" name="SKU"/>
    <tableColumn id="15" xr3:uid="{DA25F920-E4F7-4170-A5FA-592EDBF5D84C}" name="UnitCost" dataDxfId="10"/>
    <tableColumn id="16" xr3:uid="{1A6522E9-635F-471A-9EE3-58D106FBF762}" name="Price Band" dataDxfId="9">
      <calculatedColumnFormula>IF(Q2&lt;50, "Low", IF(Q2&lt;200, "Medium", "High"))</calculatedColumnFormula>
    </tableColumn>
    <tableColumn id="17" xr3:uid="{41A33A48-A737-4D57-9DFD-D0F222220AC5}" name="UnitPrice" dataDxfId="8"/>
    <tableColumn id="18" xr3:uid="{A7F41E6B-71D4-467F-AFA0-2E850DEDCF3E}" name="DiscountPct" dataDxfId="7"/>
    <tableColumn id="19" xr3:uid="{BE52D0F1-361A-438F-819C-0B95DB2BFD2A}" name="Quantity" dataDxfId="6"/>
    <tableColumn id="20" xr3:uid="{5215AD5E-5CEC-414B-A66C-ACD1C28AD14E}" name="Gross Revenue" dataDxfId="5">
      <calculatedColumnFormula>(Q28*S2)*(1-R2)</calculatedColumnFormula>
    </tableColumn>
    <tableColumn id="21" xr3:uid="{EA5ECB4E-76DB-4508-A885-29D84CC5276E}" name="Cost of Goods">
      <calculatedColumnFormula>(O2*S2)</calculatedColumnFormula>
    </tableColumn>
    <tableColumn id="22" xr3:uid="{F6E1BC0A-3A79-4FEE-A38F-AE13BAD8A586}" name="Gross Profit" dataDxfId="4">
      <calculatedColumnFormula>(T2-U2)</calculatedColumnFormula>
    </tableColumn>
    <tableColumn id="23" xr3:uid="{F1FFEB72-A006-48E6-BD27-88AE98BEF094}" name="Margin Percentage" dataDxfId="3">
      <calculatedColumnFormula>IF(T2=0, 0, V2/T2)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microsoft.com/office/2007/relationships/slicer" Target="../slicers/slicer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ivotTable" Target="../pivotTables/pivotTable7.xml"/><Relationship Id="rId4" Type="http://schemas.microsoft.com/office/2007/relationships/slicer" Target="../slicers/slicer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4" Type="http://schemas.microsoft.com/office/2007/relationships/slicer" Target="../slicers/slicer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trlProp" Target="../ctrlProps/ctrlProp1.xml"/></Relationships>
</file>

<file path=xl/worksheets/_rels/sheet1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DE45-7564-421B-A698-DA6B4528B876}">
  <dimension ref="A1:W633"/>
  <sheetViews>
    <sheetView topLeftCell="A606" zoomScaleNormal="100" workbookViewId="0">
      <selection activeCell="J1" sqref="A1:W633"/>
    </sheetView>
  </sheetViews>
  <sheetFormatPr defaultRowHeight="14.4" x14ac:dyDescent="0.3"/>
  <cols>
    <col min="1" max="1" width="16.21875" bestFit="1" customWidth="1"/>
    <col min="2" max="2" width="10.21875" style="6" bestFit="1" customWidth="1"/>
    <col min="3" max="3" width="12.44140625" bestFit="1" customWidth="1"/>
    <col min="4" max="6" width="14.44140625" style="4" customWidth="1"/>
    <col min="7" max="7" width="8.44140625" bestFit="1" customWidth="1"/>
    <col min="8" max="8" width="14" bestFit="1" customWidth="1"/>
    <col min="9" max="9" width="12.44140625" bestFit="1" customWidth="1"/>
    <col min="10" max="10" width="16.77734375" bestFit="1" customWidth="1"/>
    <col min="11" max="11" width="11.21875" bestFit="1" customWidth="1"/>
    <col min="12" max="12" width="11" bestFit="1" customWidth="1"/>
    <col min="13" max="13" width="15.21875" bestFit="1" customWidth="1"/>
    <col min="14" max="14" width="10" bestFit="1" customWidth="1"/>
    <col min="15" max="15" width="8.21875" style="4" bestFit="1" customWidth="1"/>
    <col min="16" max="16" width="11.21875" style="4" customWidth="1"/>
    <col min="17" max="17" width="8.77734375" style="4" bestFit="1" customWidth="1"/>
    <col min="18" max="18" width="11" style="4" bestFit="1" customWidth="1"/>
    <col min="19" max="19" width="8.21875" style="4" bestFit="1" customWidth="1"/>
    <col min="20" max="20" width="14.5546875" customWidth="1"/>
    <col min="21" max="21" width="13.77734375" customWidth="1"/>
    <col min="22" max="22" width="11.77734375" customWidth="1"/>
    <col min="23" max="23" width="16.21875" customWidth="1"/>
  </cols>
  <sheetData>
    <row r="1" spans="1:23" x14ac:dyDescent="0.3">
      <c r="A1" s="34" t="s">
        <v>15</v>
      </c>
      <c r="B1" s="35">
        <v>45362</v>
      </c>
      <c r="C1" s="36">
        <v>45388</v>
      </c>
      <c r="D1" s="37">
        <f>DATEDIF(B1,C1, "MD")</f>
        <v>26</v>
      </c>
      <c r="E1" s="37" t="str">
        <f>TEXT(Data!B1,"MMM-YYYY")</f>
        <v>Mar-2024</v>
      </c>
      <c r="F1" s="37" t="str">
        <f>"Q"&amp;ROUNDUP(MONTH(B1)/3,0)&amp;"-"&amp;YEAR(B1)</f>
        <v>Q1-2024</v>
      </c>
      <c r="G1" s="32" t="s">
        <v>16</v>
      </c>
      <c r="H1" s="32" t="s">
        <v>17</v>
      </c>
      <c r="I1" s="32" t="s">
        <v>18</v>
      </c>
      <c r="J1" s="32" t="s">
        <v>19</v>
      </c>
      <c r="K1" s="32" t="s">
        <v>20</v>
      </c>
      <c r="L1" s="32" t="s">
        <v>21</v>
      </c>
      <c r="M1" s="32" t="s">
        <v>22</v>
      </c>
      <c r="N1" s="32" t="s">
        <v>23</v>
      </c>
      <c r="O1" s="37">
        <v>279.24</v>
      </c>
      <c r="P1" s="38" t="str">
        <f>IF(Q1&lt;50, "Low", IF(Q1&lt;200, "Medium", "High"))</f>
        <v>High</v>
      </c>
      <c r="Q1" s="37">
        <v>608.9</v>
      </c>
      <c r="R1" s="37">
        <v>0.112</v>
      </c>
      <c r="S1" s="37">
        <v>9</v>
      </c>
      <c r="T1" s="37">
        <f t="shared" ref="T1:T64" si="0">(Q27*S1)*(1-R1)</f>
        <v>1403.9546399999999</v>
      </c>
      <c r="U1" s="32">
        <f t="shared" ref="U1:U64" si="1">(O1*S1)</f>
        <v>2513.16</v>
      </c>
      <c r="V1" s="37">
        <f>(T1-U1)</f>
        <v>-1109.2053599999999</v>
      </c>
      <c r="W1" s="39">
        <f>IF(T1=0, 0, V1/T1)</f>
        <v>-0.79005783263766982</v>
      </c>
    </row>
    <row r="2" spans="1:23" x14ac:dyDescent="0.3">
      <c r="A2" s="40" t="s">
        <v>24</v>
      </c>
      <c r="B2" s="41">
        <v>45588</v>
      </c>
      <c r="C2" s="42">
        <v>45587</v>
      </c>
      <c r="D2" s="43">
        <f>DATEDIF(C2, B2, "MD")</f>
        <v>1</v>
      </c>
      <c r="E2" s="43" t="str">
        <f>TEXT(Data!B2,"MMM-YYYY")</f>
        <v>Oct-2024</v>
      </c>
      <c r="F2" s="43" t="str">
        <f t="shared" ref="F2:F65" si="2">"Q"&amp;ROUNDUP(MONTH(B2)/3,0)&amp;"-"&amp;YEAR(B2)</f>
        <v>Q4-2024</v>
      </c>
      <c r="G2" s="33" t="s">
        <v>16</v>
      </c>
      <c r="H2" s="33" t="s">
        <v>25</v>
      </c>
      <c r="I2" s="33" t="s">
        <v>26</v>
      </c>
      <c r="J2" s="33" t="s">
        <v>27</v>
      </c>
      <c r="K2" s="33" t="s">
        <v>28</v>
      </c>
      <c r="L2" s="33" t="s">
        <v>29</v>
      </c>
      <c r="M2" s="33" t="s">
        <v>30</v>
      </c>
      <c r="N2" s="33" t="s">
        <v>31</v>
      </c>
      <c r="O2" s="43">
        <v>1084.3900000000001</v>
      </c>
      <c r="P2" s="44" t="str">
        <f t="shared" ref="P2:P65" si="3">IF(Q2&lt;50, "Low", IF(Q2&lt;200, "Medium", "High"))</f>
        <v>High</v>
      </c>
      <c r="Q2" s="43">
        <v>759.33</v>
      </c>
      <c r="R2" s="43">
        <v>0.23699999999999999</v>
      </c>
      <c r="S2" s="43">
        <v>31</v>
      </c>
      <c r="T2" s="43">
        <f t="shared" si="0"/>
        <v>17934.41419</v>
      </c>
      <c r="U2" s="33">
        <f t="shared" si="1"/>
        <v>33616.090000000004</v>
      </c>
      <c r="V2" s="43">
        <f t="shared" ref="V2:V65" si="4">(T2-U2)</f>
        <v>-15681.675810000004</v>
      </c>
      <c r="W2" s="45">
        <f t="shared" ref="W2:W65" si="5">IF(T2=0, 0, V2/T2)</f>
        <v>-0.87439018882166253</v>
      </c>
    </row>
    <row r="3" spans="1:23" x14ac:dyDescent="0.3">
      <c r="A3" s="34" t="s">
        <v>32</v>
      </c>
      <c r="B3" s="35">
        <v>44985</v>
      </c>
      <c r="C3" s="36">
        <v>45010</v>
      </c>
      <c r="D3" s="37">
        <f t="shared" ref="D3:D66" si="6">DATEDIF(B3,C3, "MD")</f>
        <v>25</v>
      </c>
      <c r="E3" s="37" t="str">
        <f>TEXT(Data!B3,"MMM-YYYY")</f>
        <v>Feb-2023</v>
      </c>
      <c r="F3" s="37" t="str">
        <f t="shared" si="2"/>
        <v>Q1-2023</v>
      </c>
      <c r="G3" s="32" t="s">
        <v>16</v>
      </c>
      <c r="H3" s="32" t="s">
        <v>17</v>
      </c>
      <c r="I3" s="32" t="s">
        <v>33</v>
      </c>
      <c r="J3" s="32" t="s">
        <v>19</v>
      </c>
      <c r="K3" s="32" t="s">
        <v>20</v>
      </c>
      <c r="L3" s="32" t="s">
        <v>34</v>
      </c>
      <c r="M3" s="32" t="s">
        <v>35</v>
      </c>
      <c r="N3" s="32" t="s">
        <v>36</v>
      </c>
      <c r="O3" s="37">
        <v>1460.76</v>
      </c>
      <c r="P3" s="38" t="str">
        <f t="shared" si="3"/>
        <v>Low</v>
      </c>
      <c r="Q3" s="37">
        <v>-30.66</v>
      </c>
      <c r="R3" s="37">
        <v>0.13100000000000001</v>
      </c>
      <c r="S3" s="37">
        <v>12</v>
      </c>
      <c r="T3" s="37">
        <f t="shared" si="0"/>
        <v>4534.0944</v>
      </c>
      <c r="U3" s="32">
        <f t="shared" si="1"/>
        <v>17529.12</v>
      </c>
      <c r="V3" s="37">
        <f t="shared" si="4"/>
        <v>-12995.025599999999</v>
      </c>
      <c r="W3" s="39">
        <f t="shared" si="5"/>
        <v>-2.8660686023652264</v>
      </c>
    </row>
    <row r="4" spans="1:23" x14ac:dyDescent="0.3">
      <c r="A4" s="40" t="s">
        <v>37</v>
      </c>
      <c r="B4" s="41">
        <v>45745</v>
      </c>
      <c r="C4" s="42">
        <v>45749</v>
      </c>
      <c r="D4" s="43">
        <f t="shared" si="6"/>
        <v>4</v>
      </c>
      <c r="E4" s="43" t="str">
        <f>TEXT(Data!B4,"MMM-YYYY")</f>
        <v>Mar-2025</v>
      </c>
      <c r="F4" s="43" t="str">
        <f t="shared" si="2"/>
        <v>Q1-2025</v>
      </c>
      <c r="G4" s="33" t="s">
        <v>16</v>
      </c>
      <c r="H4" s="33" t="s">
        <v>25</v>
      </c>
      <c r="I4" s="33" t="s">
        <v>38</v>
      </c>
      <c r="J4" s="33" t="s">
        <v>39</v>
      </c>
      <c r="K4" s="33" t="s">
        <v>40</v>
      </c>
      <c r="L4" s="33" t="s">
        <v>41</v>
      </c>
      <c r="M4" s="33" t="s">
        <v>42</v>
      </c>
      <c r="N4" s="33" t="s">
        <v>43</v>
      </c>
      <c r="O4" s="43">
        <v>259.93</v>
      </c>
      <c r="P4" s="44" t="str">
        <f t="shared" si="3"/>
        <v>High</v>
      </c>
      <c r="Q4" s="43">
        <v>255.94</v>
      </c>
      <c r="R4" s="43">
        <v>7.1999999999999995E-2</v>
      </c>
      <c r="S4" s="43">
        <v>22</v>
      </c>
      <c r="T4" s="43">
        <f t="shared" si="0"/>
        <v>34016.730880000003</v>
      </c>
      <c r="U4" s="33">
        <f t="shared" si="1"/>
        <v>5718.46</v>
      </c>
      <c r="V4" s="43">
        <f t="shared" si="4"/>
        <v>28298.270880000004</v>
      </c>
      <c r="W4" s="45">
        <f t="shared" si="5"/>
        <v>0.83189272301994943</v>
      </c>
    </row>
    <row r="5" spans="1:23" x14ac:dyDescent="0.3">
      <c r="A5" s="34" t="s">
        <v>44</v>
      </c>
      <c r="B5" s="35">
        <v>45266</v>
      </c>
      <c r="C5" s="36">
        <v>45291</v>
      </c>
      <c r="D5" s="37">
        <f t="shared" si="6"/>
        <v>25</v>
      </c>
      <c r="E5" s="37" t="str">
        <f>TEXT(Data!B5,"MMM-YYYY")</f>
        <v>Dec-2023</v>
      </c>
      <c r="F5" s="37" t="str">
        <f t="shared" si="2"/>
        <v>Q4-2023</v>
      </c>
      <c r="G5" s="32" t="s">
        <v>45</v>
      </c>
      <c r="H5" s="32" t="s">
        <v>46</v>
      </c>
      <c r="I5" s="32" t="s">
        <v>47</v>
      </c>
      <c r="J5" s="32" t="s">
        <v>48</v>
      </c>
      <c r="K5" s="32" t="s">
        <v>20</v>
      </c>
      <c r="L5" s="32" t="s">
        <v>49</v>
      </c>
      <c r="M5" s="32" t="s">
        <v>30</v>
      </c>
      <c r="N5" s="32" t="s">
        <v>50</v>
      </c>
      <c r="O5" s="37">
        <v>663.03</v>
      </c>
      <c r="P5" s="38" t="str">
        <f t="shared" si="3"/>
        <v>High</v>
      </c>
      <c r="Q5" s="37">
        <v>813.51</v>
      </c>
      <c r="R5" s="37">
        <v>0.10199999999999999</v>
      </c>
      <c r="S5" s="37">
        <v>15</v>
      </c>
      <c r="T5" s="37">
        <f t="shared" si="0"/>
        <v>8510.0765999999985</v>
      </c>
      <c r="U5" s="32">
        <f t="shared" si="1"/>
        <v>9945.4499999999989</v>
      </c>
      <c r="V5" s="37">
        <f t="shared" si="4"/>
        <v>-1435.3734000000004</v>
      </c>
      <c r="W5" s="39">
        <f t="shared" si="5"/>
        <v>-0.16866750647109341</v>
      </c>
    </row>
    <row r="6" spans="1:23" x14ac:dyDescent="0.3">
      <c r="A6" s="40" t="s">
        <v>51</v>
      </c>
      <c r="B6" s="41">
        <v>44928</v>
      </c>
      <c r="C6" s="42">
        <v>44931</v>
      </c>
      <c r="D6" s="43">
        <f t="shared" si="6"/>
        <v>3</v>
      </c>
      <c r="E6" s="43" t="str">
        <f>TEXT(Data!B6,"MMM-YYYY")</f>
        <v>Jan-2023</v>
      </c>
      <c r="F6" s="43" t="str">
        <f t="shared" si="2"/>
        <v>Q1-2023</v>
      </c>
      <c r="G6" s="33" t="s">
        <v>52</v>
      </c>
      <c r="H6" s="33" t="s">
        <v>53</v>
      </c>
      <c r="I6" s="33" t="s">
        <v>54</v>
      </c>
      <c r="J6" s="33" t="s">
        <v>19</v>
      </c>
      <c r="K6" s="33" t="s">
        <v>55</v>
      </c>
      <c r="L6" s="33" t="s">
        <v>56</v>
      </c>
      <c r="M6" s="33" t="s">
        <v>57</v>
      </c>
      <c r="N6" s="33" t="s">
        <v>58</v>
      </c>
      <c r="O6" s="43">
        <v>315.87</v>
      </c>
      <c r="P6" s="44" t="str">
        <f t="shared" si="3"/>
        <v>High</v>
      </c>
      <c r="Q6" s="43">
        <v>591.67999999999995</v>
      </c>
      <c r="R6" s="43">
        <v>0</v>
      </c>
      <c r="S6" s="43">
        <v>7</v>
      </c>
      <c r="T6" s="43">
        <f t="shared" si="0"/>
        <v>12558.49</v>
      </c>
      <c r="U6" s="33">
        <f t="shared" si="1"/>
        <v>2211.09</v>
      </c>
      <c r="V6" s="43">
        <f t="shared" si="4"/>
        <v>10347.4</v>
      </c>
      <c r="W6" s="45">
        <f t="shared" si="5"/>
        <v>0.82393663569425946</v>
      </c>
    </row>
    <row r="7" spans="1:23" x14ac:dyDescent="0.3">
      <c r="A7" s="34" t="s">
        <v>59</v>
      </c>
      <c r="B7" s="35">
        <v>45653</v>
      </c>
      <c r="C7" s="36">
        <v>45671</v>
      </c>
      <c r="D7" s="37">
        <f t="shared" si="6"/>
        <v>18</v>
      </c>
      <c r="E7" s="37" t="str">
        <f>TEXT(Data!B7,"MMM-YYYY")</f>
        <v>Dec-2024</v>
      </c>
      <c r="F7" s="37" t="str">
        <f t="shared" si="2"/>
        <v>Q4-2024</v>
      </c>
      <c r="G7" s="32" t="s">
        <v>45</v>
      </c>
      <c r="H7" s="32" t="s">
        <v>60</v>
      </c>
      <c r="I7" s="32" t="s">
        <v>61</v>
      </c>
      <c r="J7" s="32" t="s">
        <v>62</v>
      </c>
      <c r="K7" s="32" t="s">
        <v>40</v>
      </c>
      <c r="L7" s="32" t="s">
        <v>63</v>
      </c>
      <c r="M7" s="32" t="s">
        <v>64</v>
      </c>
      <c r="N7" s="32" t="s">
        <v>65</v>
      </c>
      <c r="O7" s="37">
        <v>586.07000000000005</v>
      </c>
      <c r="P7" s="38" t="str">
        <f t="shared" si="3"/>
        <v>High</v>
      </c>
      <c r="Q7" s="37">
        <v>845.97</v>
      </c>
      <c r="R7" s="37">
        <v>0.14699999999999999</v>
      </c>
      <c r="S7" s="37">
        <v>4</v>
      </c>
      <c r="T7" s="37">
        <f t="shared" si="0"/>
        <v>8983.864239999999</v>
      </c>
      <c r="U7" s="32">
        <f t="shared" si="1"/>
        <v>2344.2800000000002</v>
      </c>
      <c r="V7" s="37">
        <f t="shared" si="4"/>
        <v>6639.5842399999983</v>
      </c>
      <c r="W7" s="39">
        <f t="shared" si="5"/>
        <v>0.73905660889639613</v>
      </c>
    </row>
    <row r="8" spans="1:23" x14ac:dyDescent="0.3">
      <c r="A8" s="40" t="s">
        <v>66</v>
      </c>
      <c r="B8" s="41">
        <v>44941</v>
      </c>
      <c r="C8" s="42">
        <v>44939</v>
      </c>
      <c r="D8" s="43">
        <f>DATEDIF(C8,B8, "MD")</f>
        <v>2</v>
      </c>
      <c r="E8" s="43" t="str">
        <f>TEXT(Data!B8,"MMM-YYYY")</f>
        <v>Jan-2023</v>
      </c>
      <c r="F8" s="43" t="str">
        <f t="shared" si="2"/>
        <v>Q1-2023</v>
      </c>
      <c r="G8" s="33" t="s">
        <v>16</v>
      </c>
      <c r="H8" s="33" t="s">
        <v>25</v>
      </c>
      <c r="I8" s="33" t="s">
        <v>67</v>
      </c>
      <c r="J8" s="33" t="s">
        <v>27</v>
      </c>
      <c r="K8" s="33" t="s">
        <v>28</v>
      </c>
      <c r="L8" s="33" t="s">
        <v>68</v>
      </c>
      <c r="M8" s="33" t="s">
        <v>30</v>
      </c>
      <c r="N8" s="33" t="s">
        <v>69</v>
      </c>
      <c r="O8" s="43">
        <v>28.38</v>
      </c>
      <c r="P8" s="44" t="str">
        <f t="shared" si="3"/>
        <v>Low</v>
      </c>
      <c r="Q8" s="43">
        <v>47.22</v>
      </c>
      <c r="R8" s="43">
        <v>0.19400000000000001</v>
      </c>
      <c r="S8" s="43">
        <v>18</v>
      </c>
      <c r="T8" s="43">
        <f t="shared" si="0"/>
        <v>19177.399799999999</v>
      </c>
      <c r="U8" s="33">
        <f t="shared" si="1"/>
        <v>510.84</v>
      </c>
      <c r="V8" s="43">
        <f t="shared" si="4"/>
        <v>18666.559799999999</v>
      </c>
      <c r="W8" s="45">
        <f t="shared" si="5"/>
        <v>0.97336239504168864</v>
      </c>
    </row>
    <row r="9" spans="1:23" x14ac:dyDescent="0.3">
      <c r="A9" s="34" t="s">
        <v>70</v>
      </c>
      <c r="B9" s="35">
        <v>45416</v>
      </c>
      <c r="C9" s="36">
        <v>45441</v>
      </c>
      <c r="D9" s="37">
        <f t="shared" si="6"/>
        <v>25</v>
      </c>
      <c r="E9" s="37" t="str">
        <f>TEXT(Data!B9,"MMM-YYYY")</f>
        <v>May-2024</v>
      </c>
      <c r="F9" s="37" t="str">
        <f t="shared" si="2"/>
        <v>Q2-2024</v>
      </c>
      <c r="G9" s="32" t="s">
        <v>16</v>
      </c>
      <c r="H9" s="32" t="s">
        <v>25</v>
      </c>
      <c r="I9" s="32" t="s">
        <v>67</v>
      </c>
      <c r="J9" s="32" t="s">
        <v>39</v>
      </c>
      <c r="K9" s="32" t="s">
        <v>40</v>
      </c>
      <c r="L9" s="32" t="s">
        <v>68</v>
      </c>
      <c r="M9" s="32" t="s">
        <v>64</v>
      </c>
      <c r="N9" s="32" t="s">
        <v>71</v>
      </c>
      <c r="O9" s="37">
        <v>1295.3399999999999</v>
      </c>
      <c r="P9" s="38" t="str">
        <f t="shared" si="3"/>
        <v>High</v>
      </c>
      <c r="Q9" s="37">
        <v>2530.81</v>
      </c>
      <c r="R9" s="37">
        <v>3.1E-2</v>
      </c>
      <c r="S9" s="37">
        <v>6</v>
      </c>
      <c r="T9" s="37">
        <f t="shared" si="0"/>
        <v>17656.36218</v>
      </c>
      <c r="U9" s="32">
        <f t="shared" si="1"/>
        <v>7772.0399999999991</v>
      </c>
      <c r="V9" s="37">
        <f t="shared" si="4"/>
        <v>9884.322180000001</v>
      </c>
      <c r="W9" s="39">
        <f t="shared" si="5"/>
        <v>0.55981646044825306</v>
      </c>
    </row>
    <row r="10" spans="1:23" x14ac:dyDescent="0.3">
      <c r="A10" s="40" t="s">
        <v>72</v>
      </c>
      <c r="B10" s="41">
        <v>45798</v>
      </c>
      <c r="C10" s="42">
        <v>45817</v>
      </c>
      <c r="D10" s="43">
        <f t="shared" si="6"/>
        <v>19</v>
      </c>
      <c r="E10" s="43" t="str">
        <f>TEXT(Data!B10,"MMM-YYYY")</f>
        <v>May-2025</v>
      </c>
      <c r="F10" s="43" t="str">
        <f t="shared" si="2"/>
        <v>Q2-2025</v>
      </c>
      <c r="G10" s="33" t="s">
        <v>52</v>
      </c>
      <c r="H10" s="33" t="s">
        <v>73</v>
      </c>
      <c r="I10" s="33" t="s">
        <v>74</v>
      </c>
      <c r="J10" s="33" t="s">
        <v>39</v>
      </c>
      <c r="K10" s="33" t="s">
        <v>28</v>
      </c>
      <c r="L10" s="33" t="s">
        <v>75</v>
      </c>
      <c r="M10" s="33" t="s">
        <v>22</v>
      </c>
      <c r="N10" s="33" t="s">
        <v>76</v>
      </c>
      <c r="O10" s="43">
        <v>1331.38</v>
      </c>
      <c r="P10" s="44" t="str">
        <f t="shared" si="3"/>
        <v>High</v>
      </c>
      <c r="Q10" s="43">
        <v>2309.56</v>
      </c>
      <c r="R10" s="43">
        <v>0.14899999999999999</v>
      </c>
      <c r="S10" s="43">
        <v>31</v>
      </c>
      <c r="T10" s="43">
        <f t="shared" si="0"/>
        <v>5259.5799699999998</v>
      </c>
      <c r="U10" s="33">
        <f t="shared" si="1"/>
        <v>41272.780000000006</v>
      </c>
      <c r="V10" s="43">
        <f t="shared" si="4"/>
        <v>-36013.200030000007</v>
      </c>
      <c r="W10" s="45">
        <f t="shared" si="5"/>
        <v>-6.8471627459635354</v>
      </c>
    </row>
    <row r="11" spans="1:23" x14ac:dyDescent="0.3">
      <c r="A11" s="34" t="s">
        <v>77</v>
      </c>
      <c r="B11" s="35">
        <v>45319</v>
      </c>
      <c r="C11" s="36">
        <v>45331</v>
      </c>
      <c r="D11" s="37">
        <f t="shared" si="6"/>
        <v>12</v>
      </c>
      <c r="E11" s="37" t="str">
        <f>TEXT(Data!B11,"MMM-YYYY")</f>
        <v>Jan-2024</v>
      </c>
      <c r="F11" s="37" t="str">
        <f t="shared" si="2"/>
        <v>Q1-2024</v>
      </c>
      <c r="G11" s="32" t="s">
        <v>78</v>
      </c>
      <c r="H11" s="32" t="s">
        <v>79</v>
      </c>
      <c r="I11" s="32" t="s">
        <v>80</v>
      </c>
      <c r="J11" s="32" t="s">
        <v>19</v>
      </c>
      <c r="K11" s="32" t="s">
        <v>28</v>
      </c>
      <c r="L11" s="32" t="s">
        <v>41</v>
      </c>
      <c r="M11" s="32" t="s">
        <v>81</v>
      </c>
      <c r="N11" s="32" t="s">
        <v>82</v>
      </c>
      <c r="O11" s="37">
        <v>644.16999999999996</v>
      </c>
      <c r="P11" s="38" t="str">
        <f t="shared" si="3"/>
        <v>High</v>
      </c>
      <c r="Q11" s="37">
        <v>700.12</v>
      </c>
      <c r="R11" s="37">
        <v>6.0000000000000001E-3</v>
      </c>
      <c r="S11" s="37">
        <v>23</v>
      </c>
      <c r="T11" s="37">
        <f t="shared" si="0"/>
        <v>21204.733619999999</v>
      </c>
      <c r="U11" s="32">
        <f t="shared" si="1"/>
        <v>14815.91</v>
      </c>
      <c r="V11" s="37">
        <f t="shared" si="4"/>
        <v>6388.8236199999992</v>
      </c>
      <c r="W11" s="39">
        <f t="shared" si="5"/>
        <v>0.30129233097152197</v>
      </c>
    </row>
    <row r="12" spans="1:23" x14ac:dyDescent="0.3">
      <c r="A12" s="40" t="s">
        <v>83</v>
      </c>
      <c r="B12" s="41">
        <v>45660</v>
      </c>
      <c r="C12" s="42">
        <v>45680</v>
      </c>
      <c r="D12" s="43">
        <f t="shared" si="6"/>
        <v>20</v>
      </c>
      <c r="E12" s="43" t="str">
        <f>TEXT(Data!B12,"MMM-YYYY")</f>
        <v>Jan-2025</v>
      </c>
      <c r="F12" s="43" t="str">
        <f t="shared" si="2"/>
        <v>Q1-2025</v>
      </c>
      <c r="G12" s="33" t="s">
        <v>45</v>
      </c>
      <c r="H12" s="33" t="s">
        <v>46</v>
      </c>
      <c r="I12" s="33" t="s">
        <v>47</v>
      </c>
      <c r="J12" s="33" t="s">
        <v>19</v>
      </c>
      <c r="K12" s="33" t="s">
        <v>55</v>
      </c>
      <c r="L12" s="33" t="s">
        <v>84</v>
      </c>
      <c r="M12" s="33" t="s">
        <v>42</v>
      </c>
      <c r="N12" s="33" t="s">
        <v>85</v>
      </c>
      <c r="O12" s="43">
        <v>908.6</v>
      </c>
      <c r="P12" s="44" t="str">
        <f t="shared" si="3"/>
        <v>High</v>
      </c>
      <c r="Q12" s="43">
        <v>691.37</v>
      </c>
      <c r="R12" s="43">
        <v>0.25</v>
      </c>
      <c r="S12" s="43">
        <v>20</v>
      </c>
      <c r="T12" s="43">
        <f t="shared" si="0"/>
        <v>26031.15</v>
      </c>
      <c r="U12" s="33">
        <f t="shared" si="1"/>
        <v>18172</v>
      </c>
      <c r="V12" s="43">
        <f t="shared" si="4"/>
        <v>7859.1500000000015</v>
      </c>
      <c r="W12" s="45">
        <f t="shared" si="5"/>
        <v>0.30191328466087747</v>
      </c>
    </row>
    <row r="13" spans="1:23" x14ac:dyDescent="0.3">
      <c r="A13" s="34" t="s">
        <v>86</v>
      </c>
      <c r="B13" s="35">
        <v>45722</v>
      </c>
      <c r="C13" s="36">
        <v>45747</v>
      </c>
      <c r="D13" s="37">
        <f t="shared" si="6"/>
        <v>25</v>
      </c>
      <c r="E13" s="37" t="str">
        <f>TEXT(Data!B13,"MMM-YYYY")</f>
        <v>Mar-2025</v>
      </c>
      <c r="F13" s="37" t="str">
        <f t="shared" si="2"/>
        <v>Q1-2025</v>
      </c>
      <c r="G13" s="32" t="s">
        <v>52</v>
      </c>
      <c r="H13" s="32" t="s">
        <v>73</v>
      </c>
      <c r="I13" s="32" t="s">
        <v>87</v>
      </c>
      <c r="J13" s="32" t="s">
        <v>39</v>
      </c>
      <c r="K13" s="32" t="s">
        <v>28</v>
      </c>
      <c r="L13" s="32" t="s">
        <v>29</v>
      </c>
      <c r="M13" s="32" t="s">
        <v>22</v>
      </c>
      <c r="N13" s="32" t="s">
        <v>88</v>
      </c>
      <c r="O13" s="37">
        <v>331.57</v>
      </c>
      <c r="P13" s="38" t="str">
        <f t="shared" si="3"/>
        <v>High</v>
      </c>
      <c r="Q13" s="37">
        <v>548.4</v>
      </c>
      <c r="R13" s="37">
        <v>9.4E-2</v>
      </c>
      <c r="S13" s="37">
        <v>10</v>
      </c>
      <c r="T13" s="37">
        <f t="shared" si="0"/>
        <v>12644.498400000002</v>
      </c>
      <c r="U13" s="32">
        <f t="shared" si="1"/>
        <v>3315.7</v>
      </c>
      <c r="V13" s="37">
        <f t="shared" si="4"/>
        <v>9328.7984000000033</v>
      </c>
      <c r="W13" s="39">
        <f t="shared" si="5"/>
        <v>0.73777528415045723</v>
      </c>
    </row>
    <row r="14" spans="1:23" x14ac:dyDescent="0.3">
      <c r="A14" s="40" t="s">
        <v>89</v>
      </c>
      <c r="B14" s="41">
        <v>45311</v>
      </c>
      <c r="C14" s="42">
        <v>45335</v>
      </c>
      <c r="D14" s="43">
        <f t="shared" si="6"/>
        <v>24</v>
      </c>
      <c r="E14" s="43" t="str">
        <f>TEXT(Data!B14,"MMM-YYYY")</f>
        <v>Jan-2024</v>
      </c>
      <c r="F14" s="43" t="str">
        <f t="shared" si="2"/>
        <v>Q1-2024</v>
      </c>
      <c r="G14" s="33" t="s">
        <v>78</v>
      </c>
      <c r="H14" s="33" t="s">
        <v>90</v>
      </c>
      <c r="I14" s="33" t="s">
        <v>91</v>
      </c>
      <c r="J14" s="33" t="s">
        <v>19</v>
      </c>
      <c r="K14" s="33" t="s">
        <v>20</v>
      </c>
      <c r="L14" s="33" t="s">
        <v>92</v>
      </c>
      <c r="M14" s="33" t="s">
        <v>30</v>
      </c>
      <c r="N14" s="33" t="s">
        <v>93</v>
      </c>
      <c r="O14" s="43">
        <v>643.53</v>
      </c>
      <c r="P14" s="44" t="str">
        <f t="shared" si="3"/>
        <v>High</v>
      </c>
      <c r="Q14" s="43">
        <v>1439.01</v>
      </c>
      <c r="R14" s="43">
        <v>0</v>
      </c>
      <c r="S14" s="43">
        <v>15</v>
      </c>
      <c r="T14" s="43">
        <f t="shared" si="0"/>
        <v>6816.3</v>
      </c>
      <c r="U14" s="33">
        <f t="shared" si="1"/>
        <v>9652.9499999999989</v>
      </c>
      <c r="V14" s="43">
        <f t="shared" si="4"/>
        <v>-2836.6499999999987</v>
      </c>
      <c r="W14" s="45">
        <f t="shared" si="5"/>
        <v>-0.4161568592931647</v>
      </c>
    </row>
    <row r="15" spans="1:23" x14ac:dyDescent="0.3">
      <c r="A15" s="34" t="s">
        <v>94</v>
      </c>
      <c r="B15" s="35">
        <v>45901</v>
      </c>
      <c r="C15" s="36">
        <v>45930</v>
      </c>
      <c r="D15" s="37">
        <f t="shared" si="6"/>
        <v>29</v>
      </c>
      <c r="E15" s="37" t="str">
        <f>TEXT(Data!B15,"MMM-YYYY")</f>
        <v>Sep-2025</v>
      </c>
      <c r="F15" s="37" t="str">
        <f t="shared" si="2"/>
        <v>Q3-2025</v>
      </c>
      <c r="G15" s="32" t="s">
        <v>52</v>
      </c>
      <c r="H15" s="32" t="s">
        <v>73</v>
      </c>
      <c r="I15" s="32" t="s">
        <v>87</v>
      </c>
      <c r="J15" s="32" t="s">
        <v>27</v>
      </c>
      <c r="K15" s="32" t="s">
        <v>20</v>
      </c>
      <c r="L15" s="32" t="s">
        <v>95</v>
      </c>
      <c r="M15" s="32" t="s">
        <v>81</v>
      </c>
      <c r="N15" s="32" t="s">
        <v>96</v>
      </c>
      <c r="O15" s="37">
        <v>780.59</v>
      </c>
      <c r="P15" s="38" t="str">
        <f t="shared" si="3"/>
        <v>High</v>
      </c>
      <c r="Q15" s="37">
        <v>631.57000000000005</v>
      </c>
      <c r="R15" s="37">
        <v>0</v>
      </c>
      <c r="S15" s="37">
        <v>12</v>
      </c>
      <c r="T15" s="37">
        <f t="shared" si="0"/>
        <v>18971.64</v>
      </c>
      <c r="U15" s="32">
        <f t="shared" si="1"/>
        <v>9367.08</v>
      </c>
      <c r="V15" s="37">
        <f t="shared" si="4"/>
        <v>9604.56</v>
      </c>
      <c r="W15" s="39">
        <f t="shared" si="5"/>
        <v>0.50625881579030596</v>
      </c>
    </row>
    <row r="16" spans="1:23" x14ac:dyDescent="0.3">
      <c r="A16" s="40" t="s">
        <v>97</v>
      </c>
      <c r="B16" s="41">
        <v>45039</v>
      </c>
      <c r="C16" s="42">
        <v>45038</v>
      </c>
      <c r="D16" s="43">
        <f>DATEDIF(C16, B16, "MD")</f>
        <v>1</v>
      </c>
      <c r="E16" s="43" t="str">
        <f>TEXT(Data!B16,"MMM-YYYY")</f>
        <v>Apr-2023</v>
      </c>
      <c r="F16" s="43" t="str">
        <f t="shared" si="2"/>
        <v>Q2-2023</v>
      </c>
      <c r="G16" s="33" t="s">
        <v>16</v>
      </c>
      <c r="H16" s="33" t="s">
        <v>17</v>
      </c>
      <c r="I16" s="33" t="s">
        <v>33</v>
      </c>
      <c r="J16" s="33" t="s">
        <v>62</v>
      </c>
      <c r="K16" s="33" t="s">
        <v>98</v>
      </c>
      <c r="L16" s="33" t="s">
        <v>63</v>
      </c>
      <c r="M16" s="33" t="s">
        <v>57</v>
      </c>
      <c r="N16" s="33" t="s">
        <v>99</v>
      </c>
      <c r="O16" s="43">
        <v>756.51</v>
      </c>
      <c r="P16" s="44" t="str">
        <f t="shared" si="3"/>
        <v>High</v>
      </c>
      <c r="Q16" s="43">
        <v>850.8</v>
      </c>
      <c r="R16" s="43">
        <v>7.3999999999999996E-2</v>
      </c>
      <c r="S16" s="43">
        <v>9</v>
      </c>
      <c r="T16" s="43">
        <f t="shared" si="0"/>
        <v>14666.089860000002</v>
      </c>
      <c r="U16" s="33">
        <f t="shared" si="1"/>
        <v>6808.59</v>
      </c>
      <c r="V16" s="43">
        <f t="shared" si="4"/>
        <v>7857.4998600000017</v>
      </c>
      <c r="W16" s="45">
        <f t="shared" si="5"/>
        <v>0.53575969702943038</v>
      </c>
    </row>
    <row r="17" spans="1:23" x14ac:dyDescent="0.3">
      <c r="A17" s="34" t="s">
        <v>100</v>
      </c>
      <c r="B17" s="35">
        <v>45636</v>
      </c>
      <c r="C17" s="36">
        <v>45665</v>
      </c>
      <c r="D17" s="37">
        <f t="shared" si="6"/>
        <v>29</v>
      </c>
      <c r="E17" s="37" t="str">
        <f>TEXT(Data!B17,"MMM-YYYY")</f>
        <v>Dec-2024</v>
      </c>
      <c r="F17" s="37" t="str">
        <f t="shared" si="2"/>
        <v>Q4-2024</v>
      </c>
      <c r="G17" s="32" t="s">
        <v>78</v>
      </c>
      <c r="H17" s="32" t="s">
        <v>90</v>
      </c>
      <c r="I17" s="32" t="s">
        <v>91</v>
      </c>
      <c r="J17" s="32" t="s">
        <v>62</v>
      </c>
      <c r="K17" s="32" t="s">
        <v>20</v>
      </c>
      <c r="L17" s="32" t="s">
        <v>95</v>
      </c>
      <c r="M17" s="32" t="s">
        <v>30</v>
      </c>
      <c r="N17" s="32" t="s">
        <v>101</v>
      </c>
      <c r="O17" s="37">
        <v>891.08</v>
      </c>
      <c r="P17" s="38" t="str">
        <f t="shared" si="3"/>
        <v>High</v>
      </c>
      <c r="Q17" s="37">
        <v>1040.0999999999999</v>
      </c>
      <c r="R17" s="37">
        <v>0.109</v>
      </c>
      <c r="S17" s="37">
        <v>28</v>
      </c>
      <c r="T17" s="37">
        <f t="shared" si="0"/>
        <v>79945.865999999995</v>
      </c>
      <c r="U17" s="32">
        <f t="shared" si="1"/>
        <v>24950.240000000002</v>
      </c>
      <c r="V17" s="37">
        <f t="shared" si="4"/>
        <v>54995.625999999989</v>
      </c>
      <c r="W17" s="39">
        <f t="shared" si="5"/>
        <v>0.68791081705212864</v>
      </c>
    </row>
    <row r="18" spans="1:23" x14ac:dyDescent="0.3">
      <c r="A18" s="40" t="s">
        <v>102</v>
      </c>
      <c r="B18" s="41">
        <v>45908</v>
      </c>
      <c r="C18" s="42">
        <v>45916</v>
      </c>
      <c r="D18" s="43">
        <f t="shared" si="6"/>
        <v>8</v>
      </c>
      <c r="E18" s="43" t="str">
        <f>TEXT(Data!B18,"MMM-YYYY")</f>
        <v>Sep-2025</v>
      </c>
      <c r="F18" s="43" t="str">
        <f t="shared" si="2"/>
        <v>Q3-2025</v>
      </c>
      <c r="G18" s="33" t="s">
        <v>45</v>
      </c>
      <c r="H18" s="33" t="s">
        <v>46</v>
      </c>
      <c r="I18" s="33" t="s">
        <v>47</v>
      </c>
      <c r="J18" s="33" t="s">
        <v>19</v>
      </c>
      <c r="K18" s="33" t="s">
        <v>55</v>
      </c>
      <c r="L18" s="33" t="s">
        <v>21</v>
      </c>
      <c r="M18" s="33" t="s">
        <v>42</v>
      </c>
      <c r="N18" s="33" t="s">
        <v>103</v>
      </c>
      <c r="O18" s="43">
        <v>1225.57</v>
      </c>
      <c r="P18" s="44" t="str">
        <f t="shared" si="3"/>
        <v>High</v>
      </c>
      <c r="Q18" s="43">
        <v>2705.57</v>
      </c>
      <c r="R18" s="43">
        <v>0.183</v>
      </c>
      <c r="S18" s="43">
        <v>16</v>
      </c>
      <c r="T18" s="43">
        <f t="shared" si="0"/>
        <v>14842.34096</v>
      </c>
      <c r="U18" s="33">
        <f t="shared" si="1"/>
        <v>19609.12</v>
      </c>
      <c r="V18" s="43">
        <f t="shared" si="4"/>
        <v>-4766.7790399999994</v>
      </c>
      <c r="W18" s="45">
        <f t="shared" si="5"/>
        <v>-0.32116086356232038</v>
      </c>
    </row>
    <row r="19" spans="1:23" x14ac:dyDescent="0.3">
      <c r="A19" s="34" t="s">
        <v>104</v>
      </c>
      <c r="B19" s="35">
        <v>45858</v>
      </c>
      <c r="C19" s="36">
        <v>45874</v>
      </c>
      <c r="D19" s="37">
        <f t="shared" si="6"/>
        <v>16</v>
      </c>
      <c r="E19" s="37" t="str">
        <f>TEXT(Data!B19,"MMM-YYYY")</f>
        <v>Jul-2025</v>
      </c>
      <c r="F19" s="37" t="str">
        <f t="shared" si="2"/>
        <v>Q3-2025</v>
      </c>
      <c r="G19" s="32" t="s">
        <v>52</v>
      </c>
      <c r="H19" s="32" t="s">
        <v>73</v>
      </c>
      <c r="I19" s="32" t="s">
        <v>87</v>
      </c>
      <c r="J19" s="32" t="s">
        <v>105</v>
      </c>
      <c r="K19" s="32" t="s">
        <v>40</v>
      </c>
      <c r="L19" s="32" t="s">
        <v>41</v>
      </c>
      <c r="M19" s="32" t="s">
        <v>81</v>
      </c>
      <c r="N19" s="32" t="s">
        <v>106</v>
      </c>
      <c r="O19" s="37">
        <v>1068.17</v>
      </c>
      <c r="P19" s="38" t="str">
        <f t="shared" si="3"/>
        <v>High</v>
      </c>
      <c r="Q19" s="37">
        <v>2375.37</v>
      </c>
      <c r="R19" s="37">
        <v>0.109</v>
      </c>
      <c r="S19" s="37">
        <v>18</v>
      </c>
      <c r="T19" s="37">
        <f t="shared" si="0"/>
        <v>15979.62168</v>
      </c>
      <c r="U19" s="32">
        <f t="shared" si="1"/>
        <v>19227.060000000001</v>
      </c>
      <c r="V19" s="37">
        <f t="shared" si="4"/>
        <v>-3247.4383200000011</v>
      </c>
      <c r="W19" s="39">
        <f t="shared" si="5"/>
        <v>-0.20322372988745258</v>
      </c>
    </row>
    <row r="20" spans="1:23" x14ac:dyDescent="0.3">
      <c r="A20" s="40" t="s">
        <v>107</v>
      </c>
      <c r="B20" s="41">
        <v>45798</v>
      </c>
      <c r="C20" s="42">
        <v>45796</v>
      </c>
      <c r="D20" s="43">
        <f>DATEDIF(C20,B20, "MD")</f>
        <v>2</v>
      </c>
      <c r="E20" s="43" t="str">
        <f>TEXT(Data!B20,"MMM-YYYY")</f>
        <v>May-2025</v>
      </c>
      <c r="F20" s="43" t="str">
        <f t="shared" si="2"/>
        <v>Q2-2025</v>
      </c>
      <c r="G20" s="33" t="s">
        <v>78</v>
      </c>
      <c r="H20" s="33" t="s">
        <v>108</v>
      </c>
      <c r="I20" s="33" t="s">
        <v>109</v>
      </c>
      <c r="J20" s="33" t="s">
        <v>105</v>
      </c>
      <c r="K20" s="33" t="s">
        <v>28</v>
      </c>
      <c r="L20" s="33" t="s">
        <v>110</v>
      </c>
      <c r="M20" s="33" t="s">
        <v>57</v>
      </c>
      <c r="N20" s="33" t="s">
        <v>111</v>
      </c>
      <c r="O20" s="43">
        <v>1015.16</v>
      </c>
      <c r="P20" s="44" t="str">
        <f t="shared" si="3"/>
        <v>High</v>
      </c>
      <c r="Q20" s="43">
        <v>2148.14</v>
      </c>
      <c r="R20" s="43">
        <v>3.7999999999999999E-2</v>
      </c>
      <c r="S20" s="43">
        <v>19</v>
      </c>
      <c r="T20" s="43">
        <f t="shared" si="0"/>
        <v>25535.279900000001</v>
      </c>
      <c r="U20" s="33">
        <f t="shared" si="1"/>
        <v>19288.04</v>
      </c>
      <c r="V20" s="43">
        <f t="shared" si="4"/>
        <v>6247.2399000000005</v>
      </c>
      <c r="W20" s="45">
        <f t="shared" si="5"/>
        <v>0.24465131866441769</v>
      </c>
    </row>
    <row r="21" spans="1:23" x14ac:dyDescent="0.3">
      <c r="A21" s="34" t="s">
        <v>112</v>
      </c>
      <c r="B21" s="35">
        <v>45498</v>
      </c>
      <c r="C21" s="36">
        <v>45497</v>
      </c>
      <c r="D21" s="37">
        <f>DATEDIF(C21,B21, "MD")</f>
        <v>1</v>
      </c>
      <c r="E21" s="37" t="str">
        <f>TEXT(Data!B21,"MMM-YYYY")</f>
        <v>Jul-2024</v>
      </c>
      <c r="F21" s="37" t="str">
        <f t="shared" si="2"/>
        <v>Q3-2024</v>
      </c>
      <c r="G21" s="32" t="s">
        <v>16</v>
      </c>
      <c r="H21" s="32" t="s">
        <v>17</v>
      </c>
      <c r="I21" s="32" t="s">
        <v>113</v>
      </c>
      <c r="J21" s="32" t="s">
        <v>39</v>
      </c>
      <c r="K21" s="32" t="s">
        <v>98</v>
      </c>
      <c r="L21" s="32" t="s">
        <v>29</v>
      </c>
      <c r="M21" s="32" t="s">
        <v>57</v>
      </c>
      <c r="N21" s="32" t="s">
        <v>114</v>
      </c>
      <c r="O21" s="37">
        <v>1494.4</v>
      </c>
      <c r="P21" s="38" t="str">
        <f t="shared" si="3"/>
        <v>High</v>
      </c>
      <c r="Q21" s="37">
        <v>3661.07</v>
      </c>
      <c r="R21" s="37">
        <v>7.1999999999999995E-2</v>
      </c>
      <c r="S21" s="37">
        <v>7</v>
      </c>
      <c r="T21" s="37">
        <f t="shared" si="0"/>
        <v>3565.5894400000002</v>
      </c>
      <c r="U21" s="32">
        <f t="shared" si="1"/>
        <v>10460.800000000001</v>
      </c>
      <c r="V21" s="37">
        <f t="shared" si="4"/>
        <v>-6895.2105600000014</v>
      </c>
      <c r="W21" s="39">
        <f t="shared" si="5"/>
        <v>-1.9338206700544864</v>
      </c>
    </row>
    <row r="22" spans="1:23" x14ac:dyDescent="0.3">
      <c r="A22" s="40" t="s">
        <v>115</v>
      </c>
      <c r="B22" s="41">
        <v>45057</v>
      </c>
      <c r="C22" s="42">
        <v>45074</v>
      </c>
      <c r="D22" s="43">
        <f t="shared" si="6"/>
        <v>17</v>
      </c>
      <c r="E22" s="43" t="str">
        <f>TEXT(Data!B22,"MMM-YYYY")</f>
        <v>May-2023</v>
      </c>
      <c r="F22" s="43" t="str">
        <f t="shared" si="2"/>
        <v>Q2-2023</v>
      </c>
      <c r="G22" s="33" t="s">
        <v>45</v>
      </c>
      <c r="H22" s="33" t="s">
        <v>116</v>
      </c>
      <c r="I22" s="33" t="s">
        <v>117</v>
      </c>
      <c r="J22" s="33" t="s">
        <v>105</v>
      </c>
      <c r="K22" s="33" t="s">
        <v>40</v>
      </c>
      <c r="L22" s="33" t="s">
        <v>63</v>
      </c>
      <c r="M22" s="33" t="s">
        <v>35</v>
      </c>
      <c r="N22" s="33" t="s">
        <v>118</v>
      </c>
      <c r="O22" s="43">
        <v>1331.19</v>
      </c>
      <c r="P22" s="44" t="str">
        <f t="shared" si="3"/>
        <v>High</v>
      </c>
      <c r="Q22" s="43">
        <v>2903.09</v>
      </c>
      <c r="R22" s="43">
        <v>0.14299999999999999</v>
      </c>
      <c r="S22" s="43">
        <v>8</v>
      </c>
      <c r="T22" s="43">
        <f t="shared" si="0"/>
        <v>24160.543999999998</v>
      </c>
      <c r="U22" s="33">
        <f t="shared" si="1"/>
        <v>10649.52</v>
      </c>
      <c r="V22" s="43">
        <f t="shared" si="4"/>
        <v>13511.023999999998</v>
      </c>
      <c r="W22" s="45">
        <f t="shared" si="5"/>
        <v>0.55921853415221112</v>
      </c>
    </row>
    <row r="23" spans="1:23" x14ac:dyDescent="0.3">
      <c r="A23" s="34" t="s">
        <v>119</v>
      </c>
      <c r="B23" s="35">
        <v>45822</v>
      </c>
      <c r="C23" s="36">
        <v>45837</v>
      </c>
      <c r="D23" s="37">
        <f t="shared" si="6"/>
        <v>15</v>
      </c>
      <c r="E23" s="37" t="str">
        <f>TEXT(Data!B23,"MMM-YYYY")</f>
        <v>Jun-2025</v>
      </c>
      <c r="F23" s="37" t="str">
        <f t="shared" si="2"/>
        <v>Q2-2025</v>
      </c>
      <c r="G23" s="32" t="s">
        <v>16</v>
      </c>
      <c r="H23" s="32" t="s">
        <v>25</v>
      </c>
      <c r="I23" s="32" t="s">
        <v>26</v>
      </c>
      <c r="J23" s="32" t="s">
        <v>48</v>
      </c>
      <c r="K23" s="32" t="s">
        <v>40</v>
      </c>
      <c r="L23" s="32" t="s">
        <v>110</v>
      </c>
      <c r="M23" s="32" t="s">
        <v>81</v>
      </c>
      <c r="N23" s="32" t="s">
        <v>120</v>
      </c>
      <c r="O23" s="37">
        <v>730.99</v>
      </c>
      <c r="P23" s="38" t="str">
        <f t="shared" si="3"/>
        <v>High</v>
      </c>
      <c r="Q23" s="37">
        <v>1242.8399999999999</v>
      </c>
      <c r="R23" s="37">
        <v>0.12</v>
      </c>
      <c r="S23" s="37">
        <v>10</v>
      </c>
      <c r="T23" s="37">
        <f t="shared" si="0"/>
        <v>16065.367999999999</v>
      </c>
      <c r="U23" s="32">
        <f t="shared" si="1"/>
        <v>7309.9</v>
      </c>
      <c r="V23" s="37">
        <f t="shared" si="4"/>
        <v>8755.4679999999989</v>
      </c>
      <c r="W23" s="39">
        <f t="shared" si="5"/>
        <v>0.54499019256826231</v>
      </c>
    </row>
    <row r="24" spans="1:23" x14ac:dyDescent="0.3">
      <c r="A24" s="40" t="s">
        <v>121</v>
      </c>
      <c r="B24" s="41">
        <v>45430</v>
      </c>
      <c r="C24" s="42">
        <v>45435</v>
      </c>
      <c r="D24" s="43">
        <f t="shared" si="6"/>
        <v>5</v>
      </c>
      <c r="E24" s="43" t="str">
        <f>TEXT(Data!B24,"MMM-YYYY")</f>
        <v>May-2024</v>
      </c>
      <c r="F24" s="43" t="str">
        <f t="shared" si="2"/>
        <v>Q2-2024</v>
      </c>
      <c r="G24" s="33" t="s">
        <v>52</v>
      </c>
      <c r="H24" s="33" t="s">
        <v>122</v>
      </c>
      <c r="I24" s="33" t="s">
        <v>123</v>
      </c>
      <c r="J24" s="33" t="s">
        <v>105</v>
      </c>
      <c r="K24" s="33" t="s">
        <v>20</v>
      </c>
      <c r="L24" s="33" t="s">
        <v>92</v>
      </c>
      <c r="M24" s="33" t="s">
        <v>57</v>
      </c>
      <c r="N24" s="33" t="s">
        <v>124</v>
      </c>
      <c r="O24" s="43">
        <v>1274.5899999999999</v>
      </c>
      <c r="P24" s="44" t="str">
        <f t="shared" si="3"/>
        <v>High</v>
      </c>
      <c r="Q24" s="43">
        <v>2553.69</v>
      </c>
      <c r="R24" s="43">
        <v>0.01</v>
      </c>
      <c r="S24" s="43">
        <v>8</v>
      </c>
      <c r="T24" s="43">
        <f t="shared" si="0"/>
        <v>14187.650399999999</v>
      </c>
      <c r="U24" s="33">
        <f t="shared" si="1"/>
        <v>10196.719999999999</v>
      </c>
      <c r="V24" s="43">
        <f t="shared" si="4"/>
        <v>3990.9303999999993</v>
      </c>
      <c r="W24" s="45">
        <f t="shared" si="5"/>
        <v>0.28129607704458237</v>
      </c>
    </row>
    <row r="25" spans="1:23" x14ac:dyDescent="0.3">
      <c r="A25" s="34" t="s">
        <v>125</v>
      </c>
      <c r="B25" s="35">
        <v>44964</v>
      </c>
      <c r="C25" s="36">
        <v>44969</v>
      </c>
      <c r="D25" s="37">
        <f t="shared" si="6"/>
        <v>5</v>
      </c>
      <c r="E25" s="37" t="str">
        <f>TEXT(Data!B25,"MMM-YYYY")</f>
        <v>Feb-2023</v>
      </c>
      <c r="F25" s="37" t="str">
        <f t="shared" si="2"/>
        <v>Q1-2023</v>
      </c>
      <c r="G25" s="32" t="s">
        <v>52</v>
      </c>
      <c r="H25" s="32" t="s">
        <v>73</v>
      </c>
      <c r="I25" s="32" t="s">
        <v>74</v>
      </c>
      <c r="J25" s="32" t="s">
        <v>27</v>
      </c>
      <c r="K25" s="32" t="s">
        <v>28</v>
      </c>
      <c r="L25" s="32" t="s">
        <v>126</v>
      </c>
      <c r="M25" s="32" t="s">
        <v>22</v>
      </c>
      <c r="N25" s="32" t="s">
        <v>127</v>
      </c>
      <c r="O25" s="37">
        <v>948.55</v>
      </c>
      <c r="P25" s="38" t="str">
        <f t="shared" si="3"/>
        <v>High</v>
      </c>
      <c r="Q25" s="37">
        <v>2089.16</v>
      </c>
      <c r="R25" s="37">
        <v>7.0000000000000001E-3</v>
      </c>
      <c r="S25" s="37">
        <v>12</v>
      </c>
      <c r="T25" s="37">
        <f t="shared" si="0"/>
        <v>31336.100999999999</v>
      </c>
      <c r="U25" s="32">
        <f t="shared" si="1"/>
        <v>11382.599999999999</v>
      </c>
      <c r="V25" s="37">
        <f t="shared" si="4"/>
        <v>19953.501</v>
      </c>
      <c r="W25" s="39">
        <f t="shared" si="5"/>
        <v>0.63675761703729516</v>
      </c>
    </row>
    <row r="26" spans="1:23" x14ac:dyDescent="0.3">
      <c r="A26" s="40" t="s">
        <v>128</v>
      </c>
      <c r="B26" s="41">
        <v>45473</v>
      </c>
      <c r="C26" s="42">
        <v>45487</v>
      </c>
      <c r="D26" s="43">
        <f t="shared" si="6"/>
        <v>14</v>
      </c>
      <c r="E26" s="43" t="str">
        <f>TEXT(Data!B26,"MMM-YYYY")</f>
        <v>Jun-2024</v>
      </c>
      <c r="F26" s="43" t="str">
        <f t="shared" si="2"/>
        <v>Q2-2024</v>
      </c>
      <c r="G26" s="33" t="s">
        <v>52</v>
      </c>
      <c r="H26" s="33" t="s">
        <v>73</v>
      </c>
      <c r="I26" s="33" t="s">
        <v>87</v>
      </c>
      <c r="J26" s="33" t="s">
        <v>27</v>
      </c>
      <c r="K26" s="33" t="s">
        <v>20</v>
      </c>
      <c r="L26" s="33" t="s">
        <v>21</v>
      </c>
      <c r="M26" s="33" t="s">
        <v>81</v>
      </c>
      <c r="N26" s="33" t="s">
        <v>129</v>
      </c>
      <c r="O26" s="43">
        <v>1491.85</v>
      </c>
      <c r="P26" s="44" t="str">
        <f t="shared" si="3"/>
        <v>High</v>
      </c>
      <c r="Q26" s="43">
        <v>2583.02</v>
      </c>
      <c r="R26" s="43">
        <v>0.16800000000000001</v>
      </c>
      <c r="S26" s="43">
        <v>4</v>
      </c>
      <c r="T26" s="43">
        <f t="shared" si="0"/>
        <v>353.76639999999998</v>
      </c>
      <c r="U26" s="33">
        <f t="shared" si="1"/>
        <v>5967.4</v>
      </c>
      <c r="V26" s="43">
        <f t="shared" si="4"/>
        <v>-5613.6335999999992</v>
      </c>
      <c r="W26" s="45">
        <f t="shared" si="5"/>
        <v>-15.868193248426079</v>
      </c>
    </row>
    <row r="27" spans="1:23" x14ac:dyDescent="0.3">
      <c r="A27" s="34" t="s">
        <v>130</v>
      </c>
      <c r="B27" s="35">
        <v>45626</v>
      </c>
      <c r="C27" s="36">
        <v>45656</v>
      </c>
      <c r="D27" s="37">
        <f t="shared" si="6"/>
        <v>0</v>
      </c>
      <c r="E27" s="37" t="str">
        <f>TEXT(Data!B27,"MMM-YYYY")</f>
        <v>Nov-2024</v>
      </c>
      <c r="F27" s="37" t="str">
        <f t="shared" si="2"/>
        <v>Q4-2024</v>
      </c>
      <c r="G27" s="32" t="s">
        <v>78</v>
      </c>
      <c r="H27" s="32" t="s">
        <v>90</v>
      </c>
      <c r="I27" s="32" t="s">
        <v>91</v>
      </c>
      <c r="J27" s="32" t="s">
        <v>48</v>
      </c>
      <c r="K27" s="32" t="s">
        <v>40</v>
      </c>
      <c r="L27" s="32" t="s">
        <v>84</v>
      </c>
      <c r="M27" s="32" t="s">
        <v>30</v>
      </c>
      <c r="N27" s="32" t="s">
        <v>131</v>
      </c>
      <c r="O27" s="37">
        <v>117.64</v>
      </c>
      <c r="P27" s="38" t="str">
        <f t="shared" si="3"/>
        <v>Medium</v>
      </c>
      <c r="Q27" s="37">
        <v>175.67</v>
      </c>
      <c r="R27" s="37">
        <v>0</v>
      </c>
      <c r="S27" s="37">
        <v>10</v>
      </c>
      <c r="T27" s="37">
        <f t="shared" si="0"/>
        <v>3857.2000000000003</v>
      </c>
      <c r="U27" s="32">
        <f t="shared" si="1"/>
        <v>1176.4000000000001</v>
      </c>
      <c r="V27" s="37">
        <f t="shared" si="4"/>
        <v>2680.8</v>
      </c>
      <c r="W27" s="39">
        <f t="shared" si="5"/>
        <v>0.69501192574924819</v>
      </c>
    </row>
    <row r="28" spans="1:23" x14ac:dyDescent="0.3">
      <c r="A28" s="40" t="s">
        <v>132</v>
      </c>
      <c r="B28" s="41">
        <v>45492</v>
      </c>
      <c r="C28" s="42">
        <v>45492</v>
      </c>
      <c r="D28" s="43">
        <f t="shared" si="6"/>
        <v>0</v>
      </c>
      <c r="E28" s="43" t="str">
        <f>TEXT(Data!B28,"MMM-YYYY")</f>
        <v>Jul-2024</v>
      </c>
      <c r="F28" s="43" t="str">
        <f t="shared" si="2"/>
        <v>Q3-2024</v>
      </c>
      <c r="G28" s="33" t="s">
        <v>16</v>
      </c>
      <c r="H28" s="33" t="s">
        <v>17</v>
      </c>
      <c r="I28" s="33" t="s">
        <v>18</v>
      </c>
      <c r="J28" s="33" t="s">
        <v>62</v>
      </c>
      <c r="K28" s="33" t="s">
        <v>20</v>
      </c>
      <c r="L28" s="33" t="s">
        <v>75</v>
      </c>
      <c r="M28" s="33" t="s">
        <v>42</v>
      </c>
      <c r="N28" s="33" t="s">
        <v>133</v>
      </c>
      <c r="O28" s="43">
        <v>857.24</v>
      </c>
      <c r="P28" s="44" t="str">
        <f t="shared" si="3"/>
        <v>High</v>
      </c>
      <c r="Q28" s="43">
        <v>758.23</v>
      </c>
      <c r="R28" s="43">
        <v>0.125</v>
      </c>
      <c r="S28" s="43">
        <v>6</v>
      </c>
      <c r="T28" s="43">
        <f t="shared" si="0"/>
        <v>1243.5675000000001</v>
      </c>
      <c r="U28" s="33">
        <f t="shared" si="1"/>
        <v>5143.4400000000005</v>
      </c>
      <c r="V28" s="43">
        <f t="shared" si="4"/>
        <v>-3899.8725000000004</v>
      </c>
      <c r="W28" s="45">
        <f t="shared" si="5"/>
        <v>-3.1360360414694015</v>
      </c>
    </row>
    <row r="29" spans="1:23" x14ac:dyDescent="0.3">
      <c r="A29" s="34" t="s">
        <v>134</v>
      </c>
      <c r="B29" s="35">
        <v>45030</v>
      </c>
      <c r="C29" s="36">
        <v>45060</v>
      </c>
      <c r="D29" s="37">
        <f t="shared" si="6"/>
        <v>0</v>
      </c>
      <c r="E29" s="37" t="str">
        <f>TEXT(Data!B29,"MMM-YYYY")</f>
        <v>Apr-2023</v>
      </c>
      <c r="F29" s="37" t="str">
        <f t="shared" si="2"/>
        <v>Q2-2023</v>
      </c>
      <c r="G29" s="32" t="s">
        <v>16</v>
      </c>
      <c r="H29" s="32" t="s">
        <v>17</v>
      </c>
      <c r="I29" s="32" t="s">
        <v>135</v>
      </c>
      <c r="J29" s="32" t="s">
        <v>48</v>
      </c>
      <c r="K29" s="32" t="s">
        <v>40</v>
      </c>
      <c r="L29" s="32" t="s">
        <v>110</v>
      </c>
      <c r="M29" s="32" t="s">
        <v>42</v>
      </c>
      <c r="N29" s="32" t="s">
        <v>136</v>
      </c>
      <c r="O29" s="37">
        <v>209.25</v>
      </c>
      <c r="P29" s="38" t="str">
        <f t="shared" si="3"/>
        <v>High</v>
      </c>
      <c r="Q29" s="37">
        <v>434.8</v>
      </c>
      <c r="R29" s="37">
        <v>0</v>
      </c>
      <c r="S29" s="37">
        <v>9</v>
      </c>
      <c r="T29" s="37">
        <f t="shared" si="0"/>
        <v>377.09999999999997</v>
      </c>
      <c r="U29" s="32">
        <f t="shared" si="1"/>
        <v>1883.25</v>
      </c>
      <c r="V29" s="37">
        <f t="shared" si="4"/>
        <v>-1506.15</v>
      </c>
      <c r="W29" s="39">
        <f t="shared" si="5"/>
        <v>-3.9940334128878288</v>
      </c>
    </row>
    <row r="30" spans="1:23" x14ac:dyDescent="0.3">
      <c r="A30" s="40" t="s">
        <v>137</v>
      </c>
      <c r="B30" s="41">
        <v>45754</v>
      </c>
      <c r="C30" s="42">
        <v>45758</v>
      </c>
      <c r="D30" s="43">
        <f t="shared" si="6"/>
        <v>4</v>
      </c>
      <c r="E30" s="43" t="str">
        <f>TEXT(Data!B30,"MMM-YYYY")</f>
        <v>Apr-2025</v>
      </c>
      <c r="F30" s="43" t="str">
        <f t="shared" si="2"/>
        <v>Q2-2025</v>
      </c>
      <c r="G30" s="33" t="s">
        <v>78</v>
      </c>
      <c r="H30" s="33" t="s">
        <v>90</v>
      </c>
      <c r="I30" s="33" t="s">
        <v>138</v>
      </c>
      <c r="J30" s="33" t="s">
        <v>27</v>
      </c>
      <c r="K30" s="33" t="s">
        <v>20</v>
      </c>
      <c r="L30" s="33" t="s">
        <v>63</v>
      </c>
      <c r="M30" s="33" t="s">
        <v>35</v>
      </c>
      <c r="N30" s="33" t="s">
        <v>139</v>
      </c>
      <c r="O30" s="43">
        <v>754.77</v>
      </c>
      <c r="P30" s="44" t="str">
        <f t="shared" si="3"/>
        <v>High</v>
      </c>
      <c r="Q30" s="43">
        <v>1666.18</v>
      </c>
      <c r="R30" s="43">
        <v>0.13900000000000001</v>
      </c>
      <c r="S30" s="43">
        <v>14</v>
      </c>
      <c r="T30" s="43">
        <f t="shared" si="0"/>
        <v>11781.338519999999</v>
      </c>
      <c r="U30" s="33">
        <f t="shared" si="1"/>
        <v>10566.779999999999</v>
      </c>
      <c r="V30" s="43">
        <f t="shared" si="4"/>
        <v>1214.5585200000005</v>
      </c>
      <c r="W30" s="45">
        <f t="shared" si="5"/>
        <v>0.10309172577786183</v>
      </c>
    </row>
    <row r="31" spans="1:23" x14ac:dyDescent="0.3">
      <c r="A31" s="34" t="s">
        <v>140</v>
      </c>
      <c r="B31" s="35">
        <v>45653</v>
      </c>
      <c r="C31" s="36">
        <v>45672</v>
      </c>
      <c r="D31" s="37">
        <f t="shared" si="6"/>
        <v>19</v>
      </c>
      <c r="E31" s="37" t="str">
        <f>TEXT(Data!B31,"MMM-YYYY")</f>
        <v>Dec-2024</v>
      </c>
      <c r="F31" s="37" t="str">
        <f t="shared" si="2"/>
        <v>Q4-2024</v>
      </c>
      <c r="G31" s="32" t="s">
        <v>45</v>
      </c>
      <c r="H31" s="32" t="s">
        <v>60</v>
      </c>
      <c r="I31" s="32" t="s">
        <v>141</v>
      </c>
      <c r="J31" s="32" t="s">
        <v>39</v>
      </c>
      <c r="K31" s="32" t="s">
        <v>55</v>
      </c>
      <c r="L31" s="32" t="s">
        <v>41</v>
      </c>
      <c r="M31" s="32" t="s">
        <v>22</v>
      </c>
      <c r="N31" s="32" t="s">
        <v>142</v>
      </c>
      <c r="O31" s="37">
        <v>495.59</v>
      </c>
      <c r="P31" s="38" t="str">
        <f t="shared" si="3"/>
        <v>High</v>
      </c>
      <c r="Q31" s="37">
        <v>631.78</v>
      </c>
      <c r="R31" s="37">
        <v>8.6999999999999994E-2</v>
      </c>
      <c r="S31" s="37">
        <v>17</v>
      </c>
      <c r="T31" s="37">
        <f t="shared" si="0"/>
        <v>43367.691729999999</v>
      </c>
      <c r="U31" s="32">
        <f t="shared" si="1"/>
        <v>8425.0299999999988</v>
      </c>
      <c r="V31" s="37">
        <f t="shared" si="4"/>
        <v>34942.66173</v>
      </c>
      <c r="W31" s="39">
        <f t="shared" si="5"/>
        <v>0.8057302645376464</v>
      </c>
    </row>
    <row r="32" spans="1:23" x14ac:dyDescent="0.3">
      <c r="A32" s="40" t="s">
        <v>143</v>
      </c>
      <c r="B32" s="41">
        <v>44980</v>
      </c>
      <c r="C32" s="42">
        <v>45010</v>
      </c>
      <c r="D32" s="43">
        <f t="shared" si="6"/>
        <v>2</v>
      </c>
      <c r="E32" s="43" t="str">
        <f>TEXT(Data!B32,"MMM-YYYY")</f>
        <v>Feb-2023</v>
      </c>
      <c r="F32" s="43" t="str">
        <f t="shared" si="2"/>
        <v>Q1-2023</v>
      </c>
      <c r="G32" s="33" t="s">
        <v>52</v>
      </c>
      <c r="H32" s="33" t="s">
        <v>53</v>
      </c>
      <c r="I32" s="33" t="s">
        <v>144</v>
      </c>
      <c r="J32" s="33" t="s">
        <v>105</v>
      </c>
      <c r="K32" s="33" t="s">
        <v>28</v>
      </c>
      <c r="L32" s="33" t="s">
        <v>145</v>
      </c>
      <c r="M32" s="33" t="s">
        <v>42</v>
      </c>
      <c r="N32" s="33" t="s">
        <v>146</v>
      </c>
      <c r="O32" s="43">
        <v>1242.6600000000001</v>
      </c>
      <c r="P32" s="44" t="str">
        <f t="shared" si="3"/>
        <v>High</v>
      </c>
      <c r="Q32" s="43">
        <v>1794.07</v>
      </c>
      <c r="R32" s="43">
        <v>8.8999999999999996E-2</v>
      </c>
      <c r="S32" s="43">
        <v>16</v>
      </c>
      <c r="T32" s="43">
        <f t="shared" si="0"/>
        <v>10231.623200000002</v>
      </c>
      <c r="U32" s="33">
        <f t="shared" si="1"/>
        <v>19882.560000000001</v>
      </c>
      <c r="V32" s="43">
        <f t="shared" si="4"/>
        <v>-9650.9367999999995</v>
      </c>
      <c r="W32" s="45">
        <f t="shared" si="5"/>
        <v>-0.94324591624914389</v>
      </c>
    </row>
    <row r="33" spans="1:23" x14ac:dyDescent="0.3">
      <c r="A33" s="34" t="s">
        <v>147</v>
      </c>
      <c r="B33" s="35">
        <v>45862</v>
      </c>
      <c r="C33" s="36">
        <v>45875</v>
      </c>
      <c r="D33" s="37">
        <f t="shared" si="6"/>
        <v>13</v>
      </c>
      <c r="E33" s="37" t="str">
        <f>TEXT(Data!B33,"MMM-YYYY")</f>
        <v>Jul-2025</v>
      </c>
      <c r="F33" s="37" t="str">
        <f t="shared" si="2"/>
        <v>Q3-2025</v>
      </c>
      <c r="G33" s="32" t="s">
        <v>16</v>
      </c>
      <c r="H33" s="32" t="s">
        <v>148</v>
      </c>
      <c r="I33" s="32" t="s">
        <v>149</v>
      </c>
      <c r="J33" s="32" t="s">
        <v>27</v>
      </c>
      <c r="K33" s="32" t="s">
        <v>40</v>
      </c>
      <c r="L33" s="32" t="s">
        <v>145</v>
      </c>
      <c r="M33" s="32" t="s">
        <v>35</v>
      </c>
      <c r="N33" s="32" t="s">
        <v>150</v>
      </c>
      <c r="O33" s="37">
        <v>1463.9</v>
      </c>
      <c r="P33" s="38" t="str">
        <f t="shared" si="3"/>
        <v>High</v>
      </c>
      <c r="Q33" s="37">
        <v>2633.02</v>
      </c>
      <c r="R33" s="37">
        <v>8.4000000000000005E-2</v>
      </c>
      <c r="S33" s="37">
        <v>4</v>
      </c>
      <c r="T33" s="37">
        <f t="shared" si="0"/>
        <v>-19.309279999999998</v>
      </c>
      <c r="U33" s="32">
        <f t="shared" si="1"/>
        <v>5855.6</v>
      </c>
      <c r="V33" s="37">
        <f t="shared" si="4"/>
        <v>-5874.9092800000008</v>
      </c>
      <c r="W33" s="39">
        <f t="shared" si="5"/>
        <v>304.25315081660227</v>
      </c>
    </row>
    <row r="34" spans="1:23" x14ac:dyDescent="0.3">
      <c r="A34" s="40" t="s">
        <v>151</v>
      </c>
      <c r="B34" s="41">
        <v>45400</v>
      </c>
      <c r="C34" s="42">
        <v>45420</v>
      </c>
      <c r="D34" s="43">
        <f t="shared" si="6"/>
        <v>20</v>
      </c>
      <c r="E34" s="43" t="str">
        <f>TEXT(Data!B34,"MMM-YYYY")</f>
        <v>Apr-2024</v>
      </c>
      <c r="F34" s="43" t="str">
        <f t="shared" si="2"/>
        <v>Q2-2024</v>
      </c>
      <c r="G34" s="33" t="s">
        <v>78</v>
      </c>
      <c r="H34" s="33" t="s">
        <v>108</v>
      </c>
      <c r="I34" s="33" t="s">
        <v>152</v>
      </c>
      <c r="J34" s="33" t="s">
        <v>39</v>
      </c>
      <c r="K34" s="33" t="s">
        <v>1364</v>
      </c>
      <c r="L34" s="33" t="s">
        <v>145</v>
      </c>
      <c r="M34" s="33" t="s">
        <v>57</v>
      </c>
      <c r="N34" s="33" t="s">
        <v>153</v>
      </c>
      <c r="O34" s="43">
        <v>645.33000000000004</v>
      </c>
      <c r="P34" s="44" t="str">
        <f t="shared" si="3"/>
        <v>High</v>
      </c>
      <c r="Q34" s="43">
        <v>1321.85</v>
      </c>
      <c r="R34" s="43">
        <v>0</v>
      </c>
      <c r="S34" s="43">
        <v>10</v>
      </c>
      <c r="T34" s="43">
        <f t="shared" si="0"/>
        <v>14370.599999999999</v>
      </c>
      <c r="U34" s="33">
        <f t="shared" si="1"/>
        <v>6453.3</v>
      </c>
      <c r="V34" s="43">
        <f t="shared" si="4"/>
        <v>7917.2999999999984</v>
      </c>
      <c r="W34" s="45">
        <f t="shared" si="5"/>
        <v>0.55093733038286496</v>
      </c>
    </row>
    <row r="35" spans="1:23" x14ac:dyDescent="0.3">
      <c r="A35" s="34" t="s">
        <v>154</v>
      </c>
      <c r="B35" s="35">
        <v>45527</v>
      </c>
      <c r="C35" s="36">
        <v>45525</v>
      </c>
      <c r="D35" s="37">
        <f>DATEDIF(C35,B35, "MD")</f>
        <v>2</v>
      </c>
      <c r="E35" s="37" t="str">
        <f>TEXT(Data!B35,"MMM-YYYY")</f>
        <v>Aug-2024</v>
      </c>
      <c r="F35" s="37" t="str">
        <f t="shared" si="2"/>
        <v>Q3-2024</v>
      </c>
      <c r="G35" s="32" t="s">
        <v>16</v>
      </c>
      <c r="H35" s="32" t="s">
        <v>148</v>
      </c>
      <c r="I35" s="32" t="s">
        <v>149</v>
      </c>
      <c r="J35" s="32" t="s">
        <v>27</v>
      </c>
      <c r="K35" s="32" t="s">
        <v>20</v>
      </c>
      <c r="L35" s="32" t="s">
        <v>63</v>
      </c>
      <c r="M35" s="32" t="s">
        <v>22</v>
      </c>
      <c r="N35" s="32" t="s">
        <v>155</v>
      </c>
      <c r="O35" s="37">
        <v>1432.52</v>
      </c>
      <c r="P35" s="38" t="str">
        <f t="shared" si="3"/>
        <v>High</v>
      </c>
      <c r="Q35" s="37">
        <v>3036.87</v>
      </c>
      <c r="R35" s="37">
        <v>0</v>
      </c>
      <c r="S35" s="37">
        <v>9</v>
      </c>
      <c r="T35" s="37">
        <f t="shared" si="0"/>
        <v>17207.010000000002</v>
      </c>
      <c r="U35" s="32">
        <f t="shared" si="1"/>
        <v>12892.68</v>
      </c>
      <c r="V35" s="37">
        <f t="shared" si="4"/>
        <v>4314.3300000000017</v>
      </c>
      <c r="W35" s="39">
        <f t="shared" si="5"/>
        <v>0.25073095209452434</v>
      </c>
    </row>
    <row r="36" spans="1:23" x14ac:dyDescent="0.3">
      <c r="A36" s="40" t="s">
        <v>156</v>
      </c>
      <c r="B36" s="41">
        <v>45012</v>
      </c>
      <c r="C36" s="42">
        <v>45038</v>
      </c>
      <c r="D36" s="43">
        <f t="shared" si="6"/>
        <v>26</v>
      </c>
      <c r="E36" s="43" t="str">
        <f>TEXT(Data!B36,"MMM-YYYY")</f>
        <v>Mar-2023</v>
      </c>
      <c r="F36" s="43" t="str">
        <f t="shared" si="2"/>
        <v>Q1-2023</v>
      </c>
      <c r="G36" s="33" t="s">
        <v>45</v>
      </c>
      <c r="H36" s="33" t="s">
        <v>60</v>
      </c>
      <c r="I36" s="33" t="s">
        <v>141</v>
      </c>
      <c r="J36" s="33" t="s">
        <v>39</v>
      </c>
      <c r="K36" s="33" t="s">
        <v>40</v>
      </c>
      <c r="L36" s="33" t="s">
        <v>29</v>
      </c>
      <c r="M36" s="33" t="s">
        <v>30</v>
      </c>
      <c r="N36" s="33" t="s">
        <v>157</v>
      </c>
      <c r="O36" s="43">
        <v>178.53</v>
      </c>
      <c r="P36" s="44" t="str">
        <f t="shared" si="3"/>
        <v>Medium</v>
      </c>
      <c r="Q36" s="43">
        <v>199.37</v>
      </c>
      <c r="R36" s="43">
        <v>0.10100000000000001</v>
      </c>
      <c r="S36" s="43">
        <v>37</v>
      </c>
      <c r="T36" s="43">
        <f t="shared" si="0"/>
        <v>86276.904139999999</v>
      </c>
      <c r="U36" s="33">
        <f t="shared" si="1"/>
        <v>6605.61</v>
      </c>
      <c r="V36" s="43">
        <f t="shared" si="4"/>
        <v>79671.294139999998</v>
      </c>
      <c r="W36" s="45">
        <f t="shared" si="5"/>
        <v>0.92343709981432354</v>
      </c>
    </row>
    <row r="37" spans="1:23" x14ac:dyDescent="0.3">
      <c r="A37" s="34" t="s">
        <v>158</v>
      </c>
      <c r="B37" s="35">
        <v>45358</v>
      </c>
      <c r="C37" s="36">
        <v>45376</v>
      </c>
      <c r="D37" s="37">
        <f t="shared" si="6"/>
        <v>18</v>
      </c>
      <c r="E37" s="37" t="str">
        <f>TEXT(Data!B37,"MMM-YYYY")</f>
        <v>Mar-2024</v>
      </c>
      <c r="F37" s="37" t="str">
        <f t="shared" si="2"/>
        <v>Q1-2024</v>
      </c>
      <c r="G37" s="32" t="s">
        <v>78</v>
      </c>
      <c r="H37" s="32" t="s">
        <v>79</v>
      </c>
      <c r="I37" s="32" t="s">
        <v>159</v>
      </c>
      <c r="J37" s="32" t="s">
        <v>19</v>
      </c>
      <c r="K37" s="32" t="s">
        <v>28</v>
      </c>
      <c r="L37" s="32" t="s">
        <v>56</v>
      </c>
      <c r="M37" s="32" t="s">
        <v>22</v>
      </c>
      <c r="N37" s="32" t="s">
        <v>160</v>
      </c>
      <c r="O37" s="37">
        <v>712.84</v>
      </c>
      <c r="P37" s="38" t="str">
        <f t="shared" si="3"/>
        <v>High</v>
      </c>
      <c r="Q37" s="37">
        <v>927.51</v>
      </c>
      <c r="R37" s="37">
        <v>0.24299999999999999</v>
      </c>
      <c r="S37" s="37">
        <v>27</v>
      </c>
      <c r="T37" s="37">
        <f t="shared" si="0"/>
        <v>25427.751119999997</v>
      </c>
      <c r="U37" s="32">
        <f t="shared" si="1"/>
        <v>19246.68</v>
      </c>
      <c r="V37" s="37">
        <f t="shared" si="4"/>
        <v>6181.0711199999969</v>
      </c>
      <c r="W37" s="39">
        <f t="shared" si="5"/>
        <v>0.24308367227718869</v>
      </c>
    </row>
    <row r="38" spans="1:23" x14ac:dyDescent="0.3">
      <c r="A38" s="40" t="s">
        <v>161</v>
      </c>
      <c r="B38" s="41">
        <v>45832</v>
      </c>
      <c r="C38" s="42">
        <v>45848</v>
      </c>
      <c r="D38" s="43">
        <f t="shared" si="6"/>
        <v>16</v>
      </c>
      <c r="E38" s="43" t="str">
        <f>TEXT(Data!B38,"MMM-YYYY")</f>
        <v>Jun-2025</v>
      </c>
      <c r="F38" s="43" t="str">
        <f t="shared" si="2"/>
        <v>Q2-2025</v>
      </c>
      <c r="G38" s="33" t="s">
        <v>45</v>
      </c>
      <c r="H38" s="33" t="s">
        <v>116</v>
      </c>
      <c r="I38" s="33" t="s">
        <v>162</v>
      </c>
      <c r="J38" s="33" t="s">
        <v>105</v>
      </c>
      <c r="K38" s="33" t="s">
        <v>98</v>
      </c>
      <c r="L38" s="33" t="s">
        <v>126</v>
      </c>
      <c r="M38" s="33" t="s">
        <v>22</v>
      </c>
      <c r="N38" s="33" t="s">
        <v>163</v>
      </c>
      <c r="O38" s="43">
        <v>757.19</v>
      </c>
      <c r="P38" s="44" t="str">
        <f t="shared" si="3"/>
        <v>High</v>
      </c>
      <c r="Q38" s="43">
        <v>1735.41</v>
      </c>
      <c r="R38" s="43">
        <v>0.13600000000000001</v>
      </c>
      <c r="S38" s="43">
        <v>8</v>
      </c>
      <c r="T38" s="43">
        <f t="shared" si="0"/>
        <v>13219.269119999999</v>
      </c>
      <c r="U38" s="33">
        <f t="shared" si="1"/>
        <v>6057.52</v>
      </c>
      <c r="V38" s="43">
        <f t="shared" si="4"/>
        <v>7161.7491199999986</v>
      </c>
      <c r="W38" s="45">
        <f t="shared" si="5"/>
        <v>0.54176589151700383</v>
      </c>
    </row>
    <row r="39" spans="1:23" x14ac:dyDescent="0.3">
      <c r="A39" s="34" t="s">
        <v>164</v>
      </c>
      <c r="B39" s="35">
        <v>45401</v>
      </c>
      <c r="C39" s="36">
        <v>45418</v>
      </c>
      <c r="D39" s="37">
        <f t="shared" si="6"/>
        <v>17</v>
      </c>
      <c r="E39" s="37" t="str">
        <f>TEXT(Data!B39,"MMM-YYYY")</f>
        <v>Apr-2024</v>
      </c>
      <c r="F39" s="37" t="str">
        <f t="shared" si="2"/>
        <v>Q2-2024</v>
      </c>
      <c r="G39" s="32" t="s">
        <v>16</v>
      </c>
      <c r="H39" s="32" t="s">
        <v>25</v>
      </c>
      <c r="I39" s="32" t="s">
        <v>26</v>
      </c>
      <c r="J39" s="32" t="s">
        <v>39</v>
      </c>
      <c r="K39" s="32" t="s">
        <v>28</v>
      </c>
      <c r="L39" s="32" t="s">
        <v>75</v>
      </c>
      <c r="M39" s="32" t="s">
        <v>30</v>
      </c>
      <c r="N39" s="32" t="s">
        <v>165</v>
      </c>
      <c r="O39" s="37">
        <v>865.33</v>
      </c>
      <c r="P39" s="38" t="str">
        <f t="shared" si="3"/>
        <v>High</v>
      </c>
      <c r="Q39" s="37">
        <v>1395.64</v>
      </c>
      <c r="R39" s="37">
        <v>0.17499999999999999</v>
      </c>
      <c r="S39" s="37">
        <v>13</v>
      </c>
      <c r="T39" s="37">
        <f t="shared" si="0"/>
        <v>8106.7057499999992</v>
      </c>
      <c r="U39" s="32">
        <f t="shared" si="1"/>
        <v>11249.29</v>
      </c>
      <c r="V39" s="37">
        <f t="shared" si="4"/>
        <v>-3142.5842500000017</v>
      </c>
      <c r="W39" s="39">
        <f t="shared" si="5"/>
        <v>-0.38765243822991874</v>
      </c>
    </row>
    <row r="40" spans="1:23" x14ac:dyDescent="0.3">
      <c r="A40" s="40" t="s">
        <v>166</v>
      </c>
      <c r="B40" s="41">
        <v>45094</v>
      </c>
      <c r="C40" s="42">
        <v>45101</v>
      </c>
      <c r="D40" s="43">
        <f t="shared" si="6"/>
        <v>7</v>
      </c>
      <c r="E40" s="43" t="str">
        <f>TEXT(Data!B40,"MMM-YYYY")</f>
        <v>Jun-2023</v>
      </c>
      <c r="F40" s="43" t="str">
        <f t="shared" si="2"/>
        <v>Q2-2023</v>
      </c>
      <c r="G40" s="33" t="s">
        <v>52</v>
      </c>
      <c r="H40" s="33" t="s">
        <v>122</v>
      </c>
      <c r="I40" s="33" t="s">
        <v>167</v>
      </c>
      <c r="J40" s="33" t="s">
        <v>19</v>
      </c>
      <c r="K40" s="33" t="s">
        <v>20</v>
      </c>
      <c r="L40" s="33" t="s">
        <v>34</v>
      </c>
      <c r="M40" s="33" t="s">
        <v>30</v>
      </c>
      <c r="N40" s="33" t="s">
        <v>168</v>
      </c>
      <c r="O40" s="43">
        <v>313.99</v>
      </c>
      <c r="P40" s="44" t="str">
        <f t="shared" si="3"/>
        <v>High</v>
      </c>
      <c r="Q40" s="43">
        <v>454.42</v>
      </c>
      <c r="R40" s="43">
        <v>0.129</v>
      </c>
      <c r="S40" s="43">
        <v>9</v>
      </c>
      <c r="T40" s="43">
        <f t="shared" si="0"/>
        <v>8980.9071300000014</v>
      </c>
      <c r="U40" s="33">
        <f t="shared" si="1"/>
        <v>2825.91</v>
      </c>
      <c r="V40" s="43">
        <f t="shared" si="4"/>
        <v>6154.9971300000016</v>
      </c>
      <c r="W40" s="45">
        <f t="shared" si="5"/>
        <v>0.68534247608904963</v>
      </c>
    </row>
    <row r="41" spans="1:23" x14ac:dyDescent="0.3">
      <c r="A41" s="34" t="s">
        <v>169</v>
      </c>
      <c r="B41" s="35">
        <v>45531</v>
      </c>
      <c r="C41" s="36">
        <v>45554</v>
      </c>
      <c r="D41" s="37">
        <f t="shared" si="6"/>
        <v>23</v>
      </c>
      <c r="E41" s="37" t="str">
        <f>TEXT(Data!B41,"MMM-YYYY")</f>
        <v>Aug-2024</v>
      </c>
      <c r="F41" s="37" t="str">
        <f t="shared" si="2"/>
        <v>Q3-2024</v>
      </c>
      <c r="G41" s="32" t="s">
        <v>78</v>
      </c>
      <c r="H41" s="32" t="s">
        <v>79</v>
      </c>
      <c r="I41" s="32" t="s">
        <v>80</v>
      </c>
      <c r="J41" s="32" t="s">
        <v>62</v>
      </c>
      <c r="K41" s="32" t="s">
        <v>98</v>
      </c>
      <c r="L41" s="32" t="s">
        <v>145</v>
      </c>
      <c r="M41" s="32" t="s">
        <v>64</v>
      </c>
      <c r="N41" s="32" t="s">
        <v>170</v>
      </c>
      <c r="O41" s="37">
        <v>1024.01</v>
      </c>
      <c r="P41" s="38" t="str">
        <f t="shared" si="3"/>
        <v>High</v>
      </c>
      <c r="Q41" s="37">
        <v>1580.97</v>
      </c>
      <c r="R41" s="37">
        <v>3.6999999999999998E-2</v>
      </c>
      <c r="S41" s="37">
        <v>27</v>
      </c>
      <c r="T41" s="37">
        <f t="shared" si="0"/>
        <v>32087.834099999996</v>
      </c>
      <c r="U41" s="32">
        <f t="shared" si="1"/>
        <v>27648.27</v>
      </c>
      <c r="V41" s="37">
        <f t="shared" si="4"/>
        <v>4439.564099999996</v>
      </c>
      <c r="W41" s="39">
        <f t="shared" si="5"/>
        <v>0.13835661472707492</v>
      </c>
    </row>
    <row r="42" spans="1:23" x14ac:dyDescent="0.3">
      <c r="A42" s="40" t="s">
        <v>171</v>
      </c>
      <c r="B42" s="41">
        <v>45302</v>
      </c>
      <c r="C42" s="42">
        <v>45324</v>
      </c>
      <c r="D42" s="43">
        <f t="shared" si="6"/>
        <v>22</v>
      </c>
      <c r="E42" s="43" t="str">
        <f>TEXT(Data!B42,"MMM-YYYY")</f>
        <v>Jan-2024</v>
      </c>
      <c r="F42" s="43" t="str">
        <f t="shared" si="2"/>
        <v>Q1-2024</v>
      </c>
      <c r="G42" s="33" t="s">
        <v>16</v>
      </c>
      <c r="H42" s="33" t="s">
        <v>148</v>
      </c>
      <c r="I42" s="33" t="s">
        <v>172</v>
      </c>
      <c r="J42" s="33" t="s">
        <v>48</v>
      </c>
      <c r="K42" s="33" t="s">
        <v>28</v>
      </c>
      <c r="L42" s="33" t="s">
        <v>95</v>
      </c>
      <c r="M42" s="33" t="s">
        <v>35</v>
      </c>
      <c r="N42" s="33" t="s">
        <v>173</v>
      </c>
      <c r="O42" s="43">
        <v>1206.2</v>
      </c>
      <c r="P42" s="44" t="str">
        <f t="shared" si="3"/>
        <v>High</v>
      </c>
      <c r="Q42" s="43">
        <v>1759.79</v>
      </c>
      <c r="R42" s="43">
        <v>0</v>
      </c>
      <c r="S42" s="43">
        <v>6</v>
      </c>
      <c r="T42" s="43">
        <f t="shared" si="0"/>
        <v>7368.0599999999995</v>
      </c>
      <c r="U42" s="33">
        <f t="shared" si="1"/>
        <v>7237.2000000000007</v>
      </c>
      <c r="V42" s="43">
        <f t="shared" si="4"/>
        <v>130.85999999999876</v>
      </c>
      <c r="W42" s="45">
        <f t="shared" si="5"/>
        <v>1.7760441690214082E-2</v>
      </c>
    </row>
    <row r="43" spans="1:23" x14ac:dyDescent="0.3">
      <c r="A43" s="34" t="s">
        <v>174</v>
      </c>
      <c r="B43" s="35">
        <v>45590</v>
      </c>
      <c r="C43" s="36">
        <v>45610</v>
      </c>
      <c r="D43" s="37">
        <f t="shared" si="6"/>
        <v>20</v>
      </c>
      <c r="E43" s="37" t="str">
        <f>TEXT(Data!B43,"MMM-YYYY")</f>
        <v>Oct-2024</v>
      </c>
      <c r="F43" s="37" t="str">
        <f t="shared" si="2"/>
        <v>Q4-2024</v>
      </c>
      <c r="G43" s="32" t="s">
        <v>16</v>
      </c>
      <c r="H43" s="32" t="s">
        <v>17</v>
      </c>
      <c r="I43" s="32" t="s">
        <v>113</v>
      </c>
      <c r="J43" s="32" t="s">
        <v>19</v>
      </c>
      <c r="K43" s="32" t="s">
        <v>98</v>
      </c>
      <c r="L43" s="32" t="s">
        <v>92</v>
      </c>
      <c r="M43" s="32" t="s">
        <v>30</v>
      </c>
      <c r="N43" s="32" t="s">
        <v>175</v>
      </c>
      <c r="O43" s="37">
        <v>1396.48</v>
      </c>
      <c r="P43" s="38" t="str">
        <f t="shared" si="3"/>
        <v>High</v>
      </c>
      <c r="Q43" s="37">
        <v>3204.5</v>
      </c>
      <c r="R43" s="37">
        <v>0.318</v>
      </c>
      <c r="S43" s="37">
        <v>14</v>
      </c>
      <c r="T43" s="37">
        <f t="shared" si="0"/>
        <v>5778.7360400000007</v>
      </c>
      <c r="U43" s="32">
        <f t="shared" si="1"/>
        <v>19550.72</v>
      </c>
      <c r="V43" s="37">
        <f t="shared" si="4"/>
        <v>-13771.983960000001</v>
      </c>
      <c r="W43" s="39">
        <f t="shared" si="5"/>
        <v>-2.3832173445319715</v>
      </c>
    </row>
    <row r="44" spans="1:23" x14ac:dyDescent="0.3">
      <c r="A44" s="40" t="s">
        <v>176</v>
      </c>
      <c r="B44" s="41">
        <v>45806</v>
      </c>
      <c r="C44" s="42">
        <v>45828</v>
      </c>
      <c r="D44" s="43">
        <f t="shared" si="6"/>
        <v>22</v>
      </c>
      <c r="E44" s="43" t="str">
        <f>TEXT(Data!B44,"MMM-YYYY")</f>
        <v>May-2025</v>
      </c>
      <c r="F44" s="43" t="str">
        <f t="shared" si="2"/>
        <v>Q2-2025</v>
      </c>
      <c r="G44" s="33" t="s">
        <v>78</v>
      </c>
      <c r="H44" s="33" t="s">
        <v>79</v>
      </c>
      <c r="I44" s="33" t="s">
        <v>80</v>
      </c>
      <c r="J44" s="33" t="s">
        <v>19</v>
      </c>
      <c r="K44" s="33" t="s">
        <v>98</v>
      </c>
      <c r="L44" s="33" t="s">
        <v>75</v>
      </c>
      <c r="M44" s="33" t="s">
        <v>30</v>
      </c>
      <c r="N44" s="33" t="s">
        <v>177</v>
      </c>
      <c r="O44" s="43">
        <v>483.47</v>
      </c>
      <c r="P44" s="44" t="str">
        <f t="shared" si="3"/>
        <v>High</v>
      </c>
      <c r="Q44" s="43">
        <v>1135.43</v>
      </c>
      <c r="R44" s="43">
        <v>0.14599999999999999</v>
      </c>
      <c r="S44" s="43">
        <v>11</v>
      </c>
      <c r="T44" s="43">
        <f t="shared" si="0"/>
        <v>17662.129100000002</v>
      </c>
      <c r="U44" s="33">
        <f t="shared" si="1"/>
        <v>5318.17</v>
      </c>
      <c r="V44" s="43">
        <f t="shared" si="4"/>
        <v>12343.959100000002</v>
      </c>
      <c r="W44" s="45">
        <f t="shared" si="5"/>
        <v>0.6988941723905755</v>
      </c>
    </row>
    <row r="45" spans="1:23" x14ac:dyDescent="0.3">
      <c r="A45" s="34" t="s">
        <v>178</v>
      </c>
      <c r="B45" s="35">
        <v>45432</v>
      </c>
      <c r="C45" s="36">
        <v>45445</v>
      </c>
      <c r="D45" s="37">
        <f t="shared" si="6"/>
        <v>13</v>
      </c>
      <c r="E45" s="37" t="str">
        <f>TEXT(Data!B45,"MMM-YYYY")</f>
        <v>May-2024</v>
      </c>
      <c r="F45" s="37" t="str">
        <f t="shared" si="2"/>
        <v>Q2-2024</v>
      </c>
      <c r="G45" s="32" t="s">
        <v>52</v>
      </c>
      <c r="H45" s="32" t="s">
        <v>53</v>
      </c>
      <c r="I45" s="32" t="s">
        <v>179</v>
      </c>
      <c r="J45" s="32" t="s">
        <v>105</v>
      </c>
      <c r="K45" s="32" t="s">
        <v>40</v>
      </c>
      <c r="L45" s="32" t="s">
        <v>95</v>
      </c>
      <c r="M45" s="32" t="s">
        <v>22</v>
      </c>
      <c r="N45" s="32" t="s">
        <v>180</v>
      </c>
      <c r="O45" s="37">
        <v>675.43</v>
      </c>
      <c r="P45" s="38" t="str">
        <f t="shared" si="3"/>
        <v>High</v>
      </c>
      <c r="Q45" s="37">
        <v>996.36</v>
      </c>
      <c r="R45" s="37">
        <v>0.182</v>
      </c>
      <c r="S45" s="37">
        <v>22</v>
      </c>
      <c r="T45" s="37">
        <f t="shared" si="0"/>
        <v>22844.122400000004</v>
      </c>
      <c r="U45" s="32">
        <f t="shared" si="1"/>
        <v>14859.46</v>
      </c>
      <c r="V45" s="37">
        <f t="shared" si="4"/>
        <v>7984.6624000000047</v>
      </c>
      <c r="W45" s="39">
        <f t="shared" si="5"/>
        <v>0.34952808692707771</v>
      </c>
    </row>
    <row r="46" spans="1:23" x14ac:dyDescent="0.3">
      <c r="A46" s="40" t="s">
        <v>181</v>
      </c>
      <c r="B46" s="41">
        <v>45035</v>
      </c>
      <c r="C46" s="42">
        <v>45046</v>
      </c>
      <c r="D46" s="43">
        <f t="shared" si="6"/>
        <v>11</v>
      </c>
      <c r="E46" s="43" t="str">
        <f>TEXT(Data!B46,"MMM-YYYY")</f>
        <v>Apr-2023</v>
      </c>
      <c r="F46" s="43" t="str">
        <f t="shared" si="2"/>
        <v>Q2-2023</v>
      </c>
      <c r="G46" s="33" t="s">
        <v>45</v>
      </c>
      <c r="H46" s="33" t="s">
        <v>60</v>
      </c>
      <c r="I46" s="33" t="s">
        <v>141</v>
      </c>
      <c r="J46" s="33" t="s">
        <v>62</v>
      </c>
      <c r="K46" s="33" t="s">
        <v>20</v>
      </c>
      <c r="L46" s="33" t="s">
        <v>75</v>
      </c>
      <c r="M46" s="33" t="s">
        <v>35</v>
      </c>
      <c r="N46" s="33" t="s">
        <v>182</v>
      </c>
      <c r="O46" s="43">
        <v>826.55</v>
      </c>
      <c r="P46" s="44" t="str">
        <f t="shared" si="3"/>
        <v>High</v>
      </c>
      <c r="Q46" s="43">
        <v>1397.05</v>
      </c>
      <c r="R46" s="43">
        <v>0.16900000000000001</v>
      </c>
      <c r="S46" s="43">
        <v>28</v>
      </c>
      <c r="T46" s="43">
        <f t="shared" si="0"/>
        <v>14447.799239999997</v>
      </c>
      <c r="U46" s="33">
        <f t="shared" si="1"/>
        <v>23143.399999999998</v>
      </c>
      <c r="V46" s="43">
        <f t="shared" si="4"/>
        <v>-8695.6007600000012</v>
      </c>
      <c r="W46" s="45">
        <f t="shared" si="5"/>
        <v>-0.6018633437212686</v>
      </c>
    </row>
    <row r="47" spans="1:23" x14ac:dyDescent="0.3">
      <c r="A47" s="34" t="s">
        <v>183</v>
      </c>
      <c r="B47" s="35">
        <v>45100</v>
      </c>
      <c r="C47" s="36">
        <v>45110</v>
      </c>
      <c r="D47" s="37">
        <f t="shared" si="6"/>
        <v>10</v>
      </c>
      <c r="E47" s="37" t="str">
        <f>TEXT(Data!B47,"MMM-YYYY")</f>
        <v>Jun-2023</v>
      </c>
      <c r="F47" s="37" t="str">
        <f t="shared" si="2"/>
        <v>Q2-2023</v>
      </c>
      <c r="G47" s="32" t="s">
        <v>16</v>
      </c>
      <c r="H47" s="32" t="s">
        <v>25</v>
      </c>
      <c r="I47" s="32" t="s">
        <v>67</v>
      </c>
      <c r="J47" s="32" t="s">
        <v>48</v>
      </c>
      <c r="K47" s="32" t="s">
        <v>28</v>
      </c>
      <c r="L47" s="32" t="s">
        <v>29</v>
      </c>
      <c r="M47" s="32" t="s">
        <v>30</v>
      </c>
      <c r="N47" s="32" t="s">
        <v>184</v>
      </c>
      <c r="O47" s="37">
        <v>337.75</v>
      </c>
      <c r="P47" s="38" t="str">
        <f t="shared" si="3"/>
        <v>High</v>
      </c>
      <c r="Q47" s="37">
        <v>548.89</v>
      </c>
      <c r="R47" s="37">
        <v>0</v>
      </c>
      <c r="S47" s="37">
        <v>13</v>
      </c>
      <c r="T47" s="37">
        <f t="shared" si="0"/>
        <v>18926.830000000002</v>
      </c>
      <c r="U47" s="32">
        <f t="shared" si="1"/>
        <v>4390.75</v>
      </c>
      <c r="V47" s="37">
        <f t="shared" si="4"/>
        <v>14536.080000000002</v>
      </c>
      <c r="W47" s="39">
        <f t="shared" si="5"/>
        <v>0.76801450639119173</v>
      </c>
    </row>
    <row r="48" spans="1:23" x14ac:dyDescent="0.3">
      <c r="A48" s="40" t="s">
        <v>185</v>
      </c>
      <c r="B48" s="41">
        <v>45426</v>
      </c>
      <c r="C48" s="42">
        <v>45440</v>
      </c>
      <c r="D48" s="43">
        <f t="shared" si="6"/>
        <v>14</v>
      </c>
      <c r="E48" s="43" t="str">
        <f>TEXT(Data!B48,"MMM-YYYY")</f>
        <v>May-2024</v>
      </c>
      <c r="F48" s="43" t="str">
        <f t="shared" si="2"/>
        <v>Q2-2024</v>
      </c>
      <c r="G48" s="33" t="s">
        <v>78</v>
      </c>
      <c r="H48" s="33" t="s">
        <v>108</v>
      </c>
      <c r="I48" s="33" t="s">
        <v>109</v>
      </c>
      <c r="J48" s="33" t="s">
        <v>48</v>
      </c>
      <c r="K48" s="33" t="s">
        <v>20</v>
      </c>
      <c r="L48" s="33" t="s">
        <v>56</v>
      </c>
      <c r="M48" s="33" t="s">
        <v>35</v>
      </c>
      <c r="N48" s="33" t="s">
        <v>186</v>
      </c>
      <c r="O48" s="43">
        <v>1421.14</v>
      </c>
      <c r="P48" s="44" t="str">
        <f t="shared" si="3"/>
        <v>High</v>
      </c>
      <c r="Q48" s="43">
        <v>3524</v>
      </c>
      <c r="R48" s="43">
        <v>0</v>
      </c>
      <c r="S48" s="43">
        <v>31</v>
      </c>
      <c r="T48" s="43">
        <f t="shared" si="0"/>
        <v>16939.329999999998</v>
      </c>
      <c r="U48" s="33">
        <f t="shared" si="1"/>
        <v>44055.340000000004</v>
      </c>
      <c r="V48" s="43">
        <f t="shared" si="4"/>
        <v>-27116.010000000006</v>
      </c>
      <c r="W48" s="45">
        <f t="shared" si="5"/>
        <v>-1.6007722855626527</v>
      </c>
    </row>
    <row r="49" spans="1:23" x14ac:dyDescent="0.3">
      <c r="A49" s="34" t="s">
        <v>187</v>
      </c>
      <c r="B49" s="35">
        <v>45579</v>
      </c>
      <c r="C49" s="36">
        <v>45604</v>
      </c>
      <c r="D49" s="37">
        <f t="shared" si="6"/>
        <v>25</v>
      </c>
      <c r="E49" s="37" t="str">
        <f>TEXT(Data!B49,"MMM-YYYY")</f>
        <v>Oct-2024</v>
      </c>
      <c r="F49" s="37" t="str">
        <f t="shared" si="2"/>
        <v>Q4-2024</v>
      </c>
      <c r="G49" s="32" t="s">
        <v>16</v>
      </c>
      <c r="H49" s="32" t="s">
        <v>25</v>
      </c>
      <c r="I49" s="32" t="s">
        <v>38</v>
      </c>
      <c r="J49" s="32" t="s">
        <v>105</v>
      </c>
      <c r="K49" s="32" t="s">
        <v>28</v>
      </c>
      <c r="L49" s="32" t="s">
        <v>68</v>
      </c>
      <c r="M49" s="32" t="s">
        <v>35</v>
      </c>
      <c r="N49" s="32" t="s">
        <v>188</v>
      </c>
      <c r="O49" s="37">
        <v>859.35</v>
      </c>
      <c r="P49" s="38" t="str">
        <f t="shared" si="3"/>
        <v>High</v>
      </c>
      <c r="Q49" s="37">
        <v>1825.61</v>
      </c>
      <c r="R49" s="37">
        <v>0.187</v>
      </c>
      <c r="S49" s="37">
        <v>24</v>
      </c>
      <c r="T49" s="37">
        <f t="shared" si="0"/>
        <v>26300.615040000001</v>
      </c>
      <c r="U49" s="32">
        <f t="shared" si="1"/>
        <v>20624.400000000001</v>
      </c>
      <c r="V49" s="37">
        <f t="shared" si="4"/>
        <v>5676.2150399999991</v>
      </c>
      <c r="W49" s="39">
        <f t="shared" si="5"/>
        <v>0.21582061983596865</v>
      </c>
    </row>
    <row r="50" spans="1:23" x14ac:dyDescent="0.3">
      <c r="A50" s="40" t="s">
        <v>189</v>
      </c>
      <c r="B50" s="41">
        <v>45117</v>
      </c>
      <c r="C50" s="42">
        <v>45139</v>
      </c>
      <c r="D50" s="43">
        <f t="shared" si="6"/>
        <v>22</v>
      </c>
      <c r="E50" s="43" t="str">
        <f>TEXT(Data!B50,"MMM-YYYY")</f>
        <v>Jul-2023</v>
      </c>
      <c r="F50" s="43" t="str">
        <f t="shared" si="2"/>
        <v>Q3-2023</v>
      </c>
      <c r="G50" s="33" t="s">
        <v>78</v>
      </c>
      <c r="H50" s="33" t="s">
        <v>90</v>
      </c>
      <c r="I50" s="33" t="s">
        <v>91</v>
      </c>
      <c r="J50" s="33" t="s">
        <v>48</v>
      </c>
      <c r="K50" s="33" t="s">
        <v>40</v>
      </c>
      <c r="L50" s="33" t="s">
        <v>56</v>
      </c>
      <c r="M50" s="33" t="s">
        <v>30</v>
      </c>
      <c r="N50" s="33" t="s">
        <v>190</v>
      </c>
      <c r="O50" s="43">
        <v>1303.56</v>
      </c>
      <c r="P50" s="44" t="str">
        <f t="shared" si="3"/>
        <v>High</v>
      </c>
      <c r="Q50" s="43">
        <v>1791.37</v>
      </c>
      <c r="R50" s="43">
        <v>0.126</v>
      </c>
      <c r="S50" s="43">
        <v>22</v>
      </c>
      <c r="T50" s="43">
        <f t="shared" si="0"/>
        <v>21312.892040000002</v>
      </c>
      <c r="U50" s="33">
        <f t="shared" si="1"/>
        <v>28678.32</v>
      </c>
      <c r="V50" s="43">
        <f t="shared" si="4"/>
        <v>-7365.4279599999973</v>
      </c>
      <c r="W50" s="45">
        <f t="shared" si="5"/>
        <v>-0.34558557075110097</v>
      </c>
    </row>
    <row r="51" spans="1:23" x14ac:dyDescent="0.3">
      <c r="A51" s="34" t="s">
        <v>191</v>
      </c>
      <c r="B51" s="35">
        <v>45602</v>
      </c>
      <c r="C51" s="36">
        <v>45618</v>
      </c>
      <c r="D51" s="37">
        <f t="shared" si="6"/>
        <v>16</v>
      </c>
      <c r="E51" s="37" t="str">
        <f>TEXT(Data!B51,"MMM-YYYY")</f>
        <v>Nov-2024</v>
      </c>
      <c r="F51" s="37" t="str">
        <f t="shared" si="2"/>
        <v>Q4-2024</v>
      </c>
      <c r="G51" s="32" t="s">
        <v>52</v>
      </c>
      <c r="H51" s="32" t="s">
        <v>53</v>
      </c>
      <c r="I51" s="32" t="s">
        <v>54</v>
      </c>
      <c r="J51" s="32" t="s">
        <v>39</v>
      </c>
      <c r="K51" s="32" t="s">
        <v>55</v>
      </c>
      <c r="L51" s="32" t="s">
        <v>145</v>
      </c>
      <c r="M51" s="32" t="s">
        <v>81</v>
      </c>
      <c r="N51" s="32" t="s">
        <v>192</v>
      </c>
      <c r="O51" s="37">
        <v>1454.11</v>
      </c>
      <c r="P51" s="38" t="str">
        <f t="shared" si="3"/>
        <v>High</v>
      </c>
      <c r="Q51" s="37">
        <v>2629.75</v>
      </c>
      <c r="R51" s="37">
        <v>0.29199999999999998</v>
      </c>
      <c r="S51" s="37">
        <v>8</v>
      </c>
      <c r="T51" s="37">
        <f t="shared" si="0"/>
        <v>17808.182399999998</v>
      </c>
      <c r="U51" s="32">
        <f t="shared" si="1"/>
        <v>11632.88</v>
      </c>
      <c r="V51" s="37">
        <f t="shared" si="4"/>
        <v>6175.3023999999987</v>
      </c>
      <c r="W51" s="39">
        <f t="shared" si="5"/>
        <v>0.34676769707839467</v>
      </c>
    </row>
    <row r="52" spans="1:23" x14ac:dyDescent="0.3">
      <c r="A52" s="40" t="s">
        <v>193</v>
      </c>
      <c r="B52" s="41">
        <v>45582</v>
      </c>
      <c r="C52" s="42">
        <v>45602</v>
      </c>
      <c r="D52" s="43">
        <f t="shared" si="6"/>
        <v>20</v>
      </c>
      <c r="E52" s="43" t="str">
        <f>TEXT(Data!B52,"MMM-YYYY")</f>
        <v>Oct-2024</v>
      </c>
      <c r="F52" s="43" t="str">
        <f t="shared" si="2"/>
        <v>Q4-2024</v>
      </c>
      <c r="G52" s="33" t="s">
        <v>45</v>
      </c>
      <c r="H52" s="33" t="s">
        <v>60</v>
      </c>
      <c r="I52" s="33" t="s">
        <v>61</v>
      </c>
      <c r="J52" s="33" t="s">
        <v>105</v>
      </c>
      <c r="K52" s="33" t="s">
        <v>55</v>
      </c>
      <c r="L52" s="33" t="s">
        <v>68</v>
      </c>
      <c r="M52" s="33" t="s">
        <v>64</v>
      </c>
      <c r="N52" s="33" t="s">
        <v>194</v>
      </c>
      <c r="O52" s="43">
        <v>72.94</v>
      </c>
      <c r="P52" s="44" t="str">
        <f t="shared" si="3"/>
        <v>Medium</v>
      </c>
      <c r="Q52" s="43">
        <v>106.3</v>
      </c>
      <c r="R52" s="43">
        <v>0.29499999999999998</v>
      </c>
      <c r="S52" s="43">
        <v>8</v>
      </c>
      <c r="T52" s="43">
        <f t="shared" si="0"/>
        <v>11819.917200000002</v>
      </c>
      <c r="U52" s="33">
        <f t="shared" si="1"/>
        <v>583.52</v>
      </c>
      <c r="V52" s="43">
        <f t="shared" si="4"/>
        <v>11236.397200000001</v>
      </c>
      <c r="W52" s="45">
        <f t="shared" si="5"/>
        <v>0.95063247989588284</v>
      </c>
    </row>
    <row r="53" spans="1:23" x14ac:dyDescent="0.3">
      <c r="A53" s="34" t="s">
        <v>195</v>
      </c>
      <c r="B53" s="35">
        <v>45016</v>
      </c>
      <c r="C53" s="36">
        <v>45021</v>
      </c>
      <c r="D53" s="37">
        <f t="shared" si="6"/>
        <v>5</v>
      </c>
      <c r="E53" s="37" t="str">
        <f>TEXT(Data!B53,"MMM-YYYY")</f>
        <v>Mar-2023</v>
      </c>
      <c r="F53" s="37" t="str">
        <f t="shared" si="2"/>
        <v>Q1-2023</v>
      </c>
      <c r="G53" s="32" t="s">
        <v>16</v>
      </c>
      <c r="H53" s="32" t="s">
        <v>17</v>
      </c>
      <c r="I53" s="32" t="s">
        <v>135</v>
      </c>
      <c r="J53" s="32" t="s">
        <v>27</v>
      </c>
      <c r="K53" s="32" t="s">
        <v>40</v>
      </c>
      <c r="L53" s="32" t="s">
        <v>56</v>
      </c>
      <c r="M53" s="32" t="s">
        <v>57</v>
      </c>
      <c r="N53" s="32" t="s">
        <v>196</v>
      </c>
      <c r="O53" s="37">
        <v>533.26</v>
      </c>
      <c r="P53" s="38" t="str">
        <f t="shared" si="3"/>
        <v>High</v>
      </c>
      <c r="Q53" s="37">
        <v>385.72</v>
      </c>
      <c r="R53" s="37">
        <v>0</v>
      </c>
      <c r="S53" s="37">
        <v>15</v>
      </c>
      <c r="T53" s="37">
        <f t="shared" si="0"/>
        <v>10554.3</v>
      </c>
      <c r="U53" s="32">
        <f t="shared" si="1"/>
        <v>7998.9</v>
      </c>
      <c r="V53" s="37">
        <f t="shared" si="4"/>
        <v>2555.3999999999996</v>
      </c>
      <c r="W53" s="39">
        <f t="shared" si="5"/>
        <v>0.24211932577243397</v>
      </c>
    </row>
    <row r="54" spans="1:23" x14ac:dyDescent="0.3">
      <c r="A54" s="40" t="s">
        <v>197</v>
      </c>
      <c r="B54" s="41">
        <v>45678</v>
      </c>
      <c r="C54" s="42">
        <v>45704</v>
      </c>
      <c r="D54" s="43">
        <f t="shared" si="6"/>
        <v>26</v>
      </c>
      <c r="E54" s="43" t="str">
        <f>TEXT(Data!B54,"MMM-YYYY")</f>
        <v>Jan-2025</v>
      </c>
      <c r="F54" s="43" t="str">
        <f t="shared" si="2"/>
        <v>Q1-2025</v>
      </c>
      <c r="G54" s="33" t="s">
        <v>78</v>
      </c>
      <c r="H54" s="33" t="s">
        <v>90</v>
      </c>
      <c r="I54" s="33" t="s">
        <v>138</v>
      </c>
      <c r="J54" s="33" t="s">
        <v>19</v>
      </c>
      <c r="K54" s="33" t="s">
        <v>55</v>
      </c>
      <c r="L54" s="33" t="s">
        <v>68</v>
      </c>
      <c r="M54" s="33" t="s">
        <v>57</v>
      </c>
      <c r="N54" s="33" t="s">
        <v>198</v>
      </c>
      <c r="O54" s="43">
        <v>204.11</v>
      </c>
      <c r="P54" s="44" t="str">
        <f t="shared" si="3"/>
        <v>High</v>
      </c>
      <c r="Q54" s="43">
        <v>236.87</v>
      </c>
      <c r="R54" s="43">
        <v>0.182</v>
      </c>
      <c r="S54" s="43">
        <v>13</v>
      </c>
      <c r="T54" s="43">
        <f t="shared" si="0"/>
        <v>21238.118460000002</v>
      </c>
      <c r="U54" s="33">
        <f t="shared" si="1"/>
        <v>2653.4300000000003</v>
      </c>
      <c r="V54" s="43">
        <f t="shared" si="4"/>
        <v>18584.688460000001</v>
      </c>
      <c r="W54" s="45">
        <f t="shared" si="5"/>
        <v>0.87506284961177294</v>
      </c>
    </row>
    <row r="55" spans="1:23" x14ac:dyDescent="0.3">
      <c r="A55" s="34" t="s">
        <v>199</v>
      </c>
      <c r="B55" s="35">
        <v>45168</v>
      </c>
      <c r="C55" s="36">
        <v>45170</v>
      </c>
      <c r="D55" s="37">
        <f t="shared" si="6"/>
        <v>2</v>
      </c>
      <c r="E55" s="37" t="str">
        <f>TEXT(Data!B55,"MMM-YYYY")</f>
        <v>Aug-2023</v>
      </c>
      <c r="F55" s="37" t="str">
        <f t="shared" si="2"/>
        <v>Q3-2023</v>
      </c>
      <c r="G55" s="32" t="s">
        <v>78</v>
      </c>
      <c r="H55" s="32" t="s">
        <v>79</v>
      </c>
      <c r="I55" s="32" t="s">
        <v>159</v>
      </c>
      <c r="J55" s="32" t="s">
        <v>19</v>
      </c>
      <c r="K55" s="32" t="s">
        <v>98</v>
      </c>
      <c r="L55" s="32" t="s">
        <v>126</v>
      </c>
      <c r="M55" s="32" t="s">
        <v>35</v>
      </c>
      <c r="N55" s="32" t="s">
        <v>200</v>
      </c>
      <c r="O55" s="37">
        <v>44.42</v>
      </c>
      <c r="P55" s="38" t="str">
        <f t="shared" si="3"/>
        <v>Low</v>
      </c>
      <c r="Q55" s="37">
        <v>41.9</v>
      </c>
      <c r="R55" s="37">
        <v>0.14399999999999999</v>
      </c>
      <c r="S55" s="37">
        <v>6</v>
      </c>
      <c r="T55" s="37">
        <f t="shared" si="0"/>
        <v>14195.647199999998</v>
      </c>
      <c r="U55" s="32">
        <f t="shared" si="1"/>
        <v>266.52</v>
      </c>
      <c r="V55" s="37">
        <f t="shared" si="4"/>
        <v>13929.127199999997</v>
      </c>
      <c r="W55" s="39">
        <f t="shared" si="5"/>
        <v>0.9812252307876459</v>
      </c>
    </row>
    <row r="56" spans="1:23" x14ac:dyDescent="0.3">
      <c r="A56" s="40" t="s">
        <v>201</v>
      </c>
      <c r="B56" s="41">
        <v>45753</v>
      </c>
      <c r="C56" s="42">
        <v>45777</v>
      </c>
      <c r="D56" s="43">
        <f t="shared" si="6"/>
        <v>24</v>
      </c>
      <c r="E56" s="43" t="str">
        <f>TEXT(Data!B56,"MMM-YYYY")</f>
        <v>Apr-2025</v>
      </c>
      <c r="F56" s="43" t="str">
        <f t="shared" si="2"/>
        <v>Q2-2025</v>
      </c>
      <c r="G56" s="33" t="s">
        <v>52</v>
      </c>
      <c r="H56" s="33" t="s">
        <v>73</v>
      </c>
      <c r="I56" s="33" t="s">
        <v>87</v>
      </c>
      <c r="J56" s="33" t="s">
        <v>27</v>
      </c>
      <c r="K56" s="33" t="s">
        <v>28</v>
      </c>
      <c r="L56" s="33" t="s">
        <v>95</v>
      </c>
      <c r="M56" s="33" t="s">
        <v>64</v>
      </c>
      <c r="N56" s="33" t="s">
        <v>202</v>
      </c>
      <c r="O56" s="43">
        <v>855.78</v>
      </c>
      <c r="P56" s="44" t="str">
        <f t="shared" si="3"/>
        <v>High</v>
      </c>
      <c r="Q56" s="43">
        <v>977.38</v>
      </c>
      <c r="R56" s="43">
        <v>0.14699999999999999</v>
      </c>
      <c r="S56" s="43">
        <v>38</v>
      </c>
      <c r="T56" s="43">
        <f t="shared" si="0"/>
        <v>48735.421419999999</v>
      </c>
      <c r="U56" s="33">
        <f t="shared" si="1"/>
        <v>32519.64</v>
      </c>
      <c r="V56" s="43">
        <f t="shared" si="4"/>
        <v>16215.781419999999</v>
      </c>
      <c r="W56" s="45">
        <f t="shared" si="5"/>
        <v>0.33273091619036216</v>
      </c>
    </row>
    <row r="57" spans="1:23" x14ac:dyDescent="0.3">
      <c r="A57" s="34" t="s">
        <v>203</v>
      </c>
      <c r="B57" s="35">
        <v>45697</v>
      </c>
      <c r="C57" s="36">
        <v>45717</v>
      </c>
      <c r="D57" s="37">
        <f t="shared" si="6"/>
        <v>20</v>
      </c>
      <c r="E57" s="37" t="str">
        <f>TEXT(Data!B57,"MMM-YYYY")</f>
        <v>Feb-2025</v>
      </c>
      <c r="F57" s="37" t="str">
        <f t="shared" si="2"/>
        <v>Q1-2025</v>
      </c>
      <c r="G57" s="32" t="s">
        <v>52</v>
      </c>
      <c r="H57" s="32" t="s">
        <v>73</v>
      </c>
      <c r="I57" s="32" t="s">
        <v>74</v>
      </c>
      <c r="J57" s="32" t="s">
        <v>19</v>
      </c>
      <c r="K57" s="32" t="s">
        <v>55</v>
      </c>
      <c r="L57" s="32" t="s">
        <v>56</v>
      </c>
      <c r="M57" s="32" t="s">
        <v>57</v>
      </c>
      <c r="N57" s="32" t="s">
        <v>204</v>
      </c>
      <c r="O57" s="37">
        <v>1154.6400000000001</v>
      </c>
      <c r="P57" s="38" t="str">
        <f t="shared" si="3"/>
        <v>High</v>
      </c>
      <c r="Q57" s="37">
        <v>2794.13</v>
      </c>
      <c r="R57" s="37">
        <v>3.5000000000000003E-2</v>
      </c>
      <c r="S57" s="37">
        <v>11</v>
      </c>
      <c r="T57" s="37">
        <f t="shared" si="0"/>
        <v>4119.0446000000002</v>
      </c>
      <c r="U57" s="32">
        <f t="shared" si="1"/>
        <v>12701.04</v>
      </c>
      <c r="V57" s="37">
        <f t="shared" si="4"/>
        <v>-8581.9953999999998</v>
      </c>
      <c r="W57" s="39">
        <f t="shared" si="5"/>
        <v>-2.0834917398078185</v>
      </c>
    </row>
    <row r="58" spans="1:23" x14ac:dyDescent="0.3">
      <c r="A58" s="40" t="s">
        <v>205</v>
      </c>
      <c r="B58" s="41">
        <v>45643</v>
      </c>
      <c r="C58" s="42">
        <v>45644</v>
      </c>
      <c r="D58" s="43">
        <f t="shared" si="6"/>
        <v>1</v>
      </c>
      <c r="E58" s="43" t="str">
        <f>TEXT(Data!B58,"MMM-YYYY")</f>
        <v>Dec-2024</v>
      </c>
      <c r="F58" s="43" t="str">
        <f t="shared" si="2"/>
        <v>Q4-2024</v>
      </c>
      <c r="G58" s="33" t="s">
        <v>78</v>
      </c>
      <c r="H58" s="33" t="s">
        <v>79</v>
      </c>
      <c r="I58" s="33" t="s">
        <v>159</v>
      </c>
      <c r="J58" s="33" t="s">
        <v>27</v>
      </c>
      <c r="K58" s="33" t="s">
        <v>20</v>
      </c>
      <c r="L58" s="33" t="s">
        <v>49</v>
      </c>
      <c r="M58" s="33" t="s">
        <v>81</v>
      </c>
      <c r="N58" s="33" t="s">
        <v>206</v>
      </c>
      <c r="O58" s="43">
        <v>346.82</v>
      </c>
      <c r="P58" s="44" t="str">
        <f t="shared" si="3"/>
        <v>High</v>
      </c>
      <c r="Q58" s="43">
        <v>701.95</v>
      </c>
      <c r="R58" s="43">
        <v>0.14699999999999999</v>
      </c>
      <c r="S58" s="43">
        <v>8</v>
      </c>
      <c r="T58" s="43">
        <f t="shared" si="0"/>
        <v>304.14567999999997</v>
      </c>
      <c r="U58" s="33">
        <f t="shared" si="1"/>
        <v>2774.56</v>
      </c>
      <c r="V58" s="43">
        <f t="shared" si="4"/>
        <v>-2470.4143199999999</v>
      </c>
      <c r="W58" s="45">
        <f t="shared" si="5"/>
        <v>-8.122470521363315</v>
      </c>
    </row>
    <row r="59" spans="1:23" x14ac:dyDescent="0.3">
      <c r="A59" s="34" t="s">
        <v>207</v>
      </c>
      <c r="B59" s="35">
        <v>45817</v>
      </c>
      <c r="C59" s="36">
        <v>45826</v>
      </c>
      <c r="D59" s="37">
        <f t="shared" si="6"/>
        <v>9</v>
      </c>
      <c r="E59" s="37" t="str">
        <f>TEXT(Data!B59,"MMM-YYYY")</f>
        <v>Jun-2025</v>
      </c>
      <c r="F59" s="37" t="str">
        <f t="shared" si="2"/>
        <v>Q2-2025</v>
      </c>
      <c r="G59" s="32" t="s">
        <v>78</v>
      </c>
      <c r="H59" s="32" t="s">
        <v>90</v>
      </c>
      <c r="I59" s="32" t="s">
        <v>91</v>
      </c>
      <c r="J59" s="32" t="s">
        <v>62</v>
      </c>
      <c r="K59" s="32" t="s">
        <v>40</v>
      </c>
      <c r="L59" s="32" t="s">
        <v>92</v>
      </c>
      <c r="M59" s="32" t="s">
        <v>81</v>
      </c>
      <c r="N59" s="32" t="s">
        <v>208</v>
      </c>
      <c r="O59" s="37">
        <v>1225.5</v>
      </c>
      <c r="P59" s="38" t="str">
        <f t="shared" si="3"/>
        <v>Low</v>
      </c>
      <c r="Q59" s="37">
        <v>-5.27</v>
      </c>
      <c r="R59" s="37">
        <v>7.4999999999999997E-2</v>
      </c>
      <c r="S59" s="37">
        <v>56</v>
      </c>
      <c r="T59" s="37">
        <f t="shared" si="0"/>
        <v>93667.868000000002</v>
      </c>
      <c r="U59" s="32">
        <f t="shared" si="1"/>
        <v>68628</v>
      </c>
      <c r="V59" s="37">
        <f t="shared" si="4"/>
        <v>25039.868000000002</v>
      </c>
      <c r="W59" s="39">
        <f t="shared" si="5"/>
        <v>0.2673261229774121</v>
      </c>
    </row>
    <row r="60" spans="1:23" x14ac:dyDescent="0.3">
      <c r="A60" s="40" t="s">
        <v>209</v>
      </c>
      <c r="B60" s="41">
        <v>45779</v>
      </c>
      <c r="C60" s="42">
        <v>45790</v>
      </c>
      <c r="D60" s="43">
        <f t="shared" si="6"/>
        <v>11</v>
      </c>
      <c r="E60" s="43" t="str">
        <f>TEXT(Data!B60,"MMM-YYYY")</f>
        <v>May-2025</v>
      </c>
      <c r="F60" s="43" t="str">
        <f t="shared" si="2"/>
        <v>Q2-2025</v>
      </c>
      <c r="G60" s="33" t="s">
        <v>16</v>
      </c>
      <c r="H60" s="33" t="s">
        <v>17</v>
      </c>
      <c r="I60" s="33" t="s">
        <v>135</v>
      </c>
      <c r="J60" s="33" t="s">
        <v>62</v>
      </c>
      <c r="K60" s="33" t="s">
        <v>28</v>
      </c>
      <c r="L60" s="33" t="s">
        <v>75</v>
      </c>
      <c r="M60" s="33" t="s">
        <v>81</v>
      </c>
      <c r="N60" s="33" t="s">
        <v>210</v>
      </c>
      <c r="O60" s="43">
        <v>1057.5999999999999</v>
      </c>
      <c r="P60" s="44" t="str">
        <f t="shared" si="3"/>
        <v>High</v>
      </c>
      <c r="Q60" s="43">
        <v>1437.06</v>
      </c>
      <c r="R60" s="43">
        <v>0.20499999999999999</v>
      </c>
      <c r="S60" s="43">
        <v>4</v>
      </c>
      <c r="T60" s="43">
        <f t="shared" si="0"/>
        <v>4086.5861999999997</v>
      </c>
      <c r="U60" s="33">
        <f t="shared" si="1"/>
        <v>4230.3999999999996</v>
      </c>
      <c r="V60" s="43">
        <f t="shared" si="4"/>
        <v>-143.8137999999999</v>
      </c>
      <c r="W60" s="45">
        <f t="shared" si="5"/>
        <v>-3.5191671718560573E-2</v>
      </c>
    </row>
    <row r="61" spans="1:23" x14ac:dyDescent="0.3">
      <c r="A61" s="34" t="s">
        <v>211</v>
      </c>
      <c r="B61" s="35">
        <v>45361</v>
      </c>
      <c r="C61" s="36">
        <v>45391</v>
      </c>
      <c r="D61" s="37">
        <f t="shared" si="6"/>
        <v>30</v>
      </c>
      <c r="E61" s="37" t="str">
        <f>TEXT(Data!B61,"MMM-YYYY")</f>
        <v>Mar-2024</v>
      </c>
      <c r="F61" s="37" t="str">
        <f t="shared" si="2"/>
        <v>Q1-2024</v>
      </c>
      <c r="G61" s="32" t="s">
        <v>78</v>
      </c>
      <c r="H61" s="32" t="s">
        <v>90</v>
      </c>
      <c r="I61" s="32" t="s">
        <v>138</v>
      </c>
      <c r="J61" s="32" t="s">
        <v>19</v>
      </c>
      <c r="K61" s="32" t="s">
        <v>98</v>
      </c>
      <c r="L61" s="32" t="s">
        <v>34</v>
      </c>
      <c r="M61" s="32" t="s">
        <v>22</v>
      </c>
      <c r="N61" s="32" t="s">
        <v>212</v>
      </c>
      <c r="O61" s="37">
        <v>1176.56</v>
      </c>
      <c r="P61" s="38" t="str">
        <f t="shared" si="3"/>
        <v>High</v>
      </c>
      <c r="Q61" s="37">
        <v>1911.89</v>
      </c>
      <c r="R61" s="37">
        <v>0.11899999999999999</v>
      </c>
      <c r="S61" s="37">
        <v>20</v>
      </c>
      <c r="T61" s="37">
        <f t="shared" si="0"/>
        <v>29568.826800000003</v>
      </c>
      <c r="U61" s="32">
        <f t="shared" si="1"/>
        <v>23531.199999999997</v>
      </c>
      <c r="V61" s="37">
        <f t="shared" si="4"/>
        <v>6037.6268000000055</v>
      </c>
      <c r="W61" s="39">
        <f t="shared" si="5"/>
        <v>0.20418891966319086</v>
      </c>
    </row>
    <row r="62" spans="1:23" x14ac:dyDescent="0.3">
      <c r="A62" s="40" t="s">
        <v>213</v>
      </c>
      <c r="B62" s="41">
        <v>45910</v>
      </c>
      <c r="C62" s="42">
        <v>45912</v>
      </c>
      <c r="D62" s="43">
        <f t="shared" si="6"/>
        <v>2</v>
      </c>
      <c r="E62" s="43" t="str">
        <f>TEXT(Data!B62,"MMM-YYYY")</f>
        <v>Sep-2025</v>
      </c>
      <c r="F62" s="43" t="str">
        <f t="shared" si="2"/>
        <v>Q3-2025</v>
      </c>
      <c r="G62" s="33" t="s">
        <v>45</v>
      </c>
      <c r="H62" s="33" t="s">
        <v>46</v>
      </c>
      <c r="I62" s="33" t="s">
        <v>214</v>
      </c>
      <c r="J62" s="33" t="s">
        <v>48</v>
      </c>
      <c r="K62" s="33" t="s">
        <v>28</v>
      </c>
      <c r="L62" s="33" t="s">
        <v>68</v>
      </c>
      <c r="M62" s="33" t="s">
        <v>22</v>
      </c>
      <c r="N62" s="33" t="s">
        <v>215</v>
      </c>
      <c r="O62" s="43">
        <v>1470.15</v>
      </c>
      <c r="P62" s="44" t="str">
        <f t="shared" si="3"/>
        <v>High</v>
      </c>
      <c r="Q62" s="43">
        <v>2593.7800000000002</v>
      </c>
      <c r="R62" s="43">
        <v>0.11</v>
      </c>
      <c r="S62" s="43">
        <v>12</v>
      </c>
      <c r="T62" s="43">
        <f t="shared" si="0"/>
        <v>7255.4580000000005</v>
      </c>
      <c r="U62" s="33">
        <f t="shared" si="1"/>
        <v>17641.800000000003</v>
      </c>
      <c r="V62" s="43">
        <f t="shared" si="4"/>
        <v>-10386.342000000002</v>
      </c>
      <c r="W62" s="45">
        <f t="shared" si="5"/>
        <v>-1.4315212078961799</v>
      </c>
    </row>
    <row r="63" spans="1:23" x14ac:dyDescent="0.3">
      <c r="A63" s="34" t="s">
        <v>216</v>
      </c>
      <c r="B63" s="35">
        <v>45774</v>
      </c>
      <c r="C63" s="36">
        <v>45802</v>
      </c>
      <c r="D63" s="37">
        <f t="shared" si="6"/>
        <v>28</v>
      </c>
      <c r="E63" s="37" t="str">
        <f>TEXT(Data!B63,"MMM-YYYY")</f>
        <v>Apr-2025</v>
      </c>
      <c r="F63" s="37" t="str">
        <f t="shared" si="2"/>
        <v>Q2-2025</v>
      </c>
      <c r="G63" s="32" t="s">
        <v>78</v>
      </c>
      <c r="H63" s="32" t="s">
        <v>90</v>
      </c>
      <c r="I63" s="32" t="s">
        <v>217</v>
      </c>
      <c r="J63" s="32" t="s">
        <v>62</v>
      </c>
      <c r="K63" s="32" t="s">
        <v>40</v>
      </c>
      <c r="L63" s="32" t="s">
        <v>34</v>
      </c>
      <c r="M63" s="32" t="s">
        <v>42</v>
      </c>
      <c r="N63" s="32" t="s">
        <v>218</v>
      </c>
      <c r="O63" s="37">
        <v>603.45000000000005</v>
      </c>
      <c r="P63" s="38" t="str">
        <f t="shared" si="3"/>
        <v>High</v>
      </c>
      <c r="Q63" s="37">
        <v>1244.08</v>
      </c>
      <c r="R63" s="37">
        <v>0.2</v>
      </c>
      <c r="S63" s="37">
        <v>11</v>
      </c>
      <c r="T63" s="37">
        <f t="shared" si="0"/>
        <v>9767.2960000000003</v>
      </c>
      <c r="U63" s="32">
        <f t="shared" si="1"/>
        <v>6637.9500000000007</v>
      </c>
      <c r="V63" s="37">
        <f t="shared" si="4"/>
        <v>3129.3459999999995</v>
      </c>
      <c r="W63" s="39">
        <f t="shared" si="5"/>
        <v>0.32039020830330106</v>
      </c>
    </row>
    <row r="64" spans="1:23" x14ac:dyDescent="0.3">
      <c r="A64" s="40" t="s">
        <v>219</v>
      </c>
      <c r="B64" s="41">
        <v>45598</v>
      </c>
      <c r="C64" s="42">
        <v>45614</v>
      </c>
      <c r="D64" s="43">
        <f t="shared" si="6"/>
        <v>16</v>
      </c>
      <c r="E64" s="43" t="str">
        <f>TEXT(Data!B64,"MMM-YYYY")</f>
        <v>Nov-2024</v>
      </c>
      <c r="F64" s="43" t="str">
        <f t="shared" si="2"/>
        <v>Q4-2024</v>
      </c>
      <c r="G64" s="33" t="s">
        <v>45</v>
      </c>
      <c r="H64" s="33" t="s">
        <v>60</v>
      </c>
      <c r="I64" s="33" t="s">
        <v>220</v>
      </c>
      <c r="J64" s="33" t="s">
        <v>62</v>
      </c>
      <c r="K64" s="33" t="s">
        <v>55</v>
      </c>
      <c r="L64" s="33" t="s">
        <v>68</v>
      </c>
      <c r="M64" s="33" t="s">
        <v>64</v>
      </c>
      <c r="N64" s="33" t="s">
        <v>221</v>
      </c>
      <c r="O64" s="43">
        <v>1233.58</v>
      </c>
      <c r="P64" s="44" t="str">
        <f t="shared" si="3"/>
        <v>High</v>
      </c>
      <c r="Q64" s="43">
        <v>1912.51</v>
      </c>
      <c r="R64" s="43">
        <v>0.255</v>
      </c>
      <c r="S64" s="43">
        <v>51</v>
      </c>
      <c r="T64" s="43">
        <f t="shared" si="0"/>
        <v>3175.2421499999996</v>
      </c>
      <c r="U64" s="33">
        <f t="shared" si="1"/>
        <v>62912.579999999994</v>
      </c>
      <c r="V64" s="43">
        <f t="shared" si="4"/>
        <v>-59737.337849999996</v>
      </c>
      <c r="W64" s="45">
        <f t="shared" si="5"/>
        <v>-18.813474698299782</v>
      </c>
    </row>
    <row r="65" spans="1:23" x14ac:dyDescent="0.3">
      <c r="A65" s="34" t="s">
        <v>222</v>
      </c>
      <c r="B65" s="35">
        <v>44972</v>
      </c>
      <c r="C65" s="36">
        <v>44983</v>
      </c>
      <c r="D65" s="37">
        <f t="shared" si="6"/>
        <v>11</v>
      </c>
      <c r="E65" s="37" t="str">
        <f>TEXT(Data!B65,"MMM-YYYY")</f>
        <v>Feb-2023</v>
      </c>
      <c r="F65" s="37" t="str">
        <f t="shared" si="2"/>
        <v>Q1-2023</v>
      </c>
      <c r="G65" s="32" t="s">
        <v>16</v>
      </c>
      <c r="H65" s="32" t="s">
        <v>148</v>
      </c>
      <c r="I65" s="32" t="s">
        <v>149</v>
      </c>
      <c r="J65" s="32" t="s">
        <v>39</v>
      </c>
      <c r="K65" s="32" t="s">
        <v>20</v>
      </c>
      <c r="L65" s="32" t="s">
        <v>95</v>
      </c>
      <c r="M65" s="32" t="s">
        <v>57</v>
      </c>
      <c r="N65" s="32" t="s">
        <v>223</v>
      </c>
      <c r="O65" s="37">
        <v>498.5</v>
      </c>
      <c r="P65" s="38" t="str">
        <f t="shared" si="3"/>
        <v>High</v>
      </c>
      <c r="Q65" s="37">
        <v>755.87</v>
      </c>
      <c r="R65" s="37">
        <v>0.13</v>
      </c>
      <c r="S65" s="37">
        <v>40</v>
      </c>
      <c r="T65" s="37">
        <f t="shared" ref="T65:T128" si="7">(Q91*S65)*(1-R65)</f>
        <v>44693.64</v>
      </c>
      <c r="U65" s="32">
        <f t="shared" ref="U65:U128" si="8">(O65*S65)</f>
        <v>19940</v>
      </c>
      <c r="V65" s="37">
        <f t="shared" si="4"/>
        <v>24753.64</v>
      </c>
      <c r="W65" s="39">
        <f t="shared" si="5"/>
        <v>0.55385150996875621</v>
      </c>
    </row>
    <row r="66" spans="1:23" x14ac:dyDescent="0.3">
      <c r="A66" s="40" t="s">
        <v>224</v>
      </c>
      <c r="B66" s="41">
        <v>45263</v>
      </c>
      <c r="C66" s="42">
        <v>45286</v>
      </c>
      <c r="D66" s="43">
        <f t="shared" si="6"/>
        <v>23</v>
      </c>
      <c r="E66" s="43" t="str">
        <f>TEXT(Data!B66,"MMM-YYYY")</f>
        <v>Dec-2023</v>
      </c>
      <c r="F66" s="43" t="str">
        <f t="shared" ref="F66:F129" si="9">"Q"&amp;ROUNDUP(MONTH(B66)/3,0)&amp;"-"&amp;YEAR(B66)</f>
        <v>Q4-2023</v>
      </c>
      <c r="G66" s="33" t="s">
        <v>52</v>
      </c>
      <c r="H66" s="33" t="s">
        <v>73</v>
      </c>
      <c r="I66" s="33" t="s">
        <v>225</v>
      </c>
      <c r="J66" s="33" t="s">
        <v>27</v>
      </c>
      <c r="K66" s="33" t="s">
        <v>20</v>
      </c>
      <c r="L66" s="33" t="s">
        <v>68</v>
      </c>
      <c r="M66" s="33" t="s">
        <v>42</v>
      </c>
      <c r="N66" s="33" t="s">
        <v>226</v>
      </c>
      <c r="O66" s="43">
        <v>1303.1099999999999</v>
      </c>
      <c r="P66" s="44" t="str">
        <f t="shared" ref="P66:P129" si="10">IF(Q66&lt;50, "Low", IF(Q66&lt;200, "Medium", "High"))</f>
        <v>High</v>
      </c>
      <c r="Q66" s="43">
        <v>1145.67</v>
      </c>
      <c r="R66" s="43">
        <v>0.184</v>
      </c>
      <c r="S66" s="43">
        <v>13</v>
      </c>
      <c r="T66" s="43">
        <f t="shared" si="7"/>
        <v>9671.5257600000004</v>
      </c>
      <c r="U66" s="33">
        <f t="shared" si="8"/>
        <v>16940.43</v>
      </c>
      <c r="V66" s="43">
        <f t="shared" ref="V66:V129" si="11">(T66-U66)</f>
        <v>-7268.9042399999998</v>
      </c>
      <c r="W66" s="45">
        <f t="shared" ref="W66:W129" si="12">IF(T66=0, 0, V66/T66)</f>
        <v>-0.75157781929952694</v>
      </c>
    </row>
    <row r="67" spans="1:23" x14ac:dyDescent="0.3">
      <c r="A67" s="34" t="s">
        <v>227</v>
      </c>
      <c r="B67" s="35">
        <v>45004</v>
      </c>
      <c r="C67" s="36">
        <v>45025</v>
      </c>
      <c r="D67" s="37">
        <f t="shared" ref="D67:D130" si="13">DATEDIF(B67,C67, "MD")</f>
        <v>21</v>
      </c>
      <c r="E67" s="37" t="str">
        <f>TEXT(Data!B67,"MMM-YYYY")</f>
        <v>Mar-2023</v>
      </c>
      <c r="F67" s="37" t="str">
        <f t="shared" si="9"/>
        <v>Q1-2023</v>
      </c>
      <c r="G67" s="32" t="s">
        <v>78</v>
      </c>
      <c r="H67" s="32" t="s">
        <v>108</v>
      </c>
      <c r="I67" s="32" t="s">
        <v>228</v>
      </c>
      <c r="J67" s="32" t="s">
        <v>48</v>
      </c>
      <c r="K67" s="32" t="s">
        <v>20</v>
      </c>
      <c r="L67" s="32" t="s">
        <v>49</v>
      </c>
      <c r="M67" s="32" t="s">
        <v>81</v>
      </c>
      <c r="N67" s="32" t="s">
        <v>229</v>
      </c>
      <c r="O67" s="37">
        <v>1082.17</v>
      </c>
      <c r="P67" s="38" t="str">
        <f t="shared" si="10"/>
        <v>High</v>
      </c>
      <c r="Q67" s="37">
        <v>1234.0999999999999</v>
      </c>
      <c r="R67" s="37">
        <v>0.189</v>
      </c>
      <c r="S67" s="37">
        <v>16</v>
      </c>
      <c r="T67" s="37">
        <f t="shared" si="7"/>
        <v>18232.188319999997</v>
      </c>
      <c r="U67" s="32">
        <f t="shared" si="8"/>
        <v>17314.72</v>
      </c>
      <c r="V67" s="37">
        <f t="shared" si="11"/>
        <v>917.46831999999631</v>
      </c>
      <c r="W67" s="39">
        <f t="shared" si="12"/>
        <v>5.0321349467061474E-2</v>
      </c>
    </row>
    <row r="68" spans="1:23" x14ac:dyDescent="0.3">
      <c r="A68" s="40" t="s">
        <v>230</v>
      </c>
      <c r="B68" s="41">
        <v>45434</v>
      </c>
      <c r="C68" s="42">
        <v>45449</v>
      </c>
      <c r="D68" s="43">
        <f t="shared" si="13"/>
        <v>15</v>
      </c>
      <c r="E68" s="43" t="str">
        <f>TEXT(Data!B68,"MMM-YYYY")</f>
        <v>May-2024</v>
      </c>
      <c r="F68" s="43" t="str">
        <f t="shared" si="9"/>
        <v>Q2-2024</v>
      </c>
      <c r="G68" s="33" t="s">
        <v>45</v>
      </c>
      <c r="H68" s="33" t="s">
        <v>46</v>
      </c>
      <c r="I68" s="33" t="s">
        <v>231</v>
      </c>
      <c r="J68" s="33" t="s">
        <v>19</v>
      </c>
      <c r="K68" s="33" t="s">
        <v>55</v>
      </c>
      <c r="L68" s="33" t="s">
        <v>21</v>
      </c>
      <c r="M68" s="33" t="s">
        <v>64</v>
      </c>
      <c r="N68" s="33" t="s">
        <v>232</v>
      </c>
      <c r="O68" s="43">
        <v>673.88</v>
      </c>
      <c r="P68" s="44" t="str">
        <f t="shared" si="10"/>
        <v>High</v>
      </c>
      <c r="Q68" s="43">
        <v>1228.01</v>
      </c>
      <c r="R68" s="43">
        <v>0.105</v>
      </c>
      <c r="S68" s="43">
        <v>13</v>
      </c>
      <c r="T68" s="43">
        <f t="shared" si="7"/>
        <v>11273.616900000001</v>
      </c>
      <c r="U68" s="33">
        <f t="shared" si="8"/>
        <v>8760.44</v>
      </c>
      <c r="V68" s="43">
        <f t="shared" si="11"/>
        <v>2513.1769000000004</v>
      </c>
      <c r="W68" s="45">
        <f t="shared" si="12"/>
        <v>0.22292551913840536</v>
      </c>
    </row>
    <row r="69" spans="1:23" x14ac:dyDescent="0.3">
      <c r="A69" s="34" t="s">
        <v>233</v>
      </c>
      <c r="B69" s="35">
        <v>45157</v>
      </c>
      <c r="C69" s="36">
        <v>45176</v>
      </c>
      <c r="D69" s="37">
        <f t="shared" si="13"/>
        <v>19</v>
      </c>
      <c r="E69" s="37" t="str">
        <f>TEXT(Data!B69,"MMM-YYYY")</f>
        <v>Aug-2023</v>
      </c>
      <c r="F69" s="37" t="str">
        <f t="shared" si="9"/>
        <v>Q3-2023</v>
      </c>
      <c r="G69" s="32" t="s">
        <v>16</v>
      </c>
      <c r="H69" s="32" t="s">
        <v>148</v>
      </c>
      <c r="I69" s="32" t="s">
        <v>149</v>
      </c>
      <c r="J69" s="32" t="s">
        <v>105</v>
      </c>
      <c r="K69" s="32" t="s">
        <v>20</v>
      </c>
      <c r="L69" s="32" t="s">
        <v>145</v>
      </c>
      <c r="M69" s="32" t="s">
        <v>64</v>
      </c>
      <c r="N69" s="32" t="s">
        <v>234</v>
      </c>
      <c r="O69" s="37">
        <v>494.61</v>
      </c>
      <c r="P69" s="38" t="str">
        <f t="shared" si="10"/>
        <v>High</v>
      </c>
      <c r="Q69" s="37">
        <v>605.23</v>
      </c>
      <c r="R69" s="37">
        <v>0.20399999999999999</v>
      </c>
      <c r="S69" s="37">
        <v>18</v>
      </c>
      <c r="T69" s="37">
        <f t="shared" si="7"/>
        <v>15600.46968</v>
      </c>
      <c r="U69" s="32">
        <f t="shared" si="8"/>
        <v>8902.98</v>
      </c>
      <c r="V69" s="37">
        <f t="shared" si="11"/>
        <v>6697.4896800000006</v>
      </c>
      <c r="W69" s="39">
        <f t="shared" si="12"/>
        <v>0.42931333590464055</v>
      </c>
    </row>
    <row r="70" spans="1:23" x14ac:dyDescent="0.3">
      <c r="A70" s="40" t="s">
        <v>235</v>
      </c>
      <c r="B70" s="41">
        <v>45037</v>
      </c>
      <c r="C70" s="42">
        <v>45056</v>
      </c>
      <c r="D70" s="43">
        <f t="shared" si="13"/>
        <v>19</v>
      </c>
      <c r="E70" s="43" t="str">
        <f>TEXT(Data!B70,"MMM-YYYY")</f>
        <v>Apr-2023</v>
      </c>
      <c r="F70" s="43" t="str">
        <f t="shared" si="9"/>
        <v>Q2-2023</v>
      </c>
      <c r="G70" s="33" t="s">
        <v>45</v>
      </c>
      <c r="H70" s="33" t="s">
        <v>116</v>
      </c>
      <c r="I70" s="33" t="s">
        <v>162</v>
      </c>
      <c r="J70" s="33" t="s">
        <v>19</v>
      </c>
      <c r="K70" s="33" t="s">
        <v>20</v>
      </c>
      <c r="L70" s="33" t="s">
        <v>75</v>
      </c>
      <c r="M70" s="33" t="s">
        <v>22</v>
      </c>
      <c r="N70" s="33" t="s">
        <v>236</v>
      </c>
      <c r="O70" s="43">
        <v>882.33</v>
      </c>
      <c r="P70" s="44" t="str">
        <f t="shared" si="10"/>
        <v>High</v>
      </c>
      <c r="Q70" s="43">
        <v>1880.15</v>
      </c>
      <c r="R70" s="43">
        <v>0.05</v>
      </c>
      <c r="S70" s="43">
        <v>5</v>
      </c>
      <c r="T70" s="43">
        <f t="shared" si="7"/>
        <v>11803.702499999998</v>
      </c>
      <c r="U70" s="33">
        <f t="shared" si="8"/>
        <v>4411.6500000000005</v>
      </c>
      <c r="V70" s="43">
        <f t="shared" si="11"/>
        <v>7392.0524999999971</v>
      </c>
      <c r="W70" s="45">
        <f t="shared" si="12"/>
        <v>0.6262486283435218</v>
      </c>
    </row>
    <row r="71" spans="1:23" x14ac:dyDescent="0.3">
      <c r="A71" s="34" t="s">
        <v>237</v>
      </c>
      <c r="B71" s="35">
        <v>45369</v>
      </c>
      <c r="C71" s="36">
        <v>45372</v>
      </c>
      <c r="D71" s="37">
        <f t="shared" si="13"/>
        <v>3</v>
      </c>
      <c r="E71" s="37" t="str">
        <f>TEXT(Data!B71,"MMM-YYYY")</f>
        <v>Mar-2024</v>
      </c>
      <c r="F71" s="37" t="str">
        <f t="shared" si="9"/>
        <v>Q1-2024</v>
      </c>
      <c r="G71" s="32" t="s">
        <v>78</v>
      </c>
      <c r="H71" s="32" t="s">
        <v>79</v>
      </c>
      <c r="I71" s="32" t="s">
        <v>159</v>
      </c>
      <c r="J71" s="32" t="s">
        <v>62</v>
      </c>
      <c r="K71" s="32" t="s">
        <v>28</v>
      </c>
      <c r="L71" s="32" t="s">
        <v>110</v>
      </c>
      <c r="M71" s="32" t="s">
        <v>81</v>
      </c>
      <c r="N71" s="32" t="s">
        <v>238</v>
      </c>
      <c r="O71" s="37">
        <v>910.63</v>
      </c>
      <c r="P71" s="38" t="str">
        <f t="shared" si="10"/>
        <v>High</v>
      </c>
      <c r="Q71" s="37">
        <v>1269.4000000000001</v>
      </c>
      <c r="R71" s="37">
        <v>6.8000000000000005E-2</v>
      </c>
      <c r="S71" s="37">
        <v>9</v>
      </c>
      <c r="T71" s="37">
        <f t="shared" si="7"/>
        <v>240.65172000000001</v>
      </c>
      <c r="U71" s="32">
        <f t="shared" si="8"/>
        <v>8195.67</v>
      </c>
      <c r="V71" s="37">
        <f t="shared" si="11"/>
        <v>-7955.0182800000002</v>
      </c>
      <c r="W71" s="39">
        <f t="shared" si="12"/>
        <v>-33.05614553679483</v>
      </c>
    </row>
    <row r="72" spans="1:23" x14ac:dyDescent="0.3">
      <c r="A72" s="40" t="s">
        <v>239</v>
      </c>
      <c r="B72" s="41">
        <v>45756</v>
      </c>
      <c r="C72" s="42">
        <v>45783</v>
      </c>
      <c r="D72" s="43">
        <f t="shared" si="13"/>
        <v>27</v>
      </c>
      <c r="E72" s="43" t="str">
        <f>TEXT(Data!B72,"MMM-YYYY")</f>
        <v>Apr-2025</v>
      </c>
      <c r="F72" s="43" t="str">
        <f t="shared" si="9"/>
        <v>Q2-2025</v>
      </c>
      <c r="G72" s="33" t="s">
        <v>52</v>
      </c>
      <c r="H72" s="33" t="s">
        <v>73</v>
      </c>
      <c r="I72" s="33" t="s">
        <v>87</v>
      </c>
      <c r="J72" s="33" t="s">
        <v>105</v>
      </c>
      <c r="K72" s="33" t="s">
        <v>40</v>
      </c>
      <c r="L72" s="33" t="s">
        <v>84</v>
      </c>
      <c r="M72" s="33" t="s">
        <v>57</v>
      </c>
      <c r="N72" s="33" t="s">
        <v>240</v>
      </c>
      <c r="O72" s="43">
        <v>264.19</v>
      </c>
      <c r="P72" s="44" t="str">
        <f t="shared" si="10"/>
        <v>High</v>
      </c>
      <c r="Q72" s="43">
        <v>620.92999999999995</v>
      </c>
      <c r="R72" s="43">
        <v>0.14199999999999999</v>
      </c>
      <c r="S72" s="43">
        <v>12</v>
      </c>
      <c r="T72" s="43">
        <f t="shared" si="7"/>
        <v>19527.59952</v>
      </c>
      <c r="U72" s="33">
        <f t="shared" si="8"/>
        <v>3170.2799999999997</v>
      </c>
      <c r="V72" s="43">
        <f t="shared" si="11"/>
        <v>16357.319520000001</v>
      </c>
      <c r="W72" s="45">
        <f t="shared" si="12"/>
        <v>0.83765132028885447</v>
      </c>
    </row>
    <row r="73" spans="1:23" x14ac:dyDescent="0.3">
      <c r="A73" s="34" t="s">
        <v>241</v>
      </c>
      <c r="B73" s="35">
        <v>45394</v>
      </c>
      <c r="C73" s="36">
        <v>45419</v>
      </c>
      <c r="D73" s="37">
        <f t="shared" si="13"/>
        <v>25</v>
      </c>
      <c r="E73" s="37" t="str">
        <f>TEXT(Data!B73,"MMM-YYYY")</f>
        <v>Apr-2024</v>
      </c>
      <c r="F73" s="37" t="str">
        <f t="shared" si="9"/>
        <v>Q2-2024</v>
      </c>
      <c r="G73" s="32" t="s">
        <v>16</v>
      </c>
      <c r="H73" s="32" t="s">
        <v>148</v>
      </c>
      <c r="I73" s="32" t="s">
        <v>149</v>
      </c>
      <c r="J73" s="32" t="s">
        <v>27</v>
      </c>
      <c r="K73" s="32" t="s">
        <v>55</v>
      </c>
      <c r="L73" s="32" t="s">
        <v>75</v>
      </c>
      <c r="M73" s="32" t="s">
        <v>57</v>
      </c>
      <c r="N73" s="32" t="s">
        <v>242</v>
      </c>
      <c r="O73" s="37">
        <v>1376.51</v>
      </c>
      <c r="P73" s="38" t="str">
        <f t="shared" si="10"/>
        <v>High</v>
      </c>
      <c r="Q73" s="37">
        <v>1455.91</v>
      </c>
      <c r="R73" s="37">
        <v>0.185</v>
      </c>
      <c r="S73" s="37">
        <v>17</v>
      </c>
      <c r="T73" s="37">
        <f t="shared" si="7"/>
        <v>5807.6003499999997</v>
      </c>
      <c r="U73" s="32">
        <f t="shared" si="8"/>
        <v>23400.67</v>
      </c>
      <c r="V73" s="37">
        <f t="shared" si="11"/>
        <v>-17593.069649999998</v>
      </c>
      <c r="W73" s="39">
        <f t="shared" si="12"/>
        <v>-3.0293182364037841</v>
      </c>
    </row>
    <row r="74" spans="1:23" x14ac:dyDescent="0.3">
      <c r="A74" s="40" t="s">
        <v>243</v>
      </c>
      <c r="B74" s="41">
        <v>45641</v>
      </c>
      <c r="C74" s="42">
        <v>45646</v>
      </c>
      <c r="D74" s="43">
        <f t="shared" si="13"/>
        <v>5</v>
      </c>
      <c r="E74" s="43" t="str">
        <f>TEXT(Data!B74,"MMM-YYYY")</f>
        <v>Dec-2024</v>
      </c>
      <c r="F74" s="43" t="str">
        <f t="shared" si="9"/>
        <v>Q4-2024</v>
      </c>
      <c r="G74" s="33" t="s">
        <v>45</v>
      </c>
      <c r="H74" s="33" t="s">
        <v>116</v>
      </c>
      <c r="I74" s="33" t="s">
        <v>117</v>
      </c>
      <c r="J74" s="33" t="s">
        <v>62</v>
      </c>
      <c r="K74" s="33" t="s">
        <v>98</v>
      </c>
      <c r="L74" s="33" t="s">
        <v>29</v>
      </c>
      <c r="M74" s="33" t="s">
        <v>35</v>
      </c>
      <c r="N74" s="33" t="s">
        <v>244</v>
      </c>
      <c r="O74" s="43">
        <v>717.55</v>
      </c>
      <c r="P74" s="44" t="str">
        <f t="shared" si="10"/>
        <v>High</v>
      </c>
      <c r="Q74" s="43">
        <v>546.42999999999995</v>
      </c>
      <c r="R74" s="43">
        <v>4.7E-2</v>
      </c>
      <c r="S74" s="43">
        <v>18</v>
      </c>
      <c r="T74" s="43">
        <f t="shared" si="7"/>
        <v>34328.070179999995</v>
      </c>
      <c r="U74" s="33">
        <f t="shared" si="8"/>
        <v>12915.9</v>
      </c>
      <c r="V74" s="43">
        <f t="shared" si="11"/>
        <v>21412.170179999994</v>
      </c>
      <c r="W74" s="45">
        <f t="shared" si="12"/>
        <v>0.62375106050893059</v>
      </c>
    </row>
    <row r="75" spans="1:23" x14ac:dyDescent="0.3">
      <c r="A75" s="34" t="s">
        <v>245</v>
      </c>
      <c r="B75" s="35">
        <v>45066</v>
      </c>
      <c r="C75" s="36">
        <v>45064</v>
      </c>
      <c r="D75" s="37">
        <f>DATEDIF(C75,B75, "MD")</f>
        <v>2</v>
      </c>
      <c r="E75" s="37" t="str">
        <f>TEXT(Data!B75,"MMM-YYYY")</f>
        <v>May-2023</v>
      </c>
      <c r="F75" s="37" t="str">
        <f t="shared" si="9"/>
        <v>Q2-2023</v>
      </c>
      <c r="G75" s="32" t="s">
        <v>16</v>
      </c>
      <c r="H75" s="32" t="s">
        <v>148</v>
      </c>
      <c r="I75" s="32" t="s">
        <v>172</v>
      </c>
      <c r="J75" s="32" t="s">
        <v>19</v>
      </c>
      <c r="K75" s="32" t="s">
        <v>55</v>
      </c>
      <c r="L75" s="32" t="s">
        <v>75</v>
      </c>
      <c r="M75" s="32" t="s">
        <v>22</v>
      </c>
      <c r="N75" s="32" t="s">
        <v>246</v>
      </c>
      <c r="O75" s="37">
        <v>917.88</v>
      </c>
      <c r="P75" s="38" t="str">
        <f t="shared" si="10"/>
        <v>High</v>
      </c>
      <c r="Q75" s="37">
        <v>1347.92</v>
      </c>
      <c r="R75" s="37">
        <v>0.34300000000000003</v>
      </c>
      <c r="S75" s="37">
        <v>5</v>
      </c>
      <c r="T75" s="37">
        <f t="shared" si="7"/>
        <v>10198.97235</v>
      </c>
      <c r="U75" s="32">
        <f t="shared" si="8"/>
        <v>4589.3999999999996</v>
      </c>
      <c r="V75" s="37">
        <f t="shared" si="11"/>
        <v>5609.5723500000004</v>
      </c>
      <c r="W75" s="39">
        <f t="shared" si="12"/>
        <v>0.55001348738826616</v>
      </c>
    </row>
    <row r="76" spans="1:23" x14ac:dyDescent="0.3">
      <c r="A76" s="40" t="s">
        <v>247</v>
      </c>
      <c r="B76" s="41">
        <v>45187</v>
      </c>
      <c r="C76" s="42">
        <v>45207</v>
      </c>
      <c r="D76" s="43">
        <f t="shared" si="13"/>
        <v>20</v>
      </c>
      <c r="E76" s="43" t="str">
        <f>TEXT(Data!B76,"MMM-YYYY")</f>
        <v>Sep-2023</v>
      </c>
      <c r="F76" s="43" t="str">
        <f t="shared" si="9"/>
        <v>Q3-2023</v>
      </c>
      <c r="G76" s="33" t="s">
        <v>45</v>
      </c>
      <c r="H76" s="33" t="s">
        <v>60</v>
      </c>
      <c r="I76" s="33" t="s">
        <v>141</v>
      </c>
      <c r="J76" s="33" t="s">
        <v>62</v>
      </c>
      <c r="K76" s="33" t="s">
        <v>98</v>
      </c>
      <c r="L76" s="33" t="s">
        <v>56</v>
      </c>
      <c r="M76" s="33" t="s">
        <v>22</v>
      </c>
      <c r="N76" s="33" t="s">
        <v>248</v>
      </c>
      <c r="O76" s="43">
        <v>825.64</v>
      </c>
      <c r="P76" s="44" t="str">
        <f t="shared" si="10"/>
        <v>High</v>
      </c>
      <c r="Q76" s="43">
        <v>1108.43</v>
      </c>
      <c r="R76" s="43">
        <v>0.114</v>
      </c>
      <c r="S76" s="43">
        <v>7</v>
      </c>
      <c r="T76" s="43">
        <f t="shared" si="7"/>
        <v>2073.2045600000001</v>
      </c>
      <c r="U76" s="33">
        <f t="shared" si="8"/>
        <v>5779.48</v>
      </c>
      <c r="V76" s="43">
        <f t="shared" si="11"/>
        <v>-3706.2754399999994</v>
      </c>
      <c r="W76" s="45">
        <f t="shared" si="12"/>
        <v>-1.7877036890175464</v>
      </c>
    </row>
    <row r="77" spans="1:23" x14ac:dyDescent="0.3">
      <c r="A77" s="34" t="s">
        <v>249</v>
      </c>
      <c r="B77" s="35">
        <v>45532</v>
      </c>
      <c r="C77" s="36">
        <v>45560</v>
      </c>
      <c r="D77" s="37">
        <f t="shared" si="13"/>
        <v>28</v>
      </c>
      <c r="E77" s="37" t="str">
        <f>TEXT(Data!B77,"MMM-YYYY")</f>
        <v>Aug-2024</v>
      </c>
      <c r="F77" s="37" t="str">
        <f t="shared" si="9"/>
        <v>Q3-2024</v>
      </c>
      <c r="G77" s="32" t="s">
        <v>52</v>
      </c>
      <c r="H77" s="32" t="s">
        <v>73</v>
      </c>
      <c r="I77" s="32" t="s">
        <v>225</v>
      </c>
      <c r="J77" s="32" t="s">
        <v>39</v>
      </c>
      <c r="K77" s="32" t="s">
        <v>28</v>
      </c>
      <c r="L77" s="32" t="s">
        <v>1364</v>
      </c>
      <c r="M77" s="32" t="s">
        <v>81</v>
      </c>
      <c r="N77" s="32" t="s">
        <v>250</v>
      </c>
      <c r="O77" s="37">
        <v>1394.65</v>
      </c>
      <c r="P77" s="38" t="str">
        <f t="shared" si="10"/>
        <v>High</v>
      </c>
      <c r="Q77" s="37">
        <v>3144.1</v>
      </c>
      <c r="R77" s="37">
        <v>0.13400000000000001</v>
      </c>
      <c r="S77" s="37">
        <v>13</v>
      </c>
      <c r="T77" s="37">
        <f t="shared" si="7"/>
        <v>21984.960139999999</v>
      </c>
      <c r="U77" s="32">
        <f t="shared" si="8"/>
        <v>18130.45</v>
      </c>
      <c r="V77" s="37">
        <f t="shared" si="11"/>
        <v>3854.5101399999985</v>
      </c>
      <c r="W77" s="39">
        <f t="shared" si="12"/>
        <v>0.17532486370020767</v>
      </c>
    </row>
    <row r="78" spans="1:23" x14ac:dyDescent="0.3">
      <c r="A78" s="40" t="s">
        <v>251</v>
      </c>
      <c r="B78" s="41">
        <v>45473</v>
      </c>
      <c r="C78" s="42">
        <v>45471</v>
      </c>
      <c r="D78" s="43">
        <f>DATEDIF(C78,B78, "MD")</f>
        <v>2</v>
      </c>
      <c r="E78" s="43" t="str">
        <f>TEXT(Data!B78,"MMM-YYYY")</f>
        <v>Jun-2024</v>
      </c>
      <c r="F78" s="43" t="str">
        <f t="shared" si="9"/>
        <v>Q2-2024</v>
      </c>
      <c r="G78" s="33" t="s">
        <v>52</v>
      </c>
      <c r="H78" s="33" t="s">
        <v>73</v>
      </c>
      <c r="I78" s="33" t="s">
        <v>225</v>
      </c>
      <c r="J78" s="33" t="s">
        <v>62</v>
      </c>
      <c r="K78" s="33" t="s">
        <v>98</v>
      </c>
      <c r="L78" s="33" t="s">
        <v>49</v>
      </c>
      <c r="M78" s="33" t="s">
        <v>81</v>
      </c>
      <c r="N78" s="33" t="s">
        <v>252</v>
      </c>
      <c r="O78" s="43">
        <v>1112.98</v>
      </c>
      <c r="P78" s="44" t="str">
        <f t="shared" si="10"/>
        <v>High</v>
      </c>
      <c r="Q78" s="43">
        <v>2095.73</v>
      </c>
      <c r="R78" s="43">
        <v>7.1999999999999995E-2</v>
      </c>
      <c r="S78" s="43">
        <v>17</v>
      </c>
      <c r="T78" s="43">
        <f t="shared" si="7"/>
        <v>3822.3670400000005</v>
      </c>
      <c r="U78" s="33">
        <f t="shared" si="8"/>
        <v>18920.66</v>
      </c>
      <c r="V78" s="43">
        <f t="shared" si="11"/>
        <v>-15098.292959999999</v>
      </c>
      <c r="W78" s="45">
        <f t="shared" si="12"/>
        <v>-3.9499851275402365</v>
      </c>
    </row>
    <row r="79" spans="1:23" x14ac:dyDescent="0.3">
      <c r="A79" s="34" t="s">
        <v>253</v>
      </c>
      <c r="B79" s="35">
        <v>45091</v>
      </c>
      <c r="C79" s="36">
        <v>45093</v>
      </c>
      <c r="D79" s="37">
        <f t="shared" si="13"/>
        <v>2</v>
      </c>
      <c r="E79" s="37" t="str">
        <f>TEXT(Data!B79,"MMM-YYYY")</f>
        <v>Jun-2023</v>
      </c>
      <c r="F79" s="37" t="str">
        <f t="shared" si="9"/>
        <v>Q2-2023</v>
      </c>
      <c r="G79" s="32" t="s">
        <v>78</v>
      </c>
      <c r="H79" s="32" t="s">
        <v>108</v>
      </c>
      <c r="I79" s="32" t="s">
        <v>228</v>
      </c>
      <c r="J79" s="32" t="s">
        <v>39</v>
      </c>
      <c r="K79" s="32" t="s">
        <v>98</v>
      </c>
      <c r="L79" s="32" t="s">
        <v>95</v>
      </c>
      <c r="M79" s="32" t="s">
        <v>22</v>
      </c>
      <c r="N79" s="32" t="s">
        <v>254</v>
      </c>
      <c r="O79" s="37">
        <v>357.36</v>
      </c>
      <c r="P79" s="38" t="str">
        <f t="shared" si="10"/>
        <v>High</v>
      </c>
      <c r="Q79" s="37">
        <v>703.62</v>
      </c>
      <c r="R79" s="37">
        <v>0.25700000000000001</v>
      </c>
      <c r="S79" s="37">
        <v>20</v>
      </c>
      <c r="T79" s="37">
        <f t="shared" si="7"/>
        <v>44117.408199999998</v>
      </c>
      <c r="U79" s="32">
        <f t="shared" si="8"/>
        <v>7147.2000000000007</v>
      </c>
      <c r="V79" s="37">
        <f t="shared" si="11"/>
        <v>36970.208199999994</v>
      </c>
      <c r="W79" s="39">
        <f t="shared" si="12"/>
        <v>0.83799592288832592</v>
      </c>
    </row>
    <row r="80" spans="1:23" x14ac:dyDescent="0.3">
      <c r="A80" s="40" t="s">
        <v>255</v>
      </c>
      <c r="B80" s="41">
        <v>45617</v>
      </c>
      <c r="C80" s="42">
        <v>45647</v>
      </c>
      <c r="D80" s="43">
        <f t="shared" si="13"/>
        <v>0</v>
      </c>
      <c r="E80" s="43" t="str">
        <f>TEXT(Data!B80,"MMM-YYYY")</f>
        <v>Nov-2024</v>
      </c>
      <c r="F80" s="43" t="str">
        <f t="shared" si="9"/>
        <v>Q4-2024</v>
      </c>
      <c r="G80" s="33" t="s">
        <v>78</v>
      </c>
      <c r="H80" s="33" t="s">
        <v>90</v>
      </c>
      <c r="I80" s="33" t="s">
        <v>91</v>
      </c>
      <c r="J80" s="33" t="s">
        <v>62</v>
      </c>
      <c r="K80" s="33" t="s">
        <v>98</v>
      </c>
      <c r="L80" s="33" t="s">
        <v>34</v>
      </c>
      <c r="M80" s="33" t="s">
        <v>64</v>
      </c>
      <c r="N80" s="33" t="s">
        <v>256</v>
      </c>
      <c r="O80" s="43">
        <v>1122.68</v>
      </c>
      <c r="P80" s="44" t="str">
        <f t="shared" si="10"/>
        <v>High</v>
      </c>
      <c r="Q80" s="43">
        <v>1997.19</v>
      </c>
      <c r="R80" s="43">
        <v>0.186</v>
      </c>
      <c r="S80" s="43">
        <v>3</v>
      </c>
      <c r="T80" s="43">
        <f t="shared" si="7"/>
        <v>3404.8806</v>
      </c>
      <c r="U80" s="33">
        <f t="shared" si="8"/>
        <v>3368.04</v>
      </c>
      <c r="V80" s="43">
        <f t="shared" si="11"/>
        <v>36.840599999999995</v>
      </c>
      <c r="W80" s="45">
        <f t="shared" si="12"/>
        <v>1.081993888420052E-2</v>
      </c>
    </row>
    <row r="81" spans="1:23" x14ac:dyDescent="0.3">
      <c r="A81" s="34" t="s">
        <v>257</v>
      </c>
      <c r="B81" s="35">
        <v>44965</v>
      </c>
      <c r="C81" s="36">
        <v>44968</v>
      </c>
      <c r="D81" s="37">
        <f t="shared" si="13"/>
        <v>3</v>
      </c>
      <c r="E81" s="37" t="str">
        <f>TEXT(Data!B81,"MMM-YYYY")</f>
        <v>Feb-2023</v>
      </c>
      <c r="F81" s="37" t="str">
        <f t="shared" si="9"/>
        <v>Q1-2023</v>
      </c>
      <c r="G81" s="32" t="s">
        <v>16</v>
      </c>
      <c r="H81" s="32" t="s">
        <v>148</v>
      </c>
      <c r="I81" s="32" t="s">
        <v>258</v>
      </c>
      <c r="J81" s="32" t="s">
        <v>19</v>
      </c>
      <c r="K81" s="32" t="s">
        <v>98</v>
      </c>
      <c r="L81" s="32" t="s">
        <v>110</v>
      </c>
      <c r="M81" s="32" t="s">
        <v>35</v>
      </c>
      <c r="N81" s="32" t="s">
        <v>259</v>
      </c>
      <c r="O81" s="37">
        <v>1410.05</v>
      </c>
      <c r="P81" s="38" t="str">
        <f t="shared" si="10"/>
        <v>High</v>
      </c>
      <c r="Q81" s="37">
        <v>2763.95</v>
      </c>
      <c r="R81" s="37">
        <v>0.161</v>
      </c>
      <c r="S81" s="37">
        <v>26</v>
      </c>
      <c r="T81" s="37">
        <f t="shared" si="7"/>
        <v>336.15374000000003</v>
      </c>
      <c r="U81" s="32">
        <f t="shared" si="8"/>
        <v>36661.299999999996</v>
      </c>
      <c r="V81" s="37">
        <f t="shared" si="11"/>
        <v>-36325.146259999994</v>
      </c>
      <c r="W81" s="39">
        <f t="shared" si="12"/>
        <v>-108.06110995522462</v>
      </c>
    </row>
    <row r="82" spans="1:23" x14ac:dyDescent="0.3">
      <c r="A82" s="40" t="s">
        <v>260</v>
      </c>
      <c r="B82" s="41">
        <v>45157</v>
      </c>
      <c r="C82" s="42">
        <v>45181</v>
      </c>
      <c r="D82" s="43">
        <f t="shared" si="13"/>
        <v>24</v>
      </c>
      <c r="E82" s="43" t="str">
        <f>TEXT(Data!B82,"MMM-YYYY")</f>
        <v>Aug-2023</v>
      </c>
      <c r="F82" s="43" t="str">
        <f t="shared" si="9"/>
        <v>Q3-2023</v>
      </c>
      <c r="G82" s="33" t="s">
        <v>52</v>
      </c>
      <c r="H82" s="33" t="s">
        <v>53</v>
      </c>
      <c r="I82" s="33" t="s">
        <v>179</v>
      </c>
      <c r="J82" s="33" t="s">
        <v>105</v>
      </c>
      <c r="K82" s="33" t="s">
        <v>20</v>
      </c>
      <c r="L82" s="33" t="s">
        <v>34</v>
      </c>
      <c r="M82" s="33" t="s">
        <v>30</v>
      </c>
      <c r="N82" s="33" t="s">
        <v>261</v>
      </c>
      <c r="O82" s="43">
        <v>1183.95</v>
      </c>
      <c r="P82" s="44" t="str">
        <f t="shared" si="10"/>
        <v>High</v>
      </c>
      <c r="Q82" s="43">
        <v>1503.53</v>
      </c>
      <c r="R82" s="43">
        <v>0.24099999999999999</v>
      </c>
      <c r="S82" s="43">
        <v>16</v>
      </c>
      <c r="T82" s="43">
        <f t="shared" si="7"/>
        <v>27333.836640000001</v>
      </c>
      <c r="U82" s="33">
        <f t="shared" si="8"/>
        <v>18943.2</v>
      </c>
      <c r="V82" s="43">
        <f t="shared" si="11"/>
        <v>8390.6366400000006</v>
      </c>
      <c r="W82" s="45">
        <f t="shared" si="12"/>
        <v>0.30696885879976488</v>
      </c>
    </row>
    <row r="83" spans="1:23" x14ac:dyDescent="0.3">
      <c r="A83" s="34" t="s">
        <v>262</v>
      </c>
      <c r="B83" s="35">
        <v>45791</v>
      </c>
      <c r="C83" s="36">
        <v>45801</v>
      </c>
      <c r="D83" s="37">
        <f t="shared" si="13"/>
        <v>10</v>
      </c>
      <c r="E83" s="37" t="str">
        <f>TEXT(Data!B83,"MMM-YYYY")</f>
        <v>May-2025</v>
      </c>
      <c r="F83" s="37" t="str">
        <f t="shared" si="9"/>
        <v>Q2-2025</v>
      </c>
      <c r="G83" s="32" t="s">
        <v>78</v>
      </c>
      <c r="H83" s="32" t="s">
        <v>90</v>
      </c>
      <c r="I83" s="32" t="s">
        <v>217</v>
      </c>
      <c r="J83" s="32" t="s">
        <v>62</v>
      </c>
      <c r="K83" s="32" t="s">
        <v>40</v>
      </c>
      <c r="L83" s="32" t="s">
        <v>95</v>
      </c>
      <c r="M83" s="32" t="s">
        <v>22</v>
      </c>
      <c r="N83" s="32" t="s">
        <v>263</v>
      </c>
      <c r="O83" s="37">
        <v>170.39</v>
      </c>
      <c r="P83" s="38" t="str">
        <f t="shared" si="10"/>
        <v>High</v>
      </c>
      <c r="Q83" s="37">
        <v>388.04</v>
      </c>
      <c r="R83" s="37">
        <v>8.4000000000000005E-2</v>
      </c>
      <c r="S83" s="37">
        <v>15</v>
      </c>
      <c r="T83" s="37">
        <f t="shared" si="7"/>
        <v>2281.3896</v>
      </c>
      <c r="U83" s="32">
        <f t="shared" si="8"/>
        <v>2555.85</v>
      </c>
      <c r="V83" s="37">
        <f t="shared" si="11"/>
        <v>-274.46039999999994</v>
      </c>
      <c r="W83" s="39">
        <f t="shared" si="12"/>
        <v>-0.12030404627074653</v>
      </c>
    </row>
    <row r="84" spans="1:23" x14ac:dyDescent="0.3">
      <c r="A84" s="40" t="s">
        <v>264</v>
      </c>
      <c r="B84" s="41">
        <v>45770</v>
      </c>
      <c r="C84" s="42">
        <v>45769</v>
      </c>
      <c r="D84" s="43">
        <f>DATEDIF(C84,B84, "MD")</f>
        <v>1</v>
      </c>
      <c r="E84" s="43" t="str">
        <f>TEXT(Data!B84,"MMM-YYYY")</f>
        <v>Apr-2025</v>
      </c>
      <c r="F84" s="43" t="str">
        <f t="shared" si="9"/>
        <v>Q2-2025</v>
      </c>
      <c r="G84" s="33" t="s">
        <v>52</v>
      </c>
      <c r="H84" s="33" t="s">
        <v>122</v>
      </c>
      <c r="I84" s="33" t="s">
        <v>167</v>
      </c>
      <c r="J84" s="33" t="s">
        <v>39</v>
      </c>
      <c r="K84" s="33" t="s">
        <v>55</v>
      </c>
      <c r="L84" s="33" t="s">
        <v>145</v>
      </c>
      <c r="M84" s="33" t="s">
        <v>64</v>
      </c>
      <c r="N84" s="33" t="s">
        <v>265</v>
      </c>
      <c r="O84" s="43">
        <v>23.24</v>
      </c>
      <c r="P84" s="44" t="str">
        <f t="shared" si="10"/>
        <v>Low</v>
      </c>
      <c r="Q84" s="43">
        <v>44.57</v>
      </c>
      <c r="R84" s="43">
        <v>0.215</v>
      </c>
      <c r="S84" s="43">
        <v>15</v>
      </c>
      <c r="T84" s="43">
        <f t="shared" si="7"/>
        <v>4198.3762500000003</v>
      </c>
      <c r="U84" s="33">
        <f t="shared" si="8"/>
        <v>348.59999999999997</v>
      </c>
      <c r="V84" s="43">
        <f t="shared" si="11"/>
        <v>3849.7762500000003</v>
      </c>
      <c r="W84" s="45">
        <f t="shared" si="12"/>
        <v>0.91696789919674304</v>
      </c>
    </row>
    <row r="85" spans="1:23" x14ac:dyDescent="0.3">
      <c r="A85" s="34" t="s">
        <v>266</v>
      </c>
      <c r="B85" s="35">
        <v>45741</v>
      </c>
      <c r="C85" s="36">
        <v>45764</v>
      </c>
      <c r="D85" s="37">
        <f t="shared" si="13"/>
        <v>23</v>
      </c>
      <c r="E85" s="37" t="str">
        <f>TEXT(Data!B85,"MMM-YYYY")</f>
        <v>Mar-2025</v>
      </c>
      <c r="F85" s="37" t="str">
        <f t="shared" si="9"/>
        <v>Q1-2025</v>
      </c>
      <c r="G85" s="32" t="s">
        <v>78</v>
      </c>
      <c r="H85" s="32" t="s">
        <v>108</v>
      </c>
      <c r="I85" s="32" t="s">
        <v>152</v>
      </c>
      <c r="J85" s="32" t="s">
        <v>48</v>
      </c>
      <c r="K85" s="32" t="s">
        <v>20</v>
      </c>
      <c r="L85" s="32" t="s">
        <v>92</v>
      </c>
      <c r="M85" s="32" t="s">
        <v>35</v>
      </c>
      <c r="N85" s="32" t="s">
        <v>267</v>
      </c>
      <c r="O85" s="37">
        <v>1421.19</v>
      </c>
      <c r="P85" s="38" t="str">
        <f t="shared" si="10"/>
        <v>High</v>
      </c>
      <c r="Q85" s="37">
        <v>1808.26</v>
      </c>
      <c r="R85" s="37">
        <v>0.104</v>
      </c>
      <c r="S85" s="37">
        <v>13</v>
      </c>
      <c r="T85" s="37">
        <f t="shared" si="7"/>
        <v>11939.7824</v>
      </c>
      <c r="U85" s="32">
        <f t="shared" si="8"/>
        <v>18475.47</v>
      </c>
      <c r="V85" s="37">
        <f t="shared" si="11"/>
        <v>-6535.6876000000011</v>
      </c>
      <c r="W85" s="39">
        <f t="shared" si="12"/>
        <v>-0.54738749677716081</v>
      </c>
    </row>
    <row r="86" spans="1:23" x14ac:dyDescent="0.3">
      <c r="A86" s="40" t="s">
        <v>268</v>
      </c>
      <c r="B86" s="41">
        <v>45282</v>
      </c>
      <c r="C86" s="42">
        <v>45283</v>
      </c>
      <c r="D86" s="43">
        <f t="shared" si="13"/>
        <v>1</v>
      </c>
      <c r="E86" s="43" t="str">
        <f>TEXT(Data!B86,"MMM-YYYY")</f>
        <v>Dec-2023</v>
      </c>
      <c r="F86" s="43" t="str">
        <f t="shared" si="9"/>
        <v>Q4-2023</v>
      </c>
      <c r="G86" s="33" t="s">
        <v>16</v>
      </c>
      <c r="H86" s="33" t="s">
        <v>148</v>
      </c>
      <c r="I86" s="33" t="s">
        <v>258</v>
      </c>
      <c r="J86" s="33" t="s">
        <v>39</v>
      </c>
      <c r="K86" s="33" t="s">
        <v>40</v>
      </c>
      <c r="L86" s="33" t="s">
        <v>145</v>
      </c>
      <c r="M86" s="33" t="s">
        <v>22</v>
      </c>
      <c r="N86" s="33" t="s">
        <v>269</v>
      </c>
      <c r="O86" s="43">
        <v>1186.18</v>
      </c>
      <c r="P86" s="44" t="str">
        <f t="shared" si="10"/>
        <v>High</v>
      </c>
      <c r="Q86" s="43">
        <v>1285.0899999999999</v>
      </c>
      <c r="R86" s="43">
        <v>7.0000000000000007E-2</v>
      </c>
      <c r="S86" s="43">
        <v>11</v>
      </c>
      <c r="T86" s="43">
        <f t="shared" si="7"/>
        <v>18364.589100000001</v>
      </c>
      <c r="U86" s="33">
        <f t="shared" si="8"/>
        <v>13047.980000000001</v>
      </c>
      <c r="V86" s="43">
        <f t="shared" si="11"/>
        <v>5316.6090999999997</v>
      </c>
      <c r="W86" s="45">
        <f t="shared" si="12"/>
        <v>0.28950329740838032</v>
      </c>
    </row>
    <row r="87" spans="1:23" x14ac:dyDescent="0.3">
      <c r="A87" s="34" t="s">
        <v>270</v>
      </c>
      <c r="B87" s="35">
        <v>45388</v>
      </c>
      <c r="C87" s="36">
        <v>45407</v>
      </c>
      <c r="D87" s="37">
        <f t="shared" si="13"/>
        <v>19</v>
      </c>
      <c r="E87" s="37" t="str">
        <f>TEXT(Data!B87,"MMM-YYYY")</f>
        <v>Apr-2024</v>
      </c>
      <c r="F87" s="37" t="str">
        <f t="shared" si="9"/>
        <v>Q2-2024</v>
      </c>
      <c r="G87" s="32" t="s">
        <v>45</v>
      </c>
      <c r="H87" s="32" t="s">
        <v>116</v>
      </c>
      <c r="I87" s="32" t="s">
        <v>162</v>
      </c>
      <c r="J87" s="32" t="s">
        <v>19</v>
      </c>
      <c r="K87" s="32" t="s">
        <v>20</v>
      </c>
      <c r="L87" s="32" t="s">
        <v>95</v>
      </c>
      <c r="M87" s="32" t="s">
        <v>22</v>
      </c>
      <c r="N87" s="32" t="s">
        <v>271</v>
      </c>
      <c r="O87" s="37">
        <v>1366.48</v>
      </c>
      <c r="P87" s="38" t="str">
        <f t="shared" si="10"/>
        <v>High</v>
      </c>
      <c r="Q87" s="37">
        <v>1678.14</v>
      </c>
      <c r="R87" s="37">
        <v>0.154</v>
      </c>
      <c r="S87" s="37">
        <v>10</v>
      </c>
      <c r="T87" s="37">
        <f t="shared" si="7"/>
        <v>36.970199999999998</v>
      </c>
      <c r="U87" s="32">
        <f t="shared" si="8"/>
        <v>13664.8</v>
      </c>
      <c r="V87" s="37">
        <f t="shared" si="11"/>
        <v>-13627.8298</v>
      </c>
      <c r="W87" s="39">
        <f t="shared" si="12"/>
        <v>-368.61661013464897</v>
      </c>
    </row>
    <row r="88" spans="1:23" x14ac:dyDescent="0.3">
      <c r="A88" s="40" t="s">
        <v>272</v>
      </c>
      <c r="B88" s="41">
        <v>45876</v>
      </c>
      <c r="C88" s="42">
        <v>45888</v>
      </c>
      <c r="D88" s="43">
        <f t="shared" si="13"/>
        <v>12</v>
      </c>
      <c r="E88" s="43" t="str">
        <f>TEXT(Data!B88,"MMM-YYYY")</f>
        <v>Aug-2025</v>
      </c>
      <c r="F88" s="43" t="str">
        <f t="shared" si="9"/>
        <v>Q3-2025</v>
      </c>
      <c r="G88" s="33" t="s">
        <v>16</v>
      </c>
      <c r="H88" s="33" t="s">
        <v>17</v>
      </c>
      <c r="I88" s="33" t="s">
        <v>135</v>
      </c>
      <c r="J88" s="33" t="s">
        <v>19</v>
      </c>
      <c r="K88" s="33" t="s">
        <v>1364</v>
      </c>
      <c r="L88" s="33" t="s">
        <v>110</v>
      </c>
      <c r="M88" s="33" t="s">
        <v>22</v>
      </c>
      <c r="N88" s="33" t="s">
        <v>273</v>
      </c>
      <c r="O88" s="43">
        <v>601.51</v>
      </c>
      <c r="P88" s="44" t="str">
        <f t="shared" si="10"/>
        <v>High</v>
      </c>
      <c r="Q88" s="43">
        <v>679.35</v>
      </c>
      <c r="R88" s="43">
        <v>0.188</v>
      </c>
      <c r="S88" s="43">
        <v>3</v>
      </c>
      <c r="T88" s="43">
        <f t="shared" si="7"/>
        <v>532.26600000000008</v>
      </c>
      <c r="U88" s="33">
        <f t="shared" si="8"/>
        <v>1804.53</v>
      </c>
      <c r="V88" s="43">
        <f t="shared" si="11"/>
        <v>-1272.2639999999999</v>
      </c>
      <c r="W88" s="45">
        <f t="shared" si="12"/>
        <v>-2.3902785449380568</v>
      </c>
    </row>
    <row r="89" spans="1:23" x14ac:dyDescent="0.3">
      <c r="A89" s="34" t="s">
        <v>274</v>
      </c>
      <c r="B89" s="35">
        <v>45312</v>
      </c>
      <c r="C89" s="36">
        <v>45316</v>
      </c>
      <c r="D89" s="37">
        <f t="shared" si="13"/>
        <v>4</v>
      </c>
      <c r="E89" s="37" t="str">
        <f>TEXT(Data!B89,"MMM-YYYY")</f>
        <v>Jan-2024</v>
      </c>
      <c r="F89" s="37" t="str">
        <f t="shared" si="9"/>
        <v>Q1-2024</v>
      </c>
      <c r="G89" s="32" t="s">
        <v>45</v>
      </c>
      <c r="H89" s="32" t="s">
        <v>60</v>
      </c>
      <c r="I89" s="32" t="s">
        <v>141</v>
      </c>
      <c r="J89" s="32" t="s">
        <v>48</v>
      </c>
      <c r="K89" s="32" t="s">
        <v>98</v>
      </c>
      <c r="L89" s="32" t="s">
        <v>21</v>
      </c>
      <c r="M89" s="32" t="s">
        <v>64</v>
      </c>
      <c r="N89" s="32" t="s">
        <v>275</v>
      </c>
      <c r="O89" s="37">
        <v>523.70000000000005</v>
      </c>
      <c r="P89" s="38" t="str">
        <f t="shared" si="10"/>
        <v>High</v>
      </c>
      <c r="Q89" s="37">
        <v>1109.92</v>
      </c>
      <c r="R89" s="37">
        <v>0.03</v>
      </c>
      <c r="S89" s="37">
        <v>11</v>
      </c>
      <c r="T89" s="37">
        <f t="shared" si="7"/>
        <v>2666.1129000000001</v>
      </c>
      <c r="U89" s="32">
        <f t="shared" si="8"/>
        <v>5760.7000000000007</v>
      </c>
      <c r="V89" s="37">
        <f t="shared" si="11"/>
        <v>-3094.5871000000006</v>
      </c>
      <c r="W89" s="39">
        <f t="shared" si="12"/>
        <v>-1.160711198689298</v>
      </c>
    </row>
    <row r="90" spans="1:23" x14ac:dyDescent="0.3">
      <c r="A90" s="40" t="s">
        <v>276</v>
      </c>
      <c r="B90" s="41">
        <v>45106</v>
      </c>
      <c r="C90" s="42">
        <v>45109</v>
      </c>
      <c r="D90" s="43">
        <f t="shared" si="13"/>
        <v>3</v>
      </c>
      <c r="E90" s="43" t="str">
        <f>TEXT(Data!B90,"MMM-YYYY")</f>
        <v>Jun-2023</v>
      </c>
      <c r="F90" s="43" t="str">
        <f t="shared" si="9"/>
        <v>Q2-2023</v>
      </c>
      <c r="G90" s="33" t="s">
        <v>45</v>
      </c>
      <c r="H90" s="33" t="s">
        <v>46</v>
      </c>
      <c r="I90" s="33" t="s">
        <v>231</v>
      </c>
      <c r="J90" s="33" t="s">
        <v>27</v>
      </c>
      <c r="K90" s="33" t="s">
        <v>40</v>
      </c>
      <c r="L90" s="33" t="s">
        <v>84</v>
      </c>
      <c r="M90" s="33" t="s">
        <v>64</v>
      </c>
      <c r="N90" s="33" t="s">
        <v>277</v>
      </c>
      <c r="O90" s="43">
        <v>55.65</v>
      </c>
      <c r="P90" s="44" t="str">
        <f t="shared" si="10"/>
        <v>Medium</v>
      </c>
      <c r="Q90" s="43">
        <v>83.57</v>
      </c>
      <c r="R90" s="43">
        <v>6.6000000000000003E-2</v>
      </c>
      <c r="S90" s="43">
        <v>8</v>
      </c>
      <c r="T90" s="43">
        <f t="shared" si="7"/>
        <v>25677.677439999999</v>
      </c>
      <c r="U90" s="33">
        <f t="shared" si="8"/>
        <v>445.2</v>
      </c>
      <c r="V90" s="43">
        <f t="shared" si="11"/>
        <v>25232.477439999999</v>
      </c>
      <c r="W90" s="45">
        <f t="shared" si="12"/>
        <v>0.98266198331059018</v>
      </c>
    </row>
    <row r="91" spans="1:23" x14ac:dyDescent="0.3">
      <c r="A91" s="34" t="s">
        <v>278</v>
      </c>
      <c r="B91" s="35">
        <v>45775</v>
      </c>
      <c r="C91" s="36">
        <v>45792</v>
      </c>
      <c r="D91" s="37">
        <f t="shared" si="13"/>
        <v>17</v>
      </c>
      <c r="E91" s="37" t="str">
        <f>TEXT(Data!B91,"MMM-YYYY")</f>
        <v>Apr-2025</v>
      </c>
      <c r="F91" s="37" t="str">
        <f t="shared" si="9"/>
        <v>Q2-2025</v>
      </c>
      <c r="G91" s="32" t="s">
        <v>45</v>
      </c>
      <c r="H91" s="32" t="s">
        <v>46</v>
      </c>
      <c r="I91" s="32" t="s">
        <v>231</v>
      </c>
      <c r="J91" s="32" t="s">
        <v>27</v>
      </c>
      <c r="K91" s="32" t="s">
        <v>98</v>
      </c>
      <c r="L91" s="32" t="s">
        <v>126</v>
      </c>
      <c r="M91" s="32" t="s">
        <v>35</v>
      </c>
      <c r="N91" s="32" t="s">
        <v>279</v>
      </c>
      <c r="O91" s="37">
        <v>691.19</v>
      </c>
      <c r="P91" s="38" t="str">
        <f t="shared" si="10"/>
        <v>High</v>
      </c>
      <c r="Q91" s="37">
        <v>1284.3</v>
      </c>
      <c r="R91" s="37">
        <v>7.3999999999999996E-2</v>
      </c>
      <c r="S91" s="37">
        <v>7</v>
      </c>
      <c r="T91" s="37">
        <f t="shared" si="7"/>
        <v>346.46290000000005</v>
      </c>
      <c r="U91" s="32">
        <f t="shared" si="8"/>
        <v>4838.33</v>
      </c>
      <c r="V91" s="37">
        <f t="shared" si="11"/>
        <v>-4491.8670999999995</v>
      </c>
      <c r="W91" s="39">
        <f t="shared" si="12"/>
        <v>-12.964929578318483</v>
      </c>
    </row>
    <row r="92" spans="1:23" x14ac:dyDescent="0.3">
      <c r="A92" s="40" t="s">
        <v>280</v>
      </c>
      <c r="B92" s="41">
        <v>45817</v>
      </c>
      <c r="C92" s="42">
        <v>45833</v>
      </c>
      <c r="D92" s="43">
        <f t="shared" si="13"/>
        <v>16</v>
      </c>
      <c r="E92" s="43" t="str">
        <f>TEXT(Data!B92,"MMM-YYYY")</f>
        <v>Jun-2025</v>
      </c>
      <c r="F92" s="43" t="str">
        <f t="shared" si="9"/>
        <v>Q2-2025</v>
      </c>
      <c r="G92" s="33" t="s">
        <v>45</v>
      </c>
      <c r="H92" s="33" t="s">
        <v>60</v>
      </c>
      <c r="I92" s="33" t="s">
        <v>281</v>
      </c>
      <c r="J92" s="33" t="s">
        <v>105</v>
      </c>
      <c r="K92" s="33" t="s">
        <v>55</v>
      </c>
      <c r="L92" s="33" t="s">
        <v>110</v>
      </c>
      <c r="M92" s="33" t="s">
        <v>42</v>
      </c>
      <c r="N92" s="33" t="s">
        <v>282</v>
      </c>
      <c r="O92" s="43">
        <v>527.33000000000004</v>
      </c>
      <c r="P92" s="44" t="str">
        <f t="shared" si="10"/>
        <v>High</v>
      </c>
      <c r="Q92" s="43">
        <v>911.72</v>
      </c>
      <c r="R92" s="43">
        <v>0.14399999999999999</v>
      </c>
      <c r="S92" s="43">
        <v>25</v>
      </c>
      <c r="T92" s="43">
        <f t="shared" si="7"/>
        <v>74251.58</v>
      </c>
      <c r="U92" s="33">
        <f t="shared" si="8"/>
        <v>13183.250000000002</v>
      </c>
      <c r="V92" s="43">
        <f t="shared" si="11"/>
        <v>61068.33</v>
      </c>
      <c r="W92" s="45">
        <f t="shared" si="12"/>
        <v>0.82245158958233622</v>
      </c>
    </row>
    <row r="93" spans="1:23" x14ac:dyDescent="0.3">
      <c r="A93" s="34" t="s">
        <v>283</v>
      </c>
      <c r="B93" s="35">
        <v>45101</v>
      </c>
      <c r="C93" s="36">
        <v>45100</v>
      </c>
      <c r="D93" s="37">
        <f>DATEDIF(C93,B93, "MD")</f>
        <v>1</v>
      </c>
      <c r="E93" s="37" t="str">
        <f>TEXT(Data!B93,"MMM-YYYY")</f>
        <v>Jun-2023</v>
      </c>
      <c r="F93" s="37" t="str">
        <f t="shared" si="9"/>
        <v>Q2-2023</v>
      </c>
      <c r="G93" s="32" t="s">
        <v>52</v>
      </c>
      <c r="H93" s="32" t="s">
        <v>73</v>
      </c>
      <c r="I93" s="32" t="s">
        <v>225</v>
      </c>
      <c r="J93" s="32" t="s">
        <v>39</v>
      </c>
      <c r="K93" s="32" t="s">
        <v>20</v>
      </c>
      <c r="L93" s="32" t="s">
        <v>63</v>
      </c>
      <c r="M93" s="32" t="s">
        <v>30</v>
      </c>
      <c r="N93" s="32" t="s">
        <v>284</v>
      </c>
      <c r="O93" s="37">
        <v>804.01</v>
      </c>
      <c r="P93" s="38" t="str">
        <f t="shared" si="10"/>
        <v>High</v>
      </c>
      <c r="Q93" s="37">
        <v>1405.07</v>
      </c>
      <c r="R93" s="37">
        <v>9.6000000000000002E-2</v>
      </c>
      <c r="S93" s="37">
        <v>8</v>
      </c>
      <c r="T93" s="37">
        <f t="shared" si="7"/>
        <v>4491.2166399999996</v>
      </c>
      <c r="U93" s="32">
        <f t="shared" si="8"/>
        <v>6432.08</v>
      </c>
      <c r="V93" s="37">
        <f t="shared" si="11"/>
        <v>-1940.8633600000003</v>
      </c>
      <c r="W93" s="39">
        <f t="shared" si="12"/>
        <v>-0.43214645731273393</v>
      </c>
    </row>
    <row r="94" spans="1:23" x14ac:dyDescent="0.3">
      <c r="A94" s="40" t="s">
        <v>285</v>
      </c>
      <c r="B94" s="41">
        <v>45569</v>
      </c>
      <c r="C94" s="42">
        <v>45598</v>
      </c>
      <c r="D94" s="43">
        <f t="shared" si="13"/>
        <v>29</v>
      </c>
      <c r="E94" s="43" t="str">
        <f>TEXT(Data!B94,"MMM-YYYY")</f>
        <v>Oct-2024</v>
      </c>
      <c r="F94" s="43" t="str">
        <f t="shared" si="9"/>
        <v>Q4-2024</v>
      </c>
      <c r="G94" s="33" t="s">
        <v>16</v>
      </c>
      <c r="H94" s="33" t="s">
        <v>25</v>
      </c>
      <c r="I94" s="33" t="s">
        <v>67</v>
      </c>
      <c r="J94" s="33" t="s">
        <v>19</v>
      </c>
      <c r="K94" s="33" t="s">
        <v>55</v>
      </c>
      <c r="L94" s="33" t="s">
        <v>84</v>
      </c>
      <c r="M94" s="33" t="s">
        <v>81</v>
      </c>
      <c r="N94" s="33" t="s">
        <v>286</v>
      </c>
      <c r="O94" s="43">
        <v>412.09</v>
      </c>
      <c r="P94" s="44" t="str">
        <f t="shared" si="10"/>
        <v>High</v>
      </c>
      <c r="Q94" s="43">
        <v>968.94</v>
      </c>
      <c r="R94" s="43">
        <v>9.9000000000000005E-2</v>
      </c>
      <c r="S94" s="43">
        <v>23</v>
      </c>
      <c r="T94" s="43">
        <f t="shared" si="7"/>
        <v>1834.19273</v>
      </c>
      <c r="U94" s="33">
        <f t="shared" si="8"/>
        <v>9478.07</v>
      </c>
      <c r="V94" s="43">
        <f t="shared" si="11"/>
        <v>-7643.87727</v>
      </c>
      <c r="W94" s="45">
        <f t="shared" si="12"/>
        <v>-4.1674340678473847</v>
      </c>
    </row>
    <row r="95" spans="1:23" x14ac:dyDescent="0.3">
      <c r="A95" s="34" t="s">
        <v>287</v>
      </c>
      <c r="B95" s="35">
        <v>45910</v>
      </c>
      <c r="C95" s="36">
        <v>45930</v>
      </c>
      <c r="D95" s="37">
        <f t="shared" si="13"/>
        <v>20</v>
      </c>
      <c r="E95" s="37" t="str">
        <f>TEXT(Data!B95,"MMM-YYYY")</f>
        <v>Sep-2025</v>
      </c>
      <c r="F95" s="37" t="str">
        <f t="shared" si="9"/>
        <v>Q3-2025</v>
      </c>
      <c r="G95" s="32" t="s">
        <v>16</v>
      </c>
      <c r="H95" s="32" t="s">
        <v>17</v>
      </c>
      <c r="I95" s="32" t="s">
        <v>113</v>
      </c>
      <c r="J95" s="32" t="s">
        <v>19</v>
      </c>
      <c r="K95" s="32" t="s">
        <v>98</v>
      </c>
      <c r="L95" s="32" t="s">
        <v>49</v>
      </c>
      <c r="M95" s="32" t="s">
        <v>42</v>
      </c>
      <c r="N95" s="32" t="s">
        <v>288</v>
      </c>
      <c r="O95" s="37">
        <v>1009.48</v>
      </c>
      <c r="P95" s="38" t="str">
        <f t="shared" si="10"/>
        <v>High</v>
      </c>
      <c r="Q95" s="37">
        <v>1088.81</v>
      </c>
      <c r="R95" s="37">
        <v>0.16</v>
      </c>
      <c r="S95" s="37">
        <v>6</v>
      </c>
      <c r="T95" s="37">
        <f t="shared" si="7"/>
        <v>9873.8135999999995</v>
      </c>
      <c r="U95" s="32">
        <f t="shared" si="8"/>
        <v>6056.88</v>
      </c>
      <c r="V95" s="37">
        <f t="shared" si="11"/>
        <v>3816.9335999999994</v>
      </c>
      <c r="W95" s="39">
        <f t="shared" si="12"/>
        <v>0.38657136488782812</v>
      </c>
    </row>
    <row r="96" spans="1:23" x14ac:dyDescent="0.3">
      <c r="A96" s="40" t="s">
        <v>289</v>
      </c>
      <c r="B96" s="41">
        <v>45022</v>
      </c>
      <c r="C96" s="42">
        <v>45043</v>
      </c>
      <c r="D96" s="43">
        <f t="shared" si="13"/>
        <v>21</v>
      </c>
      <c r="E96" s="43" t="str">
        <f>TEXT(Data!B96,"MMM-YYYY")</f>
        <v>Apr-2023</v>
      </c>
      <c r="F96" s="43" t="str">
        <f t="shared" si="9"/>
        <v>Q2-2023</v>
      </c>
      <c r="G96" s="33" t="s">
        <v>78</v>
      </c>
      <c r="H96" s="33" t="s">
        <v>108</v>
      </c>
      <c r="I96" s="33" t="s">
        <v>228</v>
      </c>
      <c r="J96" s="33" t="s">
        <v>105</v>
      </c>
      <c r="K96" s="33" t="s">
        <v>55</v>
      </c>
      <c r="L96" s="33" t="s">
        <v>34</v>
      </c>
      <c r="M96" s="33" t="s">
        <v>30</v>
      </c>
      <c r="N96" s="33" t="s">
        <v>290</v>
      </c>
      <c r="O96" s="43">
        <v>1084.79</v>
      </c>
      <c r="P96" s="44" t="str">
        <f t="shared" si="10"/>
        <v>High</v>
      </c>
      <c r="Q96" s="43">
        <v>2484.9899999999998</v>
      </c>
      <c r="R96" s="43">
        <v>3.4000000000000002E-2</v>
      </c>
      <c r="S96" s="43">
        <v>18</v>
      </c>
      <c r="T96" s="43">
        <f t="shared" si="7"/>
        <v>47694.762360000001</v>
      </c>
      <c r="U96" s="33">
        <f t="shared" si="8"/>
        <v>19526.22</v>
      </c>
      <c r="V96" s="43">
        <f t="shared" si="11"/>
        <v>28168.542359999999</v>
      </c>
      <c r="W96" s="45">
        <f t="shared" si="12"/>
        <v>0.59060032939013052</v>
      </c>
    </row>
    <row r="97" spans="1:23" x14ac:dyDescent="0.3">
      <c r="A97" s="34" t="s">
        <v>291</v>
      </c>
      <c r="B97" s="35">
        <v>45870</v>
      </c>
      <c r="C97" s="36">
        <v>45885</v>
      </c>
      <c r="D97" s="37">
        <f t="shared" si="13"/>
        <v>15</v>
      </c>
      <c r="E97" s="37" t="str">
        <f>TEXT(Data!B97,"MMM-YYYY")</f>
        <v>Aug-2025</v>
      </c>
      <c r="F97" s="37" t="str">
        <f t="shared" si="9"/>
        <v>Q3-2025</v>
      </c>
      <c r="G97" s="32" t="s">
        <v>45</v>
      </c>
      <c r="H97" s="32" t="s">
        <v>60</v>
      </c>
      <c r="I97" s="32" t="s">
        <v>1364</v>
      </c>
      <c r="J97" s="32" t="s">
        <v>105</v>
      </c>
      <c r="K97" s="32" t="s">
        <v>98</v>
      </c>
      <c r="L97" s="32" t="s">
        <v>68</v>
      </c>
      <c r="M97" s="32" t="s">
        <v>64</v>
      </c>
      <c r="N97" s="32" t="s">
        <v>292</v>
      </c>
      <c r="O97" s="37">
        <v>24.44</v>
      </c>
      <c r="P97" s="38" t="str">
        <f t="shared" si="10"/>
        <v>Low</v>
      </c>
      <c r="Q97" s="37">
        <v>28.69</v>
      </c>
      <c r="R97" s="37">
        <v>0.14599999999999999</v>
      </c>
      <c r="S97" s="37">
        <v>6</v>
      </c>
      <c r="T97" s="37">
        <f t="shared" si="7"/>
        <v>8605.3480799999998</v>
      </c>
      <c r="U97" s="32">
        <f t="shared" si="8"/>
        <v>146.64000000000001</v>
      </c>
      <c r="V97" s="37">
        <f t="shared" si="11"/>
        <v>8458.7080800000003</v>
      </c>
      <c r="W97" s="39">
        <f t="shared" si="12"/>
        <v>0.98295943422197984</v>
      </c>
    </row>
    <row r="98" spans="1:23" x14ac:dyDescent="0.3">
      <c r="A98" s="40" t="s">
        <v>293</v>
      </c>
      <c r="B98" s="41">
        <v>45440</v>
      </c>
      <c r="C98" s="42">
        <v>45438</v>
      </c>
      <c r="D98" s="43">
        <f>DATEDIF(C98,B98, "MD")</f>
        <v>2</v>
      </c>
      <c r="E98" s="43" t="str">
        <f>TEXT(Data!B98,"MMM-YYYY")</f>
        <v>May-2024</v>
      </c>
      <c r="F98" s="43" t="str">
        <f t="shared" si="9"/>
        <v>Q2-2024</v>
      </c>
      <c r="G98" s="33" t="s">
        <v>16</v>
      </c>
      <c r="H98" s="33" t="s">
        <v>25</v>
      </c>
      <c r="I98" s="33" t="s">
        <v>67</v>
      </c>
      <c r="J98" s="33" t="s">
        <v>105</v>
      </c>
      <c r="K98" s="33" t="s">
        <v>28</v>
      </c>
      <c r="L98" s="33" t="s">
        <v>84</v>
      </c>
      <c r="M98" s="33" t="s">
        <v>81</v>
      </c>
      <c r="N98" s="33" t="s">
        <v>294</v>
      </c>
      <c r="O98" s="43">
        <v>1227.08</v>
      </c>
      <c r="P98" s="44" t="str">
        <f t="shared" si="10"/>
        <v>High</v>
      </c>
      <c r="Q98" s="43">
        <v>1896.62</v>
      </c>
      <c r="R98" s="43">
        <v>0</v>
      </c>
      <c r="S98" s="43">
        <v>18</v>
      </c>
      <c r="T98" s="43">
        <f t="shared" si="7"/>
        <v>25810.2</v>
      </c>
      <c r="U98" s="33">
        <f t="shared" si="8"/>
        <v>22087.439999999999</v>
      </c>
      <c r="V98" s="43">
        <f t="shared" si="11"/>
        <v>3722.760000000002</v>
      </c>
      <c r="W98" s="45">
        <f t="shared" si="12"/>
        <v>0.14423599972104059</v>
      </c>
    </row>
    <row r="99" spans="1:23" x14ac:dyDescent="0.3">
      <c r="A99" s="34" t="s">
        <v>295</v>
      </c>
      <c r="B99" s="35">
        <v>45860</v>
      </c>
      <c r="C99" s="36">
        <v>45887</v>
      </c>
      <c r="D99" s="37">
        <f t="shared" si="13"/>
        <v>27</v>
      </c>
      <c r="E99" s="37" t="str">
        <f>TEXT(Data!B99,"MMM-YYYY")</f>
        <v>Jul-2025</v>
      </c>
      <c r="F99" s="37" t="str">
        <f t="shared" si="9"/>
        <v>Q3-2025</v>
      </c>
      <c r="G99" s="32" t="s">
        <v>45</v>
      </c>
      <c r="H99" s="32" t="s">
        <v>116</v>
      </c>
      <c r="I99" s="32" t="s">
        <v>117</v>
      </c>
      <c r="J99" s="32" t="s">
        <v>39</v>
      </c>
      <c r="K99" s="32" t="s">
        <v>40</v>
      </c>
      <c r="L99" s="32" t="s">
        <v>110</v>
      </c>
      <c r="M99" s="32" t="s">
        <v>35</v>
      </c>
      <c r="N99" s="32" t="s">
        <v>296</v>
      </c>
      <c r="O99" s="37">
        <v>547.32000000000005</v>
      </c>
      <c r="P99" s="38" t="str">
        <f t="shared" si="10"/>
        <v>High</v>
      </c>
      <c r="Q99" s="37">
        <v>419.17</v>
      </c>
      <c r="R99" s="37">
        <v>9.1999999999999998E-2</v>
      </c>
      <c r="S99" s="37">
        <v>14</v>
      </c>
      <c r="T99" s="37">
        <f t="shared" si="7"/>
        <v>3615.67416</v>
      </c>
      <c r="U99" s="32">
        <f t="shared" si="8"/>
        <v>7662.4800000000005</v>
      </c>
      <c r="V99" s="37">
        <f t="shared" si="11"/>
        <v>-4046.8058400000004</v>
      </c>
      <c r="W99" s="39">
        <f t="shared" si="12"/>
        <v>-1.1192396385630061</v>
      </c>
    </row>
    <row r="100" spans="1:23" x14ac:dyDescent="0.3">
      <c r="A100" s="40" t="s">
        <v>297</v>
      </c>
      <c r="B100" s="41">
        <v>44985</v>
      </c>
      <c r="C100" s="42">
        <v>45005</v>
      </c>
      <c r="D100" s="43">
        <f t="shared" si="13"/>
        <v>20</v>
      </c>
      <c r="E100" s="43" t="str">
        <f>TEXT(Data!B100,"MMM-YYYY")</f>
        <v>Feb-2023</v>
      </c>
      <c r="F100" s="43" t="str">
        <f t="shared" si="9"/>
        <v>Q1-2023</v>
      </c>
      <c r="G100" s="33" t="s">
        <v>78</v>
      </c>
      <c r="H100" s="33" t="s">
        <v>79</v>
      </c>
      <c r="I100" s="33" t="s">
        <v>80</v>
      </c>
      <c r="J100" s="33" t="s">
        <v>62</v>
      </c>
      <c r="K100" s="33" t="s">
        <v>98</v>
      </c>
      <c r="L100" s="33" t="s">
        <v>92</v>
      </c>
      <c r="M100" s="33" t="s">
        <v>57</v>
      </c>
      <c r="N100" s="33" t="s">
        <v>298</v>
      </c>
      <c r="O100" s="43">
        <v>1200.78</v>
      </c>
      <c r="P100" s="44" t="str">
        <f t="shared" si="10"/>
        <v>High</v>
      </c>
      <c r="Q100" s="43">
        <v>2001.17</v>
      </c>
      <c r="R100" s="43">
        <v>0.29199999999999998</v>
      </c>
      <c r="S100" s="43">
        <v>18</v>
      </c>
      <c r="T100" s="43">
        <f t="shared" si="7"/>
        <v>8854.276319999999</v>
      </c>
      <c r="U100" s="33">
        <f t="shared" si="8"/>
        <v>21614.04</v>
      </c>
      <c r="V100" s="43">
        <f t="shared" si="11"/>
        <v>-12759.763680000002</v>
      </c>
      <c r="W100" s="45">
        <f t="shared" si="12"/>
        <v>-1.4410848745682701</v>
      </c>
    </row>
    <row r="101" spans="1:23" x14ac:dyDescent="0.3">
      <c r="A101" s="34" t="s">
        <v>299</v>
      </c>
      <c r="B101" s="35">
        <v>45684</v>
      </c>
      <c r="C101" s="36">
        <v>45703</v>
      </c>
      <c r="D101" s="37">
        <f t="shared" si="13"/>
        <v>19</v>
      </c>
      <c r="E101" s="37" t="str">
        <f>TEXT(Data!B101,"MMM-YYYY")</f>
        <v>Jan-2025</v>
      </c>
      <c r="F101" s="37" t="str">
        <f t="shared" si="9"/>
        <v>Q1-2025</v>
      </c>
      <c r="G101" s="32" t="s">
        <v>45</v>
      </c>
      <c r="H101" s="32" t="s">
        <v>116</v>
      </c>
      <c r="I101" s="32" t="s">
        <v>117</v>
      </c>
      <c r="J101" s="32" t="s">
        <v>39</v>
      </c>
      <c r="K101" s="32" t="s">
        <v>98</v>
      </c>
      <c r="L101" s="32" t="s">
        <v>49</v>
      </c>
      <c r="M101" s="32" t="s">
        <v>42</v>
      </c>
      <c r="N101" s="32" t="s">
        <v>300</v>
      </c>
      <c r="O101" s="37">
        <v>1253.22</v>
      </c>
      <c r="P101" s="38" t="str">
        <f t="shared" si="10"/>
        <v>High</v>
      </c>
      <c r="Q101" s="37">
        <v>3104.71</v>
      </c>
      <c r="R101" s="37">
        <v>0</v>
      </c>
      <c r="S101" s="37">
        <v>17</v>
      </c>
      <c r="T101" s="37">
        <f t="shared" si="7"/>
        <v>31422.63</v>
      </c>
      <c r="U101" s="32">
        <f t="shared" si="8"/>
        <v>21304.74</v>
      </c>
      <c r="V101" s="37">
        <f t="shared" si="11"/>
        <v>10117.89</v>
      </c>
      <c r="W101" s="39">
        <f t="shared" si="12"/>
        <v>0.3219937350883742</v>
      </c>
    </row>
    <row r="102" spans="1:23" x14ac:dyDescent="0.3">
      <c r="A102" s="40" t="s">
        <v>301</v>
      </c>
      <c r="B102" s="41">
        <v>45304</v>
      </c>
      <c r="C102" s="42">
        <v>45313</v>
      </c>
      <c r="D102" s="43">
        <f t="shared" si="13"/>
        <v>9</v>
      </c>
      <c r="E102" s="43" t="str">
        <f>TEXT(Data!B102,"MMM-YYYY")</f>
        <v>Jan-2024</v>
      </c>
      <c r="F102" s="43" t="str">
        <f t="shared" si="9"/>
        <v>Q1-2024</v>
      </c>
      <c r="G102" s="33" t="s">
        <v>45</v>
      </c>
      <c r="H102" s="33" t="s">
        <v>60</v>
      </c>
      <c r="I102" s="33" t="s">
        <v>220</v>
      </c>
      <c r="J102" s="33" t="s">
        <v>105</v>
      </c>
      <c r="K102" s="33" t="s">
        <v>40</v>
      </c>
      <c r="L102" s="33" t="s">
        <v>29</v>
      </c>
      <c r="M102" s="33" t="s">
        <v>22</v>
      </c>
      <c r="N102" s="33" t="s">
        <v>302</v>
      </c>
      <c r="O102" s="43">
        <v>313.60000000000002</v>
      </c>
      <c r="P102" s="44" t="str">
        <f t="shared" si="10"/>
        <v>High</v>
      </c>
      <c r="Q102" s="43">
        <v>334.28</v>
      </c>
      <c r="R102" s="43">
        <v>0.14000000000000001</v>
      </c>
      <c r="S102" s="43">
        <v>22</v>
      </c>
      <c r="T102" s="43">
        <f t="shared" si="7"/>
        <v>854.99479999999994</v>
      </c>
      <c r="U102" s="33">
        <f t="shared" si="8"/>
        <v>6899.2000000000007</v>
      </c>
      <c r="V102" s="43">
        <f t="shared" si="11"/>
        <v>-6044.2052000000003</v>
      </c>
      <c r="W102" s="45">
        <f t="shared" si="12"/>
        <v>-7.0692888424584579</v>
      </c>
    </row>
    <row r="103" spans="1:23" x14ac:dyDescent="0.3">
      <c r="A103" s="34" t="s">
        <v>303</v>
      </c>
      <c r="B103" s="35">
        <v>45747</v>
      </c>
      <c r="C103" s="36">
        <v>45751</v>
      </c>
      <c r="D103" s="37">
        <f t="shared" si="13"/>
        <v>4</v>
      </c>
      <c r="E103" s="37" t="str">
        <f>TEXT(Data!B103,"MMM-YYYY")</f>
        <v>Mar-2025</v>
      </c>
      <c r="F103" s="37" t="str">
        <f t="shared" si="9"/>
        <v>Q1-2025</v>
      </c>
      <c r="G103" s="32" t="s">
        <v>16</v>
      </c>
      <c r="H103" s="32" t="s">
        <v>17</v>
      </c>
      <c r="I103" s="32" t="s">
        <v>135</v>
      </c>
      <c r="J103" s="32" t="s">
        <v>19</v>
      </c>
      <c r="K103" s="32" t="s">
        <v>98</v>
      </c>
      <c r="L103" s="32" t="s">
        <v>21</v>
      </c>
      <c r="M103" s="32" t="s">
        <v>57</v>
      </c>
      <c r="N103" s="32" t="s">
        <v>304</v>
      </c>
      <c r="O103" s="37">
        <v>862.08</v>
      </c>
      <c r="P103" s="38" t="str">
        <f t="shared" si="10"/>
        <v>High</v>
      </c>
      <c r="Q103" s="37">
        <v>1952.83</v>
      </c>
      <c r="R103" s="37">
        <v>0</v>
      </c>
      <c r="S103" s="37">
        <v>7</v>
      </c>
      <c r="T103" s="37">
        <f t="shared" si="7"/>
        <v>2527.7000000000003</v>
      </c>
      <c r="U103" s="32">
        <f t="shared" si="8"/>
        <v>6034.56</v>
      </c>
      <c r="V103" s="37">
        <f t="shared" si="11"/>
        <v>-3506.86</v>
      </c>
      <c r="W103" s="39">
        <f t="shared" si="12"/>
        <v>-1.3873719191359732</v>
      </c>
    </row>
    <row r="104" spans="1:23" x14ac:dyDescent="0.3">
      <c r="A104" s="40" t="s">
        <v>305</v>
      </c>
      <c r="B104" s="41">
        <v>45631</v>
      </c>
      <c r="C104" s="42">
        <v>45654</v>
      </c>
      <c r="D104" s="43">
        <f t="shared" si="13"/>
        <v>23</v>
      </c>
      <c r="E104" s="43" t="str">
        <f>TEXT(Data!B104,"MMM-YYYY")</f>
        <v>Dec-2024</v>
      </c>
      <c r="F104" s="43" t="str">
        <f t="shared" si="9"/>
        <v>Q4-2024</v>
      </c>
      <c r="G104" s="33" t="s">
        <v>52</v>
      </c>
      <c r="H104" s="33" t="s">
        <v>53</v>
      </c>
      <c r="I104" s="33" t="s">
        <v>179</v>
      </c>
      <c r="J104" s="33" t="s">
        <v>19</v>
      </c>
      <c r="K104" s="33" t="s">
        <v>98</v>
      </c>
      <c r="L104" s="33" t="s">
        <v>84</v>
      </c>
      <c r="M104" s="33" t="s">
        <v>81</v>
      </c>
      <c r="N104" s="33" t="s">
        <v>306</v>
      </c>
      <c r="O104" s="43">
        <v>107.03</v>
      </c>
      <c r="P104" s="44" t="str">
        <f t="shared" si="10"/>
        <v>High</v>
      </c>
      <c r="Q104" s="43">
        <v>242.29</v>
      </c>
      <c r="R104" s="43">
        <v>0.18</v>
      </c>
      <c r="S104" s="43">
        <v>30</v>
      </c>
      <c r="T104" s="43">
        <f t="shared" si="7"/>
        <v>24706.764000000003</v>
      </c>
      <c r="U104" s="33">
        <f t="shared" si="8"/>
        <v>3210.9</v>
      </c>
      <c r="V104" s="43">
        <f t="shared" si="11"/>
        <v>21495.864000000001</v>
      </c>
      <c r="W104" s="45">
        <f t="shared" si="12"/>
        <v>0.87003963772835646</v>
      </c>
    </row>
    <row r="105" spans="1:23" x14ac:dyDescent="0.3">
      <c r="A105" s="34" t="s">
        <v>307</v>
      </c>
      <c r="B105" s="35">
        <v>45549</v>
      </c>
      <c r="C105" s="36">
        <v>45570</v>
      </c>
      <c r="D105" s="37">
        <f t="shared" si="13"/>
        <v>21</v>
      </c>
      <c r="E105" s="37" t="str">
        <f>TEXT(Data!B105,"MMM-YYYY")</f>
        <v>Sep-2024</v>
      </c>
      <c r="F105" s="37" t="str">
        <f t="shared" si="9"/>
        <v>Q3-2024</v>
      </c>
      <c r="G105" s="32" t="s">
        <v>45</v>
      </c>
      <c r="H105" s="32" t="s">
        <v>116</v>
      </c>
      <c r="I105" s="32" t="s">
        <v>162</v>
      </c>
      <c r="J105" s="32" t="s">
        <v>62</v>
      </c>
      <c r="K105" s="32" t="s">
        <v>28</v>
      </c>
      <c r="L105" s="32" t="s">
        <v>92</v>
      </c>
      <c r="M105" s="32" t="s">
        <v>57</v>
      </c>
      <c r="N105" s="32" t="s">
        <v>308</v>
      </c>
      <c r="O105" s="37">
        <v>1405.56</v>
      </c>
      <c r="P105" s="38" t="str">
        <f t="shared" si="10"/>
        <v>High</v>
      </c>
      <c r="Q105" s="37">
        <v>2968.87</v>
      </c>
      <c r="R105" s="37">
        <v>0.16900000000000001</v>
      </c>
      <c r="S105" s="37">
        <v>5</v>
      </c>
      <c r="T105" s="37">
        <f t="shared" si="7"/>
        <v>4270.2181499999997</v>
      </c>
      <c r="U105" s="32">
        <f t="shared" si="8"/>
        <v>7027.7999999999993</v>
      </c>
      <c r="V105" s="37">
        <f t="shared" si="11"/>
        <v>-2757.5818499999996</v>
      </c>
      <c r="W105" s="39">
        <f t="shared" si="12"/>
        <v>-0.64577072016800818</v>
      </c>
    </row>
    <row r="106" spans="1:23" x14ac:dyDescent="0.3">
      <c r="A106" s="40" t="s">
        <v>309</v>
      </c>
      <c r="B106" s="41">
        <v>45433</v>
      </c>
      <c r="C106" s="42">
        <v>45439</v>
      </c>
      <c r="D106" s="43">
        <f t="shared" si="13"/>
        <v>6</v>
      </c>
      <c r="E106" s="43" t="str">
        <f>TEXT(Data!B106,"MMM-YYYY")</f>
        <v>May-2024</v>
      </c>
      <c r="F106" s="43" t="str">
        <f t="shared" si="9"/>
        <v>Q2-2024</v>
      </c>
      <c r="G106" s="33" t="s">
        <v>16</v>
      </c>
      <c r="H106" s="33" t="s">
        <v>148</v>
      </c>
      <c r="I106" s="33" t="s">
        <v>149</v>
      </c>
      <c r="J106" s="33" t="s">
        <v>39</v>
      </c>
      <c r="K106" s="33" t="s">
        <v>28</v>
      </c>
      <c r="L106" s="33" t="s">
        <v>110</v>
      </c>
      <c r="M106" s="33" t="s">
        <v>22</v>
      </c>
      <c r="N106" s="33" t="s">
        <v>310</v>
      </c>
      <c r="O106" s="43">
        <v>1157.51</v>
      </c>
      <c r="P106" s="44" t="str">
        <f t="shared" si="10"/>
        <v>High</v>
      </c>
      <c r="Q106" s="43">
        <v>1394.3</v>
      </c>
      <c r="R106" s="43">
        <v>0.27800000000000002</v>
      </c>
      <c r="S106" s="43">
        <v>12</v>
      </c>
      <c r="T106" s="43">
        <f t="shared" si="7"/>
        <v>4055.5317599999998</v>
      </c>
      <c r="U106" s="33">
        <f t="shared" si="8"/>
        <v>13890.119999999999</v>
      </c>
      <c r="V106" s="43">
        <f t="shared" si="11"/>
        <v>-9834.5882399999991</v>
      </c>
      <c r="W106" s="45">
        <f t="shared" si="12"/>
        <v>-2.4249811916156712</v>
      </c>
    </row>
    <row r="107" spans="1:23" x14ac:dyDescent="0.3">
      <c r="A107" s="34" t="s">
        <v>311</v>
      </c>
      <c r="B107" s="35">
        <v>45057</v>
      </c>
      <c r="C107" s="36">
        <v>45084</v>
      </c>
      <c r="D107" s="37">
        <f t="shared" si="13"/>
        <v>27</v>
      </c>
      <c r="E107" s="37" t="str">
        <f>TEXT(Data!B107,"MMM-YYYY")</f>
        <v>May-2023</v>
      </c>
      <c r="F107" s="37" t="str">
        <f t="shared" si="9"/>
        <v>Q2-2023</v>
      </c>
      <c r="G107" s="32" t="s">
        <v>16</v>
      </c>
      <c r="H107" s="32" t="s">
        <v>17</v>
      </c>
      <c r="I107" s="32" t="s">
        <v>113</v>
      </c>
      <c r="J107" s="32" t="s">
        <v>19</v>
      </c>
      <c r="K107" s="32" t="s">
        <v>28</v>
      </c>
      <c r="L107" s="32" t="s">
        <v>29</v>
      </c>
      <c r="M107" s="32" t="s">
        <v>42</v>
      </c>
      <c r="N107" s="32" t="s">
        <v>312</v>
      </c>
      <c r="O107" s="37">
        <v>12.85</v>
      </c>
      <c r="P107" s="38" t="str">
        <f t="shared" si="10"/>
        <v>Low</v>
      </c>
      <c r="Q107" s="37">
        <v>15.41</v>
      </c>
      <c r="R107" s="37">
        <v>0.13700000000000001</v>
      </c>
      <c r="S107" s="37">
        <v>39</v>
      </c>
      <c r="T107" s="37">
        <f t="shared" si="7"/>
        <v>22483.549139999999</v>
      </c>
      <c r="U107" s="32">
        <f t="shared" si="8"/>
        <v>501.15</v>
      </c>
      <c r="V107" s="37">
        <f t="shared" si="11"/>
        <v>21982.399139999998</v>
      </c>
      <c r="W107" s="39">
        <f t="shared" si="12"/>
        <v>0.97771036961827273</v>
      </c>
    </row>
    <row r="108" spans="1:23" x14ac:dyDescent="0.3">
      <c r="A108" s="40" t="s">
        <v>313</v>
      </c>
      <c r="B108" s="41">
        <v>45518</v>
      </c>
      <c r="C108" s="42">
        <v>45539</v>
      </c>
      <c r="D108" s="43">
        <f t="shared" si="13"/>
        <v>21</v>
      </c>
      <c r="E108" s="43" t="str">
        <f>TEXT(Data!B108,"MMM-YYYY")</f>
        <v>Aug-2024</v>
      </c>
      <c r="F108" s="43" t="str">
        <f t="shared" si="9"/>
        <v>Q3-2024</v>
      </c>
      <c r="G108" s="33" t="s">
        <v>78</v>
      </c>
      <c r="H108" s="33" t="s">
        <v>108</v>
      </c>
      <c r="I108" s="33" t="s">
        <v>228</v>
      </c>
      <c r="J108" s="33" t="s">
        <v>39</v>
      </c>
      <c r="K108" s="33" t="s">
        <v>28</v>
      </c>
      <c r="L108" s="33" t="s">
        <v>29</v>
      </c>
      <c r="M108" s="33" t="s">
        <v>42</v>
      </c>
      <c r="N108" s="33" t="s">
        <v>314</v>
      </c>
      <c r="O108" s="43">
        <v>1138.8</v>
      </c>
      <c r="P108" s="44" t="str">
        <f t="shared" si="10"/>
        <v>High</v>
      </c>
      <c r="Q108" s="43">
        <v>2250.81</v>
      </c>
      <c r="R108" s="43">
        <v>0.123</v>
      </c>
      <c r="S108" s="43">
        <v>12</v>
      </c>
      <c r="T108" s="43">
        <f t="shared" si="7"/>
        <v>5654.22948</v>
      </c>
      <c r="U108" s="33">
        <f t="shared" si="8"/>
        <v>13665.599999999999</v>
      </c>
      <c r="V108" s="43">
        <f t="shared" si="11"/>
        <v>-8011.3705199999986</v>
      </c>
      <c r="W108" s="45">
        <f t="shared" si="12"/>
        <v>-1.4168810353979475</v>
      </c>
    </row>
    <row r="109" spans="1:23" x14ac:dyDescent="0.3">
      <c r="A109" s="34" t="s">
        <v>315</v>
      </c>
      <c r="B109" s="35">
        <v>45581</v>
      </c>
      <c r="C109" s="36">
        <v>45604</v>
      </c>
      <c r="D109" s="37">
        <f t="shared" si="13"/>
        <v>23</v>
      </c>
      <c r="E109" s="37" t="str">
        <f>TEXT(Data!B109,"MMM-YYYY")</f>
        <v>Oct-2024</v>
      </c>
      <c r="F109" s="37" t="str">
        <f t="shared" si="9"/>
        <v>Q4-2024</v>
      </c>
      <c r="G109" s="32" t="s">
        <v>45</v>
      </c>
      <c r="H109" s="32" t="s">
        <v>46</v>
      </c>
      <c r="I109" s="32" t="s">
        <v>47</v>
      </c>
      <c r="J109" s="32" t="s">
        <v>62</v>
      </c>
      <c r="K109" s="32" t="s">
        <v>20</v>
      </c>
      <c r="L109" s="32" t="s">
        <v>29</v>
      </c>
      <c r="M109" s="32" t="s">
        <v>35</v>
      </c>
      <c r="N109" s="32" t="s">
        <v>316</v>
      </c>
      <c r="O109" s="37">
        <v>82.14</v>
      </c>
      <c r="P109" s="38" t="str">
        <f t="shared" si="10"/>
        <v>Medium</v>
      </c>
      <c r="Q109" s="37">
        <v>166.04</v>
      </c>
      <c r="R109" s="37">
        <v>0</v>
      </c>
      <c r="S109" s="37">
        <v>10</v>
      </c>
      <c r="T109" s="37">
        <f t="shared" si="7"/>
        <v>5727.1</v>
      </c>
      <c r="U109" s="32">
        <f t="shared" si="8"/>
        <v>821.4</v>
      </c>
      <c r="V109" s="37">
        <f t="shared" si="11"/>
        <v>4905.7000000000007</v>
      </c>
      <c r="W109" s="39">
        <f t="shared" si="12"/>
        <v>0.85657662691414516</v>
      </c>
    </row>
    <row r="110" spans="1:23" x14ac:dyDescent="0.3">
      <c r="A110" s="40" t="s">
        <v>317</v>
      </c>
      <c r="B110" s="41">
        <v>45445</v>
      </c>
      <c r="C110" s="42">
        <v>45451</v>
      </c>
      <c r="D110" s="43">
        <f t="shared" si="13"/>
        <v>6</v>
      </c>
      <c r="E110" s="43" t="str">
        <f>TEXT(Data!B110,"MMM-YYYY")</f>
        <v>Jun-2024</v>
      </c>
      <c r="F110" s="43" t="str">
        <f t="shared" si="9"/>
        <v>Q2-2024</v>
      </c>
      <c r="G110" s="33" t="s">
        <v>16</v>
      </c>
      <c r="H110" s="33" t="s">
        <v>17</v>
      </c>
      <c r="I110" s="33" t="s">
        <v>18</v>
      </c>
      <c r="J110" s="33" t="s">
        <v>48</v>
      </c>
      <c r="K110" s="33" t="s">
        <v>40</v>
      </c>
      <c r="L110" s="33" t="s">
        <v>75</v>
      </c>
      <c r="M110" s="33" t="s">
        <v>81</v>
      </c>
      <c r="N110" s="33" t="s">
        <v>318</v>
      </c>
      <c r="O110" s="43">
        <v>292.94</v>
      </c>
      <c r="P110" s="44" t="str">
        <f t="shared" si="10"/>
        <v>High</v>
      </c>
      <c r="Q110" s="43">
        <v>356.55</v>
      </c>
      <c r="R110" s="43">
        <v>0.22900000000000001</v>
      </c>
      <c r="S110" s="43">
        <v>2</v>
      </c>
      <c r="T110" s="43">
        <f t="shared" si="7"/>
        <v>3583.4075399999997</v>
      </c>
      <c r="U110" s="33">
        <f t="shared" si="8"/>
        <v>585.88</v>
      </c>
      <c r="V110" s="43">
        <f t="shared" si="11"/>
        <v>2997.5275399999996</v>
      </c>
      <c r="W110" s="45">
        <f t="shared" si="12"/>
        <v>0.83650199050482543</v>
      </c>
    </row>
    <row r="111" spans="1:23" x14ac:dyDescent="0.3">
      <c r="A111" s="34" t="s">
        <v>319</v>
      </c>
      <c r="B111" s="35">
        <v>45452</v>
      </c>
      <c r="C111" s="36">
        <v>45480</v>
      </c>
      <c r="D111" s="37">
        <f t="shared" si="13"/>
        <v>28</v>
      </c>
      <c r="E111" s="37" t="str">
        <f>TEXT(Data!B111,"MMM-YYYY")</f>
        <v>Jun-2024</v>
      </c>
      <c r="F111" s="37" t="str">
        <f t="shared" si="9"/>
        <v>Q2-2024</v>
      </c>
      <c r="G111" s="32" t="s">
        <v>45</v>
      </c>
      <c r="H111" s="32" t="s">
        <v>116</v>
      </c>
      <c r="I111" s="32" t="s">
        <v>117</v>
      </c>
      <c r="J111" s="32" t="s">
        <v>19</v>
      </c>
      <c r="K111" s="32" t="s">
        <v>28</v>
      </c>
      <c r="L111" s="32" t="s">
        <v>29</v>
      </c>
      <c r="M111" s="32" t="s">
        <v>22</v>
      </c>
      <c r="N111" s="32" t="s">
        <v>320</v>
      </c>
      <c r="O111" s="37">
        <v>550.22</v>
      </c>
      <c r="P111" s="38" t="str">
        <f t="shared" si="10"/>
        <v>High</v>
      </c>
      <c r="Q111" s="37">
        <v>1025.05</v>
      </c>
      <c r="R111" s="37">
        <v>0</v>
      </c>
      <c r="S111" s="37">
        <v>27</v>
      </c>
      <c r="T111" s="37">
        <f t="shared" si="7"/>
        <v>44038.080000000002</v>
      </c>
      <c r="U111" s="32">
        <f t="shared" si="8"/>
        <v>14855.94</v>
      </c>
      <c r="V111" s="37">
        <f t="shared" si="11"/>
        <v>29182.14</v>
      </c>
      <c r="W111" s="39">
        <f t="shared" si="12"/>
        <v>0.66265695507161071</v>
      </c>
    </row>
    <row r="112" spans="1:23" x14ac:dyDescent="0.3">
      <c r="A112" s="40" t="s">
        <v>321</v>
      </c>
      <c r="B112" s="41">
        <v>45453</v>
      </c>
      <c r="C112" s="42">
        <v>45454</v>
      </c>
      <c r="D112" s="43">
        <f t="shared" si="13"/>
        <v>1</v>
      </c>
      <c r="E112" s="43" t="str">
        <f>TEXT(Data!B112,"MMM-YYYY")</f>
        <v>Jun-2024</v>
      </c>
      <c r="F112" s="43" t="str">
        <f t="shared" si="9"/>
        <v>Q2-2024</v>
      </c>
      <c r="G112" s="33" t="s">
        <v>78</v>
      </c>
      <c r="H112" s="33" t="s">
        <v>108</v>
      </c>
      <c r="I112" s="33" t="s">
        <v>109</v>
      </c>
      <c r="J112" s="33" t="s">
        <v>62</v>
      </c>
      <c r="K112" s="33" t="s">
        <v>40</v>
      </c>
      <c r="L112" s="33" t="s">
        <v>110</v>
      </c>
      <c r="M112" s="33" t="s">
        <v>57</v>
      </c>
      <c r="N112" s="33" t="s">
        <v>322</v>
      </c>
      <c r="O112" s="43">
        <v>1187.1300000000001</v>
      </c>
      <c r="P112" s="44" t="str">
        <f t="shared" si="10"/>
        <v>High</v>
      </c>
      <c r="Q112" s="43">
        <v>1795.17</v>
      </c>
      <c r="R112" s="43">
        <v>1.2E-2</v>
      </c>
      <c r="S112" s="43">
        <v>17</v>
      </c>
      <c r="T112" s="43">
        <f t="shared" si="7"/>
        <v>6606.0347600000005</v>
      </c>
      <c r="U112" s="33">
        <f t="shared" si="8"/>
        <v>20181.210000000003</v>
      </c>
      <c r="V112" s="43">
        <f t="shared" si="11"/>
        <v>-13575.175240000002</v>
      </c>
      <c r="W112" s="45">
        <f t="shared" si="12"/>
        <v>-2.0549657598229172</v>
      </c>
    </row>
    <row r="113" spans="1:23" x14ac:dyDescent="0.3">
      <c r="A113" s="34" t="s">
        <v>323</v>
      </c>
      <c r="B113" s="35">
        <v>45472</v>
      </c>
      <c r="C113" s="36">
        <v>45499</v>
      </c>
      <c r="D113" s="37">
        <f t="shared" si="13"/>
        <v>27</v>
      </c>
      <c r="E113" s="37" t="str">
        <f>TEXT(Data!B113,"MMM-YYYY")</f>
        <v>Jun-2024</v>
      </c>
      <c r="F113" s="37" t="str">
        <f t="shared" si="9"/>
        <v>Q2-2024</v>
      </c>
      <c r="G113" s="32" t="s">
        <v>16</v>
      </c>
      <c r="H113" s="32" t="s">
        <v>148</v>
      </c>
      <c r="I113" s="32" t="s">
        <v>172</v>
      </c>
      <c r="J113" s="32" t="s">
        <v>105</v>
      </c>
      <c r="K113" s="32" t="s">
        <v>55</v>
      </c>
      <c r="L113" s="32" t="s">
        <v>56</v>
      </c>
      <c r="M113" s="32" t="s">
        <v>35</v>
      </c>
      <c r="N113" s="32" t="s">
        <v>324</v>
      </c>
      <c r="O113" s="37">
        <v>5.36</v>
      </c>
      <c r="P113" s="38" t="str">
        <f t="shared" si="10"/>
        <v>Low</v>
      </c>
      <c r="Q113" s="37">
        <v>4.37</v>
      </c>
      <c r="R113" s="37">
        <v>0.11799999999999999</v>
      </c>
      <c r="S113" s="37">
        <v>9</v>
      </c>
      <c r="T113" s="37">
        <f t="shared" si="7"/>
        <v>14734.198080000002</v>
      </c>
      <c r="U113" s="32">
        <f t="shared" si="8"/>
        <v>48.24</v>
      </c>
      <c r="V113" s="37">
        <f t="shared" si="11"/>
        <v>14685.958080000002</v>
      </c>
      <c r="W113" s="39">
        <f t="shared" si="12"/>
        <v>0.99672598401771995</v>
      </c>
    </row>
    <row r="114" spans="1:23" x14ac:dyDescent="0.3">
      <c r="A114" s="40" t="s">
        <v>325</v>
      </c>
      <c r="B114" s="41">
        <v>45674</v>
      </c>
      <c r="C114" s="42">
        <v>45681</v>
      </c>
      <c r="D114" s="43">
        <f t="shared" si="13"/>
        <v>7</v>
      </c>
      <c r="E114" s="43" t="str">
        <f>TEXT(Data!B114,"MMM-YYYY")</f>
        <v>Jan-2025</v>
      </c>
      <c r="F114" s="43" t="str">
        <f t="shared" si="9"/>
        <v>Q1-2025</v>
      </c>
      <c r="G114" s="33" t="s">
        <v>52</v>
      </c>
      <c r="H114" s="33" t="s">
        <v>122</v>
      </c>
      <c r="I114" s="33" t="s">
        <v>326</v>
      </c>
      <c r="J114" s="33" t="s">
        <v>105</v>
      </c>
      <c r="K114" s="33" t="s">
        <v>28</v>
      </c>
      <c r="L114" s="33" t="s">
        <v>41</v>
      </c>
      <c r="M114" s="33" t="s">
        <v>81</v>
      </c>
      <c r="N114" s="33" t="s">
        <v>327</v>
      </c>
      <c r="O114" s="43">
        <v>142.09</v>
      </c>
      <c r="P114" s="44" t="str">
        <f t="shared" si="10"/>
        <v>High</v>
      </c>
      <c r="Q114" s="43">
        <v>218.5</v>
      </c>
      <c r="R114" s="43">
        <v>0.11899999999999999</v>
      </c>
      <c r="S114" s="43">
        <v>11</v>
      </c>
      <c r="T114" s="43">
        <f t="shared" si="7"/>
        <v>822.7659000000001</v>
      </c>
      <c r="U114" s="33">
        <f t="shared" si="8"/>
        <v>1562.99</v>
      </c>
      <c r="V114" s="43">
        <f t="shared" si="11"/>
        <v>-740.22409999999991</v>
      </c>
      <c r="W114" s="45">
        <f t="shared" si="12"/>
        <v>-0.89967766043779862</v>
      </c>
    </row>
    <row r="115" spans="1:23" x14ac:dyDescent="0.3">
      <c r="A115" s="34" t="s">
        <v>328</v>
      </c>
      <c r="B115" s="35">
        <v>45250</v>
      </c>
      <c r="C115" s="36">
        <v>45265</v>
      </c>
      <c r="D115" s="37">
        <f t="shared" si="13"/>
        <v>15</v>
      </c>
      <c r="E115" s="37" t="str">
        <f>TEXT(Data!B115,"MMM-YYYY")</f>
        <v>Nov-2023</v>
      </c>
      <c r="F115" s="37" t="str">
        <f t="shared" si="9"/>
        <v>Q4-2023</v>
      </c>
      <c r="G115" s="32" t="s">
        <v>45</v>
      </c>
      <c r="H115" s="32" t="s">
        <v>46</v>
      </c>
      <c r="I115" s="32" t="s">
        <v>214</v>
      </c>
      <c r="J115" s="32" t="s">
        <v>105</v>
      </c>
      <c r="K115" s="32" t="s">
        <v>20</v>
      </c>
      <c r="L115" s="32" t="s">
        <v>49</v>
      </c>
      <c r="M115" s="32" t="s">
        <v>35</v>
      </c>
      <c r="N115" s="32" t="s">
        <v>329</v>
      </c>
      <c r="O115" s="37">
        <v>354.24</v>
      </c>
      <c r="P115" s="38" t="str">
        <f t="shared" si="10"/>
        <v>High</v>
      </c>
      <c r="Q115" s="37">
        <v>249.87</v>
      </c>
      <c r="R115" s="37">
        <v>0</v>
      </c>
      <c r="S115" s="37">
        <v>6</v>
      </c>
      <c r="T115" s="37">
        <f t="shared" si="7"/>
        <v>13513.439999999999</v>
      </c>
      <c r="U115" s="32">
        <f t="shared" si="8"/>
        <v>2125.44</v>
      </c>
      <c r="V115" s="37">
        <f t="shared" si="11"/>
        <v>11387.999999999998</v>
      </c>
      <c r="W115" s="39">
        <f t="shared" si="12"/>
        <v>0.84271658437821895</v>
      </c>
    </row>
    <row r="116" spans="1:23" x14ac:dyDescent="0.3">
      <c r="A116" s="40" t="s">
        <v>330</v>
      </c>
      <c r="B116" s="41">
        <v>44987</v>
      </c>
      <c r="C116" s="42">
        <v>44990</v>
      </c>
      <c r="D116" s="43">
        <f t="shared" si="13"/>
        <v>3</v>
      </c>
      <c r="E116" s="43" t="str">
        <f>TEXT(Data!B116,"MMM-YYYY")</f>
        <v>Mar-2023</v>
      </c>
      <c r="F116" s="43" t="str">
        <f t="shared" si="9"/>
        <v>Q1-2023</v>
      </c>
      <c r="G116" s="33" t="s">
        <v>52</v>
      </c>
      <c r="H116" s="33" t="s">
        <v>73</v>
      </c>
      <c r="I116" s="33" t="s">
        <v>87</v>
      </c>
      <c r="J116" s="33" t="s">
        <v>105</v>
      </c>
      <c r="K116" s="33" t="s">
        <v>98</v>
      </c>
      <c r="L116" s="33" t="s">
        <v>41</v>
      </c>
      <c r="M116" s="33" t="s">
        <v>64</v>
      </c>
      <c r="N116" s="33" t="s">
        <v>331</v>
      </c>
      <c r="O116" s="43">
        <v>1473.58</v>
      </c>
      <c r="P116" s="44" t="str">
        <f t="shared" si="10"/>
        <v>High</v>
      </c>
      <c r="Q116" s="43">
        <v>3436.52</v>
      </c>
      <c r="R116" s="43">
        <v>0.108</v>
      </c>
      <c r="S116" s="43">
        <v>8</v>
      </c>
      <c r="T116" s="43">
        <f t="shared" si="7"/>
        <v>6576.6803200000004</v>
      </c>
      <c r="U116" s="33">
        <f t="shared" si="8"/>
        <v>11788.64</v>
      </c>
      <c r="V116" s="43">
        <f t="shared" si="11"/>
        <v>-5211.959679999999</v>
      </c>
      <c r="W116" s="45">
        <f t="shared" si="12"/>
        <v>-0.79249095689662452</v>
      </c>
    </row>
    <row r="117" spans="1:23" x14ac:dyDescent="0.3">
      <c r="A117" s="34" t="s">
        <v>332</v>
      </c>
      <c r="B117" s="35">
        <v>45811</v>
      </c>
      <c r="C117" s="36">
        <v>45818</v>
      </c>
      <c r="D117" s="37">
        <f t="shared" si="13"/>
        <v>7</v>
      </c>
      <c r="E117" s="37" t="str">
        <f>TEXT(Data!B117,"MMM-YYYY")</f>
        <v>Jun-2025</v>
      </c>
      <c r="F117" s="37" t="str">
        <f t="shared" si="9"/>
        <v>Q2-2025</v>
      </c>
      <c r="G117" s="32" t="s">
        <v>52</v>
      </c>
      <c r="H117" s="32" t="s">
        <v>53</v>
      </c>
      <c r="I117" s="32" t="s">
        <v>54</v>
      </c>
      <c r="J117" s="32" t="s">
        <v>48</v>
      </c>
      <c r="K117" s="32" t="s">
        <v>55</v>
      </c>
      <c r="L117" s="32" t="s">
        <v>68</v>
      </c>
      <c r="M117" s="32" t="s">
        <v>30</v>
      </c>
      <c r="N117" s="32" t="s">
        <v>333</v>
      </c>
      <c r="O117" s="37">
        <v>75.180000000000007</v>
      </c>
      <c r="P117" s="38" t="str">
        <f t="shared" si="10"/>
        <v>Medium</v>
      </c>
      <c r="Q117" s="37">
        <v>53.45</v>
      </c>
      <c r="R117" s="37">
        <v>0.157</v>
      </c>
      <c r="S117" s="37">
        <v>17</v>
      </c>
      <c r="T117" s="37">
        <f t="shared" si="7"/>
        <v>23548.41258</v>
      </c>
      <c r="U117" s="32">
        <f t="shared" si="8"/>
        <v>1278.0600000000002</v>
      </c>
      <c r="V117" s="37">
        <f t="shared" si="11"/>
        <v>22270.352579999999</v>
      </c>
      <c r="W117" s="39">
        <f t="shared" si="12"/>
        <v>0.94572627791117114</v>
      </c>
    </row>
    <row r="118" spans="1:23" x14ac:dyDescent="0.3">
      <c r="A118" s="40" t="s">
        <v>334</v>
      </c>
      <c r="B118" s="41">
        <v>45653</v>
      </c>
      <c r="C118" s="42">
        <v>45659</v>
      </c>
      <c r="D118" s="43">
        <f t="shared" si="13"/>
        <v>6</v>
      </c>
      <c r="E118" s="43" t="str">
        <f>TEXT(Data!B118,"MMM-YYYY")</f>
        <v>Dec-2024</v>
      </c>
      <c r="F118" s="43" t="str">
        <f t="shared" si="9"/>
        <v>Q4-2024</v>
      </c>
      <c r="G118" s="33" t="s">
        <v>78</v>
      </c>
      <c r="H118" s="33" t="s">
        <v>79</v>
      </c>
      <c r="I118" s="33" t="s">
        <v>335</v>
      </c>
      <c r="J118" s="33" t="s">
        <v>27</v>
      </c>
      <c r="K118" s="33" t="s">
        <v>98</v>
      </c>
      <c r="L118" s="33" t="s">
        <v>84</v>
      </c>
      <c r="M118" s="33" t="s">
        <v>57</v>
      </c>
      <c r="N118" s="33" t="s">
        <v>336</v>
      </c>
      <c r="O118" s="43">
        <v>1391.99</v>
      </c>
      <c r="P118" s="44" t="str">
        <f t="shared" si="10"/>
        <v>High</v>
      </c>
      <c r="Q118" s="43">
        <v>3469.7</v>
      </c>
      <c r="R118" s="43">
        <v>0.184</v>
      </c>
      <c r="S118" s="43">
        <v>23</v>
      </c>
      <c r="T118" s="43">
        <f t="shared" si="7"/>
        <v>27535.846560000005</v>
      </c>
      <c r="U118" s="33">
        <f t="shared" si="8"/>
        <v>32015.77</v>
      </c>
      <c r="V118" s="43">
        <f t="shared" si="11"/>
        <v>-4479.923439999995</v>
      </c>
      <c r="W118" s="45">
        <f t="shared" si="12"/>
        <v>-0.16269423314218215</v>
      </c>
    </row>
    <row r="119" spans="1:23" x14ac:dyDescent="0.3">
      <c r="A119" s="34" t="s">
        <v>337</v>
      </c>
      <c r="B119" s="35">
        <v>45086</v>
      </c>
      <c r="C119" s="36">
        <v>45096</v>
      </c>
      <c r="D119" s="37">
        <f t="shared" si="13"/>
        <v>10</v>
      </c>
      <c r="E119" s="37" t="str">
        <f>TEXT(Data!B119,"MMM-YYYY")</f>
        <v>Jun-2023</v>
      </c>
      <c r="F119" s="37" t="str">
        <f t="shared" si="9"/>
        <v>Q2-2023</v>
      </c>
      <c r="G119" s="32" t="s">
        <v>45</v>
      </c>
      <c r="H119" s="32" t="s">
        <v>116</v>
      </c>
      <c r="I119" s="32" t="s">
        <v>338</v>
      </c>
      <c r="J119" s="32" t="s">
        <v>105</v>
      </c>
      <c r="K119" s="32" t="s">
        <v>20</v>
      </c>
      <c r="L119" s="32" t="s">
        <v>84</v>
      </c>
      <c r="M119" s="32" t="s">
        <v>64</v>
      </c>
      <c r="N119" s="32" t="s">
        <v>339</v>
      </c>
      <c r="O119" s="37">
        <v>339.61</v>
      </c>
      <c r="P119" s="38" t="str">
        <f t="shared" si="10"/>
        <v>High</v>
      </c>
      <c r="Q119" s="37">
        <v>621.02</v>
      </c>
      <c r="R119" s="37">
        <v>7.0999999999999994E-2</v>
      </c>
      <c r="S119" s="37">
        <v>10</v>
      </c>
      <c r="T119" s="37">
        <f t="shared" si="7"/>
        <v>9278.4804000000004</v>
      </c>
      <c r="U119" s="32">
        <f t="shared" si="8"/>
        <v>3396.1000000000004</v>
      </c>
      <c r="V119" s="37">
        <f t="shared" si="11"/>
        <v>5882.3804</v>
      </c>
      <c r="W119" s="39">
        <f t="shared" si="12"/>
        <v>0.63398101266668616</v>
      </c>
    </row>
    <row r="120" spans="1:23" x14ac:dyDescent="0.3">
      <c r="A120" s="40" t="s">
        <v>340</v>
      </c>
      <c r="B120" s="41">
        <v>45847</v>
      </c>
      <c r="C120" s="42">
        <v>45856</v>
      </c>
      <c r="D120" s="43">
        <f t="shared" si="13"/>
        <v>9</v>
      </c>
      <c r="E120" s="43" t="str">
        <f>TEXT(Data!B120,"MMM-YYYY")</f>
        <v>Jul-2025</v>
      </c>
      <c r="F120" s="43" t="str">
        <f t="shared" si="9"/>
        <v>Q3-2025</v>
      </c>
      <c r="G120" s="33" t="s">
        <v>52</v>
      </c>
      <c r="H120" s="33" t="s">
        <v>53</v>
      </c>
      <c r="I120" s="33" t="s">
        <v>179</v>
      </c>
      <c r="J120" s="33" t="s">
        <v>27</v>
      </c>
      <c r="K120" s="33" t="s">
        <v>55</v>
      </c>
      <c r="L120" s="33" t="s">
        <v>34</v>
      </c>
      <c r="M120" s="33" t="s">
        <v>57</v>
      </c>
      <c r="N120" s="33" t="s">
        <v>341</v>
      </c>
      <c r="O120" s="43">
        <v>57.96</v>
      </c>
      <c r="P120" s="44" t="str">
        <f t="shared" si="10"/>
        <v>Medium</v>
      </c>
      <c r="Q120" s="43">
        <v>88.51</v>
      </c>
      <c r="R120" s="43">
        <v>4.2999999999999997E-2</v>
      </c>
      <c r="S120" s="43">
        <v>7</v>
      </c>
      <c r="T120" s="43">
        <f t="shared" si="7"/>
        <v>4225.1932799999995</v>
      </c>
      <c r="U120" s="33">
        <f t="shared" si="8"/>
        <v>405.72</v>
      </c>
      <c r="V120" s="43">
        <f t="shared" si="11"/>
        <v>3819.4732799999992</v>
      </c>
      <c r="W120" s="45">
        <f t="shared" si="12"/>
        <v>0.90397599041907017</v>
      </c>
    </row>
    <row r="121" spans="1:23" x14ac:dyDescent="0.3">
      <c r="A121" s="34" t="s">
        <v>342</v>
      </c>
      <c r="B121" s="35">
        <v>45827</v>
      </c>
      <c r="C121" s="36">
        <v>45850</v>
      </c>
      <c r="D121" s="37">
        <f t="shared" si="13"/>
        <v>23</v>
      </c>
      <c r="E121" s="37" t="str">
        <f>TEXT(Data!B121,"MMM-YYYY")</f>
        <v>Jun-2025</v>
      </c>
      <c r="F121" s="37" t="str">
        <f t="shared" si="9"/>
        <v>Q2-2025</v>
      </c>
      <c r="G121" s="32" t="s">
        <v>78</v>
      </c>
      <c r="H121" s="32" t="s">
        <v>108</v>
      </c>
      <c r="I121" s="32" t="s">
        <v>1364</v>
      </c>
      <c r="J121" s="32" t="s">
        <v>39</v>
      </c>
      <c r="K121" s="32" t="s">
        <v>98</v>
      </c>
      <c r="L121" s="32" t="s">
        <v>1364</v>
      </c>
      <c r="M121" s="32" t="s">
        <v>35</v>
      </c>
      <c r="N121" s="32" t="s">
        <v>343</v>
      </c>
      <c r="O121" s="37">
        <v>801.24</v>
      </c>
      <c r="P121" s="38" t="str">
        <f t="shared" si="10"/>
        <v>High</v>
      </c>
      <c r="Q121" s="37">
        <v>1959.09</v>
      </c>
      <c r="R121" s="37">
        <v>0.123</v>
      </c>
      <c r="S121" s="37">
        <v>23</v>
      </c>
      <c r="T121" s="37">
        <f t="shared" si="7"/>
        <v>14696.792309999999</v>
      </c>
      <c r="U121" s="32">
        <f t="shared" si="8"/>
        <v>18428.52</v>
      </c>
      <c r="V121" s="37">
        <f t="shared" si="11"/>
        <v>-3731.7276900000015</v>
      </c>
      <c r="W121" s="39">
        <f t="shared" si="12"/>
        <v>-0.25391443325091134</v>
      </c>
    </row>
    <row r="122" spans="1:23" x14ac:dyDescent="0.3">
      <c r="A122" s="40" t="s">
        <v>344</v>
      </c>
      <c r="B122" s="41">
        <v>45249</v>
      </c>
      <c r="C122" s="42">
        <v>45273</v>
      </c>
      <c r="D122" s="43">
        <f t="shared" si="13"/>
        <v>24</v>
      </c>
      <c r="E122" s="43" t="str">
        <f>TEXT(Data!B122,"MMM-YYYY")</f>
        <v>Nov-2023</v>
      </c>
      <c r="F122" s="43" t="str">
        <f t="shared" si="9"/>
        <v>Q4-2023</v>
      </c>
      <c r="G122" s="33" t="s">
        <v>78</v>
      </c>
      <c r="H122" s="33" t="s">
        <v>90</v>
      </c>
      <c r="I122" s="33" t="s">
        <v>138</v>
      </c>
      <c r="J122" s="33" t="s">
        <v>39</v>
      </c>
      <c r="K122" s="33" t="s">
        <v>98</v>
      </c>
      <c r="L122" s="33" t="s">
        <v>92</v>
      </c>
      <c r="M122" s="33" t="s">
        <v>64</v>
      </c>
      <c r="N122" s="33" t="s">
        <v>345</v>
      </c>
      <c r="O122" s="43">
        <v>1297.42</v>
      </c>
      <c r="P122" s="44" t="str">
        <f t="shared" si="10"/>
        <v>High</v>
      </c>
      <c r="Q122" s="43">
        <v>2742.97</v>
      </c>
      <c r="R122" s="43">
        <v>6.9000000000000006E-2</v>
      </c>
      <c r="S122" s="43">
        <v>9</v>
      </c>
      <c r="T122" s="43">
        <f t="shared" si="7"/>
        <v>7972.7022900000002</v>
      </c>
      <c r="U122" s="33">
        <f t="shared" si="8"/>
        <v>11676.78</v>
      </c>
      <c r="V122" s="43">
        <f t="shared" si="11"/>
        <v>-3704.0777100000005</v>
      </c>
      <c r="W122" s="45">
        <f t="shared" si="12"/>
        <v>-0.46459501123551927</v>
      </c>
    </row>
    <row r="123" spans="1:23" x14ac:dyDescent="0.3">
      <c r="A123" s="34" t="s">
        <v>346</v>
      </c>
      <c r="B123" s="35">
        <v>45289</v>
      </c>
      <c r="C123" s="36">
        <v>45311</v>
      </c>
      <c r="D123" s="37">
        <f t="shared" si="13"/>
        <v>22</v>
      </c>
      <c r="E123" s="37" t="str">
        <f>TEXT(Data!B123,"MMM-YYYY")</f>
        <v>Dec-2023</v>
      </c>
      <c r="F123" s="37" t="str">
        <f t="shared" si="9"/>
        <v>Q4-2023</v>
      </c>
      <c r="G123" s="32" t="s">
        <v>16</v>
      </c>
      <c r="H123" s="32" t="s">
        <v>17</v>
      </c>
      <c r="I123" s="32" t="s">
        <v>18</v>
      </c>
      <c r="J123" s="32" t="s">
        <v>19</v>
      </c>
      <c r="K123" s="32" t="s">
        <v>98</v>
      </c>
      <c r="L123" s="32" t="s">
        <v>49</v>
      </c>
      <c r="M123" s="32" t="s">
        <v>42</v>
      </c>
      <c r="N123" s="32" t="s">
        <v>347</v>
      </c>
      <c r="O123" s="37">
        <v>1395.49</v>
      </c>
      <c r="P123" s="38" t="str">
        <f t="shared" si="10"/>
        <v>High</v>
      </c>
      <c r="Q123" s="37">
        <v>1679.42</v>
      </c>
      <c r="R123" s="37">
        <v>0.20300000000000001</v>
      </c>
      <c r="S123" s="37">
        <v>12</v>
      </c>
      <c r="T123" s="37">
        <f t="shared" si="7"/>
        <v>7009.2643199999993</v>
      </c>
      <c r="U123" s="32">
        <f t="shared" si="8"/>
        <v>16745.88</v>
      </c>
      <c r="V123" s="37">
        <f t="shared" si="11"/>
        <v>-9736.6156800000026</v>
      </c>
      <c r="W123" s="39">
        <f t="shared" si="12"/>
        <v>-1.3891066502111884</v>
      </c>
    </row>
    <row r="124" spans="1:23" x14ac:dyDescent="0.3">
      <c r="A124" s="40" t="s">
        <v>348</v>
      </c>
      <c r="B124" s="41">
        <v>45598</v>
      </c>
      <c r="C124" s="42">
        <v>45625</v>
      </c>
      <c r="D124" s="43">
        <f t="shared" si="13"/>
        <v>27</v>
      </c>
      <c r="E124" s="43" t="str">
        <f>TEXT(Data!B124,"MMM-YYYY")</f>
        <v>Nov-2024</v>
      </c>
      <c r="F124" s="43" t="str">
        <f t="shared" si="9"/>
        <v>Q4-2024</v>
      </c>
      <c r="G124" s="33" t="s">
        <v>52</v>
      </c>
      <c r="H124" s="33" t="s">
        <v>73</v>
      </c>
      <c r="I124" s="33" t="s">
        <v>87</v>
      </c>
      <c r="J124" s="33" t="s">
        <v>62</v>
      </c>
      <c r="K124" s="33" t="s">
        <v>98</v>
      </c>
      <c r="L124" s="33" t="s">
        <v>34</v>
      </c>
      <c r="M124" s="33" t="s">
        <v>35</v>
      </c>
      <c r="N124" s="33" t="s">
        <v>349</v>
      </c>
      <c r="O124" s="43">
        <v>1363.51</v>
      </c>
      <c r="P124" s="44" t="str">
        <f t="shared" si="10"/>
        <v>High</v>
      </c>
      <c r="Q124" s="43">
        <v>1433.9</v>
      </c>
      <c r="R124" s="43">
        <v>5.7000000000000002E-2</v>
      </c>
      <c r="S124" s="43">
        <v>8</v>
      </c>
      <c r="T124" s="43">
        <f t="shared" si="7"/>
        <v>18192.506879999997</v>
      </c>
      <c r="U124" s="33">
        <f t="shared" si="8"/>
        <v>10908.08</v>
      </c>
      <c r="V124" s="43">
        <f t="shared" si="11"/>
        <v>7284.4268799999973</v>
      </c>
      <c r="W124" s="45">
        <f t="shared" si="12"/>
        <v>0.4004080871343883</v>
      </c>
    </row>
    <row r="125" spans="1:23" x14ac:dyDescent="0.3">
      <c r="A125" s="34" t="s">
        <v>350</v>
      </c>
      <c r="B125" s="35">
        <v>45159</v>
      </c>
      <c r="C125" s="36">
        <v>45173</v>
      </c>
      <c r="D125" s="37">
        <f t="shared" si="13"/>
        <v>14</v>
      </c>
      <c r="E125" s="37" t="str">
        <f>TEXT(Data!B125,"MMM-YYYY")</f>
        <v>Aug-2023</v>
      </c>
      <c r="F125" s="37" t="str">
        <f t="shared" si="9"/>
        <v>Q3-2023</v>
      </c>
      <c r="G125" s="32" t="s">
        <v>52</v>
      </c>
      <c r="H125" s="32" t="s">
        <v>53</v>
      </c>
      <c r="I125" s="32" t="s">
        <v>144</v>
      </c>
      <c r="J125" s="32" t="s">
        <v>27</v>
      </c>
      <c r="K125" s="32" t="s">
        <v>55</v>
      </c>
      <c r="L125" s="32" t="s">
        <v>84</v>
      </c>
      <c r="M125" s="32" t="s">
        <v>22</v>
      </c>
      <c r="N125" s="32" t="s">
        <v>351</v>
      </c>
      <c r="O125" s="37">
        <v>178.19</v>
      </c>
      <c r="P125" s="38" t="str">
        <f t="shared" si="10"/>
        <v>High</v>
      </c>
      <c r="Q125" s="37">
        <v>284.43</v>
      </c>
      <c r="R125" s="37">
        <v>8.8999999999999996E-2</v>
      </c>
      <c r="S125" s="37">
        <v>8</v>
      </c>
      <c r="T125" s="37">
        <f t="shared" si="7"/>
        <v>4141.6975199999997</v>
      </c>
      <c r="U125" s="32">
        <f t="shared" si="8"/>
        <v>1425.52</v>
      </c>
      <c r="V125" s="37">
        <f t="shared" si="11"/>
        <v>2716.1775199999997</v>
      </c>
      <c r="W125" s="39">
        <f t="shared" si="12"/>
        <v>0.65581262438498888</v>
      </c>
    </row>
    <row r="126" spans="1:23" x14ac:dyDescent="0.3">
      <c r="A126" s="40" t="s">
        <v>352</v>
      </c>
      <c r="B126" s="41">
        <v>45150</v>
      </c>
      <c r="C126" s="42">
        <v>45175</v>
      </c>
      <c r="D126" s="43">
        <f t="shared" si="13"/>
        <v>25</v>
      </c>
      <c r="E126" s="43" t="str">
        <f>TEXT(Data!B126,"MMM-YYYY")</f>
        <v>Aug-2023</v>
      </c>
      <c r="F126" s="43" t="str">
        <f t="shared" si="9"/>
        <v>Q3-2023</v>
      </c>
      <c r="G126" s="33" t="s">
        <v>45</v>
      </c>
      <c r="H126" s="33" t="s">
        <v>116</v>
      </c>
      <c r="I126" s="33" t="s">
        <v>162</v>
      </c>
      <c r="J126" s="33" t="s">
        <v>62</v>
      </c>
      <c r="K126" s="33" t="s">
        <v>20</v>
      </c>
      <c r="L126" s="33" t="s">
        <v>56</v>
      </c>
      <c r="M126" s="33" t="s">
        <v>22</v>
      </c>
      <c r="N126" s="33" t="s">
        <v>353</v>
      </c>
      <c r="O126" s="43">
        <v>950.77</v>
      </c>
      <c r="P126" s="44" t="str">
        <f t="shared" si="10"/>
        <v>High</v>
      </c>
      <c r="Q126" s="43">
        <v>694.78</v>
      </c>
      <c r="R126" s="43">
        <v>8.4000000000000005E-2</v>
      </c>
      <c r="S126" s="43">
        <v>14</v>
      </c>
      <c r="T126" s="43">
        <f t="shared" si="7"/>
        <v>16093.478800000001</v>
      </c>
      <c r="U126" s="33">
        <f t="shared" si="8"/>
        <v>13310.779999999999</v>
      </c>
      <c r="V126" s="43">
        <f t="shared" si="11"/>
        <v>2782.6988000000019</v>
      </c>
      <c r="W126" s="45">
        <f t="shared" si="12"/>
        <v>0.17290847023081185</v>
      </c>
    </row>
    <row r="127" spans="1:23" x14ac:dyDescent="0.3">
      <c r="A127" s="34" t="s">
        <v>354</v>
      </c>
      <c r="B127" s="35">
        <v>45450</v>
      </c>
      <c r="C127" s="36">
        <v>45469</v>
      </c>
      <c r="D127" s="37">
        <f t="shared" si="13"/>
        <v>19</v>
      </c>
      <c r="E127" s="37" t="str">
        <f>TEXT(Data!B127,"MMM-YYYY")</f>
        <v>Jun-2024</v>
      </c>
      <c r="F127" s="37" t="str">
        <f t="shared" si="9"/>
        <v>Q2-2024</v>
      </c>
      <c r="G127" s="32" t="s">
        <v>78</v>
      </c>
      <c r="H127" s="32" t="s">
        <v>79</v>
      </c>
      <c r="I127" s="32" t="s">
        <v>80</v>
      </c>
      <c r="J127" s="32" t="s">
        <v>39</v>
      </c>
      <c r="K127" s="32" t="s">
        <v>40</v>
      </c>
      <c r="L127" s="32" t="s">
        <v>110</v>
      </c>
      <c r="M127" s="32" t="s">
        <v>22</v>
      </c>
      <c r="N127" s="32" t="s">
        <v>355</v>
      </c>
      <c r="O127" s="37">
        <v>1064.32</v>
      </c>
      <c r="P127" s="38" t="str">
        <f t="shared" si="10"/>
        <v>High</v>
      </c>
      <c r="Q127" s="37">
        <v>1848.39</v>
      </c>
      <c r="R127" s="37">
        <v>7.2999999999999995E-2</v>
      </c>
      <c r="S127" s="37">
        <v>38</v>
      </c>
      <c r="T127" s="37">
        <f t="shared" si="7"/>
        <v>29785.344300000001</v>
      </c>
      <c r="U127" s="32">
        <f t="shared" si="8"/>
        <v>40444.159999999996</v>
      </c>
      <c r="V127" s="37">
        <f t="shared" si="11"/>
        <v>-10658.815699999996</v>
      </c>
      <c r="W127" s="39">
        <f t="shared" si="12"/>
        <v>-0.35785437269563458</v>
      </c>
    </row>
    <row r="128" spans="1:23" x14ac:dyDescent="0.3">
      <c r="A128" s="40" t="s">
        <v>356</v>
      </c>
      <c r="B128" s="41">
        <v>45874</v>
      </c>
      <c r="C128" s="42">
        <v>45883</v>
      </c>
      <c r="D128" s="43">
        <f t="shared" si="13"/>
        <v>9</v>
      </c>
      <c r="E128" s="43" t="str">
        <f>TEXT(Data!B128,"MMM-YYYY")</f>
        <v>Aug-2025</v>
      </c>
      <c r="F128" s="43" t="str">
        <f t="shared" si="9"/>
        <v>Q3-2025</v>
      </c>
      <c r="G128" s="33" t="s">
        <v>78</v>
      </c>
      <c r="H128" s="33" t="s">
        <v>108</v>
      </c>
      <c r="I128" s="33" t="s">
        <v>152</v>
      </c>
      <c r="J128" s="33" t="s">
        <v>39</v>
      </c>
      <c r="K128" s="33" t="s">
        <v>98</v>
      </c>
      <c r="L128" s="33" t="s">
        <v>63</v>
      </c>
      <c r="M128" s="33" t="s">
        <v>22</v>
      </c>
      <c r="N128" s="33" t="s">
        <v>357</v>
      </c>
      <c r="O128" s="43">
        <v>41.76</v>
      </c>
      <c r="P128" s="44" t="str">
        <f t="shared" si="10"/>
        <v>Low</v>
      </c>
      <c r="Q128" s="43">
        <v>45.19</v>
      </c>
      <c r="R128" s="43">
        <v>0.17899999999999999</v>
      </c>
      <c r="S128" s="43">
        <v>23</v>
      </c>
      <c r="T128" s="43">
        <f t="shared" si="7"/>
        <v>40507.245110000003</v>
      </c>
      <c r="U128" s="33">
        <f t="shared" si="8"/>
        <v>960.4799999999999</v>
      </c>
      <c r="V128" s="43">
        <f t="shared" si="11"/>
        <v>39546.76511</v>
      </c>
      <c r="W128" s="45">
        <f t="shared" si="12"/>
        <v>0.97628868619942533</v>
      </c>
    </row>
    <row r="129" spans="1:23" x14ac:dyDescent="0.3">
      <c r="A129" s="34" t="s">
        <v>358</v>
      </c>
      <c r="B129" s="35">
        <v>45442</v>
      </c>
      <c r="C129" s="36">
        <v>45456</v>
      </c>
      <c r="D129" s="37">
        <f t="shared" si="13"/>
        <v>14</v>
      </c>
      <c r="E129" s="37" t="str">
        <f>TEXT(Data!B129,"MMM-YYYY")</f>
        <v>May-2024</v>
      </c>
      <c r="F129" s="37" t="str">
        <f t="shared" si="9"/>
        <v>Q2-2024</v>
      </c>
      <c r="G129" s="32" t="s">
        <v>52</v>
      </c>
      <c r="H129" s="32" t="s">
        <v>122</v>
      </c>
      <c r="I129" s="32" t="s">
        <v>167</v>
      </c>
      <c r="J129" s="32" t="s">
        <v>62</v>
      </c>
      <c r="K129" s="32" t="s">
        <v>20</v>
      </c>
      <c r="L129" s="32" t="s">
        <v>84</v>
      </c>
      <c r="M129" s="32" t="s">
        <v>42</v>
      </c>
      <c r="N129" s="32" t="s">
        <v>359</v>
      </c>
      <c r="O129" s="37">
        <v>157.78</v>
      </c>
      <c r="P129" s="38" t="str">
        <f t="shared" si="10"/>
        <v>High</v>
      </c>
      <c r="Q129" s="37">
        <v>361.1</v>
      </c>
      <c r="R129" s="37">
        <v>0.187</v>
      </c>
      <c r="S129" s="37">
        <v>9</v>
      </c>
      <c r="T129" s="37">
        <f t="shared" ref="T129:T192" si="14">(Q155*S129)*(1-R129)</f>
        <v>9877.5109800000009</v>
      </c>
      <c r="U129" s="32">
        <f t="shared" ref="U129:U192" si="15">(O129*S129)</f>
        <v>1420.02</v>
      </c>
      <c r="V129" s="37">
        <f t="shared" si="11"/>
        <v>8457.4909800000005</v>
      </c>
      <c r="W129" s="39">
        <f t="shared" si="12"/>
        <v>0.85623706185948478</v>
      </c>
    </row>
    <row r="130" spans="1:23" x14ac:dyDescent="0.3">
      <c r="A130" s="40" t="s">
        <v>360</v>
      </c>
      <c r="B130" s="41">
        <v>44948</v>
      </c>
      <c r="C130" s="42">
        <v>44956</v>
      </c>
      <c r="D130" s="43">
        <f t="shared" si="13"/>
        <v>8</v>
      </c>
      <c r="E130" s="43" t="str">
        <f>TEXT(Data!B130,"MMM-YYYY")</f>
        <v>Jan-2023</v>
      </c>
      <c r="F130" s="43" t="str">
        <f t="shared" ref="F130:F193" si="16">"Q"&amp;ROUNDUP(MONTH(B130)/3,0)&amp;"-"&amp;YEAR(B130)</f>
        <v>Q1-2023</v>
      </c>
      <c r="G130" s="33" t="s">
        <v>52</v>
      </c>
      <c r="H130" s="33" t="s">
        <v>122</v>
      </c>
      <c r="I130" s="33" t="s">
        <v>167</v>
      </c>
      <c r="J130" s="33" t="s">
        <v>62</v>
      </c>
      <c r="K130" s="33" t="s">
        <v>28</v>
      </c>
      <c r="L130" s="33" t="s">
        <v>75</v>
      </c>
      <c r="M130" s="33" t="s">
        <v>35</v>
      </c>
      <c r="N130" s="33" t="s">
        <v>361</v>
      </c>
      <c r="O130" s="43">
        <v>413.52</v>
      </c>
      <c r="P130" s="44" t="str">
        <f t="shared" ref="P130:P193" si="17">IF(Q130&lt;50, "Low", IF(Q130&lt;200, "Medium", "High"))</f>
        <v>High</v>
      </c>
      <c r="Q130" s="43">
        <v>1004.34</v>
      </c>
      <c r="R130" s="43">
        <v>0.111</v>
      </c>
      <c r="S130" s="43">
        <v>18</v>
      </c>
      <c r="T130" s="43">
        <f t="shared" si="14"/>
        <v>8440.7349599999998</v>
      </c>
      <c r="U130" s="33">
        <f t="shared" si="15"/>
        <v>7443.36</v>
      </c>
      <c r="V130" s="43">
        <f t="shared" ref="V130:V193" si="18">(T130-U130)</f>
        <v>997.3749600000001</v>
      </c>
      <c r="W130" s="45">
        <f t="shared" ref="W130:W193" si="19">IF(T130=0, 0, V130/T130)</f>
        <v>0.11816209900281008</v>
      </c>
    </row>
    <row r="131" spans="1:23" x14ac:dyDescent="0.3">
      <c r="A131" s="34" t="s">
        <v>362</v>
      </c>
      <c r="B131" s="35">
        <v>45700</v>
      </c>
      <c r="C131" s="36">
        <v>45716</v>
      </c>
      <c r="D131" s="37">
        <f t="shared" ref="D131:D194" si="20">DATEDIF(B131,C131, "MD")</f>
        <v>16</v>
      </c>
      <c r="E131" s="37" t="str">
        <f>TEXT(Data!B131,"MMM-YYYY")</f>
        <v>Feb-2025</v>
      </c>
      <c r="F131" s="37" t="str">
        <f t="shared" si="16"/>
        <v>Q1-2025</v>
      </c>
      <c r="G131" s="32" t="s">
        <v>52</v>
      </c>
      <c r="H131" s="32" t="s">
        <v>73</v>
      </c>
      <c r="I131" s="32" t="s">
        <v>74</v>
      </c>
      <c r="J131" s="32" t="s">
        <v>39</v>
      </c>
      <c r="K131" s="32" t="s">
        <v>98</v>
      </c>
      <c r="L131" s="32" t="s">
        <v>56</v>
      </c>
      <c r="M131" s="32" t="s">
        <v>64</v>
      </c>
      <c r="N131" s="32" t="s">
        <v>363</v>
      </c>
      <c r="O131" s="37">
        <v>414.95</v>
      </c>
      <c r="P131" s="38" t="str">
        <f t="shared" si="17"/>
        <v>High</v>
      </c>
      <c r="Q131" s="37">
        <v>1027.73</v>
      </c>
      <c r="R131" s="37">
        <v>6.3E-2</v>
      </c>
      <c r="S131" s="37">
        <v>8</v>
      </c>
      <c r="T131" s="37">
        <f t="shared" si="14"/>
        <v>10997.906320000002</v>
      </c>
      <c r="U131" s="32">
        <f t="shared" si="15"/>
        <v>3319.6</v>
      </c>
      <c r="V131" s="37">
        <f t="shared" si="18"/>
        <v>7678.3063200000015</v>
      </c>
      <c r="W131" s="39">
        <f t="shared" si="19"/>
        <v>0.69816073137818835</v>
      </c>
    </row>
    <row r="132" spans="1:23" x14ac:dyDescent="0.3">
      <c r="A132" s="40" t="s">
        <v>364</v>
      </c>
      <c r="B132" s="41">
        <v>45719</v>
      </c>
      <c r="C132" s="42">
        <v>45740</v>
      </c>
      <c r="D132" s="43">
        <f t="shared" si="20"/>
        <v>21</v>
      </c>
      <c r="E132" s="43" t="str">
        <f>TEXT(Data!B132,"MMM-YYYY")</f>
        <v>Mar-2025</v>
      </c>
      <c r="F132" s="43" t="str">
        <f t="shared" si="16"/>
        <v>Q1-2025</v>
      </c>
      <c r="G132" s="33" t="s">
        <v>16</v>
      </c>
      <c r="H132" s="33" t="s">
        <v>25</v>
      </c>
      <c r="I132" s="33" t="s">
        <v>67</v>
      </c>
      <c r="J132" s="33" t="s">
        <v>105</v>
      </c>
      <c r="K132" s="33" t="s">
        <v>98</v>
      </c>
      <c r="L132" s="33" t="s">
        <v>92</v>
      </c>
      <c r="M132" s="33" t="s">
        <v>81</v>
      </c>
      <c r="N132" s="33" t="s">
        <v>365</v>
      </c>
      <c r="O132" s="43">
        <v>555.95000000000005</v>
      </c>
      <c r="P132" s="44" t="str">
        <f t="shared" si="17"/>
        <v>High</v>
      </c>
      <c r="Q132" s="43">
        <v>468.09</v>
      </c>
      <c r="R132" s="43">
        <v>0.14199999999999999</v>
      </c>
      <c r="S132" s="43">
        <v>11</v>
      </c>
      <c r="T132" s="43">
        <f t="shared" si="14"/>
        <v>15583.45932</v>
      </c>
      <c r="U132" s="33">
        <f t="shared" si="15"/>
        <v>6115.4500000000007</v>
      </c>
      <c r="V132" s="43">
        <f t="shared" si="18"/>
        <v>9468.0093199999992</v>
      </c>
      <c r="W132" s="45">
        <f t="shared" si="19"/>
        <v>0.60756787858063332</v>
      </c>
    </row>
    <row r="133" spans="1:23" x14ac:dyDescent="0.3">
      <c r="A133" s="34" t="s">
        <v>366</v>
      </c>
      <c r="B133" s="35">
        <v>44953</v>
      </c>
      <c r="C133" s="36">
        <v>44957</v>
      </c>
      <c r="D133" s="37">
        <f t="shared" si="20"/>
        <v>4</v>
      </c>
      <c r="E133" s="37" t="str">
        <f>TEXT(Data!B133,"MMM-YYYY")</f>
        <v>Jan-2023</v>
      </c>
      <c r="F133" s="37" t="str">
        <f t="shared" si="16"/>
        <v>Q1-2023</v>
      </c>
      <c r="G133" s="32" t="s">
        <v>78</v>
      </c>
      <c r="H133" s="32" t="s">
        <v>108</v>
      </c>
      <c r="I133" s="32" t="s">
        <v>228</v>
      </c>
      <c r="J133" s="32" t="s">
        <v>105</v>
      </c>
      <c r="K133" s="32" t="s">
        <v>28</v>
      </c>
      <c r="L133" s="32" t="s">
        <v>126</v>
      </c>
      <c r="M133" s="32" t="s">
        <v>57</v>
      </c>
      <c r="N133" s="32" t="s">
        <v>367</v>
      </c>
      <c r="O133" s="37">
        <v>941.2</v>
      </c>
      <c r="P133" s="38" t="str">
        <f t="shared" si="17"/>
        <v>High</v>
      </c>
      <c r="Q133" s="37">
        <v>668.02</v>
      </c>
      <c r="R133" s="37">
        <v>0.22</v>
      </c>
      <c r="S133" s="37">
        <v>16</v>
      </c>
      <c r="T133" s="37">
        <f t="shared" si="14"/>
        <v>24737.606400000001</v>
      </c>
      <c r="U133" s="32">
        <f t="shared" si="15"/>
        <v>15059.2</v>
      </c>
      <c r="V133" s="37">
        <f t="shared" si="18"/>
        <v>9678.4063999999998</v>
      </c>
      <c r="W133" s="39">
        <f t="shared" si="19"/>
        <v>0.3912426385763822</v>
      </c>
    </row>
    <row r="134" spans="1:23" x14ac:dyDescent="0.3">
      <c r="A134" s="40" t="s">
        <v>368</v>
      </c>
      <c r="B134" s="41">
        <v>45666</v>
      </c>
      <c r="C134" s="42">
        <v>45672</v>
      </c>
      <c r="D134" s="43">
        <f t="shared" si="20"/>
        <v>6</v>
      </c>
      <c r="E134" s="43" t="str">
        <f>TEXT(Data!B134,"MMM-YYYY")</f>
        <v>Jan-2025</v>
      </c>
      <c r="F134" s="43" t="str">
        <f t="shared" si="16"/>
        <v>Q1-2025</v>
      </c>
      <c r="G134" s="33" t="s">
        <v>45</v>
      </c>
      <c r="H134" s="33" t="s">
        <v>116</v>
      </c>
      <c r="I134" s="33" t="s">
        <v>338</v>
      </c>
      <c r="J134" s="33" t="s">
        <v>27</v>
      </c>
      <c r="K134" s="33" t="s">
        <v>28</v>
      </c>
      <c r="L134" s="33" t="s">
        <v>21</v>
      </c>
      <c r="M134" s="33" t="s">
        <v>42</v>
      </c>
      <c r="N134" s="33" t="s">
        <v>369</v>
      </c>
      <c r="O134" s="43">
        <v>304.77999999999997</v>
      </c>
      <c r="P134" s="44" t="str">
        <f t="shared" si="17"/>
        <v>High</v>
      </c>
      <c r="Q134" s="43">
        <v>537.27</v>
      </c>
      <c r="R134" s="43">
        <v>0.187</v>
      </c>
      <c r="S134" s="43">
        <v>8</v>
      </c>
      <c r="T134" s="43">
        <f t="shared" si="14"/>
        <v>16599.638879999999</v>
      </c>
      <c r="U134" s="33">
        <f t="shared" si="15"/>
        <v>2438.2399999999998</v>
      </c>
      <c r="V134" s="43">
        <f t="shared" si="18"/>
        <v>14161.398879999999</v>
      </c>
      <c r="W134" s="45">
        <f t="shared" si="19"/>
        <v>0.85311487691833454</v>
      </c>
    </row>
    <row r="135" spans="1:23" x14ac:dyDescent="0.3">
      <c r="A135" s="34" t="s">
        <v>370</v>
      </c>
      <c r="B135" s="35">
        <v>45647</v>
      </c>
      <c r="C135" s="36">
        <v>45652</v>
      </c>
      <c r="D135" s="37">
        <f t="shared" si="20"/>
        <v>5</v>
      </c>
      <c r="E135" s="37" t="str">
        <f>TEXT(Data!B135,"MMM-YYYY")</f>
        <v>Dec-2024</v>
      </c>
      <c r="F135" s="37" t="str">
        <f t="shared" si="16"/>
        <v>Q4-2024</v>
      </c>
      <c r="G135" s="32" t="s">
        <v>52</v>
      </c>
      <c r="H135" s="32" t="s">
        <v>122</v>
      </c>
      <c r="I135" s="32" t="s">
        <v>167</v>
      </c>
      <c r="J135" s="32" t="s">
        <v>48</v>
      </c>
      <c r="K135" s="32" t="s">
        <v>40</v>
      </c>
      <c r="L135" s="32" t="s">
        <v>110</v>
      </c>
      <c r="M135" s="32" t="s">
        <v>30</v>
      </c>
      <c r="N135" s="32" t="s">
        <v>371</v>
      </c>
      <c r="O135" s="37">
        <v>699.57</v>
      </c>
      <c r="P135" s="38" t="str">
        <f t="shared" si="17"/>
        <v>High</v>
      </c>
      <c r="Q135" s="37">
        <v>572.71</v>
      </c>
      <c r="R135" s="37">
        <v>0.192</v>
      </c>
      <c r="S135" s="37">
        <v>26</v>
      </c>
      <c r="T135" s="37">
        <f t="shared" si="14"/>
        <v>10987.39408</v>
      </c>
      <c r="U135" s="32">
        <f t="shared" si="15"/>
        <v>18188.82</v>
      </c>
      <c r="V135" s="37">
        <f t="shared" si="18"/>
        <v>-7201.4259199999997</v>
      </c>
      <c r="W135" s="39">
        <f t="shared" si="19"/>
        <v>-0.65542619729172391</v>
      </c>
    </row>
    <row r="136" spans="1:23" x14ac:dyDescent="0.3">
      <c r="A136" s="40" t="s">
        <v>372</v>
      </c>
      <c r="B136" s="41">
        <v>45028</v>
      </c>
      <c r="C136" s="42">
        <v>45033</v>
      </c>
      <c r="D136" s="43">
        <f t="shared" si="20"/>
        <v>5</v>
      </c>
      <c r="E136" s="43" t="str">
        <f>TEXT(Data!B136,"MMM-YYYY")</f>
        <v>Apr-2023</v>
      </c>
      <c r="F136" s="43" t="str">
        <f t="shared" si="16"/>
        <v>Q2-2023</v>
      </c>
      <c r="G136" s="33" t="s">
        <v>78</v>
      </c>
      <c r="H136" s="33" t="s">
        <v>90</v>
      </c>
      <c r="I136" s="33" t="s">
        <v>138</v>
      </c>
      <c r="J136" s="33" t="s">
        <v>105</v>
      </c>
      <c r="K136" s="33" t="s">
        <v>98</v>
      </c>
      <c r="L136" s="33" t="s">
        <v>63</v>
      </c>
      <c r="M136" s="33" t="s">
        <v>64</v>
      </c>
      <c r="N136" s="33" t="s">
        <v>373</v>
      </c>
      <c r="O136" s="43">
        <v>1087.81</v>
      </c>
      <c r="P136" s="44" t="str">
        <f t="shared" si="17"/>
        <v>High</v>
      </c>
      <c r="Q136" s="43">
        <v>2323.87</v>
      </c>
      <c r="R136" s="43">
        <v>9.4E-2</v>
      </c>
      <c r="S136" s="43">
        <v>13</v>
      </c>
      <c r="T136" s="43">
        <f t="shared" si="14"/>
        <v>14342.18838</v>
      </c>
      <c r="U136" s="33">
        <f t="shared" si="15"/>
        <v>14141.529999999999</v>
      </c>
      <c r="V136" s="43">
        <f t="shared" si="18"/>
        <v>200.65838000000076</v>
      </c>
      <c r="W136" s="45">
        <f t="shared" si="19"/>
        <v>1.399077844213902E-2</v>
      </c>
    </row>
    <row r="137" spans="1:23" x14ac:dyDescent="0.3">
      <c r="A137" s="34" t="s">
        <v>374</v>
      </c>
      <c r="B137" s="35">
        <v>45640</v>
      </c>
      <c r="C137" s="36">
        <v>45669</v>
      </c>
      <c r="D137" s="37">
        <f t="shared" si="20"/>
        <v>29</v>
      </c>
      <c r="E137" s="37" t="str">
        <f>TEXT(Data!B137,"MMM-YYYY")</f>
        <v>Dec-2024</v>
      </c>
      <c r="F137" s="37" t="str">
        <f t="shared" si="16"/>
        <v>Q4-2024</v>
      </c>
      <c r="G137" s="32" t="s">
        <v>45</v>
      </c>
      <c r="H137" s="32" t="s">
        <v>116</v>
      </c>
      <c r="I137" s="32" t="s">
        <v>117</v>
      </c>
      <c r="J137" s="32" t="s">
        <v>27</v>
      </c>
      <c r="K137" s="32" t="s">
        <v>28</v>
      </c>
      <c r="L137" s="32" t="s">
        <v>29</v>
      </c>
      <c r="M137" s="32" t="s">
        <v>22</v>
      </c>
      <c r="N137" s="32" t="s">
        <v>375</v>
      </c>
      <c r="O137" s="37">
        <v>1412.15</v>
      </c>
      <c r="P137" s="38" t="str">
        <f t="shared" si="17"/>
        <v>High</v>
      </c>
      <c r="Q137" s="37">
        <v>1631.04</v>
      </c>
      <c r="R137" s="37">
        <v>8.9999999999999993E-3</v>
      </c>
      <c r="S137" s="37">
        <v>6</v>
      </c>
      <c r="T137" s="37">
        <f t="shared" si="14"/>
        <v>7989.2834400000002</v>
      </c>
      <c r="U137" s="32">
        <f t="shared" si="15"/>
        <v>8472.9000000000015</v>
      </c>
      <c r="V137" s="37">
        <f t="shared" si="18"/>
        <v>-483.6165600000013</v>
      </c>
      <c r="W137" s="39">
        <f t="shared" si="19"/>
        <v>-6.0533158403002073E-2</v>
      </c>
    </row>
    <row r="138" spans="1:23" x14ac:dyDescent="0.3">
      <c r="A138" s="40" t="s">
        <v>376</v>
      </c>
      <c r="B138" s="41">
        <v>45016</v>
      </c>
      <c r="C138" s="42">
        <v>45028</v>
      </c>
      <c r="D138" s="43">
        <f t="shared" si="20"/>
        <v>12</v>
      </c>
      <c r="E138" s="43" t="str">
        <f>TEXT(Data!B138,"MMM-YYYY")</f>
        <v>Mar-2023</v>
      </c>
      <c r="F138" s="43" t="str">
        <f t="shared" si="16"/>
        <v>Q1-2023</v>
      </c>
      <c r="G138" s="33" t="s">
        <v>16</v>
      </c>
      <c r="H138" s="33" t="s">
        <v>17</v>
      </c>
      <c r="I138" s="33" t="s">
        <v>113</v>
      </c>
      <c r="J138" s="33" t="s">
        <v>62</v>
      </c>
      <c r="K138" s="33" t="s">
        <v>28</v>
      </c>
      <c r="L138" s="33" t="s">
        <v>21</v>
      </c>
      <c r="M138" s="33" t="s">
        <v>42</v>
      </c>
      <c r="N138" s="33" t="s">
        <v>377</v>
      </c>
      <c r="O138" s="43">
        <v>304.22000000000003</v>
      </c>
      <c r="P138" s="44" t="str">
        <f t="shared" si="17"/>
        <v>High</v>
      </c>
      <c r="Q138" s="43">
        <v>393.31</v>
      </c>
      <c r="R138" s="43">
        <v>0.26500000000000001</v>
      </c>
      <c r="S138" s="43">
        <v>15</v>
      </c>
      <c r="T138" s="43">
        <f t="shared" si="14"/>
        <v>3326.2424999999998</v>
      </c>
      <c r="U138" s="33">
        <f t="shared" si="15"/>
        <v>4563.3</v>
      </c>
      <c r="V138" s="43">
        <f t="shared" si="18"/>
        <v>-1237.0575000000003</v>
      </c>
      <c r="W138" s="45">
        <f t="shared" si="19"/>
        <v>-0.3719083921271526</v>
      </c>
    </row>
    <row r="139" spans="1:23" x14ac:dyDescent="0.3">
      <c r="A139" s="34" t="s">
        <v>378</v>
      </c>
      <c r="B139" s="35">
        <v>45616</v>
      </c>
      <c r="C139" s="36">
        <v>45641</v>
      </c>
      <c r="D139" s="37">
        <f t="shared" si="20"/>
        <v>25</v>
      </c>
      <c r="E139" s="37" t="str">
        <f>TEXT(Data!B139,"MMM-YYYY")</f>
        <v>Nov-2024</v>
      </c>
      <c r="F139" s="37" t="str">
        <f t="shared" si="16"/>
        <v>Q4-2024</v>
      </c>
      <c r="G139" s="32" t="s">
        <v>78</v>
      </c>
      <c r="H139" s="32" t="s">
        <v>90</v>
      </c>
      <c r="I139" s="32" t="s">
        <v>217</v>
      </c>
      <c r="J139" s="32" t="s">
        <v>19</v>
      </c>
      <c r="K139" s="32" t="s">
        <v>28</v>
      </c>
      <c r="L139" s="32" t="s">
        <v>41</v>
      </c>
      <c r="M139" s="32" t="s">
        <v>30</v>
      </c>
      <c r="N139" s="32" t="s">
        <v>379</v>
      </c>
      <c r="O139" s="37">
        <v>1203.58</v>
      </c>
      <c r="P139" s="38" t="str">
        <f t="shared" si="17"/>
        <v>High</v>
      </c>
      <c r="Q139" s="37">
        <v>1856.16</v>
      </c>
      <c r="R139" s="37">
        <v>0.129</v>
      </c>
      <c r="S139" s="37">
        <v>22</v>
      </c>
      <c r="T139" s="37">
        <f t="shared" si="14"/>
        <v>28967.387020000002</v>
      </c>
      <c r="U139" s="32">
        <f t="shared" si="15"/>
        <v>26478.76</v>
      </c>
      <c r="V139" s="37">
        <f t="shared" si="18"/>
        <v>2488.6270200000035</v>
      </c>
      <c r="W139" s="39">
        <f t="shared" si="19"/>
        <v>8.591133947572753E-2</v>
      </c>
    </row>
    <row r="140" spans="1:23" x14ac:dyDescent="0.3">
      <c r="A140" s="40" t="s">
        <v>380</v>
      </c>
      <c r="B140" s="41">
        <v>45336</v>
      </c>
      <c r="C140" s="42">
        <v>45336</v>
      </c>
      <c r="D140" s="43">
        <f t="shared" si="20"/>
        <v>0</v>
      </c>
      <c r="E140" s="43" t="str">
        <f>TEXT(Data!B140,"MMM-YYYY")</f>
        <v>Feb-2024</v>
      </c>
      <c r="F140" s="43" t="str">
        <f t="shared" si="16"/>
        <v>Q1-2024</v>
      </c>
      <c r="G140" s="33" t="s">
        <v>45</v>
      </c>
      <c r="H140" s="33" t="s">
        <v>116</v>
      </c>
      <c r="I140" s="33" t="s">
        <v>338</v>
      </c>
      <c r="J140" s="33" t="s">
        <v>19</v>
      </c>
      <c r="K140" s="33" t="s">
        <v>55</v>
      </c>
      <c r="L140" s="33" t="s">
        <v>49</v>
      </c>
      <c r="M140" s="33" t="s">
        <v>81</v>
      </c>
      <c r="N140" s="33" t="s">
        <v>381</v>
      </c>
      <c r="O140" s="43">
        <v>65.930000000000007</v>
      </c>
      <c r="P140" s="44" t="str">
        <f t="shared" si="17"/>
        <v>Medium</v>
      </c>
      <c r="Q140" s="43">
        <v>84.9</v>
      </c>
      <c r="R140" s="43">
        <v>0.25900000000000001</v>
      </c>
      <c r="S140" s="43">
        <v>23</v>
      </c>
      <c r="T140" s="43">
        <f t="shared" si="14"/>
        <v>35027.455319999994</v>
      </c>
      <c r="U140" s="33">
        <f t="shared" si="15"/>
        <v>1516.39</v>
      </c>
      <c r="V140" s="43">
        <f t="shared" si="18"/>
        <v>33511.065319999994</v>
      </c>
      <c r="W140" s="45">
        <f t="shared" si="19"/>
        <v>0.95670853088964847</v>
      </c>
    </row>
    <row r="141" spans="1:23" x14ac:dyDescent="0.3">
      <c r="A141" s="34" t="s">
        <v>382</v>
      </c>
      <c r="B141" s="35">
        <v>45048</v>
      </c>
      <c r="C141" s="36">
        <v>45064</v>
      </c>
      <c r="D141" s="37">
        <f t="shared" si="20"/>
        <v>16</v>
      </c>
      <c r="E141" s="37" t="str">
        <f>TEXT(Data!B141,"MMM-YYYY")</f>
        <v>May-2023</v>
      </c>
      <c r="F141" s="37" t="str">
        <f t="shared" si="16"/>
        <v>Q2-2023</v>
      </c>
      <c r="G141" s="32" t="s">
        <v>45</v>
      </c>
      <c r="H141" s="32" t="s">
        <v>60</v>
      </c>
      <c r="I141" s="32" t="s">
        <v>141</v>
      </c>
      <c r="J141" s="32" t="s">
        <v>62</v>
      </c>
      <c r="K141" s="32" t="s">
        <v>40</v>
      </c>
      <c r="L141" s="32" t="s">
        <v>95</v>
      </c>
      <c r="M141" s="32" t="s">
        <v>64</v>
      </c>
      <c r="N141" s="32" t="s">
        <v>383</v>
      </c>
      <c r="O141" s="37">
        <v>1463.92</v>
      </c>
      <c r="P141" s="38" t="str">
        <f t="shared" si="17"/>
        <v>High</v>
      </c>
      <c r="Q141" s="37">
        <v>2252.2399999999998</v>
      </c>
      <c r="R141" s="37">
        <v>0.11799999999999999</v>
      </c>
      <c r="S141" s="37">
        <v>44</v>
      </c>
      <c r="T141" s="37">
        <f t="shared" si="14"/>
        <v>15179.749199999998</v>
      </c>
      <c r="U141" s="32">
        <f t="shared" si="15"/>
        <v>64412.480000000003</v>
      </c>
      <c r="V141" s="37">
        <f t="shared" si="18"/>
        <v>-49232.730800000005</v>
      </c>
      <c r="W141" s="39">
        <f t="shared" si="19"/>
        <v>-3.2433164837795876</v>
      </c>
    </row>
    <row r="142" spans="1:23" x14ac:dyDescent="0.3">
      <c r="A142" s="40" t="s">
        <v>384</v>
      </c>
      <c r="B142" s="41">
        <v>45649</v>
      </c>
      <c r="C142" s="42">
        <v>45668</v>
      </c>
      <c r="D142" s="43">
        <f t="shared" si="20"/>
        <v>19</v>
      </c>
      <c r="E142" s="43" t="str">
        <f>TEXT(Data!B142,"MMM-YYYY")</f>
        <v>Dec-2024</v>
      </c>
      <c r="F142" s="43" t="str">
        <f t="shared" si="16"/>
        <v>Q4-2024</v>
      </c>
      <c r="G142" s="33" t="s">
        <v>78</v>
      </c>
      <c r="H142" s="33" t="s">
        <v>79</v>
      </c>
      <c r="I142" s="33" t="s">
        <v>80</v>
      </c>
      <c r="J142" s="33" t="s">
        <v>27</v>
      </c>
      <c r="K142" s="33" t="s">
        <v>20</v>
      </c>
      <c r="L142" s="33" t="s">
        <v>95</v>
      </c>
      <c r="M142" s="33" t="s">
        <v>42</v>
      </c>
      <c r="N142" s="33" t="s">
        <v>385</v>
      </c>
      <c r="O142" s="43">
        <v>501.81</v>
      </c>
      <c r="P142" s="44" t="str">
        <f t="shared" si="17"/>
        <v>High</v>
      </c>
      <c r="Q142" s="43">
        <v>921.62</v>
      </c>
      <c r="R142" s="43">
        <v>0.01</v>
      </c>
      <c r="S142" s="43">
        <v>9</v>
      </c>
      <c r="T142" s="43">
        <f t="shared" si="14"/>
        <v>16474.322700000001</v>
      </c>
      <c r="U142" s="33">
        <f t="shared" si="15"/>
        <v>4516.29</v>
      </c>
      <c r="V142" s="43">
        <f t="shared" si="18"/>
        <v>11958.0327</v>
      </c>
      <c r="W142" s="45">
        <f t="shared" si="19"/>
        <v>0.72585883606614066</v>
      </c>
    </row>
    <row r="143" spans="1:23" x14ac:dyDescent="0.3">
      <c r="A143" s="34" t="s">
        <v>386</v>
      </c>
      <c r="B143" s="35">
        <v>45133</v>
      </c>
      <c r="C143" s="36">
        <v>45163</v>
      </c>
      <c r="D143" s="37">
        <f t="shared" si="20"/>
        <v>30</v>
      </c>
      <c r="E143" s="37" t="str">
        <f>TEXT(Data!B143,"MMM-YYYY")</f>
        <v>Jul-2023</v>
      </c>
      <c r="F143" s="37" t="str">
        <f t="shared" si="16"/>
        <v>Q3-2023</v>
      </c>
      <c r="G143" s="32" t="s">
        <v>52</v>
      </c>
      <c r="H143" s="32" t="s">
        <v>122</v>
      </c>
      <c r="I143" s="32" t="s">
        <v>387</v>
      </c>
      <c r="J143" s="32" t="s">
        <v>48</v>
      </c>
      <c r="K143" s="32" t="s">
        <v>20</v>
      </c>
      <c r="L143" s="32" t="s">
        <v>110</v>
      </c>
      <c r="M143" s="32" t="s">
        <v>81</v>
      </c>
      <c r="N143" s="32" t="s">
        <v>388</v>
      </c>
      <c r="O143" s="37">
        <v>1261.48</v>
      </c>
      <c r="P143" s="38" t="str">
        <f t="shared" si="17"/>
        <v>High</v>
      </c>
      <c r="Q143" s="37">
        <v>1643.18</v>
      </c>
      <c r="R143" s="37">
        <v>0.151</v>
      </c>
      <c r="S143" s="37">
        <v>23</v>
      </c>
      <c r="T143" s="37">
        <f t="shared" si="14"/>
        <v>27251.100119999996</v>
      </c>
      <c r="U143" s="32">
        <f t="shared" si="15"/>
        <v>29014.04</v>
      </c>
      <c r="V143" s="37">
        <f t="shared" si="18"/>
        <v>-1762.9398800000054</v>
      </c>
      <c r="W143" s="39">
        <f t="shared" si="19"/>
        <v>-6.4692429745475011E-2</v>
      </c>
    </row>
    <row r="144" spans="1:23" x14ac:dyDescent="0.3">
      <c r="A144" s="40" t="s">
        <v>389</v>
      </c>
      <c r="B144" s="41">
        <v>45458</v>
      </c>
      <c r="C144" s="42">
        <v>45479</v>
      </c>
      <c r="D144" s="43">
        <f t="shared" si="20"/>
        <v>21</v>
      </c>
      <c r="E144" s="43" t="str">
        <f>TEXT(Data!B144,"MMM-YYYY")</f>
        <v>Jun-2024</v>
      </c>
      <c r="F144" s="43" t="str">
        <f t="shared" si="16"/>
        <v>Q2-2024</v>
      </c>
      <c r="G144" s="33" t="s">
        <v>52</v>
      </c>
      <c r="H144" s="33" t="s">
        <v>53</v>
      </c>
      <c r="I144" s="33" t="s">
        <v>54</v>
      </c>
      <c r="J144" s="33" t="s">
        <v>105</v>
      </c>
      <c r="K144" s="33" t="s">
        <v>55</v>
      </c>
      <c r="L144" s="33" t="s">
        <v>49</v>
      </c>
      <c r="M144" s="33" t="s">
        <v>30</v>
      </c>
      <c r="N144" s="33" t="s">
        <v>390</v>
      </c>
      <c r="O144" s="43">
        <v>817.23</v>
      </c>
      <c r="P144" s="44" t="str">
        <f t="shared" si="17"/>
        <v>High</v>
      </c>
      <c r="Q144" s="43">
        <v>1467.17</v>
      </c>
      <c r="R144" s="43">
        <v>0.245</v>
      </c>
      <c r="S144" s="43">
        <v>9</v>
      </c>
      <c r="T144" s="43">
        <f t="shared" si="14"/>
        <v>3655.9817999999996</v>
      </c>
      <c r="U144" s="33">
        <f t="shared" si="15"/>
        <v>7355.07</v>
      </c>
      <c r="V144" s="43">
        <f t="shared" si="18"/>
        <v>-3699.0882000000001</v>
      </c>
      <c r="W144" s="45">
        <f t="shared" si="19"/>
        <v>-1.0117906495048745</v>
      </c>
    </row>
    <row r="145" spans="1:23" x14ac:dyDescent="0.3">
      <c r="A145" s="34" t="s">
        <v>391</v>
      </c>
      <c r="B145" s="35">
        <v>45112</v>
      </c>
      <c r="C145" s="36">
        <v>45121</v>
      </c>
      <c r="D145" s="37">
        <f t="shared" si="20"/>
        <v>9</v>
      </c>
      <c r="E145" s="37" t="str">
        <f>TEXT(Data!B145,"MMM-YYYY")</f>
        <v>Jul-2023</v>
      </c>
      <c r="F145" s="37" t="str">
        <f t="shared" si="16"/>
        <v>Q3-2023</v>
      </c>
      <c r="G145" s="32" t="s">
        <v>52</v>
      </c>
      <c r="H145" s="32" t="s">
        <v>73</v>
      </c>
      <c r="I145" s="32" t="s">
        <v>87</v>
      </c>
      <c r="J145" s="32" t="s">
        <v>105</v>
      </c>
      <c r="K145" s="32" t="s">
        <v>98</v>
      </c>
      <c r="L145" s="32" t="s">
        <v>56</v>
      </c>
      <c r="M145" s="32" t="s">
        <v>35</v>
      </c>
      <c r="N145" s="32" t="s">
        <v>392</v>
      </c>
      <c r="O145" s="37">
        <v>578.85</v>
      </c>
      <c r="P145" s="38" t="str">
        <f t="shared" si="17"/>
        <v>High</v>
      </c>
      <c r="Q145" s="37">
        <v>998.76</v>
      </c>
      <c r="R145" s="37">
        <v>8.2000000000000003E-2</v>
      </c>
      <c r="S145" s="37">
        <v>28</v>
      </c>
      <c r="T145" s="37">
        <f t="shared" si="14"/>
        <v>31331.119680000003</v>
      </c>
      <c r="U145" s="32">
        <f t="shared" si="15"/>
        <v>16207.800000000001</v>
      </c>
      <c r="V145" s="37">
        <f t="shared" si="18"/>
        <v>15123.319680000002</v>
      </c>
      <c r="W145" s="39">
        <f t="shared" si="19"/>
        <v>0.4826932402819254</v>
      </c>
    </row>
    <row r="146" spans="1:23" x14ac:dyDescent="0.3">
      <c r="A146" s="40" t="s">
        <v>393</v>
      </c>
      <c r="B146" s="41">
        <v>45260</v>
      </c>
      <c r="C146" s="42">
        <v>45259</v>
      </c>
      <c r="D146" s="43">
        <f>DATEDIF(C146,B146, "MD")</f>
        <v>1</v>
      </c>
      <c r="E146" s="43" t="str">
        <f>TEXT(Data!B146,"MMM-YYYY")</f>
        <v>Nov-2023</v>
      </c>
      <c r="F146" s="43" t="str">
        <f t="shared" si="16"/>
        <v>Q4-2023</v>
      </c>
      <c r="G146" s="33" t="s">
        <v>16</v>
      </c>
      <c r="H146" s="33" t="s">
        <v>148</v>
      </c>
      <c r="I146" s="33" t="s">
        <v>172</v>
      </c>
      <c r="J146" s="33" t="s">
        <v>62</v>
      </c>
      <c r="K146" s="33" t="s">
        <v>40</v>
      </c>
      <c r="L146" s="33" t="s">
        <v>63</v>
      </c>
      <c r="M146" s="33" t="s">
        <v>57</v>
      </c>
      <c r="N146" s="33" t="s">
        <v>394</v>
      </c>
      <c r="O146" s="43">
        <v>275.56</v>
      </c>
      <c r="P146" s="44" t="str">
        <f t="shared" si="17"/>
        <v>High</v>
      </c>
      <c r="Q146" s="43">
        <v>630.72</v>
      </c>
      <c r="R146" s="43">
        <v>0.107</v>
      </c>
      <c r="S146" s="43">
        <v>23</v>
      </c>
      <c r="T146" s="43">
        <f t="shared" si="14"/>
        <v>42353.882679999995</v>
      </c>
      <c r="U146" s="33">
        <f t="shared" si="15"/>
        <v>6337.88</v>
      </c>
      <c r="V146" s="43">
        <f t="shared" si="18"/>
        <v>36016.002679999998</v>
      </c>
      <c r="W146" s="45">
        <f t="shared" si="19"/>
        <v>0.85035893762361436</v>
      </c>
    </row>
    <row r="147" spans="1:23" x14ac:dyDescent="0.3">
      <c r="A147" s="34" t="s">
        <v>395</v>
      </c>
      <c r="B147" s="35">
        <v>45911</v>
      </c>
      <c r="C147" s="36">
        <v>45928</v>
      </c>
      <c r="D147" s="37">
        <f t="shared" si="20"/>
        <v>17</v>
      </c>
      <c r="E147" s="37" t="str">
        <f>TEXT(Data!B147,"MMM-YYYY")</f>
        <v>Sep-2025</v>
      </c>
      <c r="F147" s="37" t="str">
        <f t="shared" si="16"/>
        <v>Q3-2025</v>
      </c>
      <c r="G147" s="32" t="s">
        <v>16</v>
      </c>
      <c r="H147" s="32" t="s">
        <v>17</v>
      </c>
      <c r="I147" s="32" t="s">
        <v>33</v>
      </c>
      <c r="J147" s="32" t="s">
        <v>39</v>
      </c>
      <c r="K147" s="32" t="s">
        <v>55</v>
      </c>
      <c r="L147" s="32" t="s">
        <v>29</v>
      </c>
      <c r="M147" s="32" t="s">
        <v>57</v>
      </c>
      <c r="N147" s="32" t="s">
        <v>396</v>
      </c>
      <c r="O147" s="37">
        <v>891.46</v>
      </c>
      <c r="P147" s="38" t="str">
        <f t="shared" si="17"/>
        <v>High</v>
      </c>
      <c r="Q147" s="37">
        <v>728.61</v>
      </c>
      <c r="R147" s="37">
        <v>0.185</v>
      </c>
      <c r="S147" s="37">
        <v>6</v>
      </c>
      <c r="T147" s="37">
        <f t="shared" si="14"/>
        <v>49.780199999999994</v>
      </c>
      <c r="U147" s="32">
        <f t="shared" si="15"/>
        <v>5348.76</v>
      </c>
      <c r="V147" s="37">
        <f t="shared" si="18"/>
        <v>-5298.9798000000001</v>
      </c>
      <c r="W147" s="39">
        <f t="shared" si="19"/>
        <v>-106.44753938312824</v>
      </c>
    </row>
    <row r="148" spans="1:23" x14ac:dyDescent="0.3">
      <c r="A148" s="40" t="s">
        <v>397</v>
      </c>
      <c r="B148" s="41">
        <v>45386</v>
      </c>
      <c r="C148" s="42">
        <v>45406</v>
      </c>
      <c r="D148" s="43">
        <f t="shared" si="20"/>
        <v>20</v>
      </c>
      <c r="E148" s="43" t="str">
        <f>TEXT(Data!B148,"MMM-YYYY")</f>
        <v>Apr-2024</v>
      </c>
      <c r="F148" s="43" t="str">
        <f t="shared" si="16"/>
        <v>Q2-2024</v>
      </c>
      <c r="G148" s="33" t="s">
        <v>78</v>
      </c>
      <c r="H148" s="33" t="s">
        <v>79</v>
      </c>
      <c r="I148" s="33" t="s">
        <v>335</v>
      </c>
      <c r="J148" s="33" t="s">
        <v>39</v>
      </c>
      <c r="K148" s="33" t="s">
        <v>98</v>
      </c>
      <c r="L148" s="33" t="s">
        <v>68</v>
      </c>
      <c r="M148" s="33" t="s">
        <v>81</v>
      </c>
      <c r="N148" s="33" t="s">
        <v>398</v>
      </c>
      <c r="O148" s="43">
        <v>683.42</v>
      </c>
      <c r="P148" s="44" t="str">
        <f t="shared" si="17"/>
        <v>High</v>
      </c>
      <c r="Q148" s="43">
        <v>951.51</v>
      </c>
      <c r="R148" s="43">
        <v>0</v>
      </c>
      <c r="S148" s="43">
        <v>14</v>
      </c>
      <c r="T148" s="43">
        <f t="shared" si="14"/>
        <v>31944.079999999998</v>
      </c>
      <c r="U148" s="33">
        <f t="shared" si="15"/>
        <v>9567.8799999999992</v>
      </c>
      <c r="V148" s="43">
        <f t="shared" si="18"/>
        <v>22376.199999999997</v>
      </c>
      <c r="W148" s="45">
        <f t="shared" si="19"/>
        <v>0.7004803393930894</v>
      </c>
    </row>
    <row r="149" spans="1:23" x14ac:dyDescent="0.3">
      <c r="A149" s="34" t="s">
        <v>399</v>
      </c>
      <c r="B149" s="35">
        <v>45183</v>
      </c>
      <c r="C149" s="36">
        <v>45185</v>
      </c>
      <c r="D149" s="37">
        <f t="shared" si="20"/>
        <v>2</v>
      </c>
      <c r="E149" s="37" t="str">
        <f>TEXT(Data!B149,"MMM-YYYY")</f>
        <v>Sep-2023</v>
      </c>
      <c r="F149" s="37" t="str">
        <f t="shared" si="16"/>
        <v>Q3-2023</v>
      </c>
      <c r="G149" s="32" t="s">
        <v>78</v>
      </c>
      <c r="H149" s="32" t="s">
        <v>90</v>
      </c>
      <c r="I149" s="32" t="s">
        <v>138</v>
      </c>
      <c r="J149" s="32" t="s">
        <v>39</v>
      </c>
      <c r="K149" s="32" t="s">
        <v>98</v>
      </c>
      <c r="L149" s="32" t="s">
        <v>56</v>
      </c>
      <c r="M149" s="32" t="s">
        <v>30</v>
      </c>
      <c r="N149" s="32" t="s">
        <v>400</v>
      </c>
      <c r="O149" s="37">
        <v>376.83</v>
      </c>
      <c r="P149" s="38" t="str">
        <f t="shared" si="17"/>
        <v>High</v>
      </c>
      <c r="Q149" s="37">
        <v>732.88</v>
      </c>
      <c r="R149" s="37">
        <v>0.188</v>
      </c>
      <c r="S149" s="37">
        <v>25</v>
      </c>
      <c r="T149" s="37">
        <f t="shared" si="14"/>
        <v>5066.2710000000006</v>
      </c>
      <c r="U149" s="32">
        <f t="shared" si="15"/>
        <v>9420.75</v>
      </c>
      <c r="V149" s="37">
        <f t="shared" si="18"/>
        <v>-4354.4789999999994</v>
      </c>
      <c r="W149" s="39">
        <f t="shared" si="19"/>
        <v>-0.85950376519534755</v>
      </c>
    </row>
    <row r="150" spans="1:23" x14ac:dyDescent="0.3">
      <c r="A150" s="40" t="s">
        <v>401</v>
      </c>
      <c r="B150" s="41">
        <v>45558</v>
      </c>
      <c r="C150" s="42">
        <v>45583</v>
      </c>
      <c r="D150" s="43">
        <f t="shared" si="20"/>
        <v>25</v>
      </c>
      <c r="E150" s="43" t="str">
        <f>TEXT(Data!B150,"MMM-YYYY")</f>
        <v>Sep-2024</v>
      </c>
      <c r="F150" s="43" t="str">
        <f t="shared" si="16"/>
        <v>Q3-2024</v>
      </c>
      <c r="G150" s="33" t="s">
        <v>52</v>
      </c>
      <c r="H150" s="33" t="s">
        <v>53</v>
      </c>
      <c r="I150" s="33" t="s">
        <v>179</v>
      </c>
      <c r="J150" s="33" t="s">
        <v>62</v>
      </c>
      <c r="K150" s="33" t="s">
        <v>28</v>
      </c>
      <c r="L150" s="33" t="s">
        <v>126</v>
      </c>
      <c r="M150" s="33" t="s">
        <v>42</v>
      </c>
      <c r="N150" s="33" t="s">
        <v>402</v>
      </c>
      <c r="O150" s="43">
        <v>1297</v>
      </c>
      <c r="P150" s="44" t="str">
        <f t="shared" si="17"/>
        <v>High</v>
      </c>
      <c r="Q150" s="43">
        <v>2411.52</v>
      </c>
      <c r="R150" s="43">
        <v>2.1000000000000001E-2</v>
      </c>
      <c r="S150" s="43">
        <v>18</v>
      </c>
      <c r="T150" s="43">
        <f t="shared" si="14"/>
        <v>57712.049999999996</v>
      </c>
      <c r="U150" s="33">
        <f t="shared" si="15"/>
        <v>23346</v>
      </c>
      <c r="V150" s="43">
        <f t="shared" si="18"/>
        <v>34366.049999999996</v>
      </c>
      <c r="W150" s="45">
        <f t="shared" si="19"/>
        <v>0.59547442865051581</v>
      </c>
    </row>
    <row r="151" spans="1:23" x14ac:dyDescent="0.3">
      <c r="A151" s="34" t="s">
        <v>403</v>
      </c>
      <c r="B151" s="35">
        <v>45763</v>
      </c>
      <c r="C151" s="36">
        <v>45793</v>
      </c>
      <c r="D151" s="37">
        <f t="shared" si="20"/>
        <v>0</v>
      </c>
      <c r="E151" s="37" t="str">
        <f>TEXT(Data!B151,"MMM-YYYY")</f>
        <v>Apr-2025</v>
      </c>
      <c r="F151" s="37" t="str">
        <f t="shared" si="16"/>
        <v>Q2-2025</v>
      </c>
      <c r="G151" s="32" t="s">
        <v>52</v>
      </c>
      <c r="H151" s="32" t="s">
        <v>53</v>
      </c>
      <c r="I151" s="32" t="s">
        <v>144</v>
      </c>
      <c r="J151" s="32" t="s">
        <v>105</v>
      </c>
      <c r="K151" s="32" t="s">
        <v>55</v>
      </c>
      <c r="L151" s="32" t="s">
        <v>95</v>
      </c>
      <c r="M151" s="32" t="s">
        <v>30</v>
      </c>
      <c r="N151" s="32" t="s">
        <v>404</v>
      </c>
      <c r="O151" s="37">
        <v>763.32</v>
      </c>
      <c r="P151" s="38" t="str">
        <f t="shared" si="17"/>
        <v>High</v>
      </c>
      <c r="Q151" s="37">
        <v>568.29</v>
      </c>
      <c r="R151" s="37">
        <v>0.13100000000000001</v>
      </c>
      <c r="S151" s="37">
        <v>16</v>
      </c>
      <c r="T151" s="37">
        <f t="shared" si="14"/>
        <v>26608.919040000001</v>
      </c>
      <c r="U151" s="32">
        <f t="shared" si="15"/>
        <v>12213.12</v>
      </c>
      <c r="V151" s="37">
        <f t="shared" si="18"/>
        <v>14395.79904</v>
      </c>
      <c r="W151" s="39">
        <f t="shared" si="19"/>
        <v>0.54101404940048248</v>
      </c>
    </row>
    <row r="152" spans="1:23" x14ac:dyDescent="0.3">
      <c r="A152" s="40" t="s">
        <v>405</v>
      </c>
      <c r="B152" s="41">
        <v>45110</v>
      </c>
      <c r="C152" s="42">
        <v>45130</v>
      </c>
      <c r="D152" s="43">
        <f t="shared" si="20"/>
        <v>20</v>
      </c>
      <c r="E152" s="43" t="str">
        <f>TEXT(Data!B152,"MMM-YYYY")</f>
        <v>Jul-2023</v>
      </c>
      <c r="F152" s="43" t="str">
        <f t="shared" si="16"/>
        <v>Q3-2023</v>
      </c>
      <c r="G152" s="33" t="s">
        <v>16</v>
      </c>
      <c r="H152" s="33" t="s">
        <v>148</v>
      </c>
      <c r="I152" s="33" t="s">
        <v>149</v>
      </c>
      <c r="J152" s="33" t="s">
        <v>62</v>
      </c>
      <c r="K152" s="33" t="s">
        <v>55</v>
      </c>
      <c r="L152" s="33" t="s">
        <v>84</v>
      </c>
      <c r="M152" s="33" t="s">
        <v>57</v>
      </c>
      <c r="N152" s="33" t="s">
        <v>406</v>
      </c>
      <c r="O152" s="43">
        <v>1001.96</v>
      </c>
      <c r="P152" s="44" t="str">
        <f t="shared" si="17"/>
        <v>High</v>
      </c>
      <c r="Q152" s="43">
        <v>1254.95</v>
      </c>
      <c r="R152" s="43">
        <v>4.4999999999999998E-2</v>
      </c>
      <c r="S152" s="43">
        <v>18</v>
      </c>
      <c r="T152" s="43">
        <f t="shared" si="14"/>
        <v>517.24709999999993</v>
      </c>
      <c r="U152" s="33">
        <f t="shared" si="15"/>
        <v>18035.28</v>
      </c>
      <c r="V152" s="43">
        <f t="shared" si="18"/>
        <v>-17518.032899999998</v>
      </c>
      <c r="W152" s="45">
        <f t="shared" si="19"/>
        <v>-33.867822361884677</v>
      </c>
    </row>
    <row r="153" spans="1:23" x14ac:dyDescent="0.3">
      <c r="A153" s="34" t="s">
        <v>407</v>
      </c>
      <c r="B153" s="35">
        <v>45267</v>
      </c>
      <c r="C153" s="36">
        <v>45265</v>
      </c>
      <c r="D153" s="37">
        <f>DATEDIF(C153,B153, "MD")</f>
        <v>2</v>
      </c>
      <c r="E153" s="37" t="str">
        <f>TEXT(Data!B153,"MMM-YYYY")</f>
        <v>Dec-2023</v>
      </c>
      <c r="F153" s="37" t="str">
        <f t="shared" si="16"/>
        <v>Q4-2023</v>
      </c>
      <c r="G153" s="32" t="s">
        <v>45</v>
      </c>
      <c r="H153" s="32" t="s">
        <v>46</v>
      </c>
      <c r="I153" s="32" t="s">
        <v>214</v>
      </c>
      <c r="J153" s="32" t="s">
        <v>39</v>
      </c>
      <c r="K153" s="32" t="s">
        <v>40</v>
      </c>
      <c r="L153" s="32" t="s">
        <v>92</v>
      </c>
      <c r="M153" s="32" t="s">
        <v>30</v>
      </c>
      <c r="N153" s="32" t="s">
        <v>408</v>
      </c>
      <c r="O153" s="37">
        <v>1097.5899999999999</v>
      </c>
      <c r="P153" s="38" t="str">
        <f t="shared" si="17"/>
        <v>High</v>
      </c>
      <c r="Q153" s="37">
        <v>845.55</v>
      </c>
      <c r="R153" s="37">
        <v>0.184</v>
      </c>
      <c r="S153" s="37">
        <v>6</v>
      </c>
      <c r="T153" s="37">
        <f t="shared" si="14"/>
        <v>2454.4137600000004</v>
      </c>
      <c r="U153" s="32">
        <f t="shared" si="15"/>
        <v>6585.5399999999991</v>
      </c>
      <c r="V153" s="37">
        <f t="shared" si="18"/>
        <v>-4131.1262399999987</v>
      </c>
      <c r="W153" s="39">
        <f t="shared" si="19"/>
        <v>-1.6831417372757875</v>
      </c>
    </row>
    <row r="154" spans="1:23" x14ac:dyDescent="0.3">
      <c r="A154" s="40" t="s">
        <v>409</v>
      </c>
      <c r="B154" s="41">
        <v>45340</v>
      </c>
      <c r="C154" s="42">
        <v>45355</v>
      </c>
      <c r="D154" s="43">
        <f t="shared" si="20"/>
        <v>15</v>
      </c>
      <c r="E154" s="43" t="str">
        <f>TEXT(Data!B154,"MMM-YYYY")</f>
        <v>Feb-2024</v>
      </c>
      <c r="F154" s="43" t="str">
        <f t="shared" si="16"/>
        <v>Q1-2024</v>
      </c>
      <c r="G154" s="33" t="s">
        <v>16</v>
      </c>
      <c r="H154" s="33" t="s">
        <v>17</v>
      </c>
      <c r="I154" s="33" t="s">
        <v>18</v>
      </c>
      <c r="J154" s="33" t="s">
        <v>27</v>
      </c>
      <c r="K154" s="33" t="s">
        <v>98</v>
      </c>
      <c r="L154" s="33" t="s">
        <v>95</v>
      </c>
      <c r="M154" s="33" t="s">
        <v>30</v>
      </c>
      <c r="N154" s="33" t="s">
        <v>410</v>
      </c>
      <c r="O154" s="43">
        <v>928.68</v>
      </c>
      <c r="P154" s="44" t="str">
        <f t="shared" si="17"/>
        <v>High</v>
      </c>
      <c r="Q154" s="43">
        <v>2145.17</v>
      </c>
      <c r="R154" s="43">
        <v>0.13600000000000001</v>
      </c>
      <c r="S154" s="43">
        <v>16</v>
      </c>
      <c r="T154" s="43">
        <f t="shared" si="14"/>
        <v>5684.1523200000001</v>
      </c>
      <c r="U154" s="33">
        <f t="shared" si="15"/>
        <v>14858.88</v>
      </c>
      <c r="V154" s="43">
        <f t="shared" si="18"/>
        <v>-9174.72768</v>
      </c>
      <c r="W154" s="45">
        <f t="shared" si="19"/>
        <v>-1.6140889904934848</v>
      </c>
    </row>
    <row r="155" spans="1:23" x14ac:dyDescent="0.3">
      <c r="A155" s="34" t="s">
        <v>411</v>
      </c>
      <c r="B155" s="35">
        <v>45230</v>
      </c>
      <c r="C155" s="36">
        <v>45232</v>
      </c>
      <c r="D155" s="37">
        <f t="shared" si="20"/>
        <v>2</v>
      </c>
      <c r="E155" s="37" t="str">
        <f>TEXT(Data!B155,"MMM-YYYY")</f>
        <v>Oct-2023</v>
      </c>
      <c r="F155" s="37" t="str">
        <f t="shared" si="16"/>
        <v>Q4-2023</v>
      </c>
      <c r="G155" s="32" t="s">
        <v>16</v>
      </c>
      <c r="H155" s="32" t="s">
        <v>17</v>
      </c>
      <c r="I155" s="32" t="s">
        <v>18</v>
      </c>
      <c r="J155" s="32" t="s">
        <v>27</v>
      </c>
      <c r="K155" s="32" t="s">
        <v>20</v>
      </c>
      <c r="L155" s="32" t="s">
        <v>68</v>
      </c>
      <c r="M155" s="32" t="s">
        <v>81</v>
      </c>
      <c r="N155" s="32" t="s">
        <v>412</v>
      </c>
      <c r="O155" s="37">
        <v>867.89</v>
      </c>
      <c r="P155" s="38" t="str">
        <f t="shared" si="17"/>
        <v>High</v>
      </c>
      <c r="Q155" s="37">
        <v>1349.94</v>
      </c>
      <c r="R155" s="37">
        <v>0.184</v>
      </c>
      <c r="S155" s="37">
        <v>10</v>
      </c>
      <c r="T155" s="37">
        <f t="shared" si="14"/>
        <v>48.307200000000009</v>
      </c>
      <c r="U155" s="32">
        <f t="shared" si="15"/>
        <v>8678.9</v>
      </c>
      <c r="V155" s="37">
        <f t="shared" si="18"/>
        <v>-8630.5928000000004</v>
      </c>
      <c r="W155" s="39">
        <f t="shared" si="19"/>
        <v>-178.66058889772123</v>
      </c>
    </row>
    <row r="156" spans="1:23" x14ac:dyDescent="0.3">
      <c r="A156" s="40" t="s">
        <v>413</v>
      </c>
      <c r="B156" s="41">
        <v>45511</v>
      </c>
      <c r="C156" s="42">
        <v>45521</v>
      </c>
      <c r="D156" s="43">
        <f t="shared" si="20"/>
        <v>10</v>
      </c>
      <c r="E156" s="43" t="str">
        <f>TEXT(Data!B156,"MMM-YYYY")</f>
        <v>Aug-2024</v>
      </c>
      <c r="F156" s="43" t="str">
        <f t="shared" si="16"/>
        <v>Q3-2024</v>
      </c>
      <c r="G156" s="33" t="s">
        <v>45</v>
      </c>
      <c r="H156" s="33" t="s">
        <v>46</v>
      </c>
      <c r="I156" s="33" t="s">
        <v>47</v>
      </c>
      <c r="J156" s="33" t="s">
        <v>48</v>
      </c>
      <c r="K156" s="33" t="s">
        <v>28</v>
      </c>
      <c r="L156" s="33" t="s">
        <v>95</v>
      </c>
      <c r="M156" s="33" t="s">
        <v>35</v>
      </c>
      <c r="N156" s="33" t="s">
        <v>414</v>
      </c>
      <c r="O156" s="43">
        <v>436.58</v>
      </c>
      <c r="P156" s="44" t="str">
        <f t="shared" si="17"/>
        <v>High</v>
      </c>
      <c r="Q156" s="43">
        <v>527.48</v>
      </c>
      <c r="R156" s="43">
        <v>0.111</v>
      </c>
      <c r="S156" s="43">
        <v>19</v>
      </c>
      <c r="T156" s="43">
        <f t="shared" si="14"/>
        <v>37272.187330000001</v>
      </c>
      <c r="U156" s="33">
        <f t="shared" si="15"/>
        <v>8295.02</v>
      </c>
      <c r="V156" s="43">
        <f t="shared" si="18"/>
        <v>28977.16733</v>
      </c>
      <c r="W156" s="45">
        <f t="shared" si="19"/>
        <v>0.77744745897101064</v>
      </c>
    </row>
    <row r="157" spans="1:23" x14ac:dyDescent="0.3">
      <c r="A157" s="34" t="s">
        <v>415</v>
      </c>
      <c r="B157" s="35">
        <v>45323</v>
      </c>
      <c r="C157" s="36">
        <v>45343</v>
      </c>
      <c r="D157" s="37">
        <f t="shared" si="20"/>
        <v>20</v>
      </c>
      <c r="E157" s="37" t="str">
        <f>TEXT(Data!B157,"MMM-YYYY")</f>
        <v>Feb-2024</v>
      </c>
      <c r="F157" s="37" t="str">
        <f t="shared" si="16"/>
        <v>Q1-2024</v>
      </c>
      <c r="G157" s="32" t="s">
        <v>78</v>
      </c>
      <c r="H157" s="32" t="s">
        <v>90</v>
      </c>
      <c r="I157" s="32" t="s">
        <v>217</v>
      </c>
      <c r="J157" s="32" t="s">
        <v>62</v>
      </c>
      <c r="K157" s="32" t="s">
        <v>40</v>
      </c>
      <c r="L157" s="32" t="s">
        <v>75</v>
      </c>
      <c r="M157" s="32" t="s">
        <v>35</v>
      </c>
      <c r="N157" s="32" t="s">
        <v>416</v>
      </c>
      <c r="O157" s="37">
        <v>656.2</v>
      </c>
      <c r="P157" s="38" t="str">
        <f t="shared" si="17"/>
        <v>High</v>
      </c>
      <c r="Q157" s="37">
        <v>1467.17</v>
      </c>
      <c r="R157" s="37">
        <v>1.7999999999999999E-2</v>
      </c>
      <c r="S157" s="37">
        <v>5</v>
      </c>
      <c r="T157" s="37">
        <f t="shared" si="14"/>
        <v>9391.848</v>
      </c>
      <c r="U157" s="32">
        <f t="shared" si="15"/>
        <v>3281</v>
      </c>
      <c r="V157" s="37">
        <f t="shared" si="18"/>
        <v>6110.848</v>
      </c>
      <c r="W157" s="39">
        <f t="shared" si="19"/>
        <v>0.65065448248310664</v>
      </c>
    </row>
    <row r="158" spans="1:23" x14ac:dyDescent="0.3">
      <c r="A158" s="40" t="s">
        <v>417</v>
      </c>
      <c r="B158" s="41">
        <v>45531</v>
      </c>
      <c r="C158" s="42">
        <v>45553</v>
      </c>
      <c r="D158" s="43">
        <f t="shared" si="20"/>
        <v>22</v>
      </c>
      <c r="E158" s="43" t="str">
        <f>TEXT(Data!B158,"MMM-YYYY")</f>
        <v>Aug-2024</v>
      </c>
      <c r="F158" s="43" t="str">
        <f t="shared" si="16"/>
        <v>Q3-2024</v>
      </c>
      <c r="G158" s="33" t="s">
        <v>45</v>
      </c>
      <c r="H158" s="33" t="s">
        <v>60</v>
      </c>
      <c r="I158" s="33" t="s">
        <v>141</v>
      </c>
      <c r="J158" s="33" t="s">
        <v>48</v>
      </c>
      <c r="K158" s="33" t="s">
        <v>98</v>
      </c>
      <c r="L158" s="33" t="s">
        <v>56</v>
      </c>
      <c r="M158" s="33" t="s">
        <v>22</v>
      </c>
      <c r="N158" s="33" t="s">
        <v>418</v>
      </c>
      <c r="O158" s="43">
        <v>896.75</v>
      </c>
      <c r="P158" s="44" t="str">
        <f t="shared" si="17"/>
        <v>High</v>
      </c>
      <c r="Q158" s="43">
        <v>1651.14</v>
      </c>
      <c r="R158" s="43">
        <v>2.5000000000000001E-2</v>
      </c>
      <c r="S158" s="43">
        <v>15</v>
      </c>
      <c r="T158" s="43">
        <f t="shared" si="14"/>
        <v>20216.283749999999</v>
      </c>
      <c r="U158" s="33">
        <f t="shared" si="15"/>
        <v>13451.25</v>
      </c>
      <c r="V158" s="43">
        <f t="shared" si="18"/>
        <v>6765.0337499999987</v>
      </c>
      <c r="W158" s="45">
        <f t="shared" si="19"/>
        <v>0.3346329045267778</v>
      </c>
    </row>
    <row r="159" spans="1:23" x14ac:dyDescent="0.3">
      <c r="A159" s="34" t="s">
        <v>419</v>
      </c>
      <c r="B159" s="35">
        <v>45703</v>
      </c>
      <c r="C159" s="36">
        <v>45703</v>
      </c>
      <c r="D159" s="37">
        <f t="shared" si="20"/>
        <v>0</v>
      </c>
      <c r="E159" s="37" t="str">
        <f>TEXT(Data!B159,"MMM-YYYY")</f>
        <v>Feb-2025</v>
      </c>
      <c r="F159" s="37" t="str">
        <f t="shared" si="16"/>
        <v>Q1-2025</v>
      </c>
      <c r="G159" s="32" t="s">
        <v>78</v>
      </c>
      <c r="H159" s="32" t="s">
        <v>79</v>
      </c>
      <c r="I159" s="32" t="s">
        <v>335</v>
      </c>
      <c r="J159" s="32" t="s">
        <v>62</v>
      </c>
      <c r="K159" s="32" t="s">
        <v>40</v>
      </c>
      <c r="L159" s="32" t="s">
        <v>49</v>
      </c>
      <c r="M159" s="32" t="s">
        <v>81</v>
      </c>
      <c r="N159" s="32" t="s">
        <v>420</v>
      </c>
      <c r="O159" s="37">
        <v>815.83</v>
      </c>
      <c r="P159" s="38" t="str">
        <f t="shared" si="17"/>
        <v>High</v>
      </c>
      <c r="Q159" s="37">
        <v>1982.18</v>
      </c>
      <c r="R159" s="37">
        <v>0.127</v>
      </c>
      <c r="S159" s="37">
        <v>6</v>
      </c>
      <c r="T159" s="37">
        <f t="shared" si="14"/>
        <v>7100.6851799999995</v>
      </c>
      <c r="U159" s="32">
        <f t="shared" si="15"/>
        <v>4894.9800000000005</v>
      </c>
      <c r="V159" s="37">
        <f t="shared" si="18"/>
        <v>2205.705179999999</v>
      </c>
      <c r="W159" s="39">
        <f t="shared" si="19"/>
        <v>0.31063272403804826</v>
      </c>
    </row>
    <row r="160" spans="1:23" x14ac:dyDescent="0.3">
      <c r="A160" s="40" t="s">
        <v>421</v>
      </c>
      <c r="B160" s="41">
        <v>45870</v>
      </c>
      <c r="C160" s="42">
        <v>45890</v>
      </c>
      <c r="D160" s="43">
        <f t="shared" si="20"/>
        <v>20</v>
      </c>
      <c r="E160" s="43" t="str">
        <f>TEXT(Data!B160,"MMM-YYYY")</f>
        <v>Aug-2025</v>
      </c>
      <c r="F160" s="43" t="str">
        <f t="shared" si="16"/>
        <v>Q3-2025</v>
      </c>
      <c r="G160" s="33" t="s">
        <v>45</v>
      </c>
      <c r="H160" s="33" t="s">
        <v>116</v>
      </c>
      <c r="I160" s="33" t="s">
        <v>162</v>
      </c>
      <c r="J160" s="33" t="s">
        <v>19</v>
      </c>
      <c r="K160" s="33" t="s">
        <v>98</v>
      </c>
      <c r="L160" s="33" t="s">
        <v>34</v>
      </c>
      <c r="M160" s="33" t="s">
        <v>42</v>
      </c>
      <c r="N160" s="33" t="s">
        <v>422</v>
      </c>
      <c r="O160" s="43">
        <v>1220.4100000000001</v>
      </c>
      <c r="P160" s="44" t="str">
        <f t="shared" si="17"/>
        <v>High</v>
      </c>
      <c r="Q160" s="43">
        <v>2552.2199999999998</v>
      </c>
      <c r="R160" s="43">
        <v>0.18099999999999999</v>
      </c>
      <c r="S160" s="43">
        <v>14</v>
      </c>
      <c r="T160" s="43">
        <f t="shared" si="14"/>
        <v>10180.661399999999</v>
      </c>
      <c r="U160" s="33">
        <f t="shared" si="15"/>
        <v>17085.740000000002</v>
      </c>
      <c r="V160" s="43">
        <f t="shared" si="18"/>
        <v>-6905.0786000000026</v>
      </c>
      <c r="W160" s="45">
        <f t="shared" si="19"/>
        <v>-0.6782544206803699</v>
      </c>
    </row>
    <row r="161" spans="1:23" x14ac:dyDescent="0.3">
      <c r="A161" s="34" t="s">
        <v>423</v>
      </c>
      <c r="B161" s="35">
        <v>44977</v>
      </c>
      <c r="C161" s="36">
        <v>44989</v>
      </c>
      <c r="D161" s="37">
        <f t="shared" si="20"/>
        <v>12</v>
      </c>
      <c r="E161" s="37" t="str">
        <f>TEXT(Data!B161,"MMM-YYYY")</f>
        <v>Feb-2023</v>
      </c>
      <c r="F161" s="37" t="str">
        <f t="shared" si="16"/>
        <v>Q1-2023</v>
      </c>
      <c r="G161" s="32" t="s">
        <v>45</v>
      </c>
      <c r="H161" s="32" t="s">
        <v>60</v>
      </c>
      <c r="I161" s="32" t="s">
        <v>141</v>
      </c>
      <c r="J161" s="32" t="s">
        <v>48</v>
      </c>
      <c r="K161" s="32" t="s">
        <v>55</v>
      </c>
      <c r="L161" s="32" t="s">
        <v>110</v>
      </c>
      <c r="M161" s="32" t="s">
        <v>64</v>
      </c>
      <c r="N161" s="32" t="s">
        <v>424</v>
      </c>
      <c r="O161" s="37">
        <v>299.75</v>
      </c>
      <c r="P161" s="38" t="str">
        <f t="shared" si="17"/>
        <v>High</v>
      </c>
      <c r="Q161" s="37">
        <v>523.01</v>
      </c>
      <c r="R161" s="37">
        <v>0.157</v>
      </c>
      <c r="S161" s="37">
        <v>50</v>
      </c>
      <c r="T161" s="37">
        <f t="shared" si="14"/>
        <v>43022.083500000001</v>
      </c>
      <c r="U161" s="32">
        <f t="shared" si="15"/>
        <v>14987.5</v>
      </c>
      <c r="V161" s="37">
        <f t="shared" si="18"/>
        <v>28034.583500000001</v>
      </c>
      <c r="W161" s="39">
        <f t="shared" si="19"/>
        <v>0.65163239943969709</v>
      </c>
    </row>
    <row r="162" spans="1:23" x14ac:dyDescent="0.3">
      <c r="A162" s="40" t="s">
        <v>425</v>
      </c>
      <c r="B162" s="41">
        <v>45595</v>
      </c>
      <c r="C162" s="42">
        <v>45620</v>
      </c>
      <c r="D162" s="43">
        <f t="shared" si="20"/>
        <v>25</v>
      </c>
      <c r="E162" s="43" t="str">
        <f>TEXT(Data!B162,"MMM-YYYY")</f>
        <v>Oct-2024</v>
      </c>
      <c r="F162" s="43" t="str">
        <f t="shared" si="16"/>
        <v>Q4-2024</v>
      </c>
      <c r="G162" s="33" t="s">
        <v>45</v>
      </c>
      <c r="H162" s="33" t="s">
        <v>116</v>
      </c>
      <c r="I162" s="33" t="s">
        <v>117</v>
      </c>
      <c r="J162" s="33" t="s">
        <v>62</v>
      </c>
      <c r="K162" s="33" t="s">
        <v>28</v>
      </c>
      <c r="L162" s="33" t="s">
        <v>63</v>
      </c>
      <c r="M162" s="33" t="s">
        <v>22</v>
      </c>
      <c r="N162" s="33" t="s">
        <v>426</v>
      </c>
      <c r="O162" s="43">
        <v>811.05</v>
      </c>
      <c r="P162" s="44" t="str">
        <f t="shared" si="17"/>
        <v>High</v>
      </c>
      <c r="Q162" s="43">
        <v>1217.71</v>
      </c>
      <c r="R162" s="43">
        <v>7.1999999999999995E-2</v>
      </c>
      <c r="S162" s="43">
        <v>5</v>
      </c>
      <c r="T162" s="43">
        <f t="shared" si="14"/>
        <v>6475.2592000000004</v>
      </c>
      <c r="U162" s="33">
        <f t="shared" si="15"/>
        <v>4055.25</v>
      </c>
      <c r="V162" s="43">
        <f t="shared" si="18"/>
        <v>2420.0092000000004</v>
      </c>
      <c r="W162" s="45">
        <f t="shared" si="19"/>
        <v>0.37373163378540897</v>
      </c>
    </row>
    <row r="163" spans="1:23" x14ac:dyDescent="0.3">
      <c r="A163" s="34" t="s">
        <v>427</v>
      </c>
      <c r="B163" s="35">
        <v>45385</v>
      </c>
      <c r="C163" s="36">
        <v>45389</v>
      </c>
      <c r="D163" s="37">
        <f t="shared" si="20"/>
        <v>4</v>
      </c>
      <c r="E163" s="37" t="str">
        <f>TEXT(Data!B163,"MMM-YYYY")</f>
        <v>Apr-2024</v>
      </c>
      <c r="F163" s="37" t="str">
        <f t="shared" si="16"/>
        <v>Q2-2024</v>
      </c>
      <c r="G163" s="32" t="s">
        <v>52</v>
      </c>
      <c r="H163" s="32" t="s">
        <v>73</v>
      </c>
      <c r="I163" s="32" t="s">
        <v>87</v>
      </c>
      <c r="J163" s="32" t="s">
        <v>39</v>
      </c>
      <c r="K163" s="32" t="s">
        <v>98</v>
      </c>
      <c r="L163" s="32" t="s">
        <v>126</v>
      </c>
      <c r="M163" s="32" t="s">
        <v>42</v>
      </c>
      <c r="N163" s="32" t="s">
        <v>428</v>
      </c>
      <c r="O163" s="37">
        <v>1023.27</v>
      </c>
      <c r="P163" s="38" t="str">
        <f t="shared" si="17"/>
        <v>High</v>
      </c>
      <c r="Q163" s="37">
        <v>1343.64</v>
      </c>
      <c r="R163" s="37">
        <v>0.13300000000000001</v>
      </c>
      <c r="S163" s="37">
        <v>7</v>
      </c>
      <c r="T163" s="37">
        <f t="shared" si="14"/>
        <v>13797.385980000001</v>
      </c>
      <c r="U163" s="32">
        <f t="shared" si="15"/>
        <v>7162.8899999999994</v>
      </c>
      <c r="V163" s="37">
        <f t="shared" si="18"/>
        <v>6634.4959800000015</v>
      </c>
      <c r="W163" s="39">
        <f t="shared" si="19"/>
        <v>0.48085166201895302</v>
      </c>
    </row>
    <row r="164" spans="1:23" x14ac:dyDescent="0.3">
      <c r="A164" s="40" t="s">
        <v>429</v>
      </c>
      <c r="B164" s="41">
        <v>45010</v>
      </c>
      <c r="C164" s="42">
        <v>45011</v>
      </c>
      <c r="D164" s="43">
        <f t="shared" si="20"/>
        <v>1</v>
      </c>
      <c r="E164" s="43" t="str">
        <f>TEXT(Data!B164,"MMM-YYYY")</f>
        <v>Mar-2023</v>
      </c>
      <c r="F164" s="43" t="str">
        <f t="shared" si="16"/>
        <v>Q1-2023</v>
      </c>
      <c r="G164" s="33" t="s">
        <v>45</v>
      </c>
      <c r="H164" s="33" t="s">
        <v>46</v>
      </c>
      <c r="I164" s="33" t="s">
        <v>47</v>
      </c>
      <c r="J164" s="33" t="s">
        <v>62</v>
      </c>
      <c r="K164" s="33" t="s">
        <v>55</v>
      </c>
      <c r="L164" s="33" t="s">
        <v>34</v>
      </c>
      <c r="M164" s="33" t="s">
        <v>64</v>
      </c>
      <c r="N164" s="33" t="s">
        <v>430</v>
      </c>
      <c r="O164" s="43">
        <v>135.12</v>
      </c>
      <c r="P164" s="44" t="str">
        <f t="shared" si="17"/>
        <v>High</v>
      </c>
      <c r="Q164" s="43">
        <v>301.7</v>
      </c>
      <c r="R164" s="43">
        <v>0.14000000000000001</v>
      </c>
      <c r="S164" s="43">
        <v>47</v>
      </c>
      <c r="T164" s="43">
        <f t="shared" si="14"/>
        <v>50207.703000000001</v>
      </c>
      <c r="U164" s="33">
        <f t="shared" si="15"/>
        <v>6350.64</v>
      </c>
      <c r="V164" s="43">
        <f t="shared" si="18"/>
        <v>43857.063000000002</v>
      </c>
      <c r="W164" s="45">
        <f t="shared" si="19"/>
        <v>0.87351263609888707</v>
      </c>
    </row>
    <row r="165" spans="1:23" x14ac:dyDescent="0.3">
      <c r="A165" s="34" t="s">
        <v>431</v>
      </c>
      <c r="B165" s="35">
        <v>45447</v>
      </c>
      <c r="C165" s="36">
        <v>45459</v>
      </c>
      <c r="D165" s="37">
        <f t="shared" si="20"/>
        <v>12</v>
      </c>
      <c r="E165" s="37" t="str">
        <f>TEXT(Data!B165,"MMM-YYYY")</f>
        <v>Jun-2024</v>
      </c>
      <c r="F165" s="37" t="str">
        <f t="shared" si="16"/>
        <v>Q2-2024</v>
      </c>
      <c r="G165" s="32" t="s">
        <v>45</v>
      </c>
      <c r="H165" s="32" t="s">
        <v>116</v>
      </c>
      <c r="I165" s="32" t="s">
        <v>162</v>
      </c>
      <c r="J165" s="32" t="s">
        <v>19</v>
      </c>
      <c r="K165" s="32" t="s">
        <v>20</v>
      </c>
      <c r="L165" s="32" t="s">
        <v>29</v>
      </c>
      <c r="M165" s="32" t="s">
        <v>30</v>
      </c>
      <c r="N165" s="32" t="s">
        <v>432</v>
      </c>
      <c r="O165" s="37">
        <v>918.42</v>
      </c>
      <c r="P165" s="38" t="str">
        <f t="shared" si="17"/>
        <v>High</v>
      </c>
      <c r="Q165" s="37">
        <v>1511.71</v>
      </c>
      <c r="R165" s="37">
        <v>0.02</v>
      </c>
      <c r="S165" s="37">
        <v>8</v>
      </c>
      <c r="T165" s="37">
        <f t="shared" si="14"/>
        <v>10272.6736</v>
      </c>
      <c r="U165" s="32">
        <f t="shared" si="15"/>
        <v>7347.36</v>
      </c>
      <c r="V165" s="37">
        <f t="shared" si="18"/>
        <v>2925.3136000000004</v>
      </c>
      <c r="W165" s="39">
        <f t="shared" si="19"/>
        <v>0.28476652855007489</v>
      </c>
    </row>
    <row r="166" spans="1:23" x14ac:dyDescent="0.3">
      <c r="A166" s="40" t="s">
        <v>433</v>
      </c>
      <c r="B166" s="41">
        <v>44976</v>
      </c>
      <c r="C166" s="42">
        <v>44997</v>
      </c>
      <c r="D166" s="43">
        <f t="shared" si="20"/>
        <v>21</v>
      </c>
      <c r="E166" s="43" t="str">
        <f>TEXT(Data!B166,"MMM-YYYY")</f>
        <v>Feb-2023</v>
      </c>
      <c r="F166" s="43" t="str">
        <f t="shared" si="16"/>
        <v>Q1-2023</v>
      </c>
      <c r="G166" s="33" t="s">
        <v>78</v>
      </c>
      <c r="H166" s="33" t="s">
        <v>79</v>
      </c>
      <c r="I166" s="33" t="s">
        <v>80</v>
      </c>
      <c r="J166" s="33" t="s">
        <v>62</v>
      </c>
      <c r="K166" s="33" t="s">
        <v>98</v>
      </c>
      <c r="L166" s="33" t="s">
        <v>49</v>
      </c>
      <c r="M166" s="33" t="s">
        <v>64</v>
      </c>
      <c r="N166" s="33" t="s">
        <v>434</v>
      </c>
      <c r="O166" s="43">
        <v>1234.81</v>
      </c>
      <c r="P166" s="44" t="str">
        <f t="shared" si="17"/>
        <v>High</v>
      </c>
      <c r="Q166" s="43">
        <v>2055.2399999999998</v>
      </c>
      <c r="R166" s="43">
        <v>5.2999999999999999E-2</v>
      </c>
      <c r="S166" s="43">
        <v>44</v>
      </c>
      <c r="T166" s="43">
        <f t="shared" si="14"/>
        <v>40303.373</v>
      </c>
      <c r="U166" s="33">
        <f t="shared" si="15"/>
        <v>54331.64</v>
      </c>
      <c r="V166" s="43">
        <f t="shared" si="18"/>
        <v>-14028.267</v>
      </c>
      <c r="W166" s="45">
        <f t="shared" si="19"/>
        <v>-0.34806682309195314</v>
      </c>
    </row>
    <row r="167" spans="1:23" x14ac:dyDescent="0.3">
      <c r="A167" s="34" t="s">
        <v>435</v>
      </c>
      <c r="B167" s="35">
        <v>45034</v>
      </c>
      <c r="C167" s="36">
        <v>45064</v>
      </c>
      <c r="D167" s="37">
        <f t="shared" si="20"/>
        <v>0</v>
      </c>
      <c r="E167" s="37" t="str">
        <f>TEXT(Data!B167,"MMM-YYYY")</f>
        <v>Apr-2023</v>
      </c>
      <c r="F167" s="37" t="str">
        <f t="shared" si="16"/>
        <v>Q2-2023</v>
      </c>
      <c r="G167" s="32" t="s">
        <v>45</v>
      </c>
      <c r="H167" s="32" t="s">
        <v>116</v>
      </c>
      <c r="I167" s="32" t="s">
        <v>117</v>
      </c>
      <c r="J167" s="32" t="s">
        <v>39</v>
      </c>
      <c r="K167" s="32" t="s">
        <v>20</v>
      </c>
      <c r="L167" s="32" t="s">
        <v>92</v>
      </c>
      <c r="M167" s="32" t="s">
        <v>57</v>
      </c>
      <c r="N167" s="32" t="s">
        <v>436</v>
      </c>
      <c r="O167" s="37">
        <v>329.03</v>
      </c>
      <c r="P167" s="38" t="str">
        <f t="shared" si="17"/>
        <v>High</v>
      </c>
      <c r="Q167" s="37">
        <v>391.15</v>
      </c>
      <c r="R167" s="37">
        <v>0.19700000000000001</v>
      </c>
      <c r="S167" s="37">
        <v>46</v>
      </c>
      <c r="T167" s="37">
        <f t="shared" si="14"/>
        <v>32735.194359999998</v>
      </c>
      <c r="U167" s="32">
        <f t="shared" si="15"/>
        <v>15135.38</v>
      </c>
      <c r="V167" s="37">
        <f t="shared" si="18"/>
        <v>17599.814359999997</v>
      </c>
      <c r="W167" s="39">
        <f t="shared" si="19"/>
        <v>0.53764196926552166</v>
      </c>
    </row>
    <row r="168" spans="1:23" x14ac:dyDescent="0.3">
      <c r="A168" s="40" t="s">
        <v>437</v>
      </c>
      <c r="B168" s="41">
        <v>45435</v>
      </c>
      <c r="C168" s="42">
        <v>45457</v>
      </c>
      <c r="D168" s="43">
        <f t="shared" si="20"/>
        <v>22</v>
      </c>
      <c r="E168" s="43" t="str">
        <f>TEXT(Data!B168,"MMM-YYYY")</f>
        <v>May-2024</v>
      </c>
      <c r="F168" s="43" t="str">
        <f t="shared" si="16"/>
        <v>Q2-2024</v>
      </c>
      <c r="G168" s="33" t="s">
        <v>78</v>
      </c>
      <c r="H168" s="33" t="s">
        <v>90</v>
      </c>
      <c r="I168" s="33" t="s">
        <v>91</v>
      </c>
      <c r="J168" s="33" t="s">
        <v>62</v>
      </c>
      <c r="K168" s="33" t="s">
        <v>28</v>
      </c>
      <c r="L168" s="33" t="s">
        <v>126</v>
      </c>
      <c r="M168" s="33" t="s">
        <v>64</v>
      </c>
      <c r="N168" s="33" t="s">
        <v>438</v>
      </c>
      <c r="O168" s="43">
        <v>1481.74</v>
      </c>
      <c r="P168" s="44" t="str">
        <f t="shared" si="17"/>
        <v>High</v>
      </c>
      <c r="Q168" s="43">
        <v>1848.97</v>
      </c>
      <c r="R168" s="43">
        <v>0.254</v>
      </c>
      <c r="S168" s="43">
        <v>9</v>
      </c>
      <c r="T168" s="43">
        <f t="shared" si="14"/>
        <v>5308.1555399999997</v>
      </c>
      <c r="U168" s="33">
        <f t="shared" si="15"/>
        <v>13335.66</v>
      </c>
      <c r="V168" s="43">
        <f t="shared" si="18"/>
        <v>-8027.5044600000001</v>
      </c>
      <c r="W168" s="45">
        <f t="shared" si="19"/>
        <v>-1.5122963898680333</v>
      </c>
    </row>
    <row r="169" spans="1:23" x14ac:dyDescent="0.3">
      <c r="A169" s="34" t="s">
        <v>439</v>
      </c>
      <c r="B169" s="35">
        <v>45206</v>
      </c>
      <c r="C169" s="36">
        <v>45222</v>
      </c>
      <c r="D169" s="37">
        <f t="shared" si="20"/>
        <v>16</v>
      </c>
      <c r="E169" s="37" t="str">
        <f>TEXT(Data!B169,"MMM-YYYY")</f>
        <v>Oct-2023</v>
      </c>
      <c r="F169" s="37" t="str">
        <f t="shared" si="16"/>
        <v>Q4-2023</v>
      </c>
      <c r="G169" s="32" t="s">
        <v>45</v>
      </c>
      <c r="H169" s="32" t="s">
        <v>60</v>
      </c>
      <c r="I169" s="32" t="s">
        <v>281</v>
      </c>
      <c r="J169" s="32" t="s">
        <v>48</v>
      </c>
      <c r="K169" s="32" t="s">
        <v>20</v>
      </c>
      <c r="L169" s="32" t="s">
        <v>41</v>
      </c>
      <c r="M169" s="32" t="s">
        <v>64</v>
      </c>
      <c r="N169" s="32" t="s">
        <v>440</v>
      </c>
      <c r="O169" s="37">
        <v>906.81</v>
      </c>
      <c r="P169" s="38" t="str">
        <f t="shared" si="17"/>
        <v>High</v>
      </c>
      <c r="Q169" s="37">
        <v>1395.56</v>
      </c>
      <c r="R169" s="37">
        <v>0.185</v>
      </c>
      <c r="S169" s="37">
        <v>6</v>
      </c>
      <c r="T169" s="37">
        <f t="shared" si="14"/>
        <v>1766.9036999999998</v>
      </c>
      <c r="U169" s="32">
        <f t="shared" si="15"/>
        <v>5440.86</v>
      </c>
      <c r="V169" s="37">
        <f t="shared" si="18"/>
        <v>-3673.9562999999998</v>
      </c>
      <c r="W169" s="39">
        <f t="shared" si="19"/>
        <v>-2.079318923832691</v>
      </c>
    </row>
    <row r="170" spans="1:23" x14ac:dyDescent="0.3">
      <c r="A170" s="40" t="s">
        <v>441</v>
      </c>
      <c r="B170" s="41">
        <v>45574</v>
      </c>
      <c r="C170" s="42">
        <v>45604</v>
      </c>
      <c r="D170" s="43">
        <f t="shared" si="20"/>
        <v>30</v>
      </c>
      <c r="E170" s="43" t="str">
        <f>TEXT(Data!B170,"MMM-YYYY")</f>
        <v>Oct-2024</v>
      </c>
      <c r="F170" s="43" t="str">
        <f t="shared" si="16"/>
        <v>Q4-2024</v>
      </c>
      <c r="G170" s="33" t="s">
        <v>78</v>
      </c>
      <c r="H170" s="33" t="s">
        <v>108</v>
      </c>
      <c r="I170" s="33" t="s">
        <v>228</v>
      </c>
      <c r="J170" s="33" t="s">
        <v>62</v>
      </c>
      <c r="K170" s="33" t="s">
        <v>55</v>
      </c>
      <c r="L170" s="33" t="s">
        <v>29</v>
      </c>
      <c r="M170" s="33" t="s">
        <v>22</v>
      </c>
      <c r="N170" s="33" t="s">
        <v>442</v>
      </c>
      <c r="O170" s="43">
        <v>343.85</v>
      </c>
      <c r="P170" s="44" t="str">
        <f t="shared" si="17"/>
        <v>High</v>
      </c>
      <c r="Q170" s="43">
        <v>538.04</v>
      </c>
      <c r="R170" s="43">
        <v>0.13900000000000001</v>
      </c>
      <c r="S170" s="43">
        <v>5</v>
      </c>
      <c r="T170" s="43">
        <f t="shared" si="14"/>
        <v>8403.5321999999996</v>
      </c>
      <c r="U170" s="33">
        <f t="shared" si="15"/>
        <v>1719.25</v>
      </c>
      <c r="V170" s="43">
        <f t="shared" si="18"/>
        <v>6684.2821999999996</v>
      </c>
      <c r="W170" s="45">
        <f t="shared" si="19"/>
        <v>0.79541340961363838</v>
      </c>
    </row>
    <row r="171" spans="1:23" x14ac:dyDescent="0.3">
      <c r="A171" s="34" t="s">
        <v>443</v>
      </c>
      <c r="B171" s="35">
        <v>45488</v>
      </c>
      <c r="C171" s="36">
        <v>45488</v>
      </c>
      <c r="D171" s="37">
        <f t="shared" si="20"/>
        <v>0</v>
      </c>
      <c r="E171" s="37" t="str">
        <f>TEXT(Data!B171,"MMM-YYYY")</f>
        <v>Jul-2024</v>
      </c>
      <c r="F171" s="37" t="str">
        <f t="shared" si="16"/>
        <v>Q3-2024</v>
      </c>
      <c r="G171" s="32" t="s">
        <v>45</v>
      </c>
      <c r="H171" s="32" t="s">
        <v>46</v>
      </c>
      <c r="I171" s="32" t="s">
        <v>214</v>
      </c>
      <c r="J171" s="32" t="s">
        <v>62</v>
      </c>
      <c r="K171" s="32" t="s">
        <v>40</v>
      </c>
      <c r="L171" s="32" t="s">
        <v>41</v>
      </c>
      <c r="M171" s="32" t="s">
        <v>81</v>
      </c>
      <c r="N171" s="32" t="s">
        <v>444</v>
      </c>
      <c r="O171" s="37">
        <v>801.77</v>
      </c>
      <c r="P171" s="38" t="str">
        <f t="shared" si="17"/>
        <v>High</v>
      </c>
      <c r="Q171" s="37">
        <v>1218.92</v>
      </c>
      <c r="R171" s="37">
        <v>0.254</v>
      </c>
      <c r="S171" s="37">
        <v>16</v>
      </c>
      <c r="T171" s="37">
        <f t="shared" si="14"/>
        <v>18676.97536</v>
      </c>
      <c r="U171" s="32">
        <f t="shared" si="15"/>
        <v>12828.32</v>
      </c>
      <c r="V171" s="37">
        <f t="shared" si="18"/>
        <v>5848.6553600000007</v>
      </c>
      <c r="W171" s="39">
        <f t="shared" si="19"/>
        <v>0.31314788648947495</v>
      </c>
    </row>
    <row r="172" spans="1:23" x14ac:dyDescent="0.3">
      <c r="A172" s="40" t="s">
        <v>445</v>
      </c>
      <c r="B172" s="41">
        <v>45190</v>
      </c>
      <c r="C172" s="42">
        <v>45209</v>
      </c>
      <c r="D172" s="43">
        <f t="shared" si="20"/>
        <v>19</v>
      </c>
      <c r="E172" s="43" t="str">
        <f>TEXT(Data!B172,"MMM-YYYY")</f>
        <v>Sep-2023</v>
      </c>
      <c r="F172" s="43" t="str">
        <f t="shared" si="16"/>
        <v>Q3-2023</v>
      </c>
      <c r="G172" s="33" t="s">
        <v>45</v>
      </c>
      <c r="H172" s="33" t="s">
        <v>46</v>
      </c>
      <c r="I172" s="33" t="s">
        <v>214</v>
      </c>
      <c r="J172" s="33" t="s">
        <v>27</v>
      </c>
      <c r="K172" s="33" t="s">
        <v>28</v>
      </c>
      <c r="L172" s="33" t="s">
        <v>145</v>
      </c>
      <c r="M172" s="33" t="s">
        <v>22</v>
      </c>
      <c r="N172" s="33" t="s">
        <v>446</v>
      </c>
      <c r="O172" s="43">
        <v>845.63</v>
      </c>
      <c r="P172" s="44" t="str">
        <f t="shared" si="17"/>
        <v>High</v>
      </c>
      <c r="Q172" s="43">
        <v>2062.12</v>
      </c>
      <c r="R172" s="43">
        <v>0.13400000000000001</v>
      </c>
      <c r="S172" s="43">
        <v>5</v>
      </c>
      <c r="T172" s="43">
        <f t="shared" si="14"/>
        <v>3691.4982</v>
      </c>
      <c r="U172" s="33">
        <f t="shared" si="15"/>
        <v>4228.1499999999996</v>
      </c>
      <c r="V172" s="43">
        <f t="shared" si="18"/>
        <v>-536.65179999999964</v>
      </c>
      <c r="W172" s="45">
        <f t="shared" si="19"/>
        <v>-0.1453750674996942</v>
      </c>
    </row>
    <row r="173" spans="1:23" x14ac:dyDescent="0.3">
      <c r="A173" s="34" t="s">
        <v>447</v>
      </c>
      <c r="B173" s="35">
        <v>44981</v>
      </c>
      <c r="C173" s="36">
        <v>44994</v>
      </c>
      <c r="D173" s="37">
        <f t="shared" si="20"/>
        <v>13</v>
      </c>
      <c r="E173" s="37" t="str">
        <f>TEXT(Data!B173,"MMM-YYYY")</f>
        <v>Feb-2023</v>
      </c>
      <c r="F173" s="37" t="str">
        <f t="shared" si="16"/>
        <v>Q1-2023</v>
      </c>
      <c r="G173" s="32" t="s">
        <v>52</v>
      </c>
      <c r="H173" s="32" t="s">
        <v>122</v>
      </c>
      <c r="I173" s="32" t="s">
        <v>387</v>
      </c>
      <c r="J173" s="32" t="s">
        <v>105</v>
      </c>
      <c r="K173" s="32" t="s">
        <v>28</v>
      </c>
      <c r="L173" s="32" t="s">
        <v>110</v>
      </c>
      <c r="M173" s="32" t="s">
        <v>22</v>
      </c>
      <c r="N173" s="32" t="s">
        <v>448</v>
      </c>
      <c r="O173" s="37">
        <v>6.85</v>
      </c>
      <c r="P173" s="38" t="str">
        <f t="shared" si="17"/>
        <v>Low</v>
      </c>
      <c r="Q173" s="37">
        <v>10.18</v>
      </c>
      <c r="R173" s="37">
        <v>4.7E-2</v>
      </c>
      <c r="S173" s="37">
        <v>10</v>
      </c>
      <c r="T173" s="37">
        <f t="shared" si="14"/>
        <v>13964.213699999998</v>
      </c>
      <c r="U173" s="32">
        <f t="shared" si="15"/>
        <v>68.5</v>
      </c>
      <c r="V173" s="37">
        <f t="shared" si="18"/>
        <v>13895.713699999998</v>
      </c>
      <c r="W173" s="39">
        <f t="shared" si="19"/>
        <v>0.99509460385871928</v>
      </c>
    </row>
    <row r="174" spans="1:23" x14ac:dyDescent="0.3">
      <c r="A174" s="40" t="s">
        <v>449</v>
      </c>
      <c r="B174" s="41">
        <v>45798</v>
      </c>
      <c r="C174" s="42">
        <v>45796</v>
      </c>
      <c r="D174" s="43">
        <f>DATEDIF(C174,B174, "MD")</f>
        <v>2</v>
      </c>
      <c r="E174" s="43" t="str">
        <f>TEXT(Data!B174,"MMM-YYYY")</f>
        <v>May-2025</v>
      </c>
      <c r="F174" s="43" t="str">
        <f t="shared" si="16"/>
        <v>Q2-2025</v>
      </c>
      <c r="G174" s="33" t="s">
        <v>16</v>
      </c>
      <c r="H174" s="33" t="s">
        <v>148</v>
      </c>
      <c r="I174" s="33" t="s">
        <v>149</v>
      </c>
      <c r="J174" s="33" t="s">
        <v>39</v>
      </c>
      <c r="K174" s="33" t="s">
        <v>55</v>
      </c>
      <c r="L174" s="33" t="s">
        <v>68</v>
      </c>
      <c r="M174" s="33" t="s">
        <v>57</v>
      </c>
      <c r="N174" s="33" t="s">
        <v>450</v>
      </c>
      <c r="O174" s="43">
        <v>1263.8399999999999</v>
      </c>
      <c r="P174" s="44" t="str">
        <f t="shared" si="17"/>
        <v>High</v>
      </c>
      <c r="Q174" s="43">
        <v>2281.7199999999998</v>
      </c>
      <c r="R174" s="43">
        <v>7.8E-2</v>
      </c>
      <c r="S174" s="43">
        <v>15</v>
      </c>
      <c r="T174" s="43">
        <f t="shared" si="14"/>
        <v>36583.530899999998</v>
      </c>
      <c r="U174" s="33">
        <f t="shared" si="15"/>
        <v>18957.599999999999</v>
      </c>
      <c r="V174" s="43">
        <f t="shared" si="18"/>
        <v>17625.930899999999</v>
      </c>
      <c r="W174" s="45">
        <f t="shared" si="19"/>
        <v>0.48179960945213191</v>
      </c>
    </row>
    <row r="175" spans="1:23" x14ac:dyDescent="0.3">
      <c r="A175" s="34" t="s">
        <v>451</v>
      </c>
      <c r="B175" s="35">
        <v>45435</v>
      </c>
      <c r="C175" s="36">
        <v>45446</v>
      </c>
      <c r="D175" s="37">
        <f t="shared" si="20"/>
        <v>11</v>
      </c>
      <c r="E175" s="37" t="str">
        <f>TEXT(Data!B175,"MMM-YYYY")</f>
        <v>May-2024</v>
      </c>
      <c r="F175" s="37" t="str">
        <f t="shared" si="16"/>
        <v>Q2-2024</v>
      </c>
      <c r="G175" s="32" t="s">
        <v>16</v>
      </c>
      <c r="H175" s="32" t="s">
        <v>148</v>
      </c>
      <c r="I175" s="32" t="s">
        <v>149</v>
      </c>
      <c r="J175" s="32" t="s">
        <v>62</v>
      </c>
      <c r="K175" s="32" t="s">
        <v>55</v>
      </c>
      <c r="L175" s="32" t="s">
        <v>84</v>
      </c>
      <c r="M175" s="32" t="s">
        <v>30</v>
      </c>
      <c r="N175" s="32" t="s">
        <v>452</v>
      </c>
      <c r="O175" s="37">
        <v>180.89</v>
      </c>
      <c r="P175" s="38" t="str">
        <f t="shared" si="17"/>
        <v>High</v>
      </c>
      <c r="Q175" s="37">
        <v>249.57</v>
      </c>
      <c r="R175" s="37">
        <v>2.1999999999999999E-2</v>
      </c>
      <c r="S175" s="37">
        <v>8</v>
      </c>
      <c r="T175" s="37">
        <f t="shared" si="14"/>
        <v>6897.4036800000003</v>
      </c>
      <c r="U175" s="32">
        <f t="shared" si="15"/>
        <v>1447.12</v>
      </c>
      <c r="V175" s="37">
        <f t="shared" si="18"/>
        <v>5450.2836800000005</v>
      </c>
      <c r="W175" s="39">
        <f t="shared" si="19"/>
        <v>0.79019351815000627</v>
      </c>
    </row>
    <row r="176" spans="1:23" x14ac:dyDescent="0.3">
      <c r="A176" s="40" t="s">
        <v>453</v>
      </c>
      <c r="B176" s="41">
        <v>45761</v>
      </c>
      <c r="C176" s="42">
        <v>45781</v>
      </c>
      <c r="D176" s="43">
        <f t="shared" si="20"/>
        <v>20</v>
      </c>
      <c r="E176" s="43" t="str">
        <f>TEXT(Data!B176,"MMM-YYYY")</f>
        <v>Apr-2025</v>
      </c>
      <c r="F176" s="43" t="str">
        <f t="shared" si="16"/>
        <v>Q2-2025</v>
      </c>
      <c r="G176" s="33" t="s">
        <v>78</v>
      </c>
      <c r="H176" s="33" t="s">
        <v>108</v>
      </c>
      <c r="I176" s="33" t="s">
        <v>109</v>
      </c>
      <c r="J176" s="33" t="s">
        <v>105</v>
      </c>
      <c r="K176" s="33" t="s">
        <v>40</v>
      </c>
      <c r="L176" s="33" t="s">
        <v>95</v>
      </c>
      <c r="M176" s="33" t="s">
        <v>64</v>
      </c>
      <c r="N176" s="33" t="s">
        <v>454</v>
      </c>
      <c r="O176" s="43">
        <v>1413.87</v>
      </c>
      <c r="P176" s="44" t="str">
        <f t="shared" si="17"/>
        <v>High</v>
      </c>
      <c r="Q176" s="43">
        <v>3275</v>
      </c>
      <c r="R176" s="43">
        <v>0.255</v>
      </c>
      <c r="S176" s="43">
        <v>38</v>
      </c>
      <c r="T176" s="43">
        <f t="shared" si="14"/>
        <v>17694.882399999999</v>
      </c>
      <c r="U176" s="33">
        <f t="shared" si="15"/>
        <v>53727.06</v>
      </c>
      <c r="V176" s="43">
        <f t="shared" si="18"/>
        <v>-36032.177599999995</v>
      </c>
      <c r="W176" s="45">
        <f t="shared" si="19"/>
        <v>-2.0363050053387188</v>
      </c>
    </row>
    <row r="177" spans="1:23" x14ac:dyDescent="0.3">
      <c r="A177" s="34" t="s">
        <v>455</v>
      </c>
      <c r="B177" s="35">
        <v>45165</v>
      </c>
      <c r="C177" s="36">
        <v>45180</v>
      </c>
      <c r="D177" s="37">
        <f t="shared" si="20"/>
        <v>15</v>
      </c>
      <c r="E177" s="37" t="str">
        <f>TEXT(Data!B177,"MMM-YYYY")</f>
        <v>Aug-2023</v>
      </c>
      <c r="F177" s="37" t="str">
        <f t="shared" si="16"/>
        <v>Q3-2023</v>
      </c>
      <c r="G177" s="32" t="s">
        <v>78</v>
      </c>
      <c r="H177" s="32" t="s">
        <v>108</v>
      </c>
      <c r="I177" s="32" t="s">
        <v>152</v>
      </c>
      <c r="J177" s="32" t="s">
        <v>48</v>
      </c>
      <c r="K177" s="32" t="s">
        <v>40</v>
      </c>
      <c r="L177" s="32" t="s">
        <v>126</v>
      </c>
      <c r="M177" s="32" t="s">
        <v>30</v>
      </c>
      <c r="N177" s="32" t="s">
        <v>456</v>
      </c>
      <c r="O177" s="37">
        <v>943.79</v>
      </c>
      <c r="P177" s="38" t="str">
        <f t="shared" si="17"/>
        <v>High</v>
      </c>
      <c r="Q177" s="37">
        <v>1913.76</v>
      </c>
      <c r="R177" s="37">
        <v>9.0999999999999998E-2</v>
      </c>
      <c r="S177" s="37">
        <v>9</v>
      </c>
      <c r="T177" s="37">
        <f t="shared" si="14"/>
        <v>7960.4402400000008</v>
      </c>
      <c r="U177" s="32">
        <f t="shared" si="15"/>
        <v>8494.11</v>
      </c>
      <c r="V177" s="37">
        <f t="shared" si="18"/>
        <v>-533.66975999999977</v>
      </c>
      <c r="W177" s="39">
        <f t="shared" si="19"/>
        <v>-6.7040231935715122E-2</v>
      </c>
    </row>
    <row r="178" spans="1:23" x14ac:dyDescent="0.3">
      <c r="A178" s="40" t="s">
        <v>457</v>
      </c>
      <c r="B178" s="41">
        <v>45325</v>
      </c>
      <c r="C178" s="42">
        <v>45343</v>
      </c>
      <c r="D178" s="43">
        <f t="shared" si="20"/>
        <v>18</v>
      </c>
      <c r="E178" s="43" t="str">
        <f>TEXT(Data!B178,"MMM-YYYY")</f>
        <v>Feb-2024</v>
      </c>
      <c r="F178" s="43" t="str">
        <f t="shared" si="16"/>
        <v>Q1-2024</v>
      </c>
      <c r="G178" s="33" t="s">
        <v>78</v>
      </c>
      <c r="H178" s="33" t="s">
        <v>79</v>
      </c>
      <c r="I178" s="33" t="s">
        <v>335</v>
      </c>
      <c r="J178" s="33" t="s">
        <v>19</v>
      </c>
      <c r="K178" s="33" t="s">
        <v>20</v>
      </c>
      <c r="L178" s="33" t="s">
        <v>92</v>
      </c>
      <c r="M178" s="33" t="s">
        <v>22</v>
      </c>
      <c r="N178" s="33" t="s">
        <v>458</v>
      </c>
      <c r="O178" s="43">
        <v>39.229999999999997</v>
      </c>
      <c r="P178" s="44" t="str">
        <f t="shared" si="17"/>
        <v>Low</v>
      </c>
      <c r="Q178" s="43">
        <v>30.09</v>
      </c>
      <c r="R178" s="43">
        <v>0.17699999999999999</v>
      </c>
      <c r="S178" s="43">
        <v>13</v>
      </c>
      <c r="T178" s="43">
        <f t="shared" si="14"/>
        <v>16533.592659999998</v>
      </c>
      <c r="U178" s="33">
        <f t="shared" si="15"/>
        <v>509.98999999999995</v>
      </c>
      <c r="V178" s="43">
        <f t="shared" si="18"/>
        <v>16023.602659999999</v>
      </c>
      <c r="W178" s="45">
        <f t="shared" si="19"/>
        <v>0.96915431446222655</v>
      </c>
    </row>
    <row r="179" spans="1:23" x14ac:dyDescent="0.3">
      <c r="A179" s="34" t="s">
        <v>459</v>
      </c>
      <c r="B179" s="35">
        <v>45021</v>
      </c>
      <c r="C179" s="36">
        <v>45032</v>
      </c>
      <c r="D179" s="37">
        <f t="shared" si="20"/>
        <v>11</v>
      </c>
      <c r="E179" s="37" t="str">
        <f>TEXT(Data!B179,"MMM-YYYY")</f>
        <v>Apr-2023</v>
      </c>
      <c r="F179" s="37" t="str">
        <f t="shared" si="16"/>
        <v>Q2-2023</v>
      </c>
      <c r="G179" s="32" t="s">
        <v>52</v>
      </c>
      <c r="H179" s="32" t="s">
        <v>53</v>
      </c>
      <c r="I179" s="32" t="s">
        <v>179</v>
      </c>
      <c r="J179" s="32" t="s">
        <v>39</v>
      </c>
      <c r="K179" s="32" t="s">
        <v>28</v>
      </c>
      <c r="L179" s="32" t="s">
        <v>68</v>
      </c>
      <c r="M179" s="32" t="s">
        <v>64</v>
      </c>
      <c r="N179" s="32" t="s">
        <v>460</v>
      </c>
      <c r="O179" s="37">
        <v>213.1</v>
      </c>
      <c r="P179" s="38" t="str">
        <f t="shared" si="17"/>
        <v>High</v>
      </c>
      <c r="Q179" s="37">
        <v>501.31</v>
      </c>
      <c r="R179" s="37">
        <v>5.6000000000000001E-2</v>
      </c>
      <c r="S179" s="37">
        <v>15</v>
      </c>
      <c r="T179" s="37">
        <f t="shared" si="14"/>
        <v>31908.427200000002</v>
      </c>
      <c r="U179" s="32">
        <f t="shared" si="15"/>
        <v>3196.5</v>
      </c>
      <c r="V179" s="37">
        <f t="shared" si="18"/>
        <v>28711.927200000002</v>
      </c>
      <c r="W179" s="39">
        <f t="shared" si="19"/>
        <v>0.89982270263700115</v>
      </c>
    </row>
    <row r="180" spans="1:23" x14ac:dyDescent="0.3">
      <c r="A180" s="40" t="s">
        <v>461</v>
      </c>
      <c r="B180" s="41">
        <v>45890</v>
      </c>
      <c r="C180" s="42">
        <v>45912</v>
      </c>
      <c r="D180" s="43">
        <f t="shared" si="20"/>
        <v>22</v>
      </c>
      <c r="E180" s="43" t="str">
        <f>TEXT(Data!B180,"MMM-YYYY")</f>
        <v>Aug-2025</v>
      </c>
      <c r="F180" s="43" t="str">
        <f t="shared" si="16"/>
        <v>Q3-2025</v>
      </c>
      <c r="G180" s="33" t="s">
        <v>45</v>
      </c>
      <c r="H180" s="33" t="s">
        <v>116</v>
      </c>
      <c r="I180" s="33" t="s">
        <v>117</v>
      </c>
      <c r="J180" s="33" t="s">
        <v>27</v>
      </c>
      <c r="K180" s="33" t="s">
        <v>20</v>
      </c>
      <c r="L180" s="33" t="s">
        <v>56</v>
      </c>
      <c r="M180" s="33" t="s">
        <v>30</v>
      </c>
      <c r="N180" s="33" t="s">
        <v>462</v>
      </c>
      <c r="O180" s="43">
        <v>352.66</v>
      </c>
      <c r="P180" s="44" t="str">
        <f t="shared" si="17"/>
        <v>High</v>
      </c>
      <c r="Q180" s="43">
        <v>411.18</v>
      </c>
      <c r="R180" s="43">
        <v>0.17299999999999999</v>
      </c>
      <c r="S180" s="43">
        <v>13</v>
      </c>
      <c r="T180" s="43">
        <f t="shared" si="14"/>
        <v>26302.966559999997</v>
      </c>
      <c r="U180" s="33">
        <f t="shared" si="15"/>
        <v>4584.58</v>
      </c>
      <c r="V180" s="43">
        <f t="shared" si="18"/>
        <v>21718.386559999999</v>
      </c>
      <c r="W180" s="45">
        <f t="shared" si="19"/>
        <v>0.82570102921501043</v>
      </c>
    </row>
    <row r="181" spans="1:23" x14ac:dyDescent="0.3">
      <c r="A181" s="34" t="s">
        <v>463</v>
      </c>
      <c r="B181" s="35">
        <v>45915</v>
      </c>
      <c r="C181" s="36">
        <v>45918</v>
      </c>
      <c r="D181" s="37">
        <f t="shared" si="20"/>
        <v>3</v>
      </c>
      <c r="E181" s="37" t="str">
        <f>TEXT(Data!B181,"MMM-YYYY")</f>
        <v>Sep-2025</v>
      </c>
      <c r="F181" s="37" t="str">
        <f t="shared" si="16"/>
        <v>Q3-2025</v>
      </c>
      <c r="G181" s="32" t="s">
        <v>52</v>
      </c>
      <c r="H181" s="32" t="s">
        <v>73</v>
      </c>
      <c r="I181" s="32" t="s">
        <v>225</v>
      </c>
      <c r="J181" s="32" t="s">
        <v>39</v>
      </c>
      <c r="K181" s="32" t="s">
        <v>98</v>
      </c>
      <c r="L181" s="32" t="s">
        <v>49</v>
      </c>
      <c r="M181" s="32" t="s">
        <v>81</v>
      </c>
      <c r="N181" s="32" t="s">
        <v>464</v>
      </c>
      <c r="O181" s="37">
        <v>5.5</v>
      </c>
      <c r="P181" s="38" t="str">
        <f t="shared" si="17"/>
        <v>Low</v>
      </c>
      <c r="Q181" s="37">
        <v>5.92</v>
      </c>
      <c r="R181" s="37">
        <v>0.21199999999999999</v>
      </c>
      <c r="S181" s="37">
        <v>4</v>
      </c>
      <c r="T181" s="37">
        <f t="shared" si="14"/>
        <v>593.52160000000003</v>
      </c>
      <c r="U181" s="32">
        <f t="shared" si="15"/>
        <v>22</v>
      </c>
      <c r="V181" s="37">
        <f t="shared" si="18"/>
        <v>571.52160000000003</v>
      </c>
      <c r="W181" s="39">
        <f t="shared" si="19"/>
        <v>0.96293310976382329</v>
      </c>
    </row>
    <row r="182" spans="1:23" x14ac:dyDescent="0.3">
      <c r="A182" s="40" t="s">
        <v>465</v>
      </c>
      <c r="B182" s="41">
        <v>45568</v>
      </c>
      <c r="C182" s="42">
        <v>45576</v>
      </c>
      <c r="D182" s="43">
        <f t="shared" si="20"/>
        <v>8</v>
      </c>
      <c r="E182" s="43" t="str">
        <f>TEXT(Data!B182,"MMM-YYYY")</f>
        <v>Oct-2024</v>
      </c>
      <c r="F182" s="43" t="str">
        <f t="shared" si="16"/>
        <v>Q4-2024</v>
      </c>
      <c r="G182" s="33" t="s">
        <v>45</v>
      </c>
      <c r="H182" s="33" t="s">
        <v>116</v>
      </c>
      <c r="I182" s="33" t="s">
        <v>338</v>
      </c>
      <c r="J182" s="33" t="s">
        <v>105</v>
      </c>
      <c r="K182" s="33" t="s">
        <v>98</v>
      </c>
      <c r="L182" s="33" t="s">
        <v>56</v>
      </c>
      <c r="M182" s="33" t="s">
        <v>42</v>
      </c>
      <c r="N182" s="33" t="s">
        <v>466</v>
      </c>
      <c r="O182" s="43">
        <v>1132.6099999999999</v>
      </c>
      <c r="P182" s="44" t="str">
        <f t="shared" si="17"/>
        <v>High</v>
      </c>
      <c r="Q182" s="43">
        <v>2206.63</v>
      </c>
      <c r="R182" s="43">
        <v>6.3E-2</v>
      </c>
      <c r="S182" s="43">
        <v>20</v>
      </c>
      <c r="T182" s="43">
        <f t="shared" si="14"/>
        <v>48027.621600000006</v>
      </c>
      <c r="U182" s="33">
        <f t="shared" si="15"/>
        <v>22652.199999999997</v>
      </c>
      <c r="V182" s="43">
        <f t="shared" si="18"/>
        <v>25375.421600000009</v>
      </c>
      <c r="W182" s="45">
        <f t="shared" si="19"/>
        <v>0.52835057732694402</v>
      </c>
    </row>
    <row r="183" spans="1:23" x14ac:dyDescent="0.3">
      <c r="A183" s="34" t="s">
        <v>467</v>
      </c>
      <c r="B183" s="35">
        <v>45690</v>
      </c>
      <c r="C183" s="36">
        <v>45720</v>
      </c>
      <c r="D183" s="37">
        <f t="shared" si="20"/>
        <v>2</v>
      </c>
      <c r="E183" s="37" t="str">
        <f>TEXT(Data!B183,"MMM-YYYY")</f>
        <v>Feb-2025</v>
      </c>
      <c r="F183" s="37" t="str">
        <f t="shared" si="16"/>
        <v>Q1-2025</v>
      </c>
      <c r="G183" s="32" t="s">
        <v>45</v>
      </c>
      <c r="H183" s="32" t="s">
        <v>46</v>
      </c>
      <c r="I183" s="32" t="s">
        <v>47</v>
      </c>
      <c r="J183" s="32" t="s">
        <v>27</v>
      </c>
      <c r="K183" s="32" t="s">
        <v>55</v>
      </c>
      <c r="L183" s="32" t="s">
        <v>49</v>
      </c>
      <c r="M183" s="32" t="s">
        <v>81</v>
      </c>
      <c r="N183" s="32" t="s">
        <v>468</v>
      </c>
      <c r="O183" s="37">
        <v>766.59</v>
      </c>
      <c r="P183" s="38" t="str">
        <f t="shared" si="17"/>
        <v>High</v>
      </c>
      <c r="Q183" s="37">
        <v>1912.8</v>
      </c>
      <c r="R183" s="37">
        <v>0.19600000000000001</v>
      </c>
      <c r="S183" s="37">
        <v>5</v>
      </c>
      <c r="T183" s="37">
        <f t="shared" si="14"/>
        <v>7256.5421999999999</v>
      </c>
      <c r="U183" s="32">
        <f t="shared" si="15"/>
        <v>3832.9500000000003</v>
      </c>
      <c r="V183" s="37">
        <f t="shared" si="18"/>
        <v>3423.5921999999996</v>
      </c>
      <c r="W183" s="39">
        <f t="shared" si="19"/>
        <v>0.47179388001078526</v>
      </c>
    </row>
    <row r="184" spans="1:23" x14ac:dyDescent="0.3">
      <c r="A184" s="40" t="s">
        <v>469</v>
      </c>
      <c r="B184" s="41">
        <v>45157</v>
      </c>
      <c r="C184" s="42">
        <v>45161</v>
      </c>
      <c r="D184" s="43">
        <f t="shared" si="20"/>
        <v>4</v>
      </c>
      <c r="E184" s="43" t="str">
        <f>TEXT(Data!B184,"MMM-YYYY")</f>
        <v>Aug-2023</v>
      </c>
      <c r="F184" s="43" t="str">
        <f t="shared" si="16"/>
        <v>Q3-2023</v>
      </c>
      <c r="G184" s="33" t="s">
        <v>16</v>
      </c>
      <c r="H184" s="33" t="s">
        <v>25</v>
      </c>
      <c r="I184" s="33" t="s">
        <v>67</v>
      </c>
      <c r="J184" s="33" t="s">
        <v>62</v>
      </c>
      <c r="K184" s="33" t="s">
        <v>28</v>
      </c>
      <c r="L184" s="33" t="s">
        <v>29</v>
      </c>
      <c r="M184" s="33" t="s">
        <v>64</v>
      </c>
      <c r="N184" s="33" t="s">
        <v>470</v>
      </c>
      <c r="O184" s="43">
        <v>790.63</v>
      </c>
      <c r="P184" s="44" t="str">
        <f t="shared" si="17"/>
        <v>High</v>
      </c>
      <c r="Q184" s="43">
        <v>1382.31</v>
      </c>
      <c r="R184" s="43">
        <v>0.10100000000000001</v>
      </c>
      <c r="S184" s="43">
        <v>7</v>
      </c>
      <c r="T184" s="43">
        <f t="shared" si="14"/>
        <v>12999.63889</v>
      </c>
      <c r="U184" s="33">
        <f t="shared" si="15"/>
        <v>5534.41</v>
      </c>
      <c r="V184" s="43">
        <f t="shared" si="18"/>
        <v>7465.2288900000003</v>
      </c>
      <c r="W184" s="45">
        <f t="shared" si="19"/>
        <v>0.57426432789164961</v>
      </c>
    </row>
    <row r="185" spans="1:23" x14ac:dyDescent="0.3">
      <c r="A185" s="34" t="s">
        <v>471</v>
      </c>
      <c r="B185" s="35">
        <v>45587</v>
      </c>
      <c r="C185" s="36">
        <v>45594</v>
      </c>
      <c r="D185" s="37">
        <f t="shared" si="20"/>
        <v>7</v>
      </c>
      <c r="E185" s="37" t="str">
        <f>TEXT(Data!B185,"MMM-YYYY")</f>
        <v>Oct-2024</v>
      </c>
      <c r="F185" s="37" t="str">
        <f t="shared" si="16"/>
        <v>Q4-2024</v>
      </c>
      <c r="G185" s="32" t="s">
        <v>16</v>
      </c>
      <c r="H185" s="32" t="s">
        <v>25</v>
      </c>
      <c r="I185" s="32" t="s">
        <v>26</v>
      </c>
      <c r="J185" s="32" t="s">
        <v>105</v>
      </c>
      <c r="K185" s="32" t="s">
        <v>55</v>
      </c>
      <c r="L185" s="32" t="s">
        <v>110</v>
      </c>
      <c r="M185" s="32" t="s">
        <v>64</v>
      </c>
      <c r="N185" s="32" t="s">
        <v>472</v>
      </c>
      <c r="O185" s="37">
        <v>1023.06</v>
      </c>
      <c r="P185" s="38" t="str">
        <f t="shared" si="17"/>
        <v>High</v>
      </c>
      <c r="Q185" s="37">
        <v>1355.61</v>
      </c>
      <c r="R185" s="37">
        <v>0.153</v>
      </c>
      <c r="S185" s="37">
        <v>23</v>
      </c>
      <c r="T185" s="37">
        <f t="shared" si="14"/>
        <v>46101.981310000003</v>
      </c>
      <c r="U185" s="32">
        <f t="shared" si="15"/>
        <v>23530.379999999997</v>
      </c>
      <c r="V185" s="37">
        <f t="shared" si="18"/>
        <v>22571.601310000005</v>
      </c>
      <c r="W185" s="39">
        <f t="shared" si="19"/>
        <v>0.4896015457171683</v>
      </c>
    </row>
    <row r="186" spans="1:23" x14ac:dyDescent="0.3">
      <c r="A186" s="40" t="s">
        <v>473</v>
      </c>
      <c r="B186" s="41">
        <v>45099</v>
      </c>
      <c r="C186" s="42">
        <v>45128</v>
      </c>
      <c r="D186" s="43">
        <f t="shared" si="20"/>
        <v>29</v>
      </c>
      <c r="E186" s="43" t="str">
        <f>TEXT(Data!B186,"MMM-YYYY")</f>
        <v>Jun-2023</v>
      </c>
      <c r="F186" s="43" t="str">
        <f t="shared" si="16"/>
        <v>Q2-2023</v>
      </c>
      <c r="G186" s="33" t="s">
        <v>78</v>
      </c>
      <c r="H186" s="33" t="s">
        <v>90</v>
      </c>
      <c r="I186" s="33" t="s">
        <v>138</v>
      </c>
      <c r="J186" s="33" t="s">
        <v>19</v>
      </c>
      <c r="K186" s="33" t="s">
        <v>20</v>
      </c>
      <c r="L186" s="33" t="s">
        <v>29</v>
      </c>
      <c r="M186" s="33" t="s">
        <v>81</v>
      </c>
      <c r="N186" s="33" t="s">
        <v>474</v>
      </c>
      <c r="O186" s="43">
        <v>734.34</v>
      </c>
      <c r="P186" s="44" t="str">
        <f t="shared" si="17"/>
        <v>High</v>
      </c>
      <c r="Q186" s="43">
        <v>887.9</v>
      </c>
      <c r="R186" s="43">
        <v>2.5000000000000001E-2</v>
      </c>
      <c r="S186" s="43">
        <v>12</v>
      </c>
      <c r="T186" s="43">
        <f t="shared" si="14"/>
        <v>1541.5919999999999</v>
      </c>
      <c r="U186" s="33">
        <f t="shared" si="15"/>
        <v>8812.08</v>
      </c>
      <c r="V186" s="43">
        <f t="shared" si="18"/>
        <v>-7270.4880000000003</v>
      </c>
      <c r="W186" s="45">
        <f t="shared" si="19"/>
        <v>-4.7162206342534221</v>
      </c>
    </row>
    <row r="187" spans="1:23" x14ac:dyDescent="0.3">
      <c r="A187" s="34" t="s">
        <v>475</v>
      </c>
      <c r="B187" s="35">
        <v>45670</v>
      </c>
      <c r="C187" s="36">
        <v>45696</v>
      </c>
      <c r="D187" s="37">
        <f t="shared" si="20"/>
        <v>26</v>
      </c>
      <c r="E187" s="37" t="str">
        <f>TEXT(Data!B187,"MMM-YYYY")</f>
        <v>Jan-2025</v>
      </c>
      <c r="F187" s="37" t="str">
        <f t="shared" si="16"/>
        <v>Q1-2025</v>
      </c>
      <c r="G187" s="32" t="s">
        <v>78</v>
      </c>
      <c r="H187" s="32" t="s">
        <v>90</v>
      </c>
      <c r="I187" s="32" t="s">
        <v>217</v>
      </c>
      <c r="J187" s="32" t="s">
        <v>39</v>
      </c>
      <c r="K187" s="32" t="s">
        <v>1364</v>
      </c>
      <c r="L187" s="32" t="s">
        <v>63</v>
      </c>
      <c r="M187" s="32" t="s">
        <v>64</v>
      </c>
      <c r="N187" s="32" t="s">
        <v>476</v>
      </c>
      <c r="O187" s="37">
        <v>594.74</v>
      </c>
      <c r="P187" s="38" t="str">
        <f t="shared" si="17"/>
        <v>High</v>
      </c>
      <c r="Q187" s="37">
        <v>1020.69</v>
      </c>
      <c r="R187" s="37">
        <v>0.21099999999999999</v>
      </c>
      <c r="S187" s="37">
        <v>6</v>
      </c>
      <c r="T187" s="37">
        <f t="shared" si="14"/>
        <v>6319.9846800000005</v>
      </c>
      <c r="U187" s="32">
        <f t="shared" si="15"/>
        <v>3568.44</v>
      </c>
      <c r="V187" s="37">
        <f t="shared" si="18"/>
        <v>2751.5446800000004</v>
      </c>
      <c r="W187" s="39">
        <f t="shared" si="19"/>
        <v>0.43537204903477711</v>
      </c>
    </row>
    <row r="188" spans="1:23" x14ac:dyDescent="0.3">
      <c r="A188" s="40" t="s">
        <v>360</v>
      </c>
      <c r="B188" s="41">
        <v>44955</v>
      </c>
      <c r="C188" s="42">
        <v>44985</v>
      </c>
      <c r="D188" s="43">
        <f t="shared" si="20"/>
        <v>30</v>
      </c>
      <c r="E188" s="43" t="str">
        <f>TEXT(Data!B188,"MMM-YYYY")</f>
        <v>Jan-2023</v>
      </c>
      <c r="F188" s="43" t="str">
        <f t="shared" si="16"/>
        <v>Q1-2023</v>
      </c>
      <c r="G188" s="33" t="s">
        <v>45</v>
      </c>
      <c r="H188" s="33" t="s">
        <v>60</v>
      </c>
      <c r="I188" s="33" t="s">
        <v>61</v>
      </c>
      <c r="J188" s="33" t="s">
        <v>39</v>
      </c>
      <c r="K188" s="33" t="s">
        <v>20</v>
      </c>
      <c r="L188" s="33" t="s">
        <v>56</v>
      </c>
      <c r="M188" s="33" t="s">
        <v>81</v>
      </c>
      <c r="N188" s="33" t="s">
        <v>477</v>
      </c>
      <c r="O188" s="43">
        <v>1262.0999999999999</v>
      </c>
      <c r="P188" s="44" t="str">
        <f t="shared" si="17"/>
        <v>High</v>
      </c>
      <c r="Q188" s="43">
        <v>1395.53</v>
      </c>
      <c r="R188" s="43">
        <v>0.23300000000000001</v>
      </c>
      <c r="S188" s="43">
        <v>25</v>
      </c>
      <c r="T188" s="43">
        <f t="shared" si="14"/>
        <v>51608.553749999999</v>
      </c>
      <c r="U188" s="33">
        <f t="shared" si="15"/>
        <v>31552.499999999996</v>
      </c>
      <c r="V188" s="43">
        <f t="shared" si="18"/>
        <v>20056.053750000003</v>
      </c>
      <c r="W188" s="45">
        <f t="shared" si="19"/>
        <v>0.38861879073679723</v>
      </c>
    </row>
    <row r="189" spans="1:23" x14ac:dyDescent="0.3">
      <c r="A189" s="34" t="s">
        <v>478</v>
      </c>
      <c r="B189" s="35">
        <v>45126</v>
      </c>
      <c r="C189" s="36">
        <v>45138</v>
      </c>
      <c r="D189" s="37">
        <f t="shared" si="20"/>
        <v>12</v>
      </c>
      <c r="E189" s="37" t="str">
        <f>TEXT(Data!B189,"MMM-YYYY")</f>
        <v>Jul-2023</v>
      </c>
      <c r="F189" s="37" t="str">
        <f t="shared" si="16"/>
        <v>Q3-2023</v>
      </c>
      <c r="G189" s="32" t="s">
        <v>52</v>
      </c>
      <c r="H189" s="32" t="s">
        <v>73</v>
      </c>
      <c r="I189" s="32" t="s">
        <v>225</v>
      </c>
      <c r="J189" s="32" t="s">
        <v>19</v>
      </c>
      <c r="K189" s="32" t="s">
        <v>20</v>
      </c>
      <c r="L189" s="32" t="s">
        <v>21</v>
      </c>
      <c r="M189" s="32" t="s">
        <v>64</v>
      </c>
      <c r="N189" s="32" t="s">
        <v>479</v>
      </c>
      <c r="O189" s="37">
        <v>1334.64</v>
      </c>
      <c r="P189" s="38" t="str">
        <f t="shared" si="17"/>
        <v>High</v>
      </c>
      <c r="Q189" s="37">
        <v>2273.42</v>
      </c>
      <c r="R189" s="37">
        <v>0.11799999999999999</v>
      </c>
      <c r="S189" s="37">
        <v>14</v>
      </c>
      <c r="T189" s="37">
        <f t="shared" si="14"/>
        <v>9587.7280800000008</v>
      </c>
      <c r="U189" s="32">
        <f t="shared" si="15"/>
        <v>18684.960000000003</v>
      </c>
      <c r="V189" s="37">
        <f t="shared" si="18"/>
        <v>-9097.231920000002</v>
      </c>
      <c r="W189" s="39">
        <f t="shared" si="19"/>
        <v>-0.94884125249409468</v>
      </c>
    </row>
    <row r="190" spans="1:23" x14ac:dyDescent="0.3">
      <c r="A190" s="40" t="s">
        <v>480</v>
      </c>
      <c r="B190" s="41">
        <v>45431</v>
      </c>
      <c r="C190" s="42">
        <v>45451</v>
      </c>
      <c r="D190" s="43">
        <f t="shared" si="20"/>
        <v>20</v>
      </c>
      <c r="E190" s="43" t="str">
        <f>TEXT(Data!B190,"MMM-YYYY")</f>
        <v>May-2024</v>
      </c>
      <c r="F190" s="43" t="str">
        <f t="shared" si="16"/>
        <v>Q2-2024</v>
      </c>
      <c r="G190" s="33" t="s">
        <v>52</v>
      </c>
      <c r="H190" s="33" t="s">
        <v>73</v>
      </c>
      <c r="I190" s="33" t="s">
        <v>87</v>
      </c>
      <c r="J190" s="33" t="s">
        <v>62</v>
      </c>
      <c r="K190" s="33" t="s">
        <v>20</v>
      </c>
      <c r="L190" s="33" t="s">
        <v>63</v>
      </c>
      <c r="M190" s="33" t="s">
        <v>64</v>
      </c>
      <c r="N190" s="33" t="s">
        <v>481</v>
      </c>
      <c r="O190" s="43">
        <v>1075.9000000000001</v>
      </c>
      <c r="P190" s="44" t="str">
        <f t="shared" si="17"/>
        <v>High</v>
      </c>
      <c r="Q190" s="43">
        <v>1242.1500000000001</v>
      </c>
      <c r="R190" s="43">
        <v>1.2E-2</v>
      </c>
      <c r="S190" s="43">
        <v>7</v>
      </c>
      <c r="T190" s="43">
        <f t="shared" si="14"/>
        <v>2200.4637200000002</v>
      </c>
      <c r="U190" s="33">
        <f t="shared" si="15"/>
        <v>7531.3000000000011</v>
      </c>
      <c r="V190" s="43">
        <f t="shared" si="18"/>
        <v>-5330.8362800000014</v>
      </c>
      <c r="W190" s="45">
        <f t="shared" si="19"/>
        <v>-2.4225967606500691</v>
      </c>
    </row>
    <row r="191" spans="1:23" x14ac:dyDescent="0.3">
      <c r="A191" s="34" t="s">
        <v>482</v>
      </c>
      <c r="B191" s="35">
        <v>45325</v>
      </c>
      <c r="C191" s="36">
        <v>45341</v>
      </c>
      <c r="D191" s="37">
        <f t="shared" si="20"/>
        <v>16</v>
      </c>
      <c r="E191" s="37" t="str">
        <f>TEXT(Data!B191,"MMM-YYYY")</f>
        <v>Feb-2024</v>
      </c>
      <c r="F191" s="37" t="str">
        <f t="shared" si="16"/>
        <v>Q1-2024</v>
      </c>
      <c r="G191" s="32" t="s">
        <v>45</v>
      </c>
      <c r="H191" s="32" t="s">
        <v>116</v>
      </c>
      <c r="I191" s="32" t="s">
        <v>117</v>
      </c>
      <c r="J191" s="32" t="s">
        <v>62</v>
      </c>
      <c r="K191" s="32" t="s">
        <v>28</v>
      </c>
      <c r="L191" s="32" t="s">
        <v>92</v>
      </c>
      <c r="M191" s="32" t="s">
        <v>57</v>
      </c>
      <c r="N191" s="32" t="s">
        <v>483</v>
      </c>
      <c r="O191" s="37">
        <v>993.75</v>
      </c>
      <c r="P191" s="38" t="str">
        <f t="shared" si="17"/>
        <v>High</v>
      </c>
      <c r="Q191" s="37">
        <v>1310.29</v>
      </c>
      <c r="R191" s="37">
        <v>0.215</v>
      </c>
      <c r="S191" s="37">
        <v>19</v>
      </c>
      <c r="T191" s="37">
        <f t="shared" si="14"/>
        <v>18590.205150000002</v>
      </c>
      <c r="U191" s="32">
        <f t="shared" si="15"/>
        <v>18881.25</v>
      </c>
      <c r="V191" s="37">
        <f t="shared" si="18"/>
        <v>-291.04484999999841</v>
      </c>
      <c r="W191" s="39">
        <f t="shared" si="19"/>
        <v>-1.5655817009636301E-2</v>
      </c>
    </row>
    <row r="192" spans="1:23" x14ac:dyDescent="0.3">
      <c r="A192" s="40" t="s">
        <v>484</v>
      </c>
      <c r="B192" s="41">
        <v>45146</v>
      </c>
      <c r="C192" s="42">
        <v>45160</v>
      </c>
      <c r="D192" s="43">
        <f t="shared" si="20"/>
        <v>14</v>
      </c>
      <c r="E192" s="43" t="str">
        <f>TEXT(Data!B192,"MMM-YYYY")</f>
        <v>Aug-2023</v>
      </c>
      <c r="F192" s="43" t="str">
        <f t="shared" si="16"/>
        <v>Q3-2023</v>
      </c>
      <c r="G192" s="33" t="s">
        <v>78</v>
      </c>
      <c r="H192" s="33" t="s">
        <v>108</v>
      </c>
      <c r="I192" s="33" t="s">
        <v>109</v>
      </c>
      <c r="J192" s="33" t="s">
        <v>39</v>
      </c>
      <c r="K192" s="33" t="s">
        <v>98</v>
      </c>
      <c r="L192" s="33" t="s">
        <v>126</v>
      </c>
      <c r="M192" s="33" t="s">
        <v>64</v>
      </c>
      <c r="N192" s="33" t="s">
        <v>485</v>
      </c>
      <c r="O192" s="43">
        <v>446.69</v>
      </c>
      <c r="P192" s="44" t="str">
        <f t="shared" si="17"/>
        <v>High</v>
      </c>
      <c r="Q192" s="43">
        <v>967.25</v>
      </c>
      <c r="R192" s="43">
        <v>9.4E-2</v>
      </c>
      <c r="S192" s="43">
        <v>10</v>
      </c>
      <c r="T192" s="43">
        <f t="shared" si="14"/>
        <v>3143.4576000000002</v>
      </c>
      <c r="U192" s="33">
        <f t="shared" si="15"/>
        <v>4466.8999999999996</v>
      </c>
      <c r="V192" s="43">
        <f t="shared" si="18"/>
        <v>-1323.4423999999995</v>
      </c>
      <c r="W192" s="45">
        <f t="shared" si="19"/>
        <v>-0.42101487228585471</v>
      </c>
    </row>
    <row r="193" spans="1:23" x14ac:dyDescent="0.3">
      <c r="A193" s="34" t="s">
        <v>486</v>
      </c>
      <c r="B193" s="35">
        <v>45516</v>
      </c>
      <c r="C193" s="36">
        <v>45538</v>
      </c>
      <c r="D193" s="37">
        <f t="shared" si="20"/>
        <v>22</v>
      </c>
      <c r="E193" s="37" t="str">
        <f>TEXT(Data!B193,"MMM-YYYY")</f>
        <v>Aug-2024</v>
      </c>
      <c r="F193" s="37" t="str">
        <f t="shared" si="16"/>
        <v>Q3-2024</v>
      </c>
      <c r="G193" s="32" t="s">
        <v>52</v>
      </c>
      <c r="H193" s="32" t="s">
        <v>122</v>
      </c>
      <c r="I193" s="32" t="s">
        <v>326</v>
      </c>
      <c r="J193" s="32" t="s">
        <v>48</v>
      </c>
      <c r="K193" s="32" t="s">
        <v>55</v>
      </c>
      <c r="L193" s="32" t="s">
        <v>34</v>
      </c>
      <c r="M193" s="32" t="s">
        <v>57</v>
      </c>
      <c r="N193" s="32" t="s">
        <v>487</v>
      </c>
      <c r="O193" s="37">
        <v>797.8</v>
      </c>
      <c r="P193" s="38" t="str">
        <f t="shared" si="17"/>
        <v>High</v>
      </c>
      <c r="Q193" s="37">
        <v>886.22</v>
      </c>
      <c r="R193" s="37">
        <v>0.23599999999999999</v>
      </c>
      <c r="S193" s="37">
        <v>36</v>
      </c>
      <c r="T193" s="37">
        <f t="shared" ref="T193:T256" si="21">(Q219*S193)*(1-R193)</f>
        <v>13882.919040000001</v>
      </c>
      <c r="U193" s="32">
        <f t="shared" ref="U193:U256" si="22">(O193*S193)</f>
        <v>28720.799999999999</v>
      </c>
      <c r="V193" s="37">
        <f t="shared" si="18"/>
        <v>-14837.880959999999</v>
      </c>
      <c r="W193" s="39">
        <f t="shared" si="19"/>
        <v>-1.06878682482038</v>
      </c>
    </row>
    <row r="194" spans="1:23" x14ac:dyDescent="0.3">
      <c r="A194" s="40" t="s">
        <v>488</v>
      </c>
      <c r="B194" s="41">
        <v>45214</v>
      </c>
      <c r="C194" s="42">
        <v>45243</v>
      </c>
      <c r="D194" s="43">
        <f t="shared" si="20"/>
        <v>29</v>
      </c>
      <c r="E194" s="43" t="str">
        <f>TEXT(Data!B194,"MMM-YYYY")</f>
        <v>Oct-2023</v>
      </c>
      <c r="F194" s="43" t="str">
        <f t="shared" ref="F194:F257" si="23">"Q"&amp;ROUNDUP(MONTH(B194)/3,0)&amp;"-"&amp;YEAR(B194)</f>
        <v>Q4-2023</v>
      </c>
      <c r="G194" s="33" t="s">
        <v>45</v>
      </c>
      <c r="H194" s="33" t="s">
        <v>116</v>
      </c>
      <c r="I194" s="33" t="s">
        <v>117</v>
      </c>
      <c r="J194" s="33" t="s">
        <v>39</v>
      </c>
      <c r="K194" s="33" t="s">
        <v>55</v>
      </c>
      <c r="L194" s="33" t="s">
        <v>29</v>
      </c>
      <c r="M194" s="33" t="s">
        <v>30</v>
      </c>
      <c r="N194" s="33" t="s">
        <v>489</v>
      </c>
      <c r="O194" s="43">
        <v>986.44</v>
      </c>
      <c r="P194" s="44" t="str">
        <f t="shared" ref="P194:P257" si="24">IF(Q194&lt;50, "Low", IF(Q194&lt;200, "Medium", "High"))</f>
        <v>High</v>
      </c>
      <c r="Q194" s="43">
        <v>790.61</v>
      </c>
      <c r="R194" s="43">
        <v>7.1999999999999995E-2</v>
      </c>
      <c r="S194" s="43">
        <v>6</v>
      </c>
      <c r="T194" s="43">
        <f t="shared" si="21"/>
        <v>5219.7772800000002</v>
      </c>
      <c r="U194" s="33">
        <f t="shared" si="22"/>
        <v>5918.64</v>
      </c>
      <c r="V194" s="43">
        <f t="shared" ref="V194:V257" si="25">(T194-U194)</f>
        <v>-698.86272000000008</v>
      </c>
      <c r="W194" s="45">
        <f t="shared" ref="W194:W257" si="26">IF(T194=0, 0, V194/T194)</f>
        <v>-0.13388745965804888</v>
      </c>
    </row>
    <row r="195" spans="1:23" x14ac:dyDescent="0.3">
      <c r="A195" s="34" t="s">
        <v>490</v>
      </c>
      <c r="B195" s="35">
        <v>45050</v>
      </c>
      <c r="C195" s="36">
        <v>45072</v>
      </c>
      <c r="D195" s="37">
        <f t="shared" ref="D195:D258" si="27">DATEDIF(B195,C195, "MD")</f>
        <v>22</v>
      </c>
      <c r="E195" s="37" t="str">
        <f>TEXT(Data!B195,"MMM-YYYY")</f>
        <v>May-2023</v>
      </c>
      <c r="F195" s="37" t="str">
        <f t="shared" si="23"/>
        <v>Q2-2023</v>
      </c>
      <c r="G195" s="32" t="s">
        <v>52</v>
      </c>
      <c r="H195" s="32" t="s">
        <v>122</v>
      </c>
      <c r="I195" s="32" t="s">
        <v>167</v>
      </c>
      <c r="J195" s="32" t="s">
        <v>105</v>
      </c>
      <c r="K195" s="32" t="s">
        <v>28</v>
      </c>
      <c r="L195" s="32" t="s">
        <v>29</v>
      </c>
      <c r="M195" s="32" t="s">
        <v>35</v>
      </c>
      <c r="N195" s="32" t="s">
        <v>491</v>
      </c>
      <c r="O195" s="37">
        <v>249.71</v>
      </c>
      <c r="P195" s="38" t="str">
        <f t="shared" si="24"/>
        <v>High</v>
      </c>
      <c r="Q195" s="37">
        <v>361.33</v>
      </c>
      <c r="R195" s="37">
        <v>9.4E-2</v>
      </c>
      <c r="S195" s="37">
        <v>12</v>
      </c>
      <c r="T195" s="37">
        <f t="shared" si="21"/>
        <v>14139.90576</v>
      </c>
      <c r="U195" s="32">
        <f t="shared" si="22"/>
        <v>2996.52</v>
      </c>
      <c r="V195" s="37">
        <f t="shared" si="25"/>
        <v>11143.385759999999</v>
      </c>
      <c r="W195" s="39">
        <f t="shared" si="26"/>
        <v>0.7880806243789279</v>
      </c>
    </row>
    <row r="196" spans="1:23" x14ac:dyDescent="0.3">
      <c r="A196" s="40" t="s">
        <v>492</v>
      </c>
      <c r="B196" s="41">
        <v>45557</v>
      </c>
      <c r="C196" s="42">
        <v>45566</v>
      </c>
      <c r="D196" s="43">
        <f t="shared" si="27"/>
        <v>9</v>
      </c>
      <c r="E196" s="43" t="str">
        <f>TEXT(Data!B196,"MMM-YYYY")</f>
        <v>Sep-2024</v>
      </c>
      <c r="F196" s="43" t="str">
        <f t="shared" si="23"/>
        <v>Q3-2024</v>
      </c>
      <c r="G196" s="33" t="s">
        <v>52</v>
      </c>
      <c r="H196" s="33" t="s">
        <v>73</v>
      </c>
      <c r="I196" s="33" t="s">
        <v>74</v>
      </c>
      <c r="J196" s="33" t="s">
        <v>39</v>
      </c>
      <c r="K196" s="33" t="s">
        <v>28</v>
      </c>
      <c r="L196" s="33" t="s">
        <v>95</v>
      </c>
      <c r="M196" s="33" t="s">
        <v>64</v>
      </c>
      <c r="N196" s="33" t="s">
        <v>493</v>
      </c>
      <c r="O196" s="43">
        <v>1378.8</v>
      </c>
      <c r="P196" s="44" t="str">
        <f t="shared" si="24"/>
        <v>High</v>
      </c>
      <c r="Q196" s="43">
        <v>1952.04</v>
      </c>
      <c r="R196" s="43">
        <v>0.159</v>
      </c>
      <c r="S196" s="43">
        <v>19</v>
      </c>
      <c r="T196" s="43">
        <f t="shared" si="21"/>
        <v>3645.6088500000001</v>
      </c>
      <c r="U196" s="33">
        <f t="shared" si="22"/>
        <v>26197.200000000001</v>
      </c>
      <c r="V196" s="43">
        <f t="shared" si="25"/>
        <v>-22551.59115</v>
      </c>
      <c r="W196" s="45">
        <f t="shared" si="26"/>
        <v>-6.1859601723317077</v>
      </c>
    </row>
    <row r="197" spans="1:23" x14ac:dyDescent="0.3">
      <c r="A197" s="34" t="s">
        <v>494</v>
      </c>
      <c r="B197" s="35">
        <v>45588</v>
      </c>
      <c r="C197" s="36">
        <v>45610</v>
      </c>
      <c r="D197" s="37">
        <f t="shared" si="27"/>
        <v>22</v>
      </c>
      <c r="E197" s="37" t="str">
        <f>TEXT(Data!B197,"MMM-YYYY")</f>
        <v>Oct-2024</v>
      </c>
      <c r="F197" s="37" t="str">
        <f t="shared" si="23"/>
        <v>Q4-2024</v>
      </c>
      <c r="G197" s="32" t="s">
        <v>45</v>
      </c>
      <c r="H197" s="32" t="s">
        <v>46</v>
      </c>
      <c r="I197" s="32" t="s">
        <v>47</v>
      </c>
      <c r="J197" s="32" t="s">
        <v>39</v>
      </c>
      <c r="K197" s="32" t="s">
        <v>98</v>
      </c>
      <c r="L197" s="32" t="s">
        <v>56</v>
      </c>
      <c r="M197" s="32" t="s">
        <v>42</v>
      </c>
      <c r="N197" s="32" t="s">
        <v>495</v>
      </c>
      <c r="O197" s="37">
        <v>1406.4</v>
      </c>
      <c r="P197" s="38" t="str">
        <f t="shared" si="24"/>
        <v>High</v>
      </c>
      <c r="Q197" s="37">
        <v>1564.76</v>
      </c>
      <c r="R197" s="37">
        <v>0.185</v>
      </c>
      <c r="S197" s="37">
        <v>17</v>
      </c>
      <c r="T197" s="37">
        <f t="shared" si="21"/>
        <v>6879.2846</v>
      </c>
      <c r="U197" s="32">
        <f t="shared" si="22"/>
        <v>23908.800000000003</v>
      </c>
      <c r="V197" s="37">
        <f t="shared" si="25"/>
        <v>-17029.515400000004</v>
      </c>
      <c r="W197" s="39">
        <f t="shared" si="26"/>
        <v>-2.4754776681284567</v>
      </c>
    </row>
    <row r="198" spans="1:23" x14ac:dyDescent="0.3">
      <c r="A198" s="40" t="s">
        <v>496</v>
      </c>
      <c r="B198" s="41">
        <v>45333</v>
      </c>
      <c r="C198" s="42">
        <v>45354</v>
      </c>
      <c r="D198" s="43">
        <f t="shared" si="27"/>
        <v>21</v>
      </c>
      <c r="E198" s="43" t="str">
        <f>TEXT(Data!B198,"MMM-YYYY")</f>
        <v>Feb-2024</v>
      </c>
      <c r="F198" s="43" t="str">
        <f t="shared" si="23"/>
        <v>Q1-2024</v>
      </c>
      <c r="G198" s="33" t="s">
        <v>16</v>
      </c>
      <c r="H198" s="33" t="s">
        <v>17</v>
      </c>
      <c r="I198" s="33" t="s">
        <v>18</v>
      </c>
      <c r="J198" s="33" t="s">
        <v>105</v>
      </c>
      <c r="K198" s="33" t="s">
        <v>28</v>
      </c>
      <c r="L198" s="33" t="s">
        <v>56</v>
      </c>
      <c r="M198" s="33" t="s">
        <v>42</v>
      </c>
      <c r="N198" s="33" t="s">
        <v>497</v>
      </c>
      <c r="O198" s="43">
        <v>516.86</v>
      </c>
      <c r="P198" s="44" t="str">
        <f t="shared" si="24"/>
        <v>High</v>
      </c>
      <c r="Q198" s="43">
        <v>852.54</v>
      </c>
      <c r="R198" s="43">
        <v>5.0999999999999997E-2</v>
      </c>
      <c r="S198" s="43">
        <v>14</v>
      </c>
      <c r="T198" s="43">
        <f t="shared" si="21"/>
        <v>39076.783199999991</v>
      </c>
      <c r="U198" s="33">
        <f t="shared" si="22"/>
        <v>7236.04</v>
      </c>
      <c r="V198" s="43">
        <f t="shared" si="25"/>
        <v>31840.74319999999</v>
      </c>
      <c r="W198" s="45">
        <f t="shared" si="26"/>
        <v>0.81482508519278518</v>
      </c>
    </row>
    <row r="199" spans="1:23" x14ac:dyDescent="0.3">
      <c r="A199" s="34" t="s">
        <v>498</v>
      </c>
      <c r="B199" s="35">
        <v>44956</v>
      </c>
      <c r="C199" s="36">
        <v>44978</v>
      </c>
      <c r="D199" s="37">
        <f t="shared" si="27"/>
        <v>22</v>
      </c>
      <c r="E199" s="37" t="str">
        <f>TEXT(Data!B199,"MMM-YYYY")</f>
        <v>Jan-2023</v>
      </c>
      <c r="F199" s="37" t="str">
        <f t="shared" si="23"/>
        <v>Q1-2023</v>
      </c>
      <c r="G199" s="32" t="s">
        <v>78</v>
      </c>
      <c r="H199" s="32" t="s">
        <v>79</v>
      </c>
      <c r="I199" s="32" t="s">
        <v>159</v>
      </c>
      <c r="J199" s="32" t="s">
        <v>62</v>
      </c>
      <c r="K199" s="32" t="s">
        <v>40</v>
      </c>
      <c r="L199" s="32" t="s">
        <v>41</v>
      </c>
      <c r="M199" s="32" t="s">
        <v>35</v>
      </c>
      <c r="N199" s="32" t="s">
        <v>499</v>
      </c>
      <c r="O199" s="37">
        <v>1142.8800000000001</v>
      </c>
      <c r="P199" s="38" t="str">
        <f t="shared" si="24"/>
        <v>High</v>
      </c>
      <c r="Q199" s="37">
        <v>1465.29</v>
      </c>
      <c r="R199" s="37">
        <v>0.186</v>
      </c>
      <c r="S199" s="37">
        <v>7</v>
      </c>
      <c r="T199" s="37">
        <f t="shared" si="21"/>
        <v>6200.5636000000013</v>
      </c>
      <c r="U199" s="32">
        <f t="shared" si="22"/>
        <v>8000.1600000000008</v>
      </c>
      <c r="V199" s="37">
        <f t="shared" si="25"/>
        <v>-1799.5963999999994</v>
      </c>
      <c r="W199" s="39">
        <f t="shared" si="26"/>
        <v>-0.29023110092766391</v>
      </c>
    </row>
    <row r="200" spans="1:23" x14ac:dyDescent="0.3">
      <c r="A200" s="40" t="s">
        <v>500</v>
      </c>
      <c r="B200" s="41">
        <v>45030</v>
      </c>
      <c r="C200" s="42">
        <v>45059</v>
      </c>
      <c r="D200" s="43">
        <f t="shared" si="27"/>
        <v>29</v>
      </c>
      <c r="E200" s="43" t="str">
        <f>TEXT(Data!B200,"MMM-YYYY")</f>
        <v>Apr-2023</v>
      </c>
      <c r="F200" s="43" t="str">
        <f t="shared" si="23"/>
        <v>Q2-2023</v>
      </c>
      <c r="G200" s="33" t="s">
        <v>78</v>
      </c>
      <c r="H200" s="33" t="s">
        <v>79</v>
      </c>
      <c r="I200" s="33" t="s">
        <v>335</v>
      </c>
      <c r="J200" s="33" t="s">
        <v>48</v>
      </c>
      <c r="K200" s="33" t="s">
        <v>98</v>
      </c>
      <c r="L200" s="33" t="s">
        <v>29</v>
      </c>
      <c r="M200" s="33" t="s">
        <v>30</v>
      </c>
      <c r="N200" s="33" t="s">
        <v>501</v>
      </c>
      <c r="O200" s="43">
        <v>1320.33</v>
      </c>
      <c r="P200" s="44" t="str">
        <f t="shared" si="24"/>
        <v>High</v>
      </c>
      <c r="Q200" s="43">
        <v>2645.23</v>
      </c>
      <c r="R200" s="43">
        <v>0.155</v>
      </c>
      <c r="S200" s="43">
        <v>25</v>
      </c>
      <c r="T200" s="43">
        <f t="shared" si="21"/>
        <v>53428.293749999997</v>
      </c>
      <c r="U200" s="33">
        <f t="shared" si="22"/>
        <v>33008.25</v>
      </c>
      <c r="V200" s="43">
        <f t="shared" si="25"/>
        <v>20420.043749999997</v>
      </c>
      <c r="W200" s="45">
        <f t="shared" si="26"/>
        <v>0.38219531856189959</v>
      </c>
    </row>
    <row r="201" spans="1:23" x14ac:dyDescent="0.3">
      <c r="A201" s="34" t="s">
        <v>502</v>
      </c>
      <c r="B201" s="35">
        <v>44939</v>
      </c>
      <c r="C201" s="36">
        <v>44945</v>
      </c>
      <c r="D201" s="37">
        <f t="shared" si="27"/>
        <v>6</v>
      </c>
      <c r="E201" s="37" t="str">
        <f>TEXT(Data!B201,"MMM-YYYY")</f>
        <v>Jan-2023</v>
      </c>
      <c r="F201" s="37" t="str">
        <f t="shared" si="23"/>
        <v>Q1-2023</v>
      </c>
      <c r="G201" s="32" t="s">
        <v>52</v>
      </c>
      <c r="H201" s="32" t="s">
        <v>122</v>
      </c>
      <c r="I201" s="32" t="s">
        <v>123</v>
      </c>
      <c r="J201" s="32" t="s">
        <v>19</v>
      </c>
      <c r="K201" s="32" t="s">
        <v>98</v>
      </c>
      <c r="L201" s="32" t="s">
        <v>92</v>
      </c>
      <c r="M201" s="32" t="s">
        <v>42</v>
      </c>
      <c r="N201" s="32" t="s">
        <v>503</v>
      </c>
      <c r="O201" s="37">
        <v>833.57</v>
      </c>
      <c r="P201" s="38" t="str">
        <f t="shared" si="24"/>
        <v>High</v>
      </c>
      <c r="Q201" s="37">
        <v>881.57</v>
      </c>
      <c r="R201" s="37">
        <v>5.7000000000000002E-2</v>
      </c>
      <c r="S201" s="37">
        <v>18</v>
      </c>
      <c r="T201" s="37">
        <f t="shared" si="21"/>
        <v>45796.021740000004</v>
      </c>
      <c r="U201" s="32">
        <f t="shared" si="22"/>
        <v>15004.26</v>
      </c>
      <c r="V201" s="37">
        <f t="shared" si="25"/>
        <v>30791.761740000002</v>
      </c>
      <c r="W201" s="39">
        <f t="shared" si="26"/>
        <v>0.67236761120464961</v>
      </c>
    </row>
    <row r="202" spans="1:23" x14ac:dyDescent="0.3">
      <c r="A202" s="40" t="s">
        <v>504</v>
      </c>
      <c r="B202" s="41">
        <v>45303</v>
      </c>
      <c r="C202" s="42">
        <v>45320</v>
      </c>
      <c r="D202" s="43">
        <f t="shared" si="27"/>
        <v>17</v>
      </c>
      <c r="E202" s="43" t="str">
        <f>TEXT(Data!B202,"MMM-YYYY")</f>
        <v>Jan-2024</v>
      </c>
      <c r="F202" s="43" t="str">
        <f t="shared" si="23"/>
        <v>Q1-2024</v>
      </c>
      <c r="G202" s="33" t="s">
        <v>52</v>
      </c>
      <c r="H202" s="33" t="s">
        <v>122</v>
      </c>
      <c r="I202" s="33" t="s">
        <v>123</v>
      </c>
      <c r="J202" s="33" t="s">
        <v>27</v>
      </c>
      <c r="K202" s="33" t="s">
        <v>55</v>
      </c>
      <c r="L202" s="33" t="s">
        <v>75</v>
      </c>
      <c r="M202" s="33" t="s">
        <v>30</v>
      </c>
      <c r="N202" s="33" t="s">
        <v>505</v>
      </c>
      <c r="O202" s="43">
        <v>493.76</v>
      </c>
      <c r="P202" s="44" t="str">
        <f t="shared" si="24"/>
        <v>High</v>
      </c>
      <c r="Q202" s="43">
        <v>625.04</v>
      </c>
      <c r="R202" s="43">
        <v>0.25800000000000001</v>
      </c>
      <c r="S202" s="43">
        <v>10</v>
      </c>
      <c r="T202" s="43">
        <f t="shared" si="21"/>
        <v>11002.004999999999</v>
      </c>
      <c r="U202" s="33">
        <f t="shared" si="22"/>
        <v>4937.6000000000004</v>
      </c>
      <c r="V202" s="43">
        <f t="shared" si="25"/>
        <v>6064.4049999999988</v>
      </c>
      <c r="W202" s="45">
        <f t="shared" si="26"/>
        <v>0.55120907507313432</v>
      </c>
    </row>
    <row r="203" spans="1:23" x14ac:dyDescent="0.3">
      <c r="A203" s="34" t="s">
        <v>506</v>
      </c>
      <c r="B203" s="35">
        <v>45153</v>
      </c>
      <c r="C203" s="36">
        <v>45176</v>
      </c>
      <c r="D203" s="37">
        <f t="shared" si="27"/>
        <v>23</v>
      </c>
      <c r="E203" s="37" t="str">
        <f>TEXT(Data!B203,"MMM-YYYY")</f>
        <v>Aug-2023</v>
      </c>
      <c r="F203" s="37" t="str">
        <f t="shared" si="23"/>
        <v>Q3-2023</v>
      </c>
      <c r="G203" s="32" t="s">
        <v>52</v>
      </c>
      <c r="H203" s="32" t="s">
        <v>122</v>
      </c>
      <c r="I203" s="32" t="s">
        <v>387</v>
      </c>
      <c r="J203" s="32" t="s">
        <v>105</v>
      </c>
      <c r="K203" s="32" t="s">
        <v>28</v>
      </c>
      <c r="L203" s="32" t="s">
        <v>95</v>
      </c>
      <c r="M203" s="32" t="s">
        <v>42</v>
      </c>
      <c r="N203" s="32" t="s">
        <v>507</v>
      </c>
      <c r="O203" s="37">
        <v>590.33000000000004</v>
      </c>
      <c r="P203" s="38" t="str">
        <f t="shared" si="24"/>
        <v>High</v>
      </c>
      <c r="Q203" s="37">
        <v>973.04</v>
      </c>
      <c r="R203" s="37">
        <v>0</v>
      </c>
      <c r="S203" s="37">
        <v>26</v>
      </c>
      <c r="T203" s="37">
        <f t="shared" si="21"/>
        <v>37877.06</v>
      </c>
      <c r="U203" s="32">
        <f t="shared" si="22"/>
        <v>15348.580000000002</v>
      </c>
      <c r="V203" s="37">
        <f t="shared" si="25"/>
        <v>22528.479999999996</v>
      </c>
      <c r="W203" s="39">
        <f t="shared" si="26"/>
        <v>0.59477900343902079</v>
      </c>
    </row>
    <row r="204" spans="1:23" x14ac:dyDescent="0.3">
      <c r="A204" s="40" t="s">
        <v>508</v>
      </c>
      <c r="B204" s="41">
        <v>44946</v>
      </c>
      <c r="C204" s="42">
        <v>44960</v>
      </c>
      <c r="D204" s="43">
        <f t="shared" si="27"/>
        <v>14</v>
      </c>
      <c r="E204" s="43" t="str">
        <f>TEXT(Data!B204,"MMM-YYYY")</f>
        <v>Jan-2023</v>
      </c>
      <c r="F204" s="43" t="str">
        <f t="shared" si="23"/>
        <v>Q1-2023</v>
      </c>
      <c r="G204" s="33" t="s">
        <v>16</v>
      </c>
      <c r="H204" s="33" t="s">
        <v>17</v>
      </c>
      <c r="I204" s="33" t="s">
        <v>18</v>
      </c>
      <c r="J204" s="33" t="s">
        <v>19</v>
      </c>
      <c r="K204" s="33" t="s">
        <v>20</v>
      </c>
      <c r="L204" s="33" t="s">
        <v>110</v>
      </c>
      <c r="M204" s="33" t="s">
        <v>35</v>
      </c>
      <c r="N204" s="33" t="s">
        <v>509</v>
      </c>
      <c r="O204" s="43">
        <v>884.36</v>
      </c>
      <c r="P204" s="44" t="str">
        <f t="shared" si="24"/>
        <v>High</v>
      </c>
      <c r="Q204" s="43">
        <v>1545.34</v>
      </c>
      <c r="R204" s="43">
        <v>0.24299999999999999</v>
      </c>
      <c r="S204" s="43">
        <v>41</v>
      </c>
      <c r="T204" s="43">
        <f t="shared" si="21"/>
        <v>28497.86303</v>
      </c>
      <c r="U204" s="33">
        <f t="shared" si="22"/>
        <v>36258.76</v>
      </c>
      <c r="V204" s="43">
        <f t="shared" si="25"/>
        <v>-7760.8969700000016</v>
      </c>
      <c r="W204" s="45">
        <f t="shared" si="26"/>
        <v>-0.27233259426610423</v>
      </c>
    </row>
    <row r="205" spans="1:23" x14ac:dyDescent="0.3">
      <c r="A205" s="34" t="s">
        <v>510</v>
      </c>
      <c r="B205" s="35">
        <v>45692</v>
      </c>
      <c r="C205" s="36">
        <v>45713</v>
      </c>
      <c r="D205" s="37">
        <f t="shared" si="27"/>
        <v>21</v>
      </c>
      <c r="E205" s="37" t="str">
        <f>TEXT(Data!B205,"MMM-YYYY")</f>
        <v>Feb-2025</v>
      </c>
      <c r="F205" s="37" t="str">
        <f t="shared" si="23"/>
        <v>Q1-2025</v>
      </c>
      <c r="G205" s="32" t="s">
        <v>78</v>
      </c>
      <c r="H205" s="32" t="s">
        <v>108</v>
      </c>
      <c r="I205" s="32" t="s">
        <v>109</v>
      </c>
      <c r="J205" s="32" t="s">
        <v>19</v>
      </c>
      <c r="K205" s="32" t="s">
        <v>40</v>
      </c>
      <c r="L205" s="32" t="s">
        <v>145</v>
      </c>
      <c r="M205" s="32" t="s">
        <v>64</v>
      </c>
      <c r="N205" s="32" t="s">
        <v>511</v>
      </c>
      <c r="O205" s="37">
        <v>1016.32</v>
      </c>
      <c r="P205" s="38" t="str">
        <f t="shared" si="24"/>
        <v>High</v>
      </c>
      <c r="Q205" s="37">
        <v>2253.42</v>
      </c>
      <c r="R205" s="37">
        <v>5.5E-2</v>
      </c>
      <c r="S205" s="37">
        <v>12</v>
      </c>
      <c r="T205" s="37">
        <f t="shared" si="21"/>
        <v>554.97959999999989</v>
      </c>
      <c r="U205" s="32">
        <f t="shared" si="22"/>
        <v>12195.84</v>
      </c>
      <c r="V205" s="37">
        <f t="shared" si="25"/>
        <v>-11640.8604</v>
      </c>
      <c r="W205" s="39">
        <f t="shared" si="26"/>
        <v>-20.97529422703105</v>
      </c>
    </row>
    <row r="206" spans="1:23" x14ac:dyDescent="0.3">
      <c r="A206" s="40" t="s">
        <v>512</v>
      </c>
      <c r="B206" s="41">
        <v>45035</v>
      </c>
      <c r="C206" s="42">
        <v>45044</v>
      </c>
      <c r="D206" s="43">
        <f t="shared" si="27"/>
        <v>9</v>
      </c>
      <c r="E206" s="43" t="str">
        <f>TEXT(Data!B206,"MMM-YYYY")</f>
        <v>Apr-2023</v>
      </c>
      <c r="F206" s="43" t="str">
        <f t="shared" si="23"/>
        <v>Q2-2023</v>
      </c>
      <c r="G206" s="33" t="s">
        <v>78</v>
      </c>
      <c r="H206" s="33" t="s">
        <v>79</v>
      </c>
      <c r="I206" s="33" t="s">
        <v>80</v>
      </c>
      <c r="J206" s="33" t="s">
        <v>27</v>
      </c>
      <c r="K206" s="33" t="s">
        <v>28</v>
      </c>
      <c r="L206" s="33" t="s">
        <v>63</v>
      </c>
      <c r="M206" s="33" t="s">
        <v>64</v>
      </c>
      <c r="N206" s="33" t="s">
        <v>513</v>
      </c>
      <c r="O206" s="43">
        <v>1178.42</v>
      </c>
      <c r="P206" s="44" t="str">
        <f t="shared" si="24"/>
        <v>High</v>
      </c>
      <c r="Q206" s="43">
        <v>2446.56</v>
      </c>
      <c r="R206" s="43">
        <v>2.9000000000000001E-2</v>
      </c>
      <c r="S206" s="43">
        <v>11</v>
      </c>
      <c r="T206" s="43">
        <f t="shared" si="21"/>
        <v>9957.7894899999992</v>
      </c>
      <c r="U206" s="33">
        <f t="shared" si="22"/>
        <v>12962.62</v>
      </c>
      <c r="V206" s="43">
        <f t="shared" si="25"/>
        <v>-3004.8305100000016</v>
      </c>
      <c r="W206" s="45">
        <f t="shared" si="26"/>
        <v>-0.30175678176542792</v>
      </c>
    </row>
    <row r="207" spans="1:23" x14ac:dyDescent="0.3">
      <c r="A207" s="34" t="s">
        <v>514</v>
      </c>
      <c r="B207" s="35">
        <v>45109</v>
      </c>
      <c r="C207" s="36">
        <v>45139</v>
      </c>
      <c r="D207" s="37">
        <f t="shared" si="27"/>
        <v>30</v>
      </c>
      <c r="E207" s="37" t="str">
        <f>TEXT(Data!B207,"MMM-YYYY")</f>
        <v>Jul-2023</v>
      </c>
      <c r="F207" s="37" t="str">
        <f t="shared" si="23"/>
        <v>Q3-2023</v>
      </c>
      <c r="G207" s="32" t="s">
        <v>78</v>
      </c>
      <c r="H207" s="32" t="s">
        <v>108</v>
      </c>
      <c r="I207" s="32" t="s">
        <v>109</v>
      </c>
      <c r="J207" s="32" t="s">
        <v>62</v>
      </c>
      <c r="K207" s="32" t="s">
        <v>20</v>
      </c>
      <c r="L207" s="32" t="s">
        <v>56</v>
      </c>
      <c r="M207" s="32" t="s">
        <v>22</v>
      </c>
      <c r="N207" s="32" t="s">
        <v>515</v>
      </c>
      <c r="O207" s="37">
        <v>137.46</v>
      </c>
      <c r="P207" s="38" t="str">
        <f t="shared" si="24"/>
        <v>Medium</v>
      </c>
      <c r="Q207" s="37">
        <v>188.3</v>
      </c>
      <c r="R207" s="37">
        <v>3.7999999999999999E-2</v>
      </c>
      <c r="S207" s="37">
        <v>37</v>
      </c>
      <c r="T207" s="37">
        <f t="shared" si="21"/>
        <v>11596.169260000001</v>
      </c>
      <c r="U207" s="32">
        <f t="shared" si="22"/>
        <v>5086.0200000000004</v>
      </c>
      <c r="V207" s="37">
        <f t="shared" si="25"/>
        <v>6510.1492600000001</v>
      </c>
      <c r="W207" s="39">
        <f t="shared" si="26"/>
        <v>0.56140516010370822</v>
      </c>
    </row>
    <row r="208" spans="1:23" x14ac:dyDescent="0.3">
      <c r="A208" s="40" t="s">
        <v>516</v>
      </c>
      <c r="B208" s="41">
        <v>45678</v>
      </c>
      <c r="C208" s="42">
        <v>45702</v>
      </c>
      <c r="D208" s="43">
        <f t="shared" si="27"/>
        <v>24</v>
      </c>
      <c r="E208" s="43" t="str">
        <f>TEXT(Data!B208,"MMM-YYYY")</f>
        <v>Jan-2025</v>
      </c>
      <c r="F208" s="43" t="str">
        <f t="shared" si="23"/>
        <v>Q1-2025</v>
      </c>
      <c r="G208" s="33" t="s">
        <v>16</v>
      </c>
      <c r="H208" s="33" t="s">
        <v>17</v>
      </c>
      <c r="I208" s="33" t="s">
        <v>33</v>
      </c>
      <c r="J208" s="33" t="s">
        <v>62</v>
      </c>
      <c r="K208" s="33" t="s">
        <v>20</v>
      </c>
      <c r="L208" s="33" t="s">
        <v>29</v>
      </c>
      <c r="M208" s="33" t="s">
        <v>81</v>
      </c>
      <c r="N208" s="33" t="s">
        <v>517</v>
      </c>
      <c r="O208" s="43">
        <v>1030.44</v>
      </c>
      <c r="P208" s="44" t="str">
        <f t="shared" si="24"/>
        <v>High</v>
      </c>
      <c r="Q208" s="43">
        <v>2562.84</v>
      </c>
      <c r="R208" s="43">
        <v>0.14799999999999999</v>
      </c>
      <c r="S208" s="43">
        <v>13</v>
      </c>
      <c r="T208" s="43">
        <f t="shared" si="21"/>
        <v>4496.5237200000001</v>
      </c>
      <c r="U208" s="33">
        <f t="shared" si="22"/>
        <v>13395.720000000001</v>
      </c>
      <c r="V208" s="43">
        <f t="shared" si="25"/>
        <v>-8899.1962800000001</v>
      </c>
      <c r="W208" s="45">
        <f t="shared" si="26"/>
        <v>-1.9791280629561541</v>
      </c>
    </row>
    <row r="209" spans="1:23" x14ac:dyDescent="0.3">
      <c r="A209" s="34" t="s">
        <v>518</v>
      </c>
      <c r="B209" s="35">
        <v>45545</v>
      </c>
      <c r="C209" s="36">
        <v>45572</v>
      </c>
      <c r="D209" s="37">
        <f t="shared" si="27"/>
        <v>27</v>
      </c>
      <c r="E209" s="37" t="str">
        <f>TEXT(Data!B209,"MMM-YYYY")</f>
        <v>Sep-2024</v>
      </c>
      <c r="F209" s="37" t="str">
        <f t="shared" si="23"/>
        <v>Q3-2024</v>
      </c>
      <c r="G209" s="32" t="s">
        <v>16</v>
      </c>
      <c r="H209" s="32" t="s">
        <v>17</v>
      </c>
      <c r="I209" s="32" t="s">
        <v>18</v>
      </c>
      <c r="J209" s="32" t="s">
        <v>48</v>
      </c>
      <c r="K209" s="32" t="s">
        <v>20</v>
      </c>
      <c r="L209" s="32" t="s">
        <v>49</v>
      </c>
      <c r="M209" s="32" t="s">
        <v>30</v>
      </c>
      <c r="N209" s="32" t="s">
        <v>519</v>
      </c>
      <c r="O209" s="37">
        <v>1248.3900000000001</v>
      </c>
      <c r="P209" s="38" t="str">
        <f t="shared" si="24"/>
        <v>High</v>
      </c>
      <c r="Q209" s="37">
        <v>1805.11</v>
      </c>
      <c r="R209" s="37">
        <v>0.20300000000000001</v>
      </c>
      <c r="S209" s="37">
        <v>11</v>
      </c>
      <c r="T209" s="37">
        <f t="shared" si="21"/>
        <v>13931.376689999999</v>
      </c>
      <c r="U209" s="32">
        <f t="shared" si="22"/>
        <v>13732.29</v>
      </c>
      <c r="V209" s="37">
        <f t="shared" si="25"/>
        <v>199.08668999999827</v>
      </c>
      <c r="W209" s="39">
        <f t="shared" si="26"/>
        <v>1.4290525224467122E-2</v>
      </c>
    </row>
    <row r="210" spans="1:23" x14ac:dyDescent="0.3">
      <c r="A210" s="40" t="s">
        <v>520</v>
      </c>
      <c r="B210" s="41">
        <v>45859</v>
      </c>
      <c r="C210" s="42">
        <v>45876</v>
      </c>
      <c r="D210" s="43">
        <f t="shared" si="27"/>
        <v>17</v>
      </c>
      <c r="E210" s="43" t="str">
        <f>TEXT(Data!B210,"MMM-YYYY")</f>
        <v>Jul-2025</v>
      </c>
      <c r="F210" s="43" t="str">
        <f t="shared" si="23"/>
        <v>Q3-2025</v>
      </c>
      <c r="G210" s="33" t="s">
        <v>16</v>
      </c>
      <c r="H210" s="33" t="s">
        <v>25</v>
      </c>
      <c r="I210" s="33" t="s">
        <v>38</v>
      </c>
      <c r="J210" s="33" t="s">
        <v>105</v>
      </c>
      <c r="K210" s="33" t="s">
        <v>98</v>
      </c>
      <c r="L210" s="33" t="s">
        <v>110</v>
      </c>
      <c r="M210" s="33" t="s">
        <v>81</v>
      </c>
      <c r="N210" s="33" t="s">
        <v>521</v>
      </c>
      <c r="O210" s="43">
        <v>1204.95</v>
      </c>
      <c r="P210" s="44" t="str">
        <f t="shared" si="24"/>
        <v>High</v>
      </c>
      <c r="Q210" s="43">
        <v>2065.73</v>
      </c>
      <c r="R210" s="43">
        <v>0.13600000000000001</v>
      </c>
      <c r="S210" s="43">
        <v>10</v>
      </c>
      <c r="T210" s="43">
        <f t="shared" si="21"/>
        <v>12379.392</v>
      </c>
      <c r="U210" s="33">
        <f t="shared" si="22"/>
        <v>12049.5</v>
      </c>
      <c r="V210" s="43">
        <f t="shared" si="25"/>
        <v>329.89199999999983</v>
      </c>
      <c r="W210" s="45">
        <f t="shared" si="26"/>
        <v>2.6648481605558643E-2</v>
      </c>
    </row>
    <row r="211" spans="1:23" x14ac:dyDescent="0.3">
      <c r="A211" s="34" t="s">
        <v>522</v>
      </c>
      <c r="B211" s="35">
        <v>45567</v>
      </c>
      <c r="C211" s="36">
        <v>45588</v>
      </c>
      <c r="D211" s="37">
        <f t="shared" si="27"/>
        <v>21</v>
      </c>
      <c r="E211" s="37" t="str">
        <f>TEXT(Data!B211,"MMM-YYYY")</f>
        <v>Oct-2024</v>
      </c>
      <c r="F211" s="37" t="str">
        <f t="shared" si="23"/>
        <v>Q4-2024</v>
      </c>
      <c r="G211" s="32" t="s">
        <v>16</v>
      </c>
      <c r="H211" s="32" t="s">
        <v>148</v>
      </c>
      <c r="I211" s="32" t="s">
        <v>172</v>
      </c>
      <c r="J211" s="32" t="s">
        <v>19</v>
      </c>
      <c r="K211" s="32" t="s">
        <v>40</v>
      </c>
      <c r="L211" s="32" t="s">
        <v>75</v>
      </c>
      <c r="M211" s="32" t="s">
        <v>22</v>
      </c>
      <c r="N211" s="32" t="s">
        <v>523</v>
      </c>
      <c r="O211" s="37">
        <v>1095.6099999999999</v>
      </c>
      <c r="P211" s="38" t="str">
        <f t="shared" si="24"/>
        <v>High</v>
      </c>
      <c r="Q211" s="37">
        <v>2366.5100000000002</v>
      </c>
      <c r="R211" s="37">
        <v>0.152</v>
      </c>
      <c r="S211" s="37">
        <v>9</v>
      </c>
      <c r="T211" s="37">
        <f t="shared" si="21"/>
        <v>13476.28032</v>
      </c>
      <c r="U211" s="32">
        <f t="shared" si="22"/>
        <v>9860.49</v>
      </c>
      <c r="V211" s="37">
        <f t="shared" si="25"/>
        <v>3615.7903200000001</v>
      </c>
      <c r="W211" s="39">
        <f t="shared" si="26"/>
        <v>0.26830774027710341</v>
      </c>
    </row>
    <row r="212" spans="1:23" x14ac:dyDescent="0.3">
      <c r="A212" s="40" t="s">
        <v>524</v>
      </c>
      <c r="B212" s="41">
        <v>45852</v>
      </c>
      <c r="C212" s="42">
        <v>45873</v>
      </c>
      <c r="D212" s="43">
        <f t="shared" si="27"/>
        <v>21</v>
      </c>
      <c r="E212" s="43" t="str">
        <f>TEXT(Data!B212,"MMM-YYYY")</f>
        <v>Jul-2025</v>
      </c>
      <c r="F212" s="43" t="str">
        <f t="shared" si="23"/>
        <v>Q3-2025</v>
      </c>
      <c r="G212" s="33" t="s">
        <v>52</v>
      </c>
      <c r="H212" s="33" t="s">
        <v>53</v>
      </c>
      <c r="I212" s="33" t="s">
        <v>144</v>
      </c>
      <c r="J212" s="33" t="s">
        <v>48</v>
      </c>
      <c r="K212" s="33" t="s">
        <v>28</v>
      </c>
      <c r="L212" s="33" t="s">
        <v>92</v>
      </c>
      <c r="M212" s="33" t="s">
        <v>64</v>
      </c>
      <c r="N212" s="33" t="s">
        <v>525</v>
      </c>
      <c r="O212" s="43">
        <v>90.3</v>
      </c>
      <c r="P212" s="44" t="str">
        <f t="shared" si="24"/>
        <v>Medium</v>
      </c>
      <c r="Q212" s="43">
        <v>131.76</v>
      </c>
      <c r="R212" s="43">
        <v>0.10199999999999999</v>
      </c>
      <c r="S212" s="43">
        <v>15</v>
      </c>
      <c r="T212" s="43">
        <f t="shared" si="21"/>
        <v>37144.063799999996</v>
      </c>
      <c r="U212" s="33">
        <f t="shared" si="22"/>
        <v>1354.5</v>
      </c>
      <c r="V212" s="43">
        <f t="shared" si="25"/>
        <v>35789.563799999996</v>
      </c>
      <c r="W212" s="45">
        <f t="shared" si="26"/>
        <v>0.96353387697982573</v>
      </c>
    </row>
    <row r="213" spans="1:23" x14ac:dyDescent="0.3">
      <c r="A213" s="34" t="s">
        <v>526</v>
      </c>
      <c r="B213" s="35">
        <v>45544</v>
      </c>
      <c r="C213" s="36">
        <v>45566</v>
      </c>
      <c r="D213" s="37">
        <f t="shared" si="27"/>
        <v>22</v>
      </c>
      <c r="E213" s="37" t="str">
        <f>TEXT(Data!B213,"MMM-YYYY")</f>
        <v>Sep-2024</v>
      </c>
      <c r="F213" s="37" t="str">
        <f t="shared" si="23"/>
        <v>Q3-2024</v>
      </c>
      <c r="G213" s="32" t="s">
        <v>45</v>
      </c>
      <c r="H213" s="32" t="s">
        <v>116</v>
      </c>
      <c r="I213" s="32" t="s">
        <v>117</v>
      </c>
      <c r="J213" s="32" t="s">
        <v>48</v>
      </c>
      <c r="K213" s="32" t="s">
        <v>98</v>
      </c>
      <c r="L213" s="32" t="s">
        <v>49</v>
      </c>
      <c r="M213" s="32" t="s">
        <v>30</v>
      </c>
      <c r="N213" s="32" t="s">
        <v>527</v>
      </c>
      <c r="O213" s="37">
        <v>1166.18</v>
      </c>
      <c r="P213" s="38" t="str">
        <f t="shared" si="24"/>
        <v>High</v>
      </c>
      <c r="Q213" s="37">
        <v>1335.02</v>
      </c>
      <c r="R213" s="37">
        <v>0.128</v>
      </c>
      <c r="S213" s="37">
        <v>6</v>
      </c>
      <c r="T213" s="37">
        <f t="shared" si="21"/>
        <v>4571.46</v>
      </c>
      <c r="U213" s="32">
        <f t="shared" si="22"/>
        <v>6997.08</v>
      </c>
      <c r="V213" s="37">
        <f t="shared" si="25"/>
        <v>-2425.62</v>
      </c>
      <c r="W213" s="39">
        <f t="shared" si="26"/>
        <v>-0.53060072712000106</v>
      </c>
    </row>
    <row r="214" spans="1:23" x14ac:dyDescent="0.3">
      <c r="A214" s="40" t="s">
        <v>528</v>
      </c>
      <c r="B214" s="41">
        <v>45686</v>
      </c>
      <c r="C214" s="42">
        <v>45694</v>
      </c>
      <c r="D214" s="43">
        <f t="shared" si="27"/>
        <v>8</v>
      </c>
      <c r="E214" s="43" t="str">
        <f>TEXT(Data!B214,"MMM-YYYY")</f>
        <v>Jan-2025</v>
      </c>
      <c r="F214" s="43" t="str">
        <f t="shared" si="23"/>
        <v>Q1-2025</v>
      </c>
      <c r="G214" s="33" t="s">
        <v>16</v>
      </c>
      <c r="H214" s="33" t="s">
        <v>17</v>
      </c>
      <c r="I214" s="33" t="s">
        <v>18</v>
      </c>
      <c r="J214" s="33" t="s">
        <v>27</v>
      </c>
      <c r="K214" s="33" t="s">
        <v>20</v>
      </c>
      <c r="L214" s="33" t="s">
        <v>56</v>
      </c>
      <c r="M214" s="33" t="s">
        <v>42</v>
      </c>
      <c r="N214" s="33" t="s">
        <v>529</v>
      </c>
      <c r="O214" s="43">
        <v>1445.27</v>
      </c>
      <c r="P214" s="44" t="str">
        <f t="shared" si="24"/>
        <v>High</v>
      </c>
      <c r="Q214" s="43">
        <v>2691.45</v>
      </c>
      <c r="R214" s="43">
        <v>0</v>
      </c>
      <c r="S214" s="43">
        <v>9</v>
      </c>
      <c r="T214" s="43">
        <f t="shared" si="21"/>
        <v>2326.6799999999998</v>
      </c>
      <c r="U214" s="33">
        <f t="shared" si="22"/>
        <v>13007.43</v>
      </c>
      <c r="V214" s="43">
        <f t="shared" si="25"/>
        <v>-10680.75</v>
      </c>
      <c r="W214" s="45">
        <f t="shared" si="26"/>
        <v>-4.5905539223270928</v>
      </c>
    </row>
    <row r="215" spans="1:23" x14ac:dyDescent="0.3">
      <c r="A215" s="34" t="s">
        <v>530</v>
      </c>
      <c r="B215" s="35">
        <v>45240</v>
      </c>
      <c r="C215" s="36">
        <v>45258</v>
      </c>
      <c r="D215" s="37">
        <f t="shared" si="27"/>
        <v>18</v>
      </c>
      <c r="E215" s="37" t="str">
        <f>TEXT(Data!B215,"MMM-YYYY")</f>
        <v>Nov-2023</v>
      </c>
      <c r="F215" s="37" t="str">
        <f t="shared" si="23"/>
        <v>Q4-2023</v>
      </c>
      <c r="G215" s="32" t="s">
        <v>52</v>
      </c>
      <c r="H215" s="32" t="s">
        <v>73</v>
      </c>
      <c r="I215" s="32" t="s">
        <v>87</v>
      </c>
      <c r="J215" s="32" t="s">
        <v>27</v>
      </c>
      <c r="K215" s="32" t="s">
        <v>40</v>
      </c>
      <c r="L215" s="32" t="s">
        <v>49</v>
      </c>
      <c r="M215" s="32" t="s">
        <v>81</v>
      </c>
      <c r="N215" s="32" t="s">
        <v>531</v>
      </c>
      <c r="O215" s="37">
        <v>388.51</v>
      </c>
      <c r="P215" s="38" t="str">
        <f t="shared" si="24"/>
        <v>High</v>
      </c>
      <c r="Q215" s="37">
        <v>776.46</v>
      </c>
      <c r="R215" s="37">
        <v>0.157</v>
      </c>
      <c r="S215" s="37">
        <v>12</v>
      </c>
      <c r="T215" s="37">
        <f t="shared" si="21"/>
        <v>6137.98416</v>
      </c>
      <c r="U215" s="32">
        <f t="shared" si="22"/>
        <v>4662.12</v>
      </c>
      <c r="V215" s="37">
        <f t="shared" si="25"/>
        <v>1475.8641600000001</v>
      </c>
      <c r="W215" s="39">
        <f t="shared" si="26"/>
        <v>0.24044769773403912</v>
      </c>
    </row>
    <row r="216" spans="1:23" x14ac:dyDescent="0.3">
      <c r="A216" s="40" t="s">
        <v>532</v>
      </c>
      <c r="B216" s="41">
        <v>45351</v>
      </c>
      <c r="C216" s="42">
        <v>45381</v>
      </c>
      <c r="D216" s="43">
        <f t="shared" si="27"/>
        <v>1</v>
      </c>
      <c r="E216" s="43" t="str">
        <f>TEXT(Data!B216,"MMM-YYYY")</f>
        <v>Feb-2024</v>
      </c>
      <c r="F216" s="43" t="str">
        <f t="shared" si="23"/>
        <v>Q1-2024</v>
      </c>
      <c r="G216" s="33" t="s">
        <v>45</v>
      </c>
      <c r="H216" s="33" t="s">
        <v>46</v>
      </c>
      <c r="I216" s="33" t="s">
        <v>231</v>
      </c>
      <c r="J216" s="33" t="s">
        <v>62</v>
      </c>
      <c r="K216" s="33" t="s">
        <v>98</v>
      </c>
      <c r="L216" s="33" t="s">
        <v>34</v>
      </c>
      <c r="M216" s="33" t="s">
        <v>35</v>
      </c>
      <c r="N216" s="33" t="s">
        <v>533</v>
      </c>
      <c r="O216" s="43">
        <v>231.11</v>
      </c>
      <c r="P216" s="44" t="str">
        <f t="shared" si="24"/>
        <v>High</v>
      </c>
      <c r="Q216" s="43">
        <v>318.17</v>
      </c>
      <c r="R216" s="43">
        <v>0.20100000000000001</v>
      </c>
      <c r="S216" s="43">
        <v>60</v>
      </c>
      <c r="T216" s="43">
        <f t="shared" si="21"/>
        <v>64128.8586</v>
      </c>
      <c r="U216" s="33">
        <f t="shared" si="22"/>
        <v>13866.6</v>
      </c>
      <c r="V216" s="43">
        <f t="shared" si="25"/>
        <v>50262.258600000001</v>
      </c>
      <c r="W216" s="45">
        <f t="shared" si="26"/>
        <v>0.7837697363913475</v>
      </c>
    </row>
    <row r="217" spans="1:23" x14ac:dyDescent="0.3">
      <c r="A217" s="34" t="s">
        <v>534</v>
      </c>
      <c r="B217" s="35">
        <v>45280</v>
      </c>
      <c r="C217" s="36">
        <v>45305</v>
      </c>
      <c r="D217" s="37">
        <f t="shared" si="27"/>
        <v>25</v>
      </c>
      <c r="E217" s="37" t="str">
        <f>TEXT(Data!B217,"MMM-YYYY")</f>
        <v>Dec-2023</v>
      </c>
      <c r="F217" s="37" t="str">
        <f t="shared" si="23"/>
        <v>Q4-2023</v>
      </c>
      <c r="G217" s="32" t="s">
        <v>45</v>
      </c>
      <c r="H217" s="32" t="s">
        <v>60</v>
      </c>
      <c r="I217" s="32" t="s">
        <v>220</v>
      </c>
      <c r="J217" s="32" t="s">
        <v>39</v>
      </c>
      <c r="K217" s="32" t="s">
        <v>40</v>
      </c>
      <c r="L217" s="32" t="s">
        <v>49</v>
      </c>
      <c r="M217" s="32" t="s">
        <v>64</v>
      </c>
      <c r="N217" s="32" t="s">
        <v>535</v>
      </c>
      <c r="O217" s="37">
        <v>1085.6099999999999</v>
      </c>
      <c r="P217" s="38" t="str">
        <f t="shared" si="24"/>
        <v>High</v>
      </c>
      <c r="Q217" s="37">
        <v>1246.4100000000001</v>
      </c>
      <c r="R217" s="37">
        <v>0.113</v>
      </c>
      <c r="S217" s="37">
        <v>7</v>
      </c>
      <c r="T217" s="37">
        <f t="shared" si="21"/>
        <v>11133.23372</v>
      </c>
      <c r="U217" s="32">
        <f t="shared" si="22"/>
        <v>7599.2699999999995</v>
      </c>
      <c r="V217" s="37">
        <f t="shared" si="25"/>
        <v>3533.9637200000006</v>
      </c>
      <c r="W217" s="39">
        <f t="shared" si="26"/>
        <v>0.31742473111397151</v>
      </c>
    </row>
    <row r="218" spans="1:23" x14ac:dyDescent="0.3">
      <c r="A218" s="40" t="s">
        <v>536</v>
      </c>
      <c r="B218" s="41">
        <v>44948</v>
      </c>
      <c r="C218" s="42">
        <v>44947</v>
      </c>
      <c r="D218" s="43">
        <f>DATEDIF(C218,B218, "MD")</f>
        <v>1</v>
      </c>
      <c r="E218" s="43" t="str">
        <f>TEXT(Data!B218,"MMM-YYYY")</f>
        <v>Jan-2023</v>
      </c>
      <c r="F218" s="43" t="str">
        <f t="shared" si="23"/>
        <v>Q1-2023</v>
      </c>
      <c r="G218" s="33" t="s">
        <v>78</v>
      </c>
      <c r="H218" s="33" t="s">
        <v>79</v>
      </c>
      <c r="I218" s="33" t="s">
        <v>159</v>
      </c>
      <c r="J218" s="33" t="s">
        <v>19</v>
      </c>
      <c r="K218" s="33" t="s">
        <v>98</v>
      </c>
      <c r="L218" s="33" t="s">
        <v>84</v>
      </c>
      <c r="M218" s="33" t="s">
        <v>64</v>
      </c>
      <c r="N218" s="33" t="s">
        <v>537</v>
      </c>
      <c r="O218" s="43">
        <v>150.86000000000001</v>
      </c>
      <c r="P218" s="44" t="str">
        <f t="shared" si="24"/>
        <v>High</v>
      </c>
      <c r="Q218" s="43">
        <v>346.96</v>
      </c>
      <c r="R218" s="43">
        <v>0.19600000000000001</v>
      </c>
      <c r="S218" s="43">
        <v>8</v>
      </c>
      <c r="T218" s="43">
        <f t="shared" si="21"/>
        <v>789.46368000000007</v>
      </c>
      <c r="U218" s="33">
        <f t="shared" si="22"/>
        <v>1206.8800000000001</v>
      </c>
      <c r="V218" s="43">
        <f t="shared" si="25"/>
        <v>-417.41632000000004</v>
      </c>
      <c r="W218" s="45">
        <f t="shared" si="26"/>
        <v>-0.52873403878440617</v>
      </c>
    </row>
    <row r="219" spans="1:23" x14ac:dyDescent="0.3">
      <c r="A219" s="34" t="s">
        <v>538</v>
      </c>
      <c r="B219" s="35">
        <v>45576</v>
      </c>
      <c r="C219" s="36">
        <v>45605</v>
      </c>
      <c r="D219" s="37">
        <f t="shared" si="27"/>
        <v>29</v>
      </c>
      <c r="E219" s="37" t="str">
        <f>TEXT(Data!B219,"MMM-YYYY")</f>
        <v>Oct-2024</v>
      </c>
      <c r="F219" s="37" t="str">
        <f t="shared" si="23"/>
        <v>Q4-2024</v>
      </c>
      <c r="G219" s="32" t="s">
        <v>45</v>
      </c>
      <c r="H219" s="32" t="s">
        <v>116</v>
      </c>
      <c r="I219" s="32" t="s">
        <v>162</v>
      </c>
      <c r="J219" s="32" t="s">
        <v>39</v>
      </c>
      <c r="K219" s="32" t="s">
        <v>28</v>
      </c>
      <c r="L219" s="32" t="s">
        <v>84</v>
      </c>
      <c r="M219" s="32" t="s">
        <v>30</v>
      </c>
      <c r="N219" s="32" t="s">
        <v>539</v>
      </c>
      <c r="O219" s="37">
        <v>391.64</v>
      </c>
      <c r="P219" s="38" t="str">
        <f t="shared" si="24"/>
        <v>High</v>
      </c>
      <c r="Q219" s="37">
        <v>504.76</v>
      </c>
      <c r="R219" s="37">
        <v>4.0000000000000001E-3</v>
      </c>
      <c r="S219" s="37">
        <v>13</v>
      </c>
      <c r="T219" s="37">
        <f t="shared" si="21"/>
        <v>12014.83764</v>
      </c>
      <c r="U219" s="32">
        <f t="shared" si="22"/>
        <v>5091.32</v>
      </c>
      <c r="V219" s="37">
        <f t="shared" si="25"/>
        <v>6923.51764</v>
      </c>
      <c r="W219" s="39">
        <f t="shared" si="26"/>
        <v>0.57624729084562143</v>
      </c>
    </row>
    <row r="220" spans="1:23" x14ac:dyDescent="0.3">
      <c r="A220" s="40" t="s">
        <v>540</v>
      </c>
      <c r="B220" s="41">
        <v>45554</v>
      </c>
      <c r="C220" s="42">
        <v>45579</v>
      </c>
      <c r="D220" s="43">
        <f t="shared" si="27"/>
        <v>25</v>
      </c>
      <c r="E220" s="43" t="str">
        <f>TEXT(Data!B220,"MMM-YYYY")</f>
        <v>Sep-2024</v>
      </c>
      <c r="F220" s="43" t="str">
        <f t="shared" si="23"/>
        <v>Q3-2024</v>
      </c>
      <c r="G220" s="33" t="s">
        <v>52</v>
      </c>
      <c r="H220" s="33" t="s">
        <v>73</v>
      </c>
      <c r="I220" s="33" t="s">
        <v>225</v>
      </c>
      <c r="J220" s="33" t="s">
        <v>62</v>
      </c>
      <c r="K220" s="33" t="s">
        <v>20</v>
      </c>
      <c r="L220" s="33" t="s">
        <v>95</v>
      </c>
      <c r="M220" s="33" t="s">
        <v>30</v>
      </c>
      <c r="N220" s="33" t="s">
        <v>541</v>
      </c>
      <c r="O220" s="43">
        <v>386.96</v>
      </c>
      <c r="P220" s="44" t="str">
        <f t="shared" si="24"/>
        <v>High</v>
      </c>
      <c r="Q220" s="43">
        <v>937.46</v>
      </c>
      <c r="R220" s="43">
        <v>0.26600000000000001</v>
      </c>
      <c r="S220" s="43">
        <v>41</v>
      </c>
      <c r="T220" s="43">
        <f t="shared" si="21"/>
        <v>4570.6767199999995</v>
      </c>
      <c r="U220" s="33">
        <f t="shared" si="22"/>
        <v>15865.359999999999</v>
      </c>
      <c r="V220" s="43">
        <f t="shared" si="25"/>
        <v>-11294.683279999999</v>
      </c>
      <c r="W220" s="45">
        <f t="shared" si="26"/>
        <v>-2.4711183861631763</v>
      </c>
    </row>
    <row r="221" spans="1:23" x14ac:dyDescent="0.3">
      <c r="A221" s="34" t="s">
        <v>542</v>
      </c>
      <c r="B221" s="35">
        <v>45894</v>
      </c>
      <c r="C221" s="36">
        <v>45924</v>
      </c>
      <c r="D221" s="37">
        <f t="shared" si="27"/>
        <v>30</v>
      </c>
      <c r="E221" s="37" t="str">
        <f>TEXT(Data!B221,"MMM-YYYY")</f>
        <v>Aug-2025</v>
      </c>
      <c r="F221" s="37" t="str">
        <f t="shared" si="23"/>
        <v>Q3-2025</v>
      </c>
      <c r="G221" s="32" t="s">
        <v>16</v>
      </c>
      <c r="H221" s="32" t="s">
        <v>17</v>
      </c>
      <c r="I221" s="32" t="s">
        <v>33</v>
      </c>
      <c r="J221" s="32" t="s">
        <v>48</v>
      </c>
      <c r="K221" s="32" t="s">
        <v>98</v>
      </c>
      <c r="L221" s="32" t="s">
        <v>56</v>
      </c>
      <c r="M221" s="32" t="s">
        <v>22</v>
      </c>
      <c r="N221" s="32" t="s">
        <v>543</v>
      </c>
      <c r="O221" s="37">
        <v>589.14</v>
      </c>
      <c r="P221" s="38" t="str">
        <f t="shared" si="24"/>
        <v>High</v>
      </c>
      <c r="Q221" s="37">
        <v>1300.58</v>
      </c>
      <c r="R221" s="37">
        <v>5.5E-2</v>
      </c>
      <c r="S221" s="37">
        <v>11</v>
      </c>
      <c r="T221" s="37">
        <f t="shared" si="21"/>
        <v>22977.108</v>
      </c>
      <c r="U221" s="32">
        <f t="shared" si="22"/>
        <v>6480.54</v>
      </c>
      <c r="V221" s="37">
        <f t="shared" si="25"/>
        <v>16496.567999999999</v>
      </c>
      <c r="W221" s="39">
        <f t="shared" si="26"/>
        <v>0.71795667235406646</v>
      </c>
    </row>
    <row r="222" spans="1:23" x14ac:dyDescent="0.3">
      <c r="A222" s="40" t="s">
        <v>544</v>
      </c>
      <c r="B222" s="41">
        <v>45194</v>
      </c>
      <c r="C222" s="42">
        <v>45201</v>
      </c>
      <c r="D222" s="43">
        <f t="shared" si="27"/>
        <v>7</v>
      </c>
      <c r="E222" s="43" t="str">
        <f>TEXT(Data!B222,"MMM-YYYY")</f>
        <v>Sep-2023</v>
      </c>
      <c r="F222" s="43" t="str">
        <f t="shared" si="23"/>
        <v>Q3-2023</v>
      </c>
      <c r="G222" s="33" t="s">
        <v>52</v>
      </c>
      <c r="H222" s="33" t="s">
        <v>122</v>
      </c>
      <c r="I222" s="33" t="s">
        <v>387</v>
      </c>
      <c r="J222" s="33" t="s">
        <v>27</v>
      </c>
      <c r="K222" s="33" t="s">
        <v>40</v>
      </c>
      <c r="L222" s="33" t="s">
        <v>34</v>
      </c>
      <c r="M222" s="33" t="s">
        <v>81</v>
      </c>
      <c r="N222" s="33" t="s">
        <v>545</v>
      </c>
      <c r="O222" s="43">
        <v>145.58000000000001</v>
      </c>
      <c r="P222" s="44" t="str">
        <f t="shared" si="24"/>
        <v>High</v>
      </c>
      <c r="Q222" s="43">
        <v>228.15</v>
      </c>
      <c r="R222" s="43">
        <v>0.20399999999999999</v>
      </c>
      <c r="S222" s="43">
        <v>5</v>
      </c>
      <c r="T222" s="43">
        <f t="shared" si="21"/>
        <v>158.16520000000003</v>
      </c>
      <c r="U222" s="33">
        <f t="shared" si="22"/>
        <v>727.90000000000009</v>
      </c>
      <c r="V222" s="43">
        <f t="shared" si="25"/>
        <v>-569.73480000000006</v>
      </c>
      <c r="W222" s="45">
        <f t="shared" si="26"/>
        <v>-3.602150156924532</v>
      </c>
    </row>
    <row r="223" spans="1:23" x14ac:dyDescent="0.3">
      <c r="A223" s="34" t="s">
        <v>546</v>
      </c>
      <c r="B223" s="35">
        <v>45164</v>
      </c>
      <c r="C223" s="36">
        <v>45179</v>
      </c>
      <c r="D223" s="37">
        <f t="shared" si="27"/>
        <v>15</v>
      </c>
      <c r="E223" s="37" t="str">
        <f>TEXT(Data!B223,"MMM-YYYY")</f>
        <v>Aug-2023</v>
      </c>
      <c r="F223" s="37" t="str">
        <f t="shared" si="23"/>
        <v>Q3-2023</v>
      </c>
      <c r="G223" s="32" t="s">
        <v>16</v>
      </c>
      <c r="H223" s="32" t="s">
        <v>148</v>
      </c>
      <c r="I223" s="32" t="s">
        <v>258</v>
      </c>
      <c r="J223" s="32" t="s">
        <v>39</v>
      </c>
      <c r="K223" s="32" t="s">
        <v>98</v>
      </c>
      <c r="L223" s="32" t="s">
        <v>126</v>
      </c>
      <c r="M223" s="32" t="s">
        <v>22</v>
      </c>
      <c r="N223" s="32" t="s">
        <v>547</v>
      </c>
      <c r="O223" s="37">
        <v>241.14</v>
      </c>
      <c r="P223" s="38" t="str">
        <f t="shared" si="24"/>
        <v>High</v>
      </c>
      <c r="Q223" s="37">
        <v>496.52</v>
      </c>
      <c r="R223" s="37">
        <v>9.2999999999999999E-2</v>
      </c>
      <c r="S223" s="37">
        <v>10</v>
      </c>
      <c r="T223" s="37">
        <f t="shared" si="21"/>
        <v>9151.630000000001</v>
      </c>
      <c r="U223" s="32">
        <f t="shared" si="22"/>
        <v>2411.3999999999996</v>
      </c>
      <c r="V223" s="37">
        <f t="shared" si="25"/>
        <v>6740.2300000000014</v>
      </c>
      <c r="W223" s="39">
        <f t="shared" si="26"/>
        <v>0.73650595576962796</v>
      </c>
    </row>
    <row r="224" spans="1:23" x14ac:dyDescent="0.3">
      <c r="A224" s="40" t="s">
        <v>548</v>
      </c>
      <c r="B224" s="41">
        <v>45854</v>
      </c>
      <c r="C224" s="42">
        <v>45855</v>
      </c>
      <c r="D224" s="43">
        <f t="shared" si="27"/>
        <v>1</v>
      </c>
      <c r="E224" s="43" t="str">
        <f>TEXT(Data!B224,"MMM-YYYY")</f>
        <v>Jul-2025</v>
      </c>
      <c r="F224" s="43" t="str">
        <f t="shared" si="23"/>
        <v>Q3-2025</v>
      </c>
      <c r="G224" s="33" t="s">
        <v>16</v>
      </c>
      <c r="H224" s="33" t="s">
        <v>148</v>
      </c>
      <c r="I224" s="33" t="s">
        <v>172</v>
      </c>
      <c r="J224" s="33" t="s">
        <v>62</v>
      </c>
      <c r="K224" s="33" t="s">
        <v>55</v>
      </c>
      <c r="L224" s="33" t="s">
        <v>56</v>
      </c>
      <c r="M224" s="33" t="s">
        <v>35</v>
      </c>
      <c r="N224" s="33" t="s">
        <v>549</v>
      </c>
      <c r="O224" s="43">
        <v>1198.9000000000001</v>
      </c>
      <c r="P224" s="44" t="str">
        <f t="shared" si="24"/>
        <v>High</v>
      </c>
      <c r="Q224" s="43">
        <v>2941.2</v>
      </c>
      <c r="R224" s="43">
        <v>5.0999999999999997E-2</v>
      </c>
      <c r="S224" s="43">
        <v>24</v>
      </c>
      <c r="T224" s="43">
        <f t="shared" si="21"/>
        <v>37663.304640000002</v>
      </c>
      <c r="U224" s="33">
        <f t="shared" si="22"/>
        <v>28773.600000000002</v>
      </c>
      <c r="V224" s="43">
        <f t="shared" si="25"/>
        <v>8889.7046399999999</v>
      </c>
      <c r="W224" s="45">
        <f t="shared" si="26"/>
        <v>0.23603092519286697</v>
      </c>
    </row>
    <row r="225" spans="1:23" x14ac:dyDescent="0.3">
      <c r="A225" s="34" t="s">
        <v>550</v>
      </c>
      <c r="B225" s="35">
        <v>45035</v>
      </c>
      <c r="C225" s="36">
        <v>45053</v>
      </c>
      <c r="D225" s="37">
        <f t="shared" si="27"/>
        <v>18</v>
      </c>
      <c r="E225" s="37" t="str">
        <f>TEXT(Data!B225,"MMM-YYYY")</f>
        <v>Apr-2023</v>
      </c>
      <c r="F225" s="37" t="str">
        <f t="shared" si="23"/>
        <v>Q2-2023</v>
      </c>
      <c r="G225" s="32" t="s">
        <v>78</v>
      </c>
      <c r="H225" s="32" t="s">
        <v>108</v>
      </c>
      <c r="I225" s="32" t="s">
        <v>109</v>
      </c>
      <c r="J225" s="32" t="s">
        <v>105</v>
      </c>
      <c r="K225" s="32" t="s">
        <v>20</v>
      </c>
      <c r="L225" s="32" t="s">
        <v>126</v>
      </c>
      <c r="M225" s="32" t="s">
        <v>57</v>
      </c>
      <c r="N225" s="32" t="s">
        <v>551</v>
      </c>
      <c r="O225" s="37">
        <v>1089.1500000000001</v>
      </c>
      <c r="P225" s="38" t="str">
        <f t="shared" si="24"/>
        <v>High</v>
      </c>
      <c r="Q225" s="37">
        <v>1088.2</v>
      </c>
      <c r="R225" s="37">
        <v>5.0999999999999997E-2</v>
      </c>
      <c r="S225" s="37">
        <v>15</v>
      </c>
      <c r="T225" s="37">
        <f t="shared" si="21"/>
        <v>14458.4895</v>
      </c>
      <c r="U225" s="32">
        <f t="shared" si="22"/>
        <v>16337.250000000002</v>
      </c>
      <c r="V225" s="37">
        <f t="shared" si="25"/>
        <v>-1878.7605000000021</v>
      </c>
      <c r="W225" s="39">
        <f t="shared" si="26"/>
        <v>-0.12994168581718044</v>
      </c>
    </row>
    <row r="226" spans="1:23" x14ac:dyDescent="0.3">
      <c r="A226" s="40" t="s">
        <v>552</v>
      </c>
      <c r="B226" s="41">
        <v>45279</v>
      </c>
      <c r="C226" s="42">
        <v>45280</v>
      </c>
      <c r="D226" s="43">
        <f t="shared" si="27"/>
        <v>1</v>
      </c>
      <c r="E226" s="43" t="str">
        <f>TEXT(Data!B226,"MMM-YYYY")</f>
        <v>Dec-2023</v>
      </c>
      <c r="F226" s="43" t="str">
        <f t="shared" si="23"/>
        <v>Q4-2023</v>
      </c>
      <c r="G226" s="33" t="s">
        <v>52</v>
      </c>
      <c r="H226" s="33" t="s">
        <v>73</v>
      </c>
      <c r="I226" s="33" t="s">
        <v>225</v>
      </c>
      <c r="J226" s="33" t="s">
        <v>48</v>
      </c>
      <c r="K226" s="33" t="s">
        <v>55</v>
      </c>
      <c r="L226" s="33" t="s">
        <v>29</v>
      </c>
      <c r="M226" s="33" t="s">
        <v>42</v>
      </c>
      <c r="N226" s="33" t="s">
        <v>553</v>
      </c>
      <c r="O226" s="43">
        <v>1080.43</v>
      </c>
      <c r="P226" s="44" t="str">
        <f t="shared" si="24"/>
        <v>High</v>
      </c>
      <c r="Q226" s="43">
        <v>2529.15</v>
      </c>
      <c r="R226" s="43">
        <v>0.14699999999999999</v>
      </c>
      <c r="S226" s="43">
        <v>10</v>
      </c>
      <c r="T226" s="43">
        <f t="shared" si="21"/>
        <v>7783.1984999999995</v>
      </c>
      <c r="U226" s="33">
        <f t="shared" si="22"/>
        <v>10804.300000000001</v>
      </c>
      <c r="V226" s="43">
        <f t="shared" si="25"/>
        <v>-3021.1015000000016</v>
      </c>
      <c r="W226" s="45">
        <f t="shared" si="26"/>
        <v>-0.38815680982567796</v>
      </c>
    </row>
    <row r="227" spans="1:23" x14ac:dyDescent="0.3">
      <c r="A227" s="34" t="s">
        <v>554</v>
      </c>
      <c r="B227" s="35">
        <v>45137</v>
      </c>
      <c r="C227" s="36">
        <v>45145</v>
      </c>
      <c r="D227" s="37">
        <f t="shared" si="27"/>
        <v>8</v>
      </c>
      <c r="E227" s="37" t="str">
        <f>TEXT(Data!B227,"MMM-YYYY")</f>
        <v>Jul-2023</v>
      </c>
      <c r="F227" s="37" t="str">
        <f t="shared" si="23"/>
        <v>Q3-2023</v>
      </c>
      <c r="G227" s="32" t="s">
        <v>45</v>
      </c>
      <c r="H227" s="32" t="s">
        <v>46</v>
      </c>
      <c r="I227" s="32" t="s">
        <v>231</v>
      </c>
      <c r="J227" s="32" t="s">
        <v>27</v>
      </c>
      <c r="K227" s="32" t="s">
        <v>40</v>
      </c>
      <c r="L227" s="32" t="s">
        <v>75</v>
      </c>
      <c r="M227" s="32" t="s">
        <v>35</v>
      </c>
      <c r="N227" s="32" t="s">
        <v>555</v>
      </c>
      <c r="O227" s="37">
        <v>1352.44</v>
      </c>
      <c r="P227" s="38" t="str">
        <f t="shared" si="24"/>
        <v>High</v>
      </c>
      <c r="Q227" s="37">
        <v>2698.01</v>
      </c>
      <c r="R227" s="37">
        <v>0.13100000000000001</v>
      </c>
      <c r="S227" s="37">
        <v>13</v>
      </c>
      <c r="T227" s="37">
        <f t="shared" si="21"/>
        <v>9209.201430000001</v>
      </c>
      <c r="U227" s="32">
        <f t="shared" si="22"/>
        <v>17581.72</v>
      </c>
      <c r="V227" s="37">
        <f t="shared" si="25"/>
        <v>-8372.5185700000002</v>
      </c>
      <c r="W227" s="39">
        <f t="shared" si="26"/>
        <v>-0.90914707791335603</v>
      </c>
    </row>
    <row r="228" spans="1:23" x14ac:dyDescent="0.3">
      <c r="A228" s="40" t="s">
        <v>556</v>
      </c>
      <c r="B228" s="41">
        <v>45203</v>
      </c>
      <c r="C228" s="42">
        <v>45228</v>
      </c>
      <c r="D228" s="43">
        <f t="shared" si="27"/>
        <v>25</v>
      </c>
      <c r="E228" s="43" t="str">
        <f>TEXT(Data!B228,"MMM-YYYY")</f>
        <v>Oct-2023</v>
      </c>
      <c r="F228" s="43" t="str">
        <f t="shared" si="23"/>
        <v>Q4-2023</v>
      </c>
      <c r="G228" s="33" t="s">
        <v>52</v>
      </c>
      <c r="H228" s="33" t="s">
        <v>122</v>
      </c>
      <c r="I228" s="33" t="s">
        <v>167</v>
      </c>
      <c r="J228" s="33" t="s">
        <v>62</v>
      </c>
      <c r="K228" s="33" t="s">
        <v>55</v>
      </c>
      <c r="L228" s="33" t="s">
        <v>68</v>
      </c>
      <c r="M228" s="33" t="s">
        <v>81</v>
      </c>
      <c r="N228" s="33" t="s">
        <v>557</v>
      </c>
      <c r="O228" s="43">
        <v>1239.8399999999999</v>
      </c>
      <c r="P228" s="44" t="str">
        <f t="shared" si="24"/>
        <v>High</v>
      </c>
      <c r="Q228" s="43">
        <v>1482.75</v>
      </c>
      <c r="R228" s="43">
        <v>6.7000000000000004E-2</v>
      </c>
      <c r="S228" s="43">
        <v>4</v>
      </c>
      <c r="T228" s="43">
        <f t="shared" si="21"/>
        <v>6770.0719200000003</v>
      </c>
      <c r="U228" s="33">
        <f t="shared" si="22"/>
        <v>4959.3599999999997</v>
      </c>
      <c r="V228" s="43">
        <f t="shared" si="25"/>
        <v>1810.7119200000006</v>
      </c>
      <c r="W228" s="45">
        <f t="shared" si="26"/>
        <v>0.26745829902498297</v>
      </c>
    </row>
    <row r="229" spans="1:23" x14ac:dyDescent="0.3">
      <c r="A229" s="34" t="s">
        <v>558</v>
      </c>
      <c r="B229" s="35">
        <v>45879</v>
      </c>
      <c r="C229" s="36">
        <v>45899</v>
      </c>
      <c r="D229" s="37">
        <f t="shared" si="27"/>
        <v>20</v>
      </c>
      <c r="E229" s="37" t="str">
        <f>TEXT(Data!B229,"MMM-YYYY")</f>
        <v>Aug-2025</v>
      </c>
      <c r="F229" s="37" t="str">
        <f t="shared" si="23"/>
        <v>Q3-2025</v>
      </c>
      <c r="G229" s="32" t="s">
        <v>52</v>
      </c>
      <c r="H229" s="32" t="s">
        <v>122</v>
      </c>
      <c r="I229" s="32" t="s">
        <v>167</v>
      </c>
      <c r="J229" s="32" t="s">
        <v>19</v>
      </c>
      <c r="K229" s="32" t="s">
        <v>40</v>
      </c>
      <c r="L229" s="32" t="s">
        <v>95</v>
      </c>
      <c r="M229" s="32" t="s">
        <v>30</v>
      </c>
      <c r="N229" s="32" t="s">
        <v>559</v>
      </c>
      <c r="O229" s="37">
        <v>933.29</v>
      </c>
      <c r="P229" s="38" t="str">
        <f t="shared" si="24"/>
        <v>High</v>
      </c>
      <c r="Q229" s="37">
        <v>1456.81</v>
      </c>
      <c r="R229" s="37">
        <v>0.123</v>
      </c>
      <c r="S229" s="37">
        <v>13</v>
      </c>
      <c r="T229" s="37">
        <f t="shared" si="21"/>
        <v>8652.4469199999985</v>
      </c>
      <c r="U229" s="32">
        <f t="shared" si="22"/>
        <v>12132.77</v>
      </c>
      <c r="V229" s="37">
        <f t="shared" si="25"/>
        <v>-3480.3230800000019</v>
      </c>
      <c r="W229" s="39">
        <f t="shared" si="26"/>
        <v>-0.4022357042093247</v>
      </c>
    </row>
    <row r="230" spans="1:23" x14ac:dyDescent="0.3">
      <c r="A230" s="40" t="s">
        <v>560</v>
      </c>
      <c r="B230" s="41">
        <v>44992</v>
      </c>
      <c r="C230" s="42">
        <v>45017</v>
      </c>
      <c r="D230" s="43">
        <f t="shared" si="27"/>
        <v>25</v>
      </c>
      <c r="E230" s="43" t="str">
        <f>TEXT(Data!B230,"MMM-YYYY")</f>
        <v>Mar-2023</v>
      </c>
      <c r="F230" s="43" t="str">
        <f t="shared" si="23"/>
        <v>Q1-2023</v>
      </c>
      <c r="G230" s="33" t="s">
        <v>16</v>
      </c>
      <c r="H230" s="33" t="s">
        <v>17</v>
      </c>
      <c r="I230" s="33" t="s">
        <v>33</v>
      </c>
      <c r="J230" s="33" t="s">
        <v>48</v>
      </c>
      <c r="K230" s="33" t="s">
        <v>40</v>
      </c>
      <c r="L230" s="33" t="s">
        <v>145</v>
      </c>
      <c r="M230" s="33" t="s">
        <v>30</v>
      </c>
      <c r="N230" s="33" t="s">
        <v>561</v>
      </c>
      <c r="O230" s="43">
        <v>1024.0999999999999</v>
      </c>
      <c r="P230" s="44" t="str">
        <f t="shared" si="24"/>
        <v>High</v>
      </c>
      <c r="Q230" s="43">
        <v>918.19</v>
      </c>
      <c r="R230" s="43">
        <v>0.189</v>
      </c>
      <c r="S230" s="43">
        <v>10</v>
      </c>
      <c r="T230" s="43">
        <f t="shared" si="21"/>
        <v>13522.938400000001</v>
      </c>
      <c r="U230" s="33">
        <f t="shared" si="22"/>
        <v>10241</v>
      </c>
      <c r="V230" s="43">
        <f t="shared" si="25"/>
        <v>3281.9384000000009</v>
      </c>
      <c r="W230" s="45">
        <f t="shared" si="26"/>
        <v>0.24269417658517181</v>
      </c>
    </row>
    <row r="231" spans="1:23" x14ac:dyDescent="0.3">
      <c r="A231" s="34" t="s">
        <v>562</v>
      </c>
      <c r="B231" s="35">
        <v>45069</v>
      </c>
      <c r="C231" s="36">
        <v>45087</v>
      </c>
      <c r="D231" s="37">
        <f t="shared" si="27"/>
        <v>18</v>
      </c>
      <c r="E231" s="37" t="str">
        <f>TEXT(Data!B231,"MMM-YYYY")</f>
        <v>May-2023</v>
      </c>
      <c r="F231" s="37" t="str">
        <f t="shared" si="23"/>
        <v>Q2-2023</v>
      </c>
      <c r="G231" s="32" t="s">
        <v>45</v>
      </c>
      <c r="H231" s="32" t="s">
        <v>116</v>
      </c>
      <c r="I231" s="32" t="s">
        <v>162</v>
      </c>
      <c r="J231" s="32" t="s">
        <v>19</v>
      </c>
      <c r="K231" s="32" t="s">
        <v>55</v>
      </c>
      <c r="L231" s="32" t="s">
        <v>63</v>
      </c>
      <c r="M231" s="32" t="s">
        <v>22</v>
      </c>
      <c r="N231" s="32" t="s">
        <v>563</v>
      </c>
      <c r="O231" s="37">
        <v>54.62</v>
      </c>
      <c r="P231" s="38" t="str">
        <f t="shared" si="24"/>
        <v>Low</v>
      </c>
      <c r="Q231" s="37">
        <v>48.94</v>
      </c>
      <c r="R231" s="37">
        <v>0.14799999999999999</v>
      </c>
      <c r="S231" s="37">
        <v>16</v>
      </c>
      <c r="T231" s="37">
        <f t="shared" si="21"/>
        <v>34932.681600000004</v>
      </c>
      <c r="U231" s="32">
        <f t="shared" si="22"/>
        <v>873.92</v>
      </c>
      <c r="V231" s="37">
        <f t="shared" si="25"/>
        <v>34058.761600000005</v>
      </c>
      <c r="W231" s="39">
        <f t="shared" si="26"/>
        <v>0.9749827393726338</v>
      </c>
    </row>
    <row r="232" spans="1:23" x14ac:dyDescent="0.3">
      <c r="A232" s="40" t="s">
        <v>564</v>
      </c>
      <c r="B232" s="41">
        <v>45771</v>
      </c>
      <c r="C232" s="42">
        <v>45783</v>
      </c>
      <c r="D232" s="43">
        <f t="shared" si="27"/>
        <v>12</v>
      </c>
      <c r="E232" s="43" t="str">
        <f>TEXT(Data!B232,"MMM-YYYY")</f>
        <v>Apr-2025</v>
      </c>
      <c r="F232" s="43" t="str">
        <f t="shared" si="23"/>
        <v>Q2-2025</v>
      </c>
      <c r="G232" s="33" t="s">
        <v>52</v>
      </c>
      <c r="H232" s="33" t="s">
        <v>73</v>
      </c>
      <c r="I232" s="33" t="s">
        <v>87</v>
      </c>
      <c r="J232" s="33" t="s">
        <v>48</v>
      </c>
      <c r="K232" s="33" t="s">
        <v>28</v>
      </c>
      <c r="L232" s="33" t="s">
        <v>21</v>
      </c>
      <c r="M232" s="33" t="s">
        <v>42</v>
      </c>
      <c r="N232" s="33" t="s">
        <v>565</v>
      </c>
      <c r="O232" s="43">
        <v>394.13</v>
      </c>
      <c r="P232" s="44" t="str">
        <f t="shared" si="24"/>
        <v>High</v>
      </c>
      <c r="Q232" s="43">
        <v>932.29</v>
      </c>
      <c r="R232" s="43">
        <v>0.109</v>
      </c>
      <c r="S232" s="43">
        <v>7</v>
      </c>
      <c r="T232" s="43">
        <f t="shared" si="21"/>
        <v>4648.9350599999998</v>
      </c>
      <c r="U232" s="33">
        <f t="shared" si="22"/>
        <v>2758.91</v>
      </c>
      <c r="V232" s="43">
        <f t="shared" si="25"/>
        <v>1890.0250599999999</v>
      </c>
      <c r="W232" s="45">
        <f t="shared" si="26"/>
        <v>0.40655010999443819</v>
      </c>
    </row>
    <row r="233" spans="1:23" x14ac:dyDescent="0.3">
      <c r="A233" s="34" t="s">
        <v>566</v>
      </c>
      <c r="B233" s="35">
        <v>45538</v>
      </c>
      <c r="C233" s="36">
        <v>45543</v>
      </c>
      <c r="D233" s="37">
        <f t="shared" si="27"/>
        <v>5</v>
      </c>
      <c r="E233" s="37" t="str">
        <f>TEXT(Data!B233,"MMM-YYYY")</f>
        <v>Sep-2024</v>
      </c>
      <c r="F233" s="37" t="str">
        <f t="shared" si="23"/>
        <v>Q3-2024</v>
      </c>
      <c r="G233" s="32" t="s">
        <v>16</v>
      </c>
      <c r="H233" s="32" t="s">
        <v>25</v>
      </c>
      <c r="I233" s="32" t="s">
        <v>38</v>
      </c>
      <c r="J233" s="32" t="s">
        <v>62</v>
      </c>
      <c r="K233" s="32" t="s">
        <v>98</v>
      </c>
      <c r="L233" s="32" t="s">
        <v>95</v>
      </c>
      <c r="M233" s="32" t="s">
        <v>30</v>
      </c>
      <c r="N233" s="32" t="s">
        <v>567</v>
      </c>
      <c r="O233" s="37">
        <v>197.63</v>
      </c>
      <c r="P233" s="38" t="str">
        <f t="shared" si="24"/>
        <v>High</v>
      </c>
      <c r="Q233" s="37">
        <v>325.79000000000002</v>
      </c>
      <c r="R233" s="37">
        <v>0.11600000000000001</v>
      </c>
      <c r="S233" s="37">
        <v>10</v>
      </c>
      <c r="T233" s="37">
        <f t="shared" si="21"/>
        <v>6081.4780000000001</v>
      </c>
      <c r="U233" s="32">
        <f t="shared" si="22"/>
        <v>1976.3</v>
      </c>
      <c r="V233" s="37">
        <f t="shared" si="25"/>
        <v>4105.1779999999999</v>
      </c>
      <c r="W233" s="39">
        <f t="shared" si="26"/>
        <v>0.67502965561990025</v>
      </c>
    </row>
    <row r="234" spans="1:23" x14ac:dyDescent="0.3">
      <c r="A234" s="40" t="s">
        <v>568</v>
      </c>
      <c r="B234" s="41">
        <v>45540</v>
      </c>
      <c r="C234" s="42">
        <v>45560</v>
      </c>
      <c r="D234" s="43">
        <f t="shared" si="27"/>
        <v>20</v>
      </c>
      <c r="E234" s="43" t="str">
        <f>TEXT(Data!B234,"MMM-YYYY")</f>
        <v>Sep-2024</v>
      </c>
      <c r="F234" s="43" t="str">
        <f t="shared" si="23"/>
        <v>Q3-2024</v>
      </c>
      <c r="G234" s="33" t="s">
        <v>45</v>
      </c>
      <c r="H234" s="33" t="s">
        <v>46</v>
      </c>
      <c r="I234" s="33" t="s">
        <v>47</v>
      </c>
      <c r="J234" s="33" t="s">
        <v>105</v>
      </c>
      <c r="K234" s="33" t="s">
        <v>55</v>
      </c>
      <c r="L234" s="33" t="s">
        <v>145</v>
      </c>
      <c r="M234" s="33" t="s">
        <v>64</v>
      </c>
      <c r="N234" s="33" t="s">
        <v>569</v>
      </c>
      <c r="O234" s="43">
        <v>195.54</v>
      </c>
      <c r="P234" s="44" t="str">
        <f t="shared" si="24"/>
        <v>High</v>
      </c>
      <c r="Q234" s="43">
        <v>405.97</v>
      </c>
      <c r="R234" s="43">
        <v>0.187</v>
      </c>
      <c r="S234" s="43">
        <v>16</v>
      </c>
      <c r="T234" s="43">
        <f t="shared" si="21"/>
        <v>7155.3105599999999</v>
      </c>
      <c r="U234" s="33">
        <f t="shared" si="22"/>
        <v>3128.64</v>
      </c>
      <c r="V234" s="43">
        <f t="shared" si="25"/>
        <v>4026.67056</v>
      </c>
      <c r="W234" s="45">
        <f t="shared" si="26"/>
        <v>0.56275273116866642</v>
      </c>
    </row>
    <row r="235" spans="1:23" x14ac:dyDescent="0.3">
      <c r="A235" s="34" t="s">
        <v>570</v>
      </c>
      <c r="B235" s="35">
        <v>44999</v>
      </c>
      <c r="C235" s="36">
        <v>45015</v>
      </c>
      <c r="D235" s="37">
        <f t="shared" si="27"/>
        <v>16</v>
      </c>
      <c r="E235" s="37" t="str">
        <f>TEXT(Data!B235,"MMM-YYYY")</f>
        <v>Mar-2023</v>
      </c>
      <c r="F235" s="37" t="str">
        <f t="shared" si="23"/>
        <v>Q1-2023</v>
      </c>
      <c r="G235" s="32" t="s">
        <v>16</v>
      </c>
      <c r="H235" s="32" t="s">
        <v>148</v>
      </c>
      <c r="I235" s="32" t="s">
        <v>258</v>
      </c>
      <c r="J235" s="32" t="s">
        <v>48</v>
      </c>
      <c r="K235" s="32" t="s">
        <v>55</v>
      </c>
      <c r="L235" s="32" t="s">
        <v>95</v>
      </c>
      <c r="M235" s="32" t="s">
        <v>22</v>
      </c>
      <c r="N235" s="32" t="s">
        <v>571</v>
      </c>
      <c r="O235" s="37">
        <v>1309.77</v>
      </c>
      <c r="P235" s="38" t="str">
        <f t="shared" si="24"/>
        <v>High</v>
      </c>
      <c r="Q235" s="37">
        <v>1589.07</v>
      </c>
      <c r="R235" s="37">
        <v>0.10199999999999999</v>
      </c>
      <c r="S235" s="37">
        <v>10</v>
      </c>
      <c r="T235" s="37">
        <f t="shared" si="21"/>
        <v>18572.525799999999</v>
      </c>
      <c r="U235" s="32">
        <f t="shared" si="22"/>
        <v>13097.7</v>
      </c>
      <c r="V235" s="37">
        <f t="shared" si="25"/>
        <v>5474.8257999999987</v>
      </c>
      <c r="W235" s="39">
        <f t="shared" si="26"/>
        <v>0.29478089619883574</v>
      </c>
    </row>
    <row r="236" spans="1:23" x14ac:dyDescent="0.3">
      <c r="A236" s="40" t="s">
        <v>572</v>
      </c>
      <c r="B236" s="41">
        <v>45302</v>
      </c>
      <c r="C236" s="42">
        <v>45324</v>
      </c>
      <c r="D236" s="43">
        <f t="shared" si="27"/>
        <v>22</v>
      </c>
      <c r="E236" s="43" t="str">
        <f>TEXT(Data!B236,"MMM-YYYY")</f>
        <v>Jan-2024</v>
      </c>
      <c r="F236" s="43" t="str">
        <f t="shared" si="23"/>
        <v>Q1-2024</v>
      </c>
      <c r="G236" s="33" t="s">
        <v>45</v>
      </c>
      <c r="H236" s="33" t="s">
        <v>46</v>
      </c>
      <c r="I236" s="33" t="s">
        <v>231</v>
      </c>
      <c r="J236" s="33" t="s">
        <v>62</v>
      </c>
      <c r="K236" s="33" t="s">
        <v>28</v>
      </c>
      <c r="L236" s="33" t="s">
        <v>1364</v>
      </c>
      <c r="M236" s="33" t="s">
        <v>30</v>
      </c>
      <c r="N236" s="33" t="s">
        <v>573</v>
      </c>
      <c r="O236" s="43">
        <v>1237.68</v>
      </c>
      <c r="P236" s="44" t="str">
        <f t="shared" si="24"/>
        <v>High</v>
      </c>
      <c r="Q236" s="43">
        <v>1432.8</v>
      </c>
      <c r="R236" s="43">
        <v>6.8000000000000005E-2</v>
      </c>
      <c r="S236" s="43">
        <v>13</v>
      </c>
      <c r="T236" s="43">
        <f t="shared" si="21"/>
        <v>31218.691400000003</v>
      </c>
      <c r="U236" s="33">
        <f t="shared" si="22"/>
        <v>16089.84</v>
      </c>
      <c r="V236" s="43">
        <f t="shared" si="25"/>
        <v>15128.851400000003</v>
      </c>
      <c r="W236" s="45">
        <f t="shared" si="26"/>
        <v>0.48460876230065175</v>
      </c>
    </row>
    <row r="237" spans="1:23" x14ac:dyDescent="0.3">
      <c r="A237" s="34" t="s">
        <v>574</v>
      </c>
      <c r="B237" s="35">
        <v>45548</v>
      </c>
      <c r="C237" s="36">
        <v>45567</v>
      </c>
      <c r="D237" s="37">
        <f t="shared" si="27"/>
        <v>19</v>
      </c>
      <c r="E237" s="37" t="str">
        <f>TEXT(Data!B237,"MMM-YYYY")</f>
        <v>Sep-2024</v>
      </c>
      <c r="F237" s="37" t="str">
        <f t="shared" si="23"/>
        <v>Q3-2024</v>
      </c>
      <c r="G237" s="32" t="s">
        <v>16</v>
      </c>
      <c r="H237" s="32" t="s">
        <v>17</v>
      </c>
      <c r="I237" s="32" t="s">
        <v>113</v>
      </c>
      <c r="J237" s="32" t="s">
        <v>62</v>
      </c>
      <c r="K237" s="32" t="s">
        <v>20</v>
      </c>
      <c r="L237" s="32" t="s">
        <v>110</v>
      </c>
      <c r="M237" s="32" t="s">
        <v>42</v>
      </c>
      <c r="N237" s="32" t="s">
        <v>575</v>
      </c>
      <c r="O237" s="37">
        <v>1338.99</v>
      </c>
      <c r="P237" s="38" t="str">
        <f t="shared" si="24"/>
        <v>High</v>
      </c>
      <c r="Q237" s="37">
        <v>1765.76</v>
      </c>
      <c r="R237" s="37">
        <v>0.126</v>
      </c>
      <c r="S237" s="37">
        <v>24</v>
      </c>
      <c r="T237" s="37">
        <f t="shared" si="21"/>
        <v>21901.880639999999</v>
      </c>
      <c r="U237" s="32">
        <f t="shared" si="22"/>
        <v>32135.760000000002</v>
      </c>
      <c r="V237" s="37">
        <f t="shared" si="25"/>
        <v>-10233.879360000003</v>
      </c>
      <c r="W237" s="39">
        <f t="shared" si="26"/>
        <v>-0.46726030189889678</v>
      </c>
    </row>
    <row r="238" spans="1:23" x14ac:dyDescent="0.3">
      <c r="A238" s="40" t="s">
        <v>576</v>
      </c>
      <c r="B238" s="41">
        <v>45855</v>
      </c>
      <c r="C238" s="42">
        <v>45861</v>
      </c>
      <c r="D238" s="43">
        <f t="shared" si="27"/>
        <v>6</v>
      </c>
      <c r="E238" s="43" t="str">
        <f>TEXT(Data!B238,"MMM-YYYY")</f>
        <v>Jul-2025</v>
      </c>
      <c r="F238" s="43" t="str">
        <f t="shared" si="23"/>
        <v>Q3-2025</v>
      </c>
      <c r="G238" s="33" t="s">
        <v>52</v>
      </c>
      <c r="H238" s="33" t="s">
        <v>53</v>
      </c>
      <c r="I238" s="33" t="s">
        <v>179</v>
      </c>
      <c r="J238" s="33" t="s">
        <v>48</v>
      </c>
      <c r="K238" s="33" t="s">
        <v>28</v>
      </c>
      <c r="L238" s="33" t="s">
        <v>92</v>
      </c>
      <c r="M238" s="33" t="s">
        <v>22</v>
      </c>
      <c r="N238" s="33" t="s">
        <v>577</v>
      </c>
      <c r="O238" s="43">
        <v>1364.89</v>
      </c>
      <c r="P238" s="44" t="str">
        <f t="shared" si="24"/>
        <v>High</v>
      </c>
      <c r="Q238" s="43">
        <v>2757.54</v>
      </c>
      <c r="R238" s="43">
        <v>0.17199999999999999</v>
      </c>
      <c r="S238" s="43">
        <v>61</v>
      </c>
      <c r="T238" s="43">
        <f t="shared" si="21"/>
        <v>5002.3123200000009</v>
      </c>
      <c r="U238" s="33">
        <f t="shared" si="22"/>
        <v>83258.290000000008</v>
      </c>
      <c r="V238" s="43">
        <f t="shared" si="25"/>
        <v>-78255.977680000011</v>
      </c>
      <c r="W238" s="45">
        <f t="shared" si="26"/>
        <v>-15.643960767327698</v>
      </c>
    </row>
    <row r="239" spans="1:23" x14ac:dyDescent="0.3">
      <c r="A239" s="34" t="s">
        <v>578</v>
      </c>
      <c r="B239" s="35">
        <v>45258</v>
      </c>
      <c r="C239" s="36">
        <v>45267</v>
      </c>
      <c r="D239" s="37">
        <f t="shared" si="27"/>
        <v>9</v>
      </c>
      <c r="E239" s="37" t="str">
        <f>TEXT(Data!B239,"MMM-YYYY")</f>
        <v>Nov-2023</v>
      </c>
      <c r="F239" s="37" t="str">
        <f t="shared" si="23"/>
        <v>Q4-2023</v>
      </c>
      <c r="G239" s="32" t="s">
        <v>45</v>
      </c>
      <c r="H239" s="32" t="s">
        <v>60</v>
      </c>
      <c r="I239" s="32" t="s">
        <v>141</v>
      </c>
      <c r="J239" s="32" t="s">
        <v>105</v>
      </c>
      <c r="K239" s="32" t="s">
        <v>40</v>
      </c>
      <c r="L239" s="32" t="s">
        <v>49</v>
      </c>
      <c r="M239" s="32" t="s">
        <v>42</v>
      </c>
      <c r="N239" s="32" t="s">
        <v>579</v>
      </c>
      <c r="O239" s="37">
        <v>699.33</v>
      </c>
      <c r="P239" s="38" t="str">
        <f t="shared" si="24"/>
        <v>High</v>
      </c>
      <c r="Q239" s="37">
        <v>873.75</v>
      </c>
      <c r="R239" s="37">
        <v>0.23499999999999999</v>
      </c>
      <c r="S239" s="37">
        <v>10</v>
      </c>
      <c r="T239" s="37">
        <f t="shared" si="21"/>
        <v>15275.5965</v>
      </c>
      <c r="U239" s="32">
        <f t="shared" si="22"/>
        <v>6993.3</v>
      </c>
      <c r="V239" s="37">
        <f t="shared" si="25"/>
        <v>8282.2965000000004</v>
      </c>
      <c r="W239" s="39">
        <f t="shared" si="26"/>
        <v>0.5421913638527962</v>
      </c>
    </row>
    <row r="240" spans="1:23" x14ac:dyDescent="0.3">
      <c r="A240" s="40" t="s">
        <v>580</v>
      </c>
      <c r="B240" s="41">
        <v>45381</v>
      </c>
      <c r="C240" s="42">
        <v>45406</v>
      </c>
      <c r="D240" s="43">
        <f t="shared" si="27"/>
        <v>25</v>
      </c>
      <c r="E240" s="43" t="str">
        <f>TEXT(Data!B240,"MMM-YYYY")</f>
        <v>Mar-2024</v>
      </c>
      <c r="F240" s="43" t="str">
        <f t="shared" si="23"/>
        <v>Q1-2024</v>
      </c>
      <c r="G240" s="33" t="s">
        <v>52</v>
      </c>
      <c r="H240" s="33" t="s">
        <v>122</v>
      </c>
      <c r="I240" s="33" t="s">
        <v>326</v>
      </c>
      <c r="J240" s="33" t="s">
        <v>39</v>
      </c>
      <c r="K240" s="33" t="s">
        <v>28</v>
      </c>
      <c r="L240" s="33" t="s">
        <v>41</v>
      </c>
      <c r="M240" s="33" t="s">
        <v>57</v>
      </c>
      <c r="N240" s="33" t="s">
        <v>581</v>
      </c>
      <c r="O240" s="43">
        <v>160.82</v>
      </c>
      <c r="P240" s="44" t="str">
        <f t="shared" si="24"/>
        <v>High</v>
      </c>
      <c r="Q240" s="43">
        <v>258.52</v>
      </c>
      <c r="R240" s="43">
        <v>0.13</v>
      </c>
      <c r="S240" s="43">
        <v>17</v>
      </c>
      <c r="T240" s="43">
        <f t="shared" si="21"/>
        <v>13631.647199999999</v>
      </c>
      <c r="U240" s="33">
        <f t="shared" si="22"/>
        <v>2733.94</v>
      </c>
      <c r="V240" s="43">
        <f t="shared" si="25"/>
        <v>10897.707199999999</v>
      </c>
      <c r="W240" s="45">
        <f t="shared" si="26"/>
        <v>0.79944169916604058</v>
      </c>
    </row>
    <row r="241" spans="1:23" x14ac:dyDescent="0.3">
      <c r="A241" s="34" t="s">
        <v>582</v>
      </c>
      <c r="B241" s="35">
        <v>45188</v>
      </c>
      <c r="C241" s="36">
        <v>45207</v>
      </c>
      <c r="D241" s="37">
        <f t="shared" si="27"/>
        <v>19</v>
      </c>
      <c r="E241" s="37" t="str">
        <f>TEXT(Data!B241,"MMM-YYYY")</f>
        <v>Sep-2023</v>
      </c>
      <c r="F241" s="37" t="str">
        <f t="shared" si="23"/>
        <v>Q3-2023</v>
      </c>
      <c r="G241" s="32" t="s">
        <v>45</v>
      </c>
      <c r="H241" s="32" t="s">
        <v>60</v>
      </c>
      <c r="I241" s="32" t="s">
        <v>61</v>
      </c>
      <c r="J241" s="32" t="s">
        <v>27</v>
      </c>
      <c r="K241" s="32" t="s">
        <v>98</v>
      </c>
      <c r="L241" s="32" t="s">
        <v>29</v>
      </c>
      <c r="M241" s="32" t="s">
        <v>30</v>
      </c>
      <c r="N241" s="32" t="s">
        <v>583</v>
      </c>
      <c r="O241" s="37">
        <v>385.32</v>
      </c>
      <c r="P241" s="38" t="str">
        <f t="shared" si="24"/>
        <v>High</v>
      </c>
      <c r="Q241" s="37">
        <v>606.76</v>
      </c>
      <c r="R241" s="37">
        <v>8.5999999999999993E-2</v>
      </c>
      <c r="S241" s="37">
        <v>8</v>
      </c>
      <c r="T241" s="37">
        <f t="shared" si="21"/>
        <v>18307.712480000002</v>
      </c>
      <c r="U241" s="32">
        <f t="shared" si="22"/>
        <v>3082.56</v>
      </c>
      <c r="V241" s="37">
        <f t="shared" si="25"/>
        <v>15225.152480000002</v>
      </c>
      <c r="W241" s="39">
        <f t="shared" si="26"/>
        <v>0.8316250594732959</v>
      </c>
    </row>
    <row r="242" spans="1:23" x14ac:dyDescent="0.3">
      <c r="A242" s="40" t="s">
        <v>584</v>
      </c>
      <c r="B242" s="41">
        <v>45793</v>
      </c>
      <c r="C242" s="42">
        <v>45804</v>
      </c>
      <c r="D242" s="43">
        <f t="shared" si="27"/>
        <v>11</v>
      </c>
      <c r="E242" s="43" t="str">
        <f>TEXT(Data!B242,"MMM-YYYY")</f>
        <v>May-2025</v>
      </c>
      <c r="F242" s="43" t="str">
        <f t="shared" si="23"/>
        <v>Q2-2025</v>
      </c>
      <c r="G242" s="33" t="s">
        <v>45</v>
      </c>
      <c r="H242" s="33" t="s">
        <v>116</v>
      </c>
      <c r="I242" s="33" t="s">
        <v>338</v>
      </c>
      <c r="J242" s="33" t="s">
        <v>105</v>
      </c>
      <c r="K242" s="33" t="s">
        <v>28</v>
      </c>
      <c r="L242" s="33" t="s">
        <v>84</v>
      </c>
      <c r="M242" s="33" t="s">
        <v>42</v>
      </c>
      <c r="N242" s="33" t="s">
        <v>585</v>
      </c>
      <c r="O242" s="43">
        <v>918.12</v>
      </c>
      <c r="P242" s="44" t="str">
        <f t="shared" si="24"/>
        <v>High</v>
      </c>
      <c r="Q242" s="43">
        <v>1337.69</v>
      </c>
      <c r="R242" s="43">
        <v>9.5000000000000001E-2</v>
      </c>
      <c r="S242" s="43">
        <v>8</v>
      </c>
      <c r="T242" s="43">
        <f t="shared" si="21"/>
        <v>17830.4548</v>
      </c>
      <c r="U242" s="33">
        <f t="shared" si="22"/>
        <v>7344.96</v>
      </c>
      <c r="V242" s="43">
        <f t="shared" si="25"/>
        <v>10485.4948</v>
      </c>
      <c r="W242" s="45">
        <f t="shared" si="26"/>
        <v>0.58806659267042372</v>
      </c>
    </row>
    <row r="243" spans="1:23" x14ac:dyDescent="0.3">
      <c r="A243" s="34" t="s">
        <v>586</v>
      </c>
      <c r="B243" s="35">
        <v>45871</v>
      </c>
      <c r="C243" s="36">
        <v>45877</v>
      </c>
      <c r="D243" s="37">
        <f t="shared" si="27"/>
        <v>6</v>
      </c>
      <c r="E243" s="37" t="str">
        <f>TEXT(Data!B243,"MMM-YYYY")</f>
        <v>Aug-2025</v>
      </c>
      <c r="F243" s="37" t="str">
        <f t="shared" si="23"/>
        <v>Q3-2025</v>
      </c>
      <c r="G243" s="32" t="s">
        <v>45</v>
      </c>
      <c r="H243" s="32" t="s">
        <v>46</v>
      </c>
      <c r="I243" s="32" t="s">
        <v>47</v>
      </c>
      <c r="J243" s="32" t="s">
        <v>48</v>
      </c>
      <c r="K243" s="32" t="s">
        <v>98</v>
      </c>
      <c r="L243" s="32" t="s">
        <v>126</v>
      </c>
      <c r="M243" s="32" t="s">
        <v>57</v>
      </c>
      <c r="N243" s="32" t="s">
        <v>587</v>
      </c>
      <c r="O243" s="37">
        <v>1225.94</v>
      </c>
      <c r="P243" s="38" t="str">
        <f t="shared" si="24"/>
        <v>High</v>
      </c>
      <c r="Q243" s="37">
        <v>1793.08</v>
      </c>
      <c r="R243" s="37">
        <v>0.13600000000000001</v>
      </c>
      <c r="S243" s="37">
        <v>22</v>
      </c>
      <c r="T243" s="37">
        <f t="shared" si="21"/>
        <v>9431.7695999999996</v>
      </c>
      <c r="U243" s="32">
        <f t="shared" si="22"/>
        <v>26970.68</v>
      </c>
      <c r="V243" s="37">
        <f t="shared" si="25"/>
        <v>-17538.910400000001</v>
      </c>
      <c r="W243" s="39">
        <f t="shared" si="26"/>
        <v>-1.8595567050323198</v>
      </c>
    </row>
    <row r="244" spans="1:23" x14ac:dyDescent="0.3">
      <c r="A244" s="40" t="s">
        <v>588</v>
      </c>
      <c r="B244" s="41">
        <v>45630</v>
      </c>
      <c r="C244" s="42">
        <v>45638</v>
      </c>
      <c r="D244" s="43">
        <f t="shared" si="27"/>
        <v>8</v>
      </c>
      <c r="E244" s="43" t="str">
        <f>TEXT(Data!B244,"MMM-YYYY")</f>
        <v>Dec-2024</v>
      </c>
      <c r="F244" s="43" t="str">
        <f t="shared" si="23"/>
        <v>Q4-2024</v>
      </c>
      <c r="G244" s="33" t="s">
        <v>78</v>
      </c>
      <c r="H244" s="33" t="s">
        <v>79</v>
      </c>
      <c r="I244" s="33" t="s">
        <v>335</v>
      </c>
      <c r="J244" s="33" t="s">
        <v>105</v>
      </c>
      <c r="K244" s="33" t="s">
        <v>40</v>
      </c>
      <c r="L244" s="33" t="s">
        <v>56</v>
      </c>
      <c r="M244" s="33" t="s">
        <v>30</v>
      </c>
      <c r="N244" s="33" t="s">
        <v>589</v>
      </c>
      <c r="O244" s="43">
        <v>72.06</v>
      </c>
      <c r="P244" s="44" t="str">
        <f t="shared" si="24"/>
        <v>Medium</v>
      </c>
      <c r="Q244" s="43">
        <v>122.74</v>
      </c>
      <c r="R244" s="43">
        <v>0.23799999999999999</v>
      </c>
      <c r="S244" s="43">
        <v>8</v>
      </c>
      <c r="T244" s="43">
        <f t="shared" si="21"/>
        <v>5532.6686399999999</v>
      </c>
      <c r="U244" s="33">
        <f t="shared" si="22"/>
        <v>576.48</v>
      </c>
      <c r="V244" s="43">
        <f t="shared" si="25"/>
        <v>4956.1886400000003</v>
      </c>
      <c r="W244" s="45">
        <f t="shared" si="26"/>
        <v>0.89580435093615152</v>
      </c>
    </row>
    <row r="245" spans="1:23" x14ac:dyDescent="0.3">
      <c r="A245" s="34" t="s">
        <v>590</v>
      </c>
      <c r="B245" s="35">
        <v>45035</v>
      </c>
      <c r="C245" s="36">
        <v>45044</v>
      </c>
      <c r="D245" s="37">
        <f t="shared" si="27"/>
        <v>9</v>
      </c>
      <c r="E245" s="37" t="str">
        <f>TEXT(Data!B245,"MMM-YYYY")</f>
        <v>Apr-2023</v>
      </c>
      <c r="F245" s="37" t="str">
        <f t="shared" si="23"/>
        <v>Q2-2023</v>
      </c>
      <c r="G245" s="32" t="s">
        <v>52</v>
      </c>
      <c r="H245" s="32" t="s">
        <v>73</v>
      </c>
      <c r="I245" s="32" t="s">
        <v>225</v>
      </c>
      <c r="J245" s="32" t="s">
        <v>19</v>
      </c>
      <c r="K245" s="32" t="s">
        <v>55</v>
      </c>
      <c r="L245" s="32" t="s">
        <v>110</v>
      </c>
      <c r="M245" s="32" t="s">
        <v>42</v>
      </c>
      <c r="N245" s="32" t="s">
        <v>591</v>
      </c>
      <c r="O245" s="37">
        <v>1013.54</v>
      </c>
      <c r="P245" s="38" t="str">
        <f t="shared" si="24"/>
        <v>High</v>
      </c>
      <c r="Q245" s="37">
        <v>927.93</v>
      </c>
      <c r="R245" s="37">
        <v>0.17499999999999999</v>
      </c>
      <c r="S245" s="37">
        <v>16</v>
      </c>
      <c r="T245" s="37">
        <f t="shared" si="21"/>
        <v>4411.308</v>
      </c>
      <c r="U245" s="32">
        <f t="shared" si="22"/>
        <v>16216.64</v>
      </c>
      <c r="V245" s="37">
        <f t="shared" si="25"/>
        <v>-11805.331999999999</v>
      </c>
      <c r="W245" s="39">
        <f t="shared" si="26"/>
        <v>-2.6761522886182507</v>
      </c>
    </row>
    <row r="246" spans="1:23" x14ac:dyDescent="0.3">
      <c r="A246" s="40" t="s">
        <v>592</v>
      </c>
      <c r="B246" s="41">
        <v>45357</v>
      </c>
      <c r="C246" s="42">
        <v>45377</v>
      </c>
      <c r="D246" s="43">
        <f t="shared" si="27"/>
        <v>20</v>
      </c>
      <c r="E246" s="43" t="str">
        <f>TEXT(Data!B246,"MMM-YYYY")</f>
        <v>Mar-2024</v>
      </c>
      <c r="F246" s="43" t="str">
        <f t="shared" si="23"/>
        <v>Q1-2024</v>
      </c>
      <c r="G246" s="33" t="s">
        <v>16</v>
      </c>
      <c r="H246" s="33" t="s">
        <v>25</v>
      </c>
      <c r="I246" s="33" t="s">
        <v>26</v>
      </c>
      <c r="J246" s="33" t="s">
        <v>48</v>
      </c>
      <c r="K246" s="33" t="s">
        <v>40</v>
      </c>
      <c r="L246" s="33" t="s">
        <v>34</v>
      </c>
      <c r="M246" s="33" t="s">
        <v>42</v>
      </c>
      <c r="N246" s="33" t="s">
        <v>593</v>
      </c>
      <c r="O246" s="43">
        <v>65.64</v>
      </c>
      <c r="P246" s="44" t="str">
        <f t="shared" si="24"/>
        <v>Medium</v>
      </c>
      <c r="Q246" s="43">
        <v>151.88</v>
      </c>
      <c r="R246" s="43">
        <v>0.16700000000000001</v>
      </c>
      <c r="S246" s="43">
        <v>23</v>
      </c>
      <c r="T246" s="43">
        <f t="shared" si="21"/>
        <v>10322.677609999999</v>
      </c>
      <c r="U246" s="33">
        <f t="shared" si="22"/>
        <v>1509.72</v>
      </c>
      <c r="V246" s="43">
        <f t="shared" si="25"/>
        <v>8812.9576099999995</v>
      </c>
      <c r="W246" s="45">
        <f t="shared" si="26"/>
        <v>0.8537472488206479</v>
      </c>
    </row>
    <row r="247" spans="1:23" x14ac:dyDescent="0.3">
      <c r="A247" s="34" t="s">
        <v>594</v>
      </c>
      <c r="B247" s="35">
        <v>45338</v>
      </c>
      <c r="C247" s="36">
        <v>45355</v>
      </c>
      <c r="D247" s="37">
        <f t="shared" si="27"/>
        <v>17</v>
      </c>
      <c r="E247" s="37" t="str">
        <f>TEXT(Data!B247,"MMM-YYYY")</f>
        <v>Feb-2024</v>
      </c>
      <c r="F247" s="37" t="str">
        <f t="shared" si="23"/>
        <v>Q1-2024</v>
      </c>
      <c r="G247" s="32" t="s">
        <v>52</v>
      </c>
      <c r="H247" s="32" t="s">
        <v>53</v>
      </c>
      <c r="I247" s="32" t="s">
        <v>144</v>
      </c>
      <c r="J247" s="32" t="s">
        <v>39</v>
      </c>
      <c r="K247" s="32" t="s">
        <v>20</v>
      </c>
      <c r="L247" s="32" t="s">
        <v>145</v>
      </c>
      <c r="M247" s="32" t="s">
        <v>57</v>
      </c>
      <c r="N247" s="32" t="s">
        <v>595</v>
      </c>
      <c r="O247" s="37">
        <v>1350.98</v>
      </c>
      <c r="P247" s="38" t="str">
        <f t="shared" si="24"/>
        <v>High</v>
      </c>
      <c r="Q247" s="37">
        <v>2210.4</v>
      </c>
      <c r="R247" s="37">
        <v>0.26300000000000001</v>
      </c>
      <c r="S247" s="37">
        <v>6</v>
      </c>
      <c r="T247" s="37">
        <f t="shared" si="21"/>
        <v>6352.3798799999995</v>
      </c>
      <c r="U247" s="32">
        <f t="shared" si="22"/>
        <v>8105.88</v>
      </c>
      <c r="V247" s="37">
        <f t="shared" si="25"/>
        <v>-1753.5001200000006</v>
      </c>
      <c r="W247" s="39">
        <f t="shared" si="26"/>
        <v>-0.27603829637468102</v>
      </c>
    </row>
    <row r="248" spans="1:23" x14ac:dyDescent="0.3">
      <c r="A248" s="40" t="s">
        <v>596</v>
      </c>
      <c r="B248" s="41">
        <v>45769</v>
      </c>
      <c r="C248" s="42">
        <v>45779</v>
      </c>
      <c r="D248" s="43">
        <f t="shared" si="27"/>
        <v>10</v>
      </c>
      <c r="E248" s="43" t="str">
        <f>TEXT(Data!B248,"MMM-YYYY")</f>
        <v>Apr-2025</v>
      </c>
      <c r="F248" s="43" t="str">
        <f t="shared" si="23"/>
        <v>Q2-2025</v>
      </c>
      <c r="G248" s="33" t="s">
        <v>78</v>
      </c>
      <c r="H248" s="33" t="s">
        <v>79</v>
      </c>
      <c r="I248" s="33" t="s">
        <v>80</v>
      </c>
      <c r="J248" s="33" t="s">
        <v>19</v>
      </c>
      <c r="K248" s="33" t="s">
        <v>40</v>
      </c>
      <c r="L248" s="33" t="s">
        <v>21</v>
      </c>
      <c r="M248" s="33" t="s">
        <v>64</v>
      </c>
      <c r="N248" s="33" t="s">
        <v>597</v>
      </c>
      <c r="O248" s="43">
        <v>20.149999999999999</v>
      </c>
      <c r="P248" s="44" t="str">
        <f t="shared" si="24"/>
        <v>Low</v>
      </c>
      <c r="Q248" s="43">
        <v>39.74</v>
      </c>
      <c r="R248" s="43">
        <v>0.151</v>
      </c>
      <c r="S248" s="43">
        <v>18</v>
      </c>
      <c r="T248" s="43">
        <f t="shared" si="21"/>
        <v>26996.417099999999</v>
      </c>
      <c r="U248" s="33">
        <f t="shared" si="22"/>
        <v>362.7</v>
      </c>
      <c r="V248" s="43">
        <f t="shared" si="25"/>
        <v>26633.717099999998</v>
      </c>
      <c r="W248" s="45">
        <f t="shared" si="26"/>
        <v>0.98656488382675045</v>
      </c>
    </row>
    <row r="249" spans="1:23" x14ac:dyDescent="0.3">
      <c r="A249" s="34" t="s">
        <v>598</v>
      </c>
      <c r="B249" s="35">
        <v>45604</v>
      </c>
      <c r="C249" s="36">
        <v>45604</v>
      </c>
      <c r="D249" s="37">
        <f t="shared" si="27"/>
        <v>0</v>
      </c>
      <c r="E249" s="37" t="str">
        <f>TEXT(Data!B249,"MMM-YYYY")</f>
        <v>Nov-2024</v>
      </c>
      <c r="F249" s="37" t="str">
        <f t="shared" si="23"/>
        <v>Q4-2024</v>
      </c>
      <c r="G249" s="32" t="s">
        <v>16</v>
      </c>
      <c r="H249" s="32" t="s">
        <v>17</v>
      </c>
      <c r="I249" s="32" t="s">
        <v>135</v>
      </c>
      <c r="J249" s="32" t="s">
        <v>105</v>
      </c>
      <c r="K249" s="32" t="s">
        <v>40</v>
      </c>
      <c r="L249" s="32" t="s">
        <v>110</v>
      </c>
      <c r="M249" s="32" t="s">
        <v>35</v>
      </c>
      <c r="N249" s="32" t="s">
        <v>599</v>
      </c>
      <c r="O249" s="37">
        <v>803.28</v>
      </c>
      <c r="P249" s="38" t="str">
        <f t="shared" si="24"/>
        <v>High</v>
      </c>
      <c r="Q249" s="37">
        <v>1009</v>
      </c>
      <c r="R249" s="37">
        <v>0.11</v>
      </c>
      <c r="S249" s="37">
        <v>4</v>
      </c>
      <c r="T249" s="37">
        <f t="shared" si="21"/>
        <v>2237.6023999999998</v>
      </c>
      <c r="U249" s="32">
        <f t="shared" si="22"/>
        <v>3213.12</v>
      </c>
      <c r="V249" s="37">
        <f t="shared" si="25"/>
        <v>-975.51760000000013</v>
      </c>
      <c r="W249" s="39">
        <f t="shared" si="26"/>
        <v>-0.43596556743056775</v>
      </c>
    </row>
    <row r="250" spans="1:23" x14ac:dyDescent="0.3">
      <c r="A250" s="40" t="s">
        <v>600</v>
      </c>
      <c r="B250" s="41">
        <v>45912</v>
      </c>
      <c r="C250" s="42">
        <v>45930</v>
      </c>
      <c r="D250" s="43">
        <f t="shared" si="27"/>
        <v>18</v>
      </c>
      <c r="E250" s="43" t="str">
        <f>TEXT(Data!B250,"MMM-YYYY")</f>
        <v>Sep-2025</v>
      </c>
      <c r="F250" s="43" t="str">
        <f t="shared" si="23"/>
        <v>Q3-2025</v>
      </c>
      <c r="G250" s="33" t="s">
        <v>45</v>
      </c>
      <c r="H250" s="33" t="s">
        <v>46</v>
      </c>
      <c r="I250" s="33" t="s">
        <v>231</v>
      </c>
      <c r="J250" s="33" t="s">
        <v>39</v>
      </c>
      <c r="K250" s="33" t="s">
        <v>40</v>
      </c>
      <c r="L250" s="33" t="s">
        <v>84</v>
      </c>
      <c r="M250" s="33" t="s">
        <v>64</v>
      </c>
      <c r="N250" s="33" t="s">
        <v>601</v>
      </c>
      <c r="O250" s="43">
        <v>1212.99</v>
      </c>
      <c r="P250" s="44" t="str">
        <f t="shared" si="24"/>
        <v>High</v>
      </c>
      <c r="Q250" s="43">
        <v>1653.64</v>
      </c>
      <c r="R250" s="43">
        <v>0.107</v>
      </c>
      <c r="S250" s="43">
        <v>8</v>
      </c>
      <c r="T250" s="43">
        <f t="shared" si="21"/>
        <v>11792.958000000001</v>
      </c>
      <c r="U250" s="33">
        <f t="shared" si="22"/>
        <v>9703.92</v>
      </c>
      <c r="V250" s="43">
        <f t="shared" si="25"/>
        <v>2089.0380000000005</v>
      </c>
      <c r="W250" s="45">
        <f t="shared" si="26"/>
        <v>0.17714283388442495</v>
      </c>
    </row>
    <row r="251" spans="1:23" x14ac:dyDescent="0.3">
      <c r="A251" s="34" t="s">
        <v>602</v>
      </c>
      <c r="B251" s="35">
        <v>45537</v>
      </c>
      <c r="C251" s="36">
        <v>45543</v>
      </c>
      <c r="D251" s="37">
        <f t="shared" si="27"/>
        <v>6</v>
      </c>
      <c r="E251" s="37" t="str">
        <f>TEXT(Data!B251,"MMM-YYYY")</f>
        <v>Sep-2024</v>
      </c>
      <c r="F251" s="37" t="str">
        <f t="shared" si="23"/>
        <v>Q3-2024</v>
      </c>
      <c r="G251" s="32" t="s">
        <v>52</v>
      </c>
      <c r="H251" s="32" t="s">
        <v>122</v>
      </c>
      <c r="I251" s="32" t="s">
        <v>326</v>
      </c>
      <c r="J251" s="32" t="s">
        <v>48</v>
      </c>
      <c r="K251" s="32" t="s">
        <v>98</v>
      </c>
      <c r="L251" s="32" t="s">
        <v>92</v>
      </c>
      <c r="M251" s="32" t="s">
        <v>22</v>
      </c>
      <c r="N251" s="32" t="s">
        <v>603</v>
      </c>
      <c r="O251" s="37">
        <v>462.94</v>
      </c>
      <c r="P251" s="38" t="str">
        <f t="shared" si="24"/>
        <v>High</v>
      </c>
      <c r="Q251" s="37">
        <v>1015.7</v>
      </c>
      <c r="R251" s="37">
        <v>0.14299999999999999</v>
      </c>
      <c r="S251" s="37">
        <v>14</v>
      </c>
      <c r="T251" s="37">
        <f t="shared" si="21"/>
        <v>26961.185719999998</v>
      </c>
      <c r="U251" s="32">
        <f t="shared" si="22"/>
        <v>6481.16</v>
      </c>
      <c r="V251" s="37">
        <f t="shared" si="25"/>
        <v>20480.025719999998</v>
      </c>
      <c r="W251" s="39">
        <f t="shared" si="26"/>
        <v>0.75961146266678359</v>
      </c>
    </row>
    <row r="252" spans="1:23" x14ac:dyDescent="0.3">
      <c r="A252" s="40" t="s">
        <v>604</v>
      </c>
      <c r="B252" s="41">
        <v>44989</v>
      </c>
      <c r="C252" s="42">
        <v>45009</v>
      </c>
      <c r="D252" s="43">
        <f t="shared" si="27"/>
        <v>20</v>
      </c>
      <c r="E252" s="43" t="str">
        <f>TEXT(Data!B252,"MMM-YYYY")</f>
        <v>Mar-2023</v>
      </c>
      <c r="F252" s="43" t="str">
        <f t="shared" si="23"/>
        <v>Q1-2023</v>
      </c>
      <c r="G252" s="33" t="s">
        <v>52</v>
      </c>
      <c r="H252" s="33" t="s">
        <v>53</v>
      </c>
      <c r="I252" s="33" t="s">
        <v>144</v>
      </c>
      <c r="J252" s="33" t="s">
        <v>48</v>
      </c>
      <c r="K252" s="33" t="s">
        <v>55</v>
      </c>
      <c r="L252" s="33" t="s">
        <v>34</v>
      </c>
      <c r="M252" s="33" t="s">
        <v>57</v>
      </c>
      <c r="N252" s="33" t="s">
        <v>605</v>
      </c>
      <c r="O252" s="43">
        <v>481.71</v>
      </c>
      <c r="P252" s="44" t="str">
        <f t="shared" si="24"/>
        <v>High</v>
      </c>
      <c r="Q252" s="43">
        <v>912.45</v>
      </c>
      <c r="R252" s="43">
        <v>0.20300000000000001</v>
      </c>
      <c r="S252" s="43">
        <v>24</v>
      </c>
      <c r="T252" s="43">
        <f t="shared" si="21"/>
        <v>17084.938320000001</v>
      </c>
      <c r="U252" s="33">
        <f t="shared" si="22"/>
        <v>11561.039999999999</v>
      </c>
      <c r="V252" s="43">
        <f t="shared" si="25"/>
        <v>5523.8983200000021</v>
      </c>
      <c r="W252" s="45">
        <f t="shared" si="26"/>
        <v>0.3233197695266834</v>
      </c>
    </row>
    <row r="253" spans="1:23" x14ac:dyDescent="0.3">
      <c r="A253" s="34" t="s">
        <v>606</v>
      </c>
      <c r="B253" s="35">
        <v>45366</v>
      </c>
      <c r="C253" s="36">
        <v>45391</v>
      </c>
      <c r="D253" s="37">
        <f t="shared" si="27"/>
        <v>25</v>
      </c>
      <c r="E253" s="37" t="str">
        <f>TEXT(Data!B253,"MMM-YYYY")</f>
        <v>Mar-2024</v>
      </c>
      <c r="F253" s="37" t="str">
        <f t="shared" si="23"/>
        <v>Q1-2024</v>
      </c>
      <c r="G253" s="32" t="s">
        <v>52</v>
      </c>
      <c r="H253" s="32" t="s">
        <v>53</v>
      </c>
      <c r="I253" s="32" t="s">
        <v>179</v>
      </c>
      <c r="J253" s="32" t="s">
        <v>48</v>
      </c>
      <c r="K253" s="32" t="s">
        <v>28</v>
      </c>
      <c r="L253" s="32" t="s">
        <v>84</v>
      </c>
      <c r="M253" s="32" t="s">
        <v>64</v>
      </c>
      <c r="N253" s="32" t="s">
        <v>607</v>
      </c>
      <c r="O253" s="37">
        <v>648.64</v>
      </c>
      <c r="P253" s="38" t="str">
        <f t="shared" si="24"/>
        <v>High</v>
      </c>
      <c r="Q253" s="37">
        <v>815.19</v>
      </c>
      <c r="R253" s="37">
        <v>0.22500000000000001</v>
      </c>
      <c r="S253" s="37">
        <v>28</v>
      </c>
      <c r="T253" s="37">
        <f t="shared" si="21"/>
        <v>50537.130000000005</v>
      </c>
      <c r="U253" s="32">
        <f t="shared" si="22"/>
        <v>18161.919999999998</v>
      </c>
      <c r="V253" s="37">
        <f t="shared" si="25"/>
        <v>32375.210000000006</v>
      </c>
      <c r="W253" s="39">
        <f t="shared" si="26"/>
        <v>0.64062225140208795</v>
      </c>
    </row>
    <row r="254" spans="1:23" x14ac:dyDescent="0.3">
      <c r="A254" s="40" t="s">
        <v>608</v>
      </c>
      <c r="B254" s="41">
        <v>45502</v>
      </c>
      <c r="C254" s="42">
        <v>45504</v>
      </c>
      <c r="D254" s="43">
        <f t="shared" si="27"/>
        <v>2</v>
      </c>
      <c r="E254" s="43" t="str">
        <f>TEXT(Data!B254,"MMM-YYYY")</f>
        <v>Jul-2024</v>
      </c>
      <c r="F254" s="43" t="str">
        <f t="shared" si="23"/>
        <v>Q3-2024</v>
      </c>
      <c r="G254" s="33" t="s">
        <v>52</v>
      </c>
      <c r="H254" s="33" t="s">
        <v>122</v>
      </c>
      <c r="I254" s="33" t="s">
        <v>387</v>
      </c>
      <c r="J254" s="33" t="s">
        <v>27</v>
      </c>
      <c r="K254" s="33" t="s">
        <v>40</v>
      </c>
      <c r="L254" s="33" t="s">
        <v>34</v>
      </c>
      <c r="M254" s="33" t="s">
        <v>30</v>
      </c>
      <c r="N254" s="33" t="s">
        <v>609</v>
      </c>
      <c r="O254" s="43">
        <v>798.97</v>
      </c>
      <c r="P254" s="44" t="str">
        <f t="shared" si="24"/>
        <v>High</v>
      </c>
      <c r="Q254" s="43">
        <v>1814.06</v>
      </c>
      <c r="R254" s="43">
        <v>0.122</v>
      </c>
      <c r="S254" s="43">
        <v>16</v>
      </c>
      <c r="T254" s="43">
        <f t="shared" si="21"/>
        <v>29033.704000000002</v>
      </c>
      <c r="U254" s="33">
        <f t="shared" si="22"/>
        <v>12783.52</v>
      </c>
      <c r="V254" s="43">
        <f t="shared" si="25"/>
        <v>16250.184000000001</v>
      </c>
      <c r="W254" s="45">
        <f t="shared" si="26"/>
        <v>0.55970068441835741</v>
      </c>
    </row>
    <row r="255" spans="1:23" x14ac:dyDescent="0.3">
      <c r="A255" s="34" t="s">
        <v>610</v>
      </c>
      <c r="B255" s="35">
        <v>45592</v>
      </c>
      <c r="C255" s="36">
        <v>45616</v>
      </c>
      <c r="D255" s="37">
        <f t="shared" si="27"/>
        <v>24</v>
      </c>
      <c r="E255" s="37" t="str">
        <f>TEXT(Data!B255,"MMM-YYYY")</f>
        <v>Oct-2024</v>
      </c>
      <c r="F255" s="37" t="str">
        <f t="shared" si="23"/>
        <v>Q4-2024</v>
      </c>
      <c r="G255" s="32" t="s">
        <v>45</v>
      </c>
      <c r="H255" s="32" t="s">
        <v>46</v>
      </c>
      <c r="I255" s="32" t="s">
        <v>231</v>
      </c>
      <c r="J255" s="32" t="s">
        <v>39</v>
      </c>
      <c r="K255" s="32" t="s">
        <v>28</v>
      </c>
      <c r="L255" s="32" t="s">
        <v>92</v>
      </c>
      <c r="M255" s="32" t="s">
        <v>64</v>
      </c>
      <c r="N255" s="32" t="s">
        <v>611</v>
      </c>
      <c r="O255" s="37">
        <v>317.25</v>
      </c>
      <c r="P255" s="38" t="str">
        <f t="shared" si="24"/>
        <v>High</v>
      </c>
      <c r="Q255" s="37">
        <v>758.92</v>
      </c>
      <c r="R255" s="37">
        <v>5.2999999999999999E-2</v>
      </c>
      <c r="S255" s="37">
        <v>9</v>
      </c>
      <c r="T255" s="37">
        <f t="shared" si="21"/>
        <v>18599.828130000002</v>
      </c>
      <c r="U255" s="32">
        <f t="shared" si="22"/>
        <v>2855.25</v>
      </c>
      <c r="V255" s="37">
        <f t="shared" si="25"/>
        <v>15744.578130000002</v>
      </c>
      <c r="W255" s="39">
        <f t="shared" si="26"/>
        <v>0.84649051700672895</v>
      </c>
    </row>
    <row r="256" spans="1:23" x14ac:dyDescent="0.3">
      <c r="A256" s="40" t="s">
        <v>612</v>
      </c>
      <c r="B256" s="41">
        <v>45411</v>
      </c>
      <c r="C256" s="42">
        <v>45431</v>
      </c>
      <c r="D256" s="43">
        <f t="shared" si="27"/>
        <v>20</v>
      </c>
      <c r="E256" s="43" t="str">
        <f>TEXT(Data!B256,"MMM-YYYY")</f>
        <v>Apr-2024</v>
      </c>
      <c r="F256" s="43" t="str">
        <f t="shared" si="23"/>
        <v>Q2-2024</v>
      </c>
      <c r="G256" s="33" t="s">
        <v>78</v>
      </c>
      <c r="H256" s="33" t="s">
        <v>79</v>
      </c>
      <c r="I256" s="33" t="s">
        <v>335</v>
      </c>
      <c r="J256" s="33" t="s">
        <v>105</v>
      </c>
      <c r="K256" s="33" t="s">
        <v>40</v>
      </c>
      <c r="L256" s="33" t="s">
        <v>21</v>
      </c>
      <c r="M256" s="33" t="s">
        <v>57</v>
      </c>
      <c r="N256" s="33" t="s">
        <v>613</v>
      </c>
      <c r="O256" s="43">
        <v>668.97</v>
      </c>
      <c r="P256" s="44" t="str">
        <f t="shared" si="24"/>
        <v>High</v>
      </c>
      <c r="Q256" s="43">
        <v>1667.44</v>
      </c>
      <c r="R256" s="43">
        <v>3.4000000000000002E-2</v>
      </c>
      <c r="S256" s="43">
        <v>15</v>
      </c>
      <c r="T256" s="43">
        <f t="shared" si="21"/>
        <v>39508.723799999992</v>
      </c>
      <c r="U256" s="33">
        <f t="shared" si="22"/>
        <v>10034.550000000001</v>
      </c>
      <c r="V256" s="43">
        <f t="shared" si="25"/>
        <v>29474.17379999999</v>
      </c>
      <c r="W256" s="45">
        <f t="shared" si="26"/>
        <v>0.74601685311839905</v>
      </c>
    </row>
    <row r="257" spans="1:23" x14ac:dyDescent="0.3">
      <c r="A257" s="34" t="s">
        <v>614</v>
      </c>
      <c r="B257" s="35">
        <v>45204</v>
      </c>
      <c r="C257" s="36">
        <v>45205</v>
      </c>
      <c r="D257" s="37">
        <f t="shared" si="27"/>
        <v>1</v>
      </c>
      <c r="E257" s="37" t="str">
        <f>TEXT(Data!B257,"MMM-YYYY")</f>
        <v>Oct-2023</v>
      </c>
      <c r="F257" s="37" t="str">
        <f t="shared" si="23"/>
        <v>Q4-2023</v>
      </c>
      <c r="G257" s="32" t="s">
        <v>45</v>
      </c>
      <c r="H257" s="32" t="s">
        <v>60</v>
      </c>
      <c r="I257" s="32" t="s">
        <v>61</v>
      </c>
      <c r="J257" s="32" t="s">
        <v>39</v>
      </c>
      <c r="K257" s="32" t="s">
        <v>28</v>
      </c>
      <c r="L257" s="32" t="s">
        <v>34</v>
      </c>
      <c r="M257" s="32" t="s">
        <v>22</v>
      </c>
      <c r="N257" s="32" t="s">
        <v>615</v>
      </c>
      <c r="O257" s="37">
        <v>1470.26</v>
      </c>
      <c r="P257" s="38" t="str">
        <f t="shared" si="24"/>
        <v>High</v>
      </c>
      <c r="Q257" s="37">
        <v>2562.5500000000002</v>
      </c>
      <c r="R257" s="37">
        <v>0.17299999999999999</v>
      </c>
      <c r="S257" s="37">
        <v>9</v>
      </c>
      <c r="T257" s="37">
        <f t="shared" ref="T257:T320" si="28">(Q283*S257)*(1-R257)</f>
        <v>828.33146999999997</v>
      </c>
      <c r="U257" s="32">
        <f t="shared" ref="U257:U320" si="29">(O257*S257)</f>
        <v>13232.34</v>
      </c>
      <c r="V257" s="37">
        <f t="shared" si="25"/>
        <v>-12404.008530000001</v>
      </c>
      <c r="W257" s="39">
        <f t="shared" si="26"/>
        <v>-14.974691870634834</v>
      </c>
    </row>
    <row r="258" spans="1:23" x14ac:dyDescent="0.3">
      <c r="A258" s="40" t="s">
        <v>616</v>
      </c>
      <c r="B258" s="41">
        <v>45035</v>
      </c>
      <c r="C258" s="42">
        <v>45053</v>
      </c>
      <c r="D258" s="43">
        <f t="shared" si="27"/>
        <v>18</v>
      </c>
      <c r="E258" s="43" t="str">
        <f>TEXT(Data!B258,"MMM-YYYY")</f>
        <v>Apr-2023</v>
      </c>
      <c r="F258" s="43" t="str">
        <f t="shared" ref="F258:F321" si="30">"Q"&amp;ROUNDUP(MONTH(B258)/3,0)&amp;"-"&amp;YEAR(B258)</f>
        <v>Q2-2023</v>
      </c>
      <c r="G258" s="33" t="s">
        <v>78</v>
      </c>
      <c r="H258" s="33" t="s">
        <v>108</v>
      </c>
      <c r="I258" s="33" t="s">
        <v>152</v>
      </c>
      <c r="J258" s="33" t="s">
        <v>39</v>
      </c>
      <c r="K258" s="33" t="s">
        <v>98</v>
      </c>
      <c r="L258" s="33" t="s">
        <v>92</v>
      </c>
      <c r="M258" s="33" t="s">
        <v>35</v>
      </c>
      <c r="N258" s="33" t="s">
        <v>617</v>
      </c>
      <c r="O258" s="43">
        <v>516.96</v>
      </c>
      <c r="P258" s="44" t="str">
        <f t="shared" ref="P258:P321" si="31">IF(Q258&lt;50, "Low", IF(Q258&lt;200, "Medium", "High"))</f>
        <v>High</v>
      </c>
      <c r="Q258" s="43">
        <v>745.38</v>
      </c>
      <c r="R258" s="43">
        <v>0.19700000000000001</v>
      </c>
      <c r="S258" s="43">
        <v>4</v>
      </c>
      <c r="T258" s="43">
        <f t="shared" si="28"/>
        <v>3533.4890799999994</v>
      </c>
      <c r="U258" s="33">
        <f t="shared" si="29"/>
        <v>2067.84</v>
      </c>
      <c r="V258" s="43">
        <f t="shared" ref="V258:V321" si="32">(T258-U258)</f>
        <v>1465.6490799999992</v>
      </c>
      <c r="W258" s="45">
        <f t="shared" ref="W258:W321" si="33">IF(T258=0, 0, V258/T258)</f>
        <v>0.41478805985159561</v>
      </c>
    </row>
    <row r="259" spans="1:23" x14ac:dyDescent="0.3">
      <c r="A259" s="34" t="s">
        <v>618</v>
      </c>
      <c r="B259" s="35">
        <v>45835</v>
      </c>
      <c r="C259" s="36">
        <v>45843</v>
      </c>
      <c r="D259" s="37">
        <f t="shared" ref="D259:D321" si="34">DATEDIF(B259,C259, "MD")</f>
        <v>8</v>
      </c>
      <c r="E259" s="37" t="str">
        <f>TEXT(Data!B259,"MMM-YYYY")</f>
        <v>Jun-2025</v>
      </c>
      <c r="F259" s="37" t="str">
        <f t="shared" si="30"/>
        <v>Q2-2025</v>
      </c>
      <c r="G259" s="32" t="s">
        <v>78</v>
      </c>
      <c r="H259" s="32" t="s">
        <v>79</v>
      </c>
      <c r="I259" s="32" t="s">
        <v>159</v>
      </c>
      <c r="J259" s="32" t="s">
        <v>62</v>
      </c>
      <c r="K259" s="32" t="s">
        <v>98</v>
      </c>
      <c r="L259" s="32" t="s">
        <v>41</v>
      </c>
      <c r="M259" s="32" t="s">
        <v>64</v>
      </c>
      <c r="N259" s="32" t="s">
        <v>619</v>
      </c>
      <c r="O259" s="37">
        <v>314.93</v>
      </c>
      <c r="P259" s="38" t="str">
        <f t="shared" si="31"/>
        <v>High</v>
      </c>
      <c r="Q259" s="37">
        <v>687.95</v>
      </c>
      <c r="R259" s="37">
        <v>0.20499999999999999</v>
      </c>
      <c r="S259" s="37">
        <v>8</v>
      </c>
      <c r="T259" s="37">
        <f t="shared" si="28"/>
        <v>9725.3304000000007</v>
      </c>
      <c r="U259" s="32">
        <f t="shared" si="29"/>
        <v>2519.44</v>
      </c>
      <c r="V259" s="37">
        <f t="shared" si="32"/>
        <v>7205.8904000000002</v>
      </c>
      <c r="W259" s="39">
        <f t="shared" si="33"/>
        <v>0.74094042090333501</v>
      </c>
    </row>
    <row r="260" spans="1:23" x14ac:dyDescent="0.3">
      <c r="A260" s="40" t="s">
        <v>620</v>
      </c>
      <c r="B260" s="41">
        <v>45210</v>
      </c>
      <c r="C260" s="42">
        <v>45212</v>
      </c>
      <c r="D260" s="43">
        <f t="shared" si="34"/>
        <v>2</v>
      </c>
      <c r="E260" s="43" t="str">
        <f>TEXT(Data!B260,"MMM-YYYY")</f>
        <v>Oct-2023</v>
      </c>
      <c r="F260" s="43" t="str">
        <f t="shared" si="30"/>
        <v>Q4-2023</v>
      </c>
      <c r="G260" s="33" t="s">
        <v>52</v>
      </c>
      <c r="H260" s="33" t="s">
        <v>73</v>
      </c>
      <c r="I260" s="33" t="s">
        <v>87</v>
      </c>
      <c r="J260" s="33" t="s">
        <v>48</v>
      </c>
      <c r="K260" s="33" t="s">
        <v>55</v>
      </c>
      <c r="L260" s="33" t="s">
        <v>1364</v>
      </c>
      <c r="M260" s="33" t="s">
        <v>81</v>
      </c>
      <c r="N260" s="33" t="s">
        <v>621</v>
      </c>
      <c r="O260" s="43">
        <v>715.94</v>
      </c>
      <c r="P260" s="44" t="str">
        <f t="shared" si="31"/>
        <v>High</v>
      </c>
      <c r="Q260" s="43">
        <v>550.07000000000005</v>
      </c>
      <c r="R260" s="43">
        <v>0.14000000000000001</v>
      </c>
      <c r="S260" s="43">
        <v>16</v>
      </c>
      <c r="T260" s="43">
        <f t="shared" si="28"/>
        <v>10026.7744</v>
      </c>
      <c r="U260" s="33">
        <f t="shared" si="29"/>
        <v>11455.04</v>
      </c>
      <c r="V260" s="43">
        <f t="shared" si="32"/>
        <v>-1428.2656000000006</v>
      </c>
      <c r="W260" s="45">
        <f t="shared" si="33"/>
        <v>-0.14244517159975201</v>
      </c>
    </row>
    <row r="261" spans="1:23" x14ac:dyDescent="0.3">
      <c r="A261" s="34" t="s">
        <v>622</v>
      </c>
      <c r="B261" s="35">
        <v>45066</v>
      </c>
      <c r="C261" s="36">
        <v>45084</v>
      </c>
      <c r="D261" s="37">
        <f t="shared" si="34"/>
        <v>18</v>
      </c>
      <c r="E261" s="37" t="str">
        <f>TEXT(Data!B261,"MMM-YYYY")</f>
        <v>May-2023</v>
      </c>
      <c r="F261" s="37" t="str">
        <f t="shared" si="30"/>
        <v>Q2-2023</v>
      </c>
      <c r="G261" s="32" t="s">
        <v>16</v>
      </c>
      <c r="H261" s="32" t="s">
        <v>25</v>
      </c>
      <c r="I261" s="32" t="s">
        <v>26</v>
      </c>
      <c r="J261" s="32" t="s">
        <v>105</v>
      </c>
      <c r="K261" s="32" t="s">
        <v>55</v>
      </c>
      <c r="L261" s="32" t="s">
        <v>63</v>
      </c>
      <c r="M261" s="32" t="s">
        <v>22</v>
      </c>
      <c r="N261" s="32" t="s">
        <v>623</v>
      </c>
      <c r="O261" s="37">
        <v>1120.06</v>
      </c>
      <c r="P261" s="38" t="str">
        <f t="shared" si="31"/>
        <v>High</v>
      </c>
      <c r="Q261" s="37">
        <v>2068.21</v>
      </c>
      <c r="R261" s="37">
        <v>7.8E-2</v>
      </c>
      <c r="S261" s="37">
        <v>12</v>
      </c>
      <c r="T261" s="37">
        <f t="shared" si="28"/>
        <v>69.481920000000002</v>
      </c>
      <c r="U261" s="32">
        <f t="shared" si="29"/>
        <v>13440.72</v>
      </c>
      <c r="V261" s="37">
        <f t="shared" si="32"/>
        <v>-13371.238079999999</v>
      </c>
      <c r="W261" s="39">
        <f t="shared" si="33"/>
        <v>-192.44197742376721</v>
      </c>
    </row>
    <row r="262" spans="1:23" x14ac:dyDescent="0.3">
      <c r="A262" s="40" t="s">
        <v>624</v>
      </c>
      <c r="B262" s="41">
        <v>45073</v>
      </c>
      <c r="C262" s="42">
        <v>45096</v>
      </c>
      <c r="D262" s="43">
        <f t="shared" si="34"/>
        <v>23</v>
      </c>
      <c r="E262" s="43" t="str">
        <f>TEXT(Data!B262,"MMM-YYYY")</f>
        <v>May-2023</v>
      </c>
      <c r="F262" s="43" t="str">
        <f t="shared" si="30"/>
        <v>Q2-2023</v>
      </c>
      <c r="G262" s="33" t="s">
        <v>78</v>
      </c>
      <c r="H262" s="33" t="s">
        <v>79</v>
      </c>
      <c r="I262" s="33" t="s">
        <v>80</v>
      </c>
      <c r="J262" s="33" t="s">
        <v>27</v>
      </c>
      <c r="K262" s="33" t="s">
        <v>20</v>
      </c>
      <c r="L262" s="33" t="s">
        <v>68</v>
      </c>
      <c r="M262" s="33" t="s">
        <v>81</v>
      </c>
      <c r="N262" s="33" t="s">
        <v>625</v>
      </c>
      <c r="O262" s="43">
        <v>1471.58</v>
      </c>
      <c r="P262" s="44" t="str">
        <f t="shared" si="31"/>
        <v>High</v>
      </c>
      <c r="Q262" s="43">
        <v>2576.65</v>
      </c>
      <c r="R262" s="43">
        <v>4.0000000000000001E-3</v>
      </c>
      <c r="S262" s="43">
        <v>7</v>
      </c>
      <c r="T262" s="43">
        <f t="shared" si="28"/>
        <v>17916.436439999998</v>
      </c>
      <c r="U262" s="33">
        <f t="shared" si="29"/>
        <v>10301.06</v>
      </c>
      <c r="V262" s="43">
        <f t="shared" si="32"/>
        <v>7615.3764399999982</v>
      </c>
      <c r="W262" s="45">
        <f t="shared" si="33"/>
        <v>0.42504972824830334</v>
      </c>
    </row>
    <row r="263" spans="1:23" x14ac:dyDescent="0.3">
      <c r="A263" s="34" t="s">
        <v>626</v>
      </c>
      <c r="B263" s="35">
        <v>45142</v>
      </c>
      <c r="C263" s="36">
        <v>45162</v>
      </c>
      <c r="D263" s="37">
        <f t="shared" si="34"/>
        <v>20</v>
      </c>
      <c r="E263" s="37" t="str">
        <f>TEXT(Data!B263,"MMM-YYYY")</f>
        <v>Aug-2023</v>
      </c>
      <c r="F263" s="37" t="str">
        <f t="shared" si="30"/>
        <v>Q3-2023</v>
      </c>
      <c r="G263" s="32" t="s">
        <v>52</v>
      </c>
      <c r="H263" s="32" t="s">
        <v>73</v>
      </c>
      <c r="I263" s="32" t="s">
        <v>87</v>
      </c>
      <c r="J263" s="32" t="s">
        <v>39</v>
      </c>
      <c r="K263" s="32" t="s">
        <v>98</v>
      </c>
      <c r="L263" s="32" t="s">
        <v>1364</v>
      </c>
      <c r="M263" s="32" t="s">
        <v>35</v>
      </c>
      <c r="N263" s="32" t="s">
        <v>627</v>
      </c>
      <c r="O263" s="37">
        <v>582.88</v>
      </c>
      <c r="P263" s="38" t="str">
        <f t="shared" si="31"/>
        <v>High</v>
      </c>
      <c r="Q263" s="37">
        <v>1044.1400000000001</v>
      </c>
      <c r="R263" s="37">
        <v>0.216</v>
      </c>
      <c r="S263" s="37">
        <v>10</v>
      </c>
      <c r="T263" s="37">
        <f t="shared" si="28"/>
        <v>12481.436800000001</v>
      </c>
      <c r="U263" s="32">
        <f t="shared" si="29"/>
        <v>5828.8</v>
      </c>
      <c r="V263" s="37">
        <f t="shared" si="32"/>
        <v>6652.6368000000011</v>
      </c>
      <c r="W263" s="39">
        <f t="shared" si="33"/>
        <v>0.53300248253470306</v>
      </c>
    </row>
    <row r="264" spans="1:23" x14ac:dyDescent="0.3">
      <c r="A264" s="40" t="s">
        <v>628</v>
      </c>
      <c r="B264" s="41">
        <v>45829</v>
      </c>
      <c r="C264" s="42">
        <v>45835</v>
      </c>
      <c r="D264" s="43">
        <f t="shared" si="34"/>
        <v>6</v>
      </c>
      <c r="E264" s="43" t="str">
        <f>TEXT(Data!B264,"MMM-YYYY")</f>
        <v>Jun-2025</v>
      </c>
      <c r="F264" s="43" t="str">
        <f t="shared" si="30"/>
        <v>Q2-2025</v>
      </c>
      <c r="G264" s="33" t="s">
        <v>16</v>
      </c>
      <c r="H264" s="33" t="s">
        <v>148</v>
      </c>
      <c r="I264" s="33" t="s">
        <v>172</v>
      </c>
      <c r="J264" s="33" t="s">
        <v>105</v>
      </c>
      <c r="K264" s="33" t="s">
        <v>55</v>
      </c>
      <c r="L264" s="33" t="s">
        <v>126</v>
      </c>
      <c r="M264" s="33" t="s">
        <v>42</v>
      </c>
      <c r="N264" s="33" t="s">
        <v>629</v>
      </c>
      <c r="O264" s="43">
        <v>93.91</v>
      </c>
      <c r="P264" s="44" t="str">
        <f t="shared" si="31"/>
        <v>Medium</v>
      </c>
      <c r="Q264" s="43">
        <v>99.04</v>
      </c>
      <c r="R264" s="43">
        <v>5.7000000000000002E-2</v>
      </c>
      <c r="S264" s="43">
        <v>6</v>
      </c>
      <c r="T264" s="43">
        <f t="shared" si="28"/>
        <v>5632.3692599999995</v>
      </c>
      <c r="U264" s="33">
        <f t="shared" si="29"/>
        <v>563.46</v>
      </c>
      <c r="V264" s="43">
        <f t="shared" si="32"/>
        <v>5068.9092599999994</v>
      </c>
      <c r="W264" s="45">
        <f t="shared" si="33"/>
        <v>0.89996039428707486</v>
      </c>
    </row>
    <row r="265" spans="1:23" x14ac:dyDescent="0.3">
      <c r="A265" s="34" t="s">
        <v>630</v>
      </c>
      <c r="B265" s="35">
        <v>45763</v>
      </c>
      <c r="C265" s="36">
        <v>45773</v>
      </c>
      <c r="D265" s="37">
        <f t="shared" si="34"/>
        <v>10</v>
      </c>
      <c r="E265" s="37" t="str">
        <f>TEXT(Data!B265,"MMM-YYYY")</f>
        <v>Apr-2025</v>
      </c>
      <c r="F265" s="37" t="str">
        <f t="shared" si="30"/>
        <v>Q2-2025</v>
      </c>
      <c r="G265" s="32" t="s">
        <v>16</v>
      </c>
      <c r="H265" s="32" t="s">
        <v>25</v>
      </c>
      <c r="I265" s="32" t="s">
        <v>26</v>
      </c>
      <c r="J265" s="32" t="s">
        <v>105</v>
      </c>
      <c r="K265" s="32" t="s">
        <v>40</v>
      </c>
      <c r="L265" s="32" t="s">
        <v>84</v>
      </c>
      <c r="M265" s="32" t="s">
        <v>57</v>
      </c>
      <c r="N265" s="32" t="s">
        <v>631</v>
      </c>
      <c r="O265" s="37">
        <v>1457.44</v>
      </c>
      <c r="P265" s="38" t="str">
        <f t="shared" si="31"/>
        <v>High</v>
      </c>
      <c r="Q265" s="37">
        <v>1996.81</v>
      </c>
      <c r="R265" s="37">
        <v>0.126</v>
      </c>
      <c r="S265" s="37">
        <v>23</v>
      </c>
      <c r="T265" s="37">
        <f t="shared" si="28"/>
        <v>24932.711619999998</v>
      </c>
      <c r="U265" s="32">
        <f t="shared" si="29"/>
        <v>33521.120000000003</v>
      </c>
      <c r="V265" s="37">
        <f t="shared" si="32"/>
        <v>-8588.4083800000044</v>
      </c>
      <c r="W265" s="39">
        <f t="shared" si="33"/>
        <v>-0.3444634707566559</v>
      </c>
    </row>
    <row r="266" spans="1:23" x14ac:dyDescent="0.3">
      <c r="A266" s="40" t="s">
        <v>632</v>
      </c>
      <c r="B266" s="41">
        <v>45902</v>
      </c>
      <c r="C266" s="42">
        <v>45911</v>
      </c>
      <c r="D266" s="43">
        <f t="shared" si="34"/>
        <v>9</v>
      </c>
      <c r="E266" s="43" t="str">
        <f>TEXT(Data!B266,"MMM-YYYY")</f>
        <v>Sep-2025</v>
      </c>
      <c r="F266" s="43" t="str">
        <f t="shared" si="30"/>
        <v>Q3-2025</v>
      </c>
      <c r="G266" s="33" t="s">
        <v>52</v>
      </c>
      <c r="H266" s="33" t="s">
        <v>53</v>
      </c>
      <c r="I266" s="33" t="s">
        <v>54</v>
      </c>
      <c r="J266" s="33" t="s">
        <v>19</v>
      </c>
      <c r="K266" s="33" t="s">
        <v>55</v>
      </c>
      <c r="L266" s="33" t="s">
        <v>110</v>
      </c>
      <c r="M266" s="33" t="s">
        <v>30</v>
      </c>
      <c r="N266" s="33" t="s">
        <v>633</v>
      </c>
      <c r="O266" s="43">
        <v>1207.6300000000001</v>
      </c>
      <c r="P266" s="44" t="str">
        <f t="shared" si="31"/>
        <v>High</v>
      </c>
      <c r="Q266" s="43">
        <v>921.68</v>
      </c>
      <c r="R266" s="43">
        <v>0.19600000000000001</v>
      </c>
      <c r="S266" s="43">
        <v>17</v>
      </c>
      <c r="T266" s="43">
        <f t="shared" si="28"/>
        <v>1617.8811600000001</v>
      </c>
      <c r="U266" s="33">
        <f t="shared" si="29"/>
        <v>20529.710000000003</v>
      </c>
      <c r="V266" s="43">
        <f t="shared" si="32"/>
        <v>-18911.828840000002</v>
      </c>
      <c r="W266" s="45">
        <f t="shared" si="33"/>
        <v>-11.689257102171831</v>
      </c>
    </row>
    <row r="267" spans="1:23" x14ac:dyDescent="0.3">
      <c r="A267" s="34" t="s">
        <v>634</v>
      </c>
      <c r="B267" s="35">
        <v>45573</v>
      </c>
      <c r="C267" s="36">
        <v>45573</v>
      </c>
      <c r="D267" s="37">
        <f t="shared" si="34"/>
        <v>0</v>
      </c>
      <c r="E267" s="37" t="str">
        <f>TEXT(Data!B267,"MMM-YYYY")</f>
        <v>Oct-2024</v>
      </c>
      <c r="F267" s="37" t="str">
        <f t="shared" si="30"/>
        <v>Q4-2024</v>
      </c>
      <c r="G267" s="32" t="s">
        <v>78</v>
      </c>
      <c r="H267" s="32" t="s">
        <v>108</v>
      </c>
      <c r="I267" s="32" t="s">
        <v>152</v>
      </c>
      <c r="J267" s="32" t="s">
        <v>19</v>
      </c>
      <c r="K267" s="32" t="s">
        <v>28</v>
      </c>
      <c r="L267" s="32" t="s">
        <v>63</v>
      </c>
      <c r="M267" s="32" t="s">
        <v>64</v>
      </c>
      <c r="N267" s="32" t="s">
        <v>635</v>
      </c>
      <c r="O267" s="37">
        <v>1108.1099999999999</v>
      </c>
      <c r="P267" s="38" t="str">
        <f t="shared" si="31"/>
        <v>High</v>
      </c>
      <c r="Q267" s="37">
        <v>2503.79</v>
      </c>
      <c r="R267" s="37">
        <v>0.184</v>
      </c>
      <c r="S267" s="37">
        <v>19</v>
      </c>
      <c r="T267" s="37">
        <f t="shared" si="28"/>
        <v>32644.137120000007</v>
      </c>
      <c r="U267" s="32">
        <f t="shared" si="29"/>
        <v>21054.089999999997</v>
      </c>
      <c r="V267" s="37">
        <f t="shared" si="32"/>
        <v>11590.04712000001</v>
      </c>
      <c r="W267" s="39">
        <f t="shared" si="33"/>
        <v>0.35504222633898824</v>
      </c>
    </row>
    <row r="268" spans="1:23" x14ac:dyDescent="0.3">
      <c r="A268" s="40" t="s">
        <v>636</v>
      </c>
      <c r="B268" s="41">
        <v>45053</v>
      </c>
      <c r="C268" s="42">
        <v>45051</v>
      </c>
      <c r="D268" s="43">
        <f>DATEDIF(C268,B268, "MD")</f>
        <v>2</v>
      </c>
      <c r="E268" s="43" t="str">
        <f>TEXT(Data!B268,"MMM-YYYY")</f>
        <v>May-2023</v>
      </c>
      <c r="F268" s="43" t="str">
        <f t="shared" si="30"/>
        <v>Q2-2023</v>
      </c>
      <c r="G268" s="33" t="s">
        <v>16</v>
      </c>
      <c r="H268" s="33" t="s">
        <v>25</v>
      </c>
      <c r="I268" s="33" t="s">
        <v>26</v>
      </c>
      <c r="J268" s="33" t="s">
        <v>39</v>
      </c>
      <c r="K268" s="33" t="s">
        <v>40</v>
      </c>
      <c r="L268" s="33" t="s">
        <v>75</v>
      </c>
      <c r="M268" s="33" t="s">
        <v>22</v>
      </c>
      <c r="N268" s="33" t="s">
        <v>637</v>
      </c>
      <c r="O268" s="43">
        <v>1269.6500000000001</v>
      </c>
      <c r="P268" s="44" t="str">
        <f t="shared" si="31"/>
        <v>High</v>
      </c>
      <c r="Q268" s="43">
        <v>2462.77</v>
      </c>
      <c r="R268" s="43">
        <v>0.107</v>
      </c>
      <c r="S268" s="43">
        <v>8</v>
      </c>
      <c r="T268" s="43">
        <f t="shared" si="28"/>
        <v>3736.3119999999999</v>
      </c>
      <c r="U268" s="33">
        <f t="shared" si="29"/>
        <v>10157.200000000001</v>
      </c>
      <c r="V268" s="43">
        <f t="shared" si="32"/>
        <v>-6420.8880000000008</v>
      </c>
      <c r="W268" s="45">
        <f t="shared" si="33"/>
        <v>-1.7185095891349547</v>
      </c>
    </row>
    <row r="269" spans="1:23" x14ac:dyDescent="0.3">
      <c r="A269" s="34" t="s">
        <v>638</v>
      </c>
      <c r="B269" s="35">
        <v>45284</v>
      </c>
      <c r="C269" s="36">
        <v>45292</v>
      </c>
      <c r="D269" s="37">
        <f t="shared" si="34"/>
        <v>8</v>
      </c>
      <c r="E269" s="37" t="str">
        <f>TEXT(Data!B269,"MMM-YYYY")</f>
        <v>Dec-2023</v>
      </c>
      <c r="F269" s="37" t="str">
        <f t="shared" si="30"/>
        <v>Q4-2023</v>
      </c>
      <c r="G269" s="32" t="s">
        <v>52</v>
      </c>
      <c r="H269" s="32" t="s">
        <v>73</v>
      </c>
      <c r="I269" s="32" t="s">
        <v>74</v>
      </c>
      <c r="J269" s="32" t="s">
        <v>27</v>
      </c>
      <c r="K269" s="32" t="s">
        <v>98</v>
      </c>
      <c r="L269" s="32" t="s">
        <v>21</v>
      </c>
      <c r="M269" s="32" t="s">
        <v>42</v>
      </c>
      <c r="N269" s="32" t="s">
        <v>639</v>
      </c>
      <c r="O269" s="37">
        <v>526.49</v>
      </c>
      <c r="P269" s="38" t="str">
        <f t="shared" si="31"/>
        <v>High</v>
      </c>
      <c r="Q269" s="37">
        <v>496.2</v>
      </c>
      <c r="R269" s="37">
        <v>0</v>
      </c>
      <c r="S269" s="37">
        <v>14</v>
      </c>
      <c r="T269" s="37">
        <f t="shared" si="28"/>
        <v>15054.199999999999</v>
      </c>
      <c r="U269" s="32">
        <f t="shared" si="29"/>
        <v>7370.8600000000006</v>
      </c>
      <c r="V269" s="37">
        <f t="shared" si="32"/>
        <v>7683.3399999999983</v>
      </c>
      <c r="W269" s="39">
        <f t="shared" si="33"/>
        <v>0.51037849902352828</v>
      </c>
    </row>
    <row r="270" spans="1:23" x14ac:dyDescent="0.3">
      <c r="A270" s="40" t="s">
        <v>640</v>
      </c>
      <c r="B270" s="41">
        <v>45301</v>
      </c>
      <c r="C270" s="42">
        <v>45314</v>
      </c>
      <c r="D270" s="43">
        <f t="shared" si="34"/>
        <v>13</v>
      </c>
      <c r="E270" s="43" t="str">
        <f>TEXT(Data!B270,"MMM-YYYY")</f>
        <v>Jan-2024</v>
      </c>
      <c r="F270" s="43" t="str">
        <f t="shared" si="30"/>
        <v>Q1-2024</v>
      </c>
      <c r="G270" s="33" t="s">
        <v>78</v>
      </c>
      <c r="H270" s="33" t="s">
        <v>90</v>
      </c>
      <c r="I270" s="33" t="s">
        <v>91</v>
      </c>
      <c r="J270" s="33" t="s">
        <v>19</v>
      </c>
      <c r="K270" s="33" t="s">
        <v>98</v>
      </c>
      <c r="L270" s="33" t="s">
        <v>75</v>
      </c>
      <c r="M270" s="33" t="s">
        <v>30</v>
      </c>
      <c r="N270" s="33" t="s">
        <v>641</v>
      </c>
      <c r="O270" s="43">
        <v>720</v>
      </c>
      <c r="P270" s="44" t="str">
        <f t="shared" si="31"/>
        <v>High</v>
      </c>
      <c r="Q270" s="43">
        <v>907.59</v>
      </c>
      <c r="R270" s="43">
        <v>0.154</v>
      </c>
      <c r="S270" s="43">
        <v>10</v>
      </c>
      <c r="T270" s="43">
        <f t="shared" si="28"/>
        <v>27872.062200000004</v>
      </c>
      <c r="U270" s="33">
        <f t="shared" si="29"/>
        <v>7200</v>
      </c>
      <c r="V270" s="43">
        <f t="shared" si="32"/>
        <v>20672.062200000004</v>
      </c>
      <c r="W270" s="45">
        <f t="shared" si="33"/>
        <v>0.7416768106954067</v>
      </c>
    </row>
    <row r="271" spans="1:23" x14ac:dyDescent="0.3">
      <c r="A271" s="34" t="s">
        <v>642</v>
      </c>
      <c r="B271" s="35">
        <v>45141</v>
      </c>
      <c r="C271" s="36">
        <v>45152</v>
      </c>
      <c r="D271" s="37">
        <f t="shared" si="34"/>
        <v>11</v>
      </c>
      <c r="E271" s="37" t="str">
        <f>TEXT(Data!B271,"MMM-YYYY")</f>
        <v>Aug-2023</v>
      </c>
      <c r="F271" s="37" t="str">
        <f t="shared" si="30"/>
        <v>Q3-2023</v>
      </c>
      <c r="G271" s="32" t="s">
        <v>52</v>
      </c>
      <c r="H271" s="32" t="s">
        <v>73</v>
      </c>
      <c r="I271" s="32" t="s">
        <v>87</v>
      </c>
      <c r="J271" s="32" t="s">
        <v>19</v>
      </c>
      <c r="K271" s="32" t="s">
        <v>98</v>
      </c>
      <c r="L271" s="32" t="s">
        <v>29</v>
      </c>
      <c r="M271" s="32" t="s">
        <v>81</v>
      </c>
      <c r="N271" s="32" t="s">
        <v>643</v>
      </c>
      <c r="O271" s="37">
        <v>232.73</v>
      </c>
      <c r="P271" s="38" t="str">
        <f t="shared" si="31"/>
        <v>High</v>
      </c>
      <c r="Q271" s="37">
        <v>334.19</v>
      </c>
      <c r="R271" s="37">
        <v>0.13400000000000001</v>
      </c>
      <c r="S271" s="37">
        <v>25</v>
      </c>
      <c r="T271" s="37">
        <f t="shared" si="28"/>
        <v>10046.682500000001</v>
      </c>
      <c r="U271" s="32">
        <f t="shared" si="29"/>
        <v>5818.25</v>
      </c>
      <c r="V271" s="37">
        <f t="shared" si="32"/>
        <v>4228.4325000000008</v>
      </c>
      <c r="W271" s="39">
        <f t="shared" si="33"/>
        <v>0.42087848401698774</v>
      </c>
    </row>
    <row r="272" spans="1:23" x14ac:dyDescent="0.3">
      <c r="A272" s="40" t="s">
        <v>644</v>
      </c>
      <c r="B272" s="41">
        <v>45707</v>
      </c>
      <c r="C272" s="42">
        <v>45725</v>
      </c>
      <c r="D272" s="43">
        <f t="shared" si="34"/>
        <v>18</v>
      </c>
      <c r="E272" s="43" t="str">
        <f>TEXT(Data!B272,"MMM-YYYY")</f>
        <v>Feb-2025</v>
      </c>
      <c r="F272" s="43" t="str">
        <f t="shared" si="30"/>
        <v>Q1-2025</v>
      </c>
      <c r="G272" s="33" t="s">
        <v>45</v>
      </c>
      <c r="H272" s="33" t="s">
        <v>60</v>
      </c>
      <c r="I272" s="33" t="s">
        <v>141</v>
      </c>
      <c r="J272" s="33" t="s">
        <v>62</v>
      </c>
      <c r="K272" s="33" t="s">
        <v>98</v>
      </c>
      <c r="L272" s="33" t="s">
        <v>68</v>
      </c>
      <c r="M272" s="33" t="s">
        <v>64</v>
      </c>
      <c r="N272" s="33" t="s">
        <v>645</v>
      </c>
      <c r="O272" s="43">
        <v>325.87</v>
      </c>
      <c r="P272" s="44" t="str">
        <f t="shared" si="31"/>
        <v>High</v>
      </c>
      <c r="Q272" s="43">
        <v>538.79</v>
      </c>
      <c r="R272" s="43">
        <v>0.17399999999999999</v>
      </c>
      <c r="S272" s="43">
        <v>16</v>
      </c>
      <c r="T272" s="43">
        <f t="shared" si="28"/>
        <v>6753.7724800000005</v>
      </c>
      <c r="U272" s="33">
        <f t="shared" si="29"/>
        <v>5213.92</v>
      </c>
      <c r="V272" s="43">
        <f t="shared" si="32"/>
        <v>1539.8524800000005</v>
      </c>
      <c r="W272" s="45">
        <f t="shared" si="33"/>
        <v>0.22799886797489516</v>
      </c>
    </row>
    <row r="273" spans="1:23" x14ac:dyDescent="0.3">
      <c r="A273" s="34" t="s">
        <v>646</v>
      </c>
      <c r="B273" s="35">
        <v>45382</v>
      </c>
      <c r="C273" s="36">
        <v>45399</v>
      </c>
      <c r="D273" s="37">
        <f t="shared" si="34"/>
        <v>17</v>
      </c>
      <c r="E273" s="37" t="str">
        <f>TEXT(Data!B273,"MMM-YYYY")</f>
        <v>Mar-2024</v>
      </c>
      <c r="F273" s="37" t="str">
        <f t="shared" si="30"/>
        <v>Q1-2024</v>
      </c>
      <c r="G273" s="32" t="s">
        <v>78</v>
      </c>
      <c r="H273" s="32" t="s">
        <v>79</v>
      </c>
      <c r="I273" s="32" t="s">
        <v>335</v>
      </c>
      <c r="J273" s="32" t="s">
        <v>27</v>
      </c>
      <c r="K273" s="32" t="s">
        <v>98</v>
      </c>
      <c r="L273" s="32" t="s">
        <v>92</v>
      </c>
      <c r="M273" s="32" t="s">
        <v>64</v>
      </c>
      <c r="N273" s="32" t="s">
        <v>647</v>
      </c>
      <c r="O273" s="37">
        <v>1025.51</v>
      </c>
      <c r="P273" s="38" t="str">
        <f t="shared" si="31"/>
        <v>High</v>
      </c>
      <c r="Q273" s="37">
        <v>1436.54</v>
      </c>
      <c r="R273" s="37">
        <v>0.13900000000000001</v>
      </c>
      <c r="S273" s="37">
        <v>28</v>
      </c>
      <c r="T273" s="37">
        <f t="shared" si="28"/>
        <v>101.73576</v>
      </c>
      <c r="U273" s="32">
        <f t="shared" si="29"/>
        <v>28714.28</v>
      </c>
      <c r="V273" s="37">
        <f t="shared" si="32"/>
        <v>-28612.544239999999</v>
      </c>
      <c r="W273" s="39">
        <f t="shared" si="33"/>
        <v>-281.24372629643699</v>
      </c>
    </row>
    <row r="274" spans="1:23" x14ac:dyDescent="0.3">
      <c r="A274" s="40" t="s">
        <v>648</v>
      </c>
      <c r="B274" s="41">
        <v>45131</v>
      </c>
      <c r="C274" s="42">
        <v>45151</v>
      </c>
      <c r="D274" s="43">
        <f t="shared" si="34"/>
        <v>20</v>
      </c>
      <c r="E274" s="43" t="str">
        <f>TEXT(Data!B274,"MMM-YYYY")</f>
        <v>Jul-2023</v>
      </c>
      <c r="F274" s="43" t="str">
        <f t="shared" si="30"/>
        <v>Q3-2023</v>
      </c>
      <c r="G274" s="33" t="s">
        <v>52</v>
      </c>
      <c r="H274" s="33" t="s">
        <v>53</v>
      </c>
      <c r="I274" s="33" t="s">
        <v>144</v>
      </c>
      <c r="J274" s="33" t="s">
        <v>27</v>
      </c>
      <c r="K274" s="33" t="s">
        <v>98</v>
      </c>
      <c r="L274" s="33" t="s">
        <v>21</v>
      </c>
      <c r="M274" s="33" t="s">
        <v>64</v>
      </c>
      <c r="N274" s="33" t="s">
        <v>649</v>
      </c>
      <c r="O274" s="43">
        <v>1082.3800000000001</v>
      </c>
      <c r="P274" s="44" t="str">
        <f t="shared" si="31"/>
        <v>High</v>
      </c>
      <c r="Q274" s="43">
        <v>1766.55</v>
      </c>
      <c r="R274" s="43">
        <v>0.16400000000000001</v>
      </c>
      <c r="S274" s="43">
        <v>20</v>
      </c>
      <c r="T274" s="43">
        <f t="shared" si="28"/>
        <v>9651.4527999999991</v>
      </c>
      <c r="U274" s="33">
        <f t="shared" si="29"/>
        <v>21647.600000000002</v>
      </c>
      <c r="V274" s="43">
        <f t="shared" si="32"/>
        <v>-11996.147200000003</v>
      </c>
      <c r="W274" s="45">
        <f t="shared" si="33"/>
        <v>-1.242936938986015</v>
      </c>
    </row>
    <row r="275" spans="1:23" x14ac:dyDescent="0.3">
      <c r="A275" s="34" t="s">
        <v>650</v>
      </c>
      <c r="B275" s="35">
        <v>45367</v>
      </c>
      <c r="C275" s="36">
        <v>45395</v>
      </c>
      <c r="D275" s="37">
        <f t="shared" si="34"/>
        <v>28</v>
      </c>
      <c r="E275" s="37" t="str">
        <f>TEXT(Data!B275,"MMM-YYYY")</f>
        <v>Mar-2024</v>
      </c>
      <c r="F275" s="37" t="str">
        <f t="shared" si="30"/>
        <v>Q1-2024</v>
      </c>
      <c r="G275" s="32" t="s">
        <v>78</v>
      </c>
      <c r="H275" s="32" t="s">
        <v>90</v>
      </c>
      <c r="I275" s="32" t="s">
        <v>217</v>
      </c>
      <c r="J275" s="32" t="s">
        <v>62</v>
      </c>
      <c r="K275" s="32" t="s">
        <v>28</v>
      </c>
      <c r="L275" s="32" t="s">
        <v>95</v>
      </c>
      <c r="M275" s="32" t="s">
        <v>30</v>
      </c>
      <c r="N275" s="32" t="s">
        <v>651</v>
      </c>
      <c r="O275" s="37">
        <v>287.61</v>
      </c>
      <c r="P275" s="38" t="str">
        <f t="shared" si="31"/>
        <v>High</v>
      </c>
      <c r="Q275" s="37">
        <v>628.54</v>
      </c>
      <c r="R275" s="37">
        <v>0.13500000000000001</v>
      </c>
      <c r="S275" s="37">
        <v>21</v>
      </c>
      <c r="T275" s="37">
        <f t="shared" si="28"/>
        <v>25903.83495</v>
      </c>
      <c r="U275" s="32">
        <f t="shared" si="29"/>
        <v>6039.81</v>
      </c>
      <c r="V275" s="37">
        <f t="shared" si="32"/>
        <v>19864.024949999999</v>
      </c>
      <c r="W275" s="39">
        <f t="shared" si="33"/>
        <v>0.76683722654741504</v>
      </c>
    </row>
    <row r="276" spans="1:23" x14ac:dyDescent="0.3">
      <c r="A276" s="40" t="s">
        <v>652</v>
      </c>
      <c r="B276" s="41">
        <v>45316</v>
      </c>
      <c r="C276" s="42">
        <v>45318</v>
      </c>
      <c r="D276" s="43">
        <f t="shared" si="34"/>
        <v>2</v>
      </c>
      <c r="E276" s="43" t="str">
        <f>TEXT(Data!B276,"MMM-YYYY")</f>
        <v>Jan-2024</v>
      </c>
      <c r="F276" s="43" t="str">
        <f t="shared" si="30"/>
        <v>Q1-2024</v>
      </c>
      <c r="G276" s="33" t="s">
        <v>52</v>
      </c>
      <c r="H276" s="33" t="s">
        <v>73</v>
      </c>
      <c r="I276" s="33" t="s">
        <v>74</v>
      </c>
      <c r="J276" s="33" t="s">
        <v>39</v>
      </c>
      <c r="K276" s="33" t="s">
        <v>40</v>
      </c>
      <c r="L276" s="33" t="s">
        <v>126</v>
      </c>
      <c r="M276" s="33" t="s">
        <v>57</v>
      </c>
      <c r="N276" s="33" t="s">
        <v>653</v>
      </c>
      <c r="O276" s="43">
        <v>1410.97</v>
      </c>
      <c r="P276" s="44" t="str">
        <f t="shared" si="31"/>
        <v>High</v>
      </c>
      <c r="Q276" s="43">
        <v>1650.75</v>
      </c>
      <c r="R276" s="43">
        <v>0.13500000000000001</v>
      </c>
      <c r="S276" s="43">
        <v>6</v>
      </c>
      <c r="T276" s="43">
        <f t="shared" si="28"/>
        <v>7059.0227999999997</v>
      </c>
      <c r="U276" s="33">
        <f t="shared" si="29"/>
        <v>8465.82</v>
      </c>
      <c r="V276" s="43">
        <f t="shared" si="32"/>
        <v>-1406.7972</v>
      </c>
      <c r="W276" s="45">
        <f t="shared" si="33"/>
        <v>-0.19929064402511917</v>
      </c>
    </row>
    <row r="277" spans="1:23" x14ac:dyDescent="0.3">
      <c r="A277" s="34" t="s">
        <v>654</v>
      </c>
      <c r="B277" s="35">
        <v>45378</v>
      </c>
      <c r="C277" s="36">
        <v>45393</v>
      </c>
      <c r="D277" s="37">
        <f t="shared" si="34"/>
        <v>15</v>
      </c>
      <c r="E277" s="37" t="str">
        <f>TEXT(Data!B277,"MMM-YYYY")</f>
        <v>Mar-2024</v>
      </c>
      <c r="F277" s="37" t="str">
        <f t="shared" si="30"/>
        <v>Q1-2024</v>
      </c>
      <c r="G277" s="32" t="s">
        <v>52</v>
      </c>
      <c r="H277" s="32" t="s">
        <v>122</v>
      </c>
      <c r="I277" s="32" t="s">
        <v>167</v>
      </c>
      <c r="J277" s="32" t="s">
        <v>62</v>
      </c>
      <c r="K277" s="32" t="s">
        <v>98</v>
      </c>
      <c r="L277" s="32" t="s">
        <v>68</v>
      </c>
      <c r="M277" s="32" t="s">
        <v>35</v>
      </c>
      <c r="N277" s="32" t="s">
        <v>655</v>
      </c>
      <c r="O277" s="37">
        <v>1338.35</v>
      </c>
      <c r="P277" s="38" t="str">
        <f t="shared" si="31"/>
        <v>High</v>
      </c>
      <c r="Q277" s="37">
        <v>2247.14</v>
      </c>
      <c r="R277" s="37">
        <v>0.115</v>
      </c>
      <c r="S277" s="37">
        <v>40</v>
      </c>
      <c r="T277" s="37">
        <f t="shared" si="28"/>
        <v>73316.94</v>
      </c>
      <c r="U277" s="32">
        <f t="shared" si="29"/>
        <v>53534</v>
      </c>
      <c r="V277" s="37">
        <f t="shared" si="32"/>
        <v>19782.940000000002</v>
      </c>
      <c r="W277" s="39">
        <f t="shared" si="33"/>
        <v>0.26982768238827209</v>
      </c>
    </row>
    <row r="278" spans="1:23" x14ac:dyDescent="0.3">
      <c r="A278" s="40" t="s">
        <v>656</v>
      </c>
      <c r="B278" s="41">
        <v>45832</v>
      </c>
      <c r="C278" s="42">
        <v>45852</v>
      </c>
      <c r="D278" s="43">
        <f t="shared" si="34"/>
        <v>20</v>
      </c>
      <c r="E278" s="43" t="str">
        <f>TEXT(Data!B278,"MMM-YYYY")</f>
        <v>Jun-2025</v>
      </c>
      <c r="F278" s="43" t="str">
        <f t="shared" si="30"/>
        <v>Q2-2025</v>
      </c>
      <c r="G278" s="33" t="s">
        <v>78</v>
      </c>
      <c r="H278" s="33" t="s">
        <v>79</v>
      </c>
      <c r="I278" s="33" t="s">
        <v>80</v>
      </c>
      <c r="J278" s="33" t="s">
        <v>19</v>
      </c>
      <c r="K278" s="33" t="s">
        <v>98</v>
      </c>
      <c r="L278" s="33" t="s">
        <v>68</v>
      </c>
      <c r="M278" s="33" t="s">
        <v>81</v>
      </c>
      <c r="N278" s="33" t="s">
        <v>657</v>
      </c>
      <c r="O278" s="43">
        <v>385.08</v>
      </c>
      <c r="P278" s="44" t="str">
        <f t="shared" si="31"/>
        <v>High</v>
      </c>
      <c r="Q278" s="43">
        <v>893.19</v>
      </c>
      <c r="R278" s="43">
        <v>0.151</v>
      </c>
      <c r="S278" s="43">
        <v>8</v>
      </c>
      <c r="T278" s="43">
        <f t="shared" si="28"/>
        <v>6655.0732799999996</v>
      </c>
      <c r="U278" s="33">
        <f t="shared" si="29"/>
        <v>3080.64</v>
      </c>
      <c r="V278" s="43">
        <f t="shared" si="32"/>
        <v>3574.4332799999997</v>
      </c>
      <c r="W278" s="45">
        <f t="shared" si="33"/>
        <v>0.53709901147775185</v>
      </c>
    </row>
    <row r="279" spans="1:23" x14ac:dyDescent="0.3">
      <c r="A279" s="34" t="s">
        <v>658</v>
      </c>
      <c r="B279" s="35">
        <v>45459</v>
      </c>
      <c r="C279" s="36">
        <v>45476</v>
      </c>
      <c r="D279" s="37">
        <f t="shared" si="34"/>
        <v>17</v>
      </c>
      <c r="E279" s="37" t="str">
        <f>TEXT(Data!B279,"MMM-YYYY")</f>
        <v>Jun-2024</v>
      </c>
      <c r="F279" s="37" t="str">
        <f t="shared" si="30"/>
        <v>Q2-2024</v>
      </c>
      <c r="G279" s="32" t="s">
        <v>16</v>
      </c>
      <c r="H279" s="32" t="s">
        <v>148</v>
      </c>
      <c r="I279" s="32" t="s">
        <v>149</v>
      </c>
      <c r="J279" s="32" t="s">
        <v>105</v>
      </c>
      <c r="K279" s="32" t="s">
        <v>40</v>
      </c>
      <c r="L279" s="32" t="s">
        <v>84</v>
      </c>
      <c r="M279" s="32" t="s">
        <v>42</v>
      </c>
      <c r="N279" s="32" t="s">
        <v>659</v>
      </c>
      <c r="O279" s="37">
        <v>1173.83</v>
      </c>
      <c r="P279" s="38" t="str">
        <f t="shared" si="31"/>
        <v>High</v>
      </c>
      <c r="Q279" s="37">
        <v>2328.9</v>
      </c>
      <c r="R279" s="37">
        <v>0.12</v>
      </c>
      <c r="S279" s="37">
        <v>17</v>
      </c>
      <c r="T279" s="37">
        <f t="shared" si="28"/>
        <v>8039.3543999999993</v>
      </c>
      <c r="U279" s="32">
        <f t="shared" si="29"/>
        <v>19955.11</v>
      </c>
      <c r="V279" s="37">
        <f t="shared" si="32"/>
        <v>-11915.7556</v>
      </c>
      <c r="W279" s="39">
        <f t="shared" si="33"/>
        <v>-1.4821781709237749</v>
      </c>
    </row>
    <row r="280" spans="1:23" x14ac:dyDescent="0.3">
      <c r="A280" s="40" t="s">
        <v>660</v>
      </c>
      <c r="B280" s="41">
        <v>45229</v>
      </c>
      <c r="C280" s="42">
        <v>45244</v>
      </c>
      <c r="D280" s="43">
        <f t="shared" si="34"/>
        <v>15</v>
      </c>
      <c r="E280" s="43" t="str">
        <f>TEXT(Data!B280,"MMM-YYYY")</f>
        <v>Oct-2023</v>
      </c>
      <c r="F280" s="43" t="str">
        <f t="shared" si="30"/>
        <v>Q4-2023</v>
      </c>
      <c r="G280" s="33" t="s">
        <v>45</v>
      </c>
      <c r="H280" s="33" t="s">
        <v>60</v>
      </c>
      <c r="I280" s="33" t="s">
        <v>61</v>
      </c>
      <c r="J280" s="33" t="s">
        <v>19</v>
      </c>
      <c r="K280" s="33" t="s">
        <v>28</v>
      </c>
      <c r="L280" s="33" t="s">
        <v>84</v>
      </c>
      <c r="M280" s="33" t="s">
        <v>57</v>
      </c>
      <c r="N280" s="33" t="s">
        <v>661</v>
      </c>
      <c r="O280" s="43">
        <v>953.46</v>
      </c>
      <c r="P280" s="44" t="str">
        <f t="shared" si="31"/>
        <v>High</v>
      </c>
      <c r="Q280" s="43">
        <v>2066.75</v>
      </c>
      <c r="R280" s="43">
        <v>0.13800000000000001</v>
      </c>
      <c r="S280" s="43">
        <v>5</v>
      </c>
      <c r="T280" s="43">
        <f t="shared" si="28"/>
        <v>919.40919999999994</v>
      </c>
      <c r="U280" s="33">
        <f t="shared" si="29"/>
        <v>4767.3</v>
      </c>
      <c r="V280" s="43">
        <f t="shared" si="32"/>
        <v>-3847.8908000000001</v>
      </c>
      <c r="W280" s="45">
        <f t="shared" si="33"/>
        <v>-4.1851776118838062</v>
      </c>
    </row>
    <row r="281" spans="1:23" x14ac:dyDescent="0.3">
      <c r="A281" s="34" t="s">
        <v>662</v>
      </c>
      <c r="B281" s="35">
        <v>45092</v>
      </c>
      <c r="C281" s="36">
        <v>45100</v>
      </c>
      <c r="D281" s="37">
        <f t="shared" si="34"/>
        <v>8</v>
      </c>
      <c r="E281" s="37" t="str">
        <f>TEXT(Data!B281,"MMM-YYYY")</f>
        <v>Jun-2023</v>
      </c>
      <c r="F281" s="37" t="str">
        <f t="shared" si="30"/>
        <v>Q2-2023</v>
      </c>
      <c r="G281" s="32" t="s">
        <v>52</v>
      </c>
      <c r="H281" s="32" t="s">
        <v>122</v>
      </c>
      <c r="I281" s="32" t="s">
        <v>167</v>
      </c>
      <c r="J281" s="32" t="s">
        <v>48</v>
      </c>
      <c r="K281" s="32" t="s">
        <v>55</v>
      </c>
      <c r="L281" s="32" t="s">
        <v>68</v>
      </c>
      <c r="M281" s="32" t="s">
        <v>64</v>
      </c>
      <c r="N281" s="32" t="s">
        <v>663</v>
      </c>
      <c r="O281" s="37">
        <v>1097.0899999999999</v>
      </c>
      <c r="P281" s="38" t="str">
        <f t="shared" si="31"/>
        <v>High</v>
      </c>
      <c r="Q281" s="37">
        <v>2182.31</v>
      </c>
      <c r="R281" s="37">
        <v>0.112</v>
      </c>
      <c r="S281" s="37">
        <v>9</v>
      </c>
      <c r="T281" s="37">
        <f t="shared" si="28"/>
        <v>15941.402639999998</v>
      </c>
      <c r="U281" s="32">
        <f t="shared" si="29"/>
        <v>9873.81</v>
      </c>
      <c r="V281" s="37">
        <f t="shared" si="32"/>
        <v>6067.5926399999989</v>
      </c>
      <c r="W281" s="39">
        <f t="shared" si="33"/>
        <v>0.38061849242646062</v>
      </c>
    </row>
    <row r="282" spans="1:23" x14ac:dyDescent="0.3">
      <c r="A282" s="40" t="s">
        <v>664</v>
      </c>
      <c r="B282" s="41">
        <v>45730</v>
      </c>
      <c r="C282" s="42">
        <v>45745</v>
      </c>
      <c r="D282" s="43">
        <f t="shared" si="34"/>
        <v>15</v>
      </c>
      <c r="E282" s="43" t="str">
        <f>TEXT(Data!B282,"MMM-YYYY")</f>
        <v>Mar-2025</v>
      </c>
      <c r="F282" s="43" t="str">
        <f t="shared" si="30"/>
        <v>Q1-2025</v>
      </c>
      <c r="G282" s="33" t="s">
        <v>45</v>
      </c>
      <c r="H282" s="33" t="s">
        <v>46</v>
      </c>
      <c r="I282" s="33" t="s">
        <v>214</v>
      </c>
      <c r="J282" s="33" t="s">
        <v>39</v>
      </c>
      <c r="K282" s="33" t="s">
        <v>98</v>
      </c>
      <c r="L282" s="33" t="s">
        <v>92</v>
      </c>
      <c r="M282" s="33" t="s">
        <v>35</v>
      </c>
      <c r="N282" s="33" t="s">
        <v>665</v>
      </c>
      <c r="O282" s="43">
        <v>1106.96</v>
      </c>
      <c r="P282" s="44" t="str">
        <f t="shared" si="31"/>
        <v>High</v>
      </c>
      <c r="Q282" s="43">
        <v>2726.62</v>
      </c>
      <c r="R282" s="43">
        <v>0.317</v>
      </c>
      <c r="S282" s="43">
        <v>7</v>
      </c>
      <c r="T282" s="43">
        <f t="shared" si="28"/>
        <v>2643.1280400000001</v>
      </c>
      <c r="U282" s="33">
        <f t="shared" si="29"/>
        <v>7748.72</v>
      </c>
      <c r="V282" s="43">
        <f t="shared" si="32"/>
        <v>-5105.5919599999997</v>
      </c>
      <c r="W282" s="45">
        <f t="shared" si="33"/>
        <v>-1.9316476094741137</v>
      </c>
    </row>
    <row r="283" spans="1:23" x14ac:dyDescent="0.3">
      <c r="A283" s="34" t="s">
        <v>666</v>
      </c>
      <c r="B283" s="35">
        <v>45153</v>
      </c>
      <c r="C283" s="36">
        <v>45163</v>
      </c>
      <c r="D283" s="37">
        <f t="shared" si="34"/>
        <v>10</v>
      </c>
      <c r="E283" s="37" t="str">
        <f>TEXT(Data!B283,"MMM-YYYY")</f>
        <v>Aug-2023</v>
      </c>
      <c r="F283" s="37" t="str">
        <f t="shared" si="30"/>
        <v>Q3-2023</v>
      </c>
      <c r="G283" s="32" t="s">
        <v>16</v>
      </c>
      <c r="H283" s="32" t="s">
        <v>17</v>
      </c>
      <c r="I283" s="32" t="s">
        <v>33</v>
      </c>
      <c r="J283" s="32" t="s">
        <v>62</v>
      </c>
      <c r="K283" s="32" t="s">
        <v>20</v>
      </c>
      <c r="L283" s="32" t="s">
        <v>126</v>
      </c>
      <c r="M283" s="32" t="s">
        <v>42</v>
      </c>
      <c r="N283" s="32" t="s">
        <v>667</v>
      </c>
      <c r="O283" s="37">
        <v>91.85</v>
      </c>
      <c r="P283" s="38" t="str">
        <f t="shared" si="31"/>
        <v>Medium</v>
      </c>
      <c r="Q283" s="37">
        <v>111.29</v>
      </c>
      <c r="R283" s="37">
        <v>0</v>
      </c>
      <c r="S283" s="37">
        <v>6</v>
      </c>
      <c r="T283" s="37">
        <f t="shared" si="28"/>
        <v>1349.6999999999998</v>
      </c>
      <c r="U283" s="32">
        <f t="shared" si="29"/>
        <v>551.09999999999991</v>
      </c>
      <c r="V283" s="37">
        <f t="shared" si="32"/>
        <v>798.59999999999991</v>
      </c>
      <c r="W283" s="39">
        <f t="shared" si="33"/>
        <v>0.59168704156479224</v>
      </c>
    </row>
    <row r="284" spans="1:23" x14ac:dyDescent="0.3">
      <c r="A284" s="40" t="s">
        <v>668</v>
      </c>
      <c r="B284" s="41">
        <v>45794</v>
      </c>
      <c r="C284" s="42">
        <v>45805</v>
      </c>
      <c r="D284" s="43">
        <f t="shared" si="34"/>
        <v>11</v>
      </c>
      <c r="E284" s="43" t="str">
        <f>TEXT(Data!B284,"MMM-YYYY")</f>
        <v>May-2025</v>
      </c>
      <c r="F284" s="43" t="str">
        <f t="shared" si="30"/>
        <v>Q2-2025</v>
      </c>
      <c r="G284" s="33" t="s">
        <v>45</v>
      </c>
      <c r="H284" s="33" t="s">
        <v>60</v>
      </c>
      <c r="I284" s="33" t="s">
        <v>61</v>
      </c>
      <c r="J284" s="33" t="s">
        <v>19</v>
      </c>
      <c r="K284" s="33" t="s">
        <v>55</v>
      </c>
      <c r="L284" s="33" t="s">
        <v>56</v>
      </c>
      <c r="M284" s="33" t="s">
        <v>57</v>
      </c>
      <c r="N284" s="33" t="s">
        <v>669</v>
      </c>
      <c r="O284" s="43">
        <v>623.4</v>
      </c>
      <c r="P284" s="44" t="str">
        <f t="shared" si="31"/>
        <v>High</v>
      </c>
      <c r="Q284" s="43">
        <v>1100.0899999999999</v>
      </c>
      <c r="R284" s="43">
        <v>0.114</v>
      </c>
      <c r="S284" s="43">
        <v>12</v>
      </c>
      <c r="T284" s="43">
        <f t="shared" si="28"/>
        <v>8208.8608800000002</v>
      </c>
      <c r="U284" s="33">
        <f t="shared" si="29"/>
        <v>7480.7999999999993</v>
      </c>
      <c r="V284" s="43">
        <f t="shared" si="32"/>
        <v>728.06088000000091</v>
      </c>
      <c r="W284" s="45">
        <f t="shared" si="33"/>
        <v>8.8692071974790357E-2</v>
      </c>
    </row>
    <row r="285" spans="1:23" x14ac:dyDescent="0.3">
      <c r="A285" s="34" t="s">
        <v>670</v>
      </c>
      <c r="B285" s="35">
        <v>45304</v>
      </c>
      <c r="C285" s="36">
        <v>45327</v>
      </c>
      <c r="D285" s="37">
        <f t="shared" si="34"/>
        <v>23</v>
      </c>
      <c r="E285" s="37" t="str">
        <f>TEXT(Data!B285,"MMM-YYYY")</f>
        <v>Jan-2024</v>
      </c>
      <c r="F285" s="37" t="str">
        <f t="shared" si="30"/>
        <v>Q1-2024</v>
      </c>
      <c r="G285" s="32" t="s">
        <v>78</v>
      </c>
      <c r="H285" s="32" t="s">
        <v>79</v>
      </c>
      <c r="I285" s="32" t="s">
        <v>335</v>
      </c>
      <c r="J285" s="32" t="s">
        <v>27</v>
      </c>
      <c r="K285" s="32" t="s">
        <v>98</v>
      </c>
      <c r="L285" s="32" t="s">
        <v>56</v>
      </c>
      <c r="M285" s="32" t="s">
        <v>57</v>
      </c>
      <c r="N285" s="32" t="s">
        <v>671</v>
      </c>
      <c r="O285" s="37">
        <v>1017.93</v>
      </c>
      <c r="P285" s="38" t="str">
        <f t="shared" si="31"/>
        <v>High</v>
      </c>
      <c r="Q285" s="37">
        <v>1529.14</v>
      </c>
      <c r="R285" s="37">
        <v>0.155</v>
      </c>
      <c r="S285" s="37">
        <v>12</v>
      </c>
      <c r="T285" s="37">
        <f t="shared" si="28"/>
        <v>31932.989400000002</v>
      </c>
      <c r="U285" s="32">
        <f t="shared" si="29"/>
        <v>12215.16</v>
      </c>
      <c r="V285" s="37">
        <f t="shared" si="32"/>
        <v>19717.829400000002</v>
      </c>
      <c r="W285" s="39">
        <f t="shared" si="33"/>
        <v>0.61747521201381794</v>
      </c>
    </row>
    <row r="286" spans="1:23" x14ac:dyDescent="0.3">
      <c r="A286" s="40" t="s">
        <v>672</v>
      </c>
      <c r="B286" s="41">
        <v>45101</v>
      </c>
      <c r="C286" s="42">
        <v>45128</v>
      </c>
      <c r="D286" s="43">
        <f t="shared" si="34"/>
        <v>27</v>
      </c>
      <c r="E286" s="43" t="str">
        <f>TEXT(Data!B286,"MMM-YYYY")</f>
        <v>Jun-2023</v>
      </c>
      <c r="F286" s="43" t="str">
        <f t="shared" si="30"/>
        <v>Q2-2023</v>
      </c>
      <c r="G286" s="33" t="s">
        <v>45</v>
      </c>
      <c r="H286" s="33" t="s">
        <v>46</v>
      </c>
      <c r="I286" s="33" t="s">
        <v>231</v>
      </c>
      <c r="J286" s="33" t="s">
        <v>48</v>
      </c>
      <c r="K286" s="33" t="s">
        <v>40</v>
      </c>
      <c r="L286" s="33" t="s">
        <v>29</v>
      </c>
      <c r="M286" s="33" t="s">
        <v>42</v>
      </c>
      <c r="N286" s="33" t="s">
        <v>673</v>
      </c>
      <c r="O286" s="43">
        <v>554.76</v>
      </c>
      <c r="P286" s="44" t="str">
        <f t="shared" si="31"/>
        <v>High</v>
      </c>
      <c r="Q286" s="43">
        <v>728.69</v>
      </c>
      <c r="R286" s="43">
        <v>0.22</v>
      </c>
      <c r="S286" s="43">
        <v>7</v>
      </c>
      <c r="T286" s="43">
        <f t="shared" si="28"/>
        <v>314.11380000000003</v>
      </c>
      <c r="U286" s="33">
        <f t="shared" si="29"/>
        <v>3883.3199999999997</v>
      </c>
      <c r="V286" s="43">
        <f t="shared" si="32"/>
        <v>-3569.2061999999996</v>
      </c>
      <c r="W286" s="45">
        <f t="shared" si="33"/>
        <v>-11.362780622818862</v>
      </c>
    </row>
    <row r="287" spans="1:23" x14ac:dyDescent="0.3">
      <c r="A287" s="34" t="s">
        <v>674</v>
      </c>
      <c r="B287" s="35">
        <v>45751</v>
      </c>
      <c r="C287" s="36">
        <v>45760</v>
      </c>
      <c r="D287" s="37">
        <f t="shared" si="34"/>
        <v>9</v>
      </c>
      <c r="E287" s="37" t="str">
        <f>TEXT(Data!B287,"MMM-YYYY")</f>
        <v>Apr-2025</v>
      </c>
      <c r="F287" s="37" t="str">
        <f t="shared" si="30"/>
        <v>Q2-2025</v>
      </c>
      <c r="G287" s="32" t="s">
        <v>78</v>
      </c>
      <c r="H287" s="32" t="s">
        <v>79</v>
      </c>
      <c r="I287" s="32" t="s">
        <v>159</v>
      </c>
      <c r="J287" s="32" t="s">
        <v>48</v>
      </c>
      <c r="K287" s="32" t="s">
        <v>40</v>
      </c>
      <c r="L287" s="32" t="s">
        <v>84</v>
      </c>
      <c r="M287" s="32" t="s">
        <v>42</v>
      </c>
      <c r="N287" s="32" t="s">
        <v>675</v>
      </c>
      <c r="O287" s="37">
        <v>7.02</v>
      </c>
      <c r="P287" s="38" t="str">
        <f t="shared" si="31"/>
        <v>Low</v>
      </c>
      <c r="Q287" s="37">
        <v>6.28</v>
      </c>
      <c r="R287" s="37">
        <v>0.13400000000000001</v>
      </c>
      <c r="S287" s="37">
        <v>14</v>
      </c>
      <c r="T287" s="37">
        <f t="shared" si="28"/>
        <v>9999.9964400000008</v>
      </c>
      <c r="U287" s="32">
        <f t="shared" si="29"/>
        <v>98.28</v>
      </c>
      <c r="V287" s="37">
        <f t="shared" si="32"/>
        <v>9901.7164400000001</v>
      </c>
      <c r="W287" s="39">
        <f t="shared" si="33"/>
        <v>0.99017199650123067</v>
      </c>
    </row>
    <row r="288" spans="1:23" x14ac:dyDescent="0.3">
      <c r="A288" s="40" t="s">
        <v>676</v>
      </c>
      <c r="B288" s="41">
        <v>45542</v>
      </c>
      <c r="C288" s="42">
        <v>45542</v>
      </c>
      <c r="D288" s="43">
        <f t="shared" si="34"/>
        <v>0</v>
      </c>
      <c r="E288" s="43" t="str">
        <f>TEXT(Data!B288,"MMM-YYYY")</f>
        <v>Sep-2024</v>
      </c>
      <c r="F288" s="43" t="str">
        <f t="shared" si="30"/>
        <v>Q3-2024</v>
      </c>
      <c r="G288" s="33" t="s">
        <v>45</v>
      </c>
      <c r="H288" s="33" t="s">
        <v>60</v>
      </c>
      <c r="I288" s="33" t="s">
        <v>220</v>
      </c>
      <c r="J288" s="33" t="s">
        <v>27</v>
      </c>
      <c r="K288" s="33" t="s">
        <v>55</v>
      </c>
      <c r="L288" s="33" t="s">
        <v>56</v>
      </c>
      <c r="M288" s="33" t="s">
        <v>35</v>
      </c>
      <c r="N288" s="33" t="s">
        <v>677</v>
      </c>
      <c r="O288" s="43">
        <v>1066.6500000000001</v>
      </c>
      <c r="P288" s="44" t="str">
        <f t="shared" si="31"/>
        <v>High</v>
      </c>
      <c r="Q288" s="43">
        <v>2569.77</v>
      </c>
      <c r="R288" s="43">
        <v>0.13400000000000001</v>
      </c>
      <c r="S288" s="43">
        <v>9</v>
      </c>
      <c r="T288" s="43">
        <f t="shared" si="28"/>
        <v>11640.572819999999</v>
      </c>
      <c r="U288" s="33">
        <f t="shared" si="29"/>
        <v>9599.85</v>
      </c>
      <c r="V288" s="43">
        <f t="shared" si="32"/>
        <v>2040.722819999999</v>
      </c>
      <c r="W288" s="45">
        <f t="shared" si="33"/>
        <v>0.17531120259767416</v>
      </c>
    </row>
    <row r="289" spans="1:23" x14ac:dyDescent="0.3">
      <c r="A289" s="34" t="s">
        <v>678</v>
      </c>
      <c r="B289" s="35">
        <v>45319</v>
      </c>
      <c r="C289" s="36">
        <v>45321</v>
      </c>
      <c r="D289" s="37">
        <f t="shared" si="34"/>
        <v>2</v>
      </c>
      <c r="E289" s="37" t="str">
        <f>TEXT(Data!B289,"MMM-YYYY")</f>
        <v>Jan-2024</v>
      </c>
      <c r="F289" s="37" t="str">
        <f t="shared" si="30"/>
        <v>Q1-2024</v>
      </c>
      <c r="G289" s="32" t="s">
        <v>16</v>
      </c>
      <c r="H289" s="32" t="s">
        <v>148</v>
      </c>
      <c r="I289" s="32" t="s">
        <v>258</v>
      </c>
      <c r="J289" s="32" t="s">
        <v>48</v>
      </c>
      <c r="K289" s="32" t="s">
        <v>98</v>
      </c>
      <c r="L289" s="32" t="s">
        <v>84</v>
      </c>
      <c r="M289" s="32" t="s">
        <v>81</v>
      </c>
      <c r="N289" s="32" t="s">
        <v>679</v>
      </c>
      <c r="O289" s="37">
        <v>798.45</v>
      </c>
      <c r="P289" s="38" t="str">
        <f t="shared" si="31"/>
        <v>High</v>
      </c>
      <c r="Q289" s="37">
        <v>1592.02</v>
      </c>
      <c r="R289" s="37">
        <v>6.6000000000000003E-2</v>
      </c>
      <c r="S289" s="37">
        <v>18</v>
      </c>
      <c r="T289" s="37">
        <f t="shared" si="28"/>
        <v>12473.159039999999</v>
      </c>
      <c r="U289" s="32">
        <f t="shared" si="29"/>
        <v>14372.1</v>
      </c>
      <c r="V289" s="37">
        <f t="shared" si="32"/>
        <v>-1898.9409600000017</v>
      </c>
      <c r="W289" s="39">
        <f t="shared" si="33"/>
        <v>-0.15224218290733843</v>
      </c>
    </row>
    <row r="290" spans="1:23" x14ac:dyDescent="0.3">
      <c r="A290" s="40" t="s">
        <v>680</v>
      </c>
      <c r="B290" s="41">
        <v>45125</v>
      </c>
      <c r="C290" s="42">
        <v>45148</v>
      </c>
      <c r="D290" s="43">
        <f t="shared" si="34"/>
        <v>23</v>
      </c>
      <c r="E290" s="43" t="str">
        <f>TEXT(Data!B290,"MMM-YYYY")</f>
        <v>Jul-2023</v>
      </c>
      <c r="F290" s="43" t="str">
        <f t="shared" si="30"/>
        <v>Q3-2023</v>
      </c>
      <c r="G290" s="33" t="s">
        <v>16</v>
      </c>
      <c r="H290" s="33" t="s">
        <v>148</v>
      </c>
      <c r="I290" s="33" t="s">
        <v>149</v>
      </c>
      <c r="J290" s="33" t="s">
        <v>62</v>
      </c>
      <c r="K290" s="33" t="s">
        <v>20</v>
      </c>
      <c r="L290" s="33" t="s">
        <v>49</v>
      </c>
      <c r="M290" s="33" t="s">
        <v>22</v>
      </c>
      <c r="N290" s="33" t="s">
        <v>681</v>
      </c>
      <c r="O290" s="43">
        <v>1271.56</v>
      </c>
      <c r="P290" s="44" t="str">
        <f t="shared" si="31"/>
        <v>High</v>
      </c>
      <c r="Q290" s="43">
        <v>995.47</v>
      </c>
      <c r="R290" s="43">
        <v>0.192</v>
      </c>
      <c r="S290" s="43">
        <v>13</v>
      </c>
      <c r="T290" s="43">
        <f t="shared" si="28"/>
        <v>7796.3839200000002</v>
      </c>
      <c r="U290" s="33">
        <f t="shared" si="29"/>
        <v>16530.28</v>
      </c>
      <c r="V290" s="43">
        <f t="shared" si="32"/>
        <v>-8733.8960799999986</v>
      </c>
      <c r="W290" s="45">
        <f t="shared" si="33"/>
        <v>-1.1202496143878966</v>
      </c>
    </row>
    <row r="291" spans="1:23" x14ac:dyDescent="0.3">
      <c r="A291" s="34" t="s">
        <v>682</v>
      </c>
      <c r="B291" s="35">
        <v>45897</v>
      </c>
      <c r="C291" s="36">
        <v>45895</v>
      </c>
      <c r="D291" s="37">
        <f>DATEDIF(C291,B291, "MD")</f>
        <v>2</v>
      </c>
      <c r="E291" s="37" t="str">
        <f>TEXT(Data!B291,"MMM-YYYY")</f>
        <v>Aug-2025</v>
      </c>
      <c r="F291" s="37" t="str">
        <f t="shared" si="30"/>
        <v>Q3-2025</v>
      </c>
      <c r="G291" s="32" t="s">
        <v>16</v>
      </c>
      <c r="H291" s="32" t="s">
        <v>25</v>
      </c>
      <c r="I291" s="32" t="s">
        <v>26</v>
      </c>
      <c r="J291" s="32" t="s">
        <v>62</v>
      </c>
      <c r="K291" s="32" t="s">
        <v>20</v>
      </c>
      <c r="L291" s="32" t="s">
        <v>75</v>
      </c>
      <c r="M291" s="32" t="s">
        <v>81</v>
      </c>
      <c r="N291" s="32" t="s">
        <v>683</v>
      </c>
      <c r="O291" s="37">
        <v>521.05999999999995</v>
      </c>
      <c r="P291" s="38" t="str">
        <f t="shared" si="31"/>
        <v>High</v>
      </c>
      <c r="Q291" s="37">
        <v>1240.31</v>
      </c>
      <c r="R291" s="37">
        <v>0.14599999999999999</v>
      </c>
      <c r="S291" s="37">
        <v>18</v>
      </c>
      <c r="T291" s="37">
        <f t="shared" si="28"/>
        <v>7371.4888800000008</v>
      </c>
      <c r="U291" s="32">
        <f t="shared" si="29"/>
        <v>9379.0799999999981</v>
      </c>
      <c r="V291" s="37">
        <f t="shared" si="32"/>
        <v>-2007.5911199999973</v>
      </c>
      <c r="W291" s="39">
        <f t="shared" si="33"/>
        <v>-0.27234540439271437</v>
      </c>
    </row>
    <row r="292" spans="1:23" x14ac:dyDescent="0.3">
      <c r="A292" s="40" t="s">
        <v>684</v>
      </c>
      <c r="B292" s="41">
        <v>45746</v>
      </c>
      <c r="C292" s="42">
        <v>45754</v>
      </c>
      <c r="D292" s="43">
        <f t="shared" si="34"/>
        <v>8</v>
      </c>
      <c r="E292" s="43" t="str">
        <f>TEXT(Data!B292,"MMM-YYYY")</f>
        <v>Mar-2025</v>
      </c>
      <c r="F292" s="43" t="str">
        <f t="shared" si="30"/>
        <v>Q1-2025</v>
      </c>
      <c r="G292" s="33" t="s">
        <v>52</v>
      </c>
      <c r="H292" s="33" t="s">
        <v>73</v>
      </c>
      <c r="I292" s="33" t="s">
        <v>74</v>
      </c>
      <c r="J292" s="33" t="s">
        <v>39</v>
      </c>
      <c r="K292" s="33" t="s">
        <v>98</v>
      </c>
      <c r="L292" s="33" t="s">
        <v>49</v>
      </c>
      <c r="M292" s="33" t="s">
        <v>30</v>
      </c>
      <c r="N292" s="33" t="s">
        <v>685</v>
      </c>
      <c r="O292" s="43">
        <v>71.62</v>
      </c>
      <c r="P292" s="44" t="str">
        <f t="shared" si="31"/>
        <v>Medium</v>
      </c>
      <c r="Q292" s="43">
        <v>118.37</v>
      </c>
      <c r="R292" s="43">
        <v>0.156</v>
      </c>
      <c r="S292" s="43">
        <v>11</v>
      </c>
      <c r="T292" s="43">
        <f t="shared" si="28"/>
        <v>10911.020999999999</v>
      </c>
      <c r="U292" s="33">
        <f t="shared" si="29"/>
        <v>787.82</v>
      </c>
      <c r="V292" s="43">
        <f t="shared" si="32"/>
        <v>10123.200999999999</v>
      </c>
      <c r="W292" s="45">
        <f t="shared" si="33"/>
        <v>0.92779594136973986</v>
      </c>
    </row>
    <row r="293" spans="1:23" x14ac:dyDescent="0.3">
      <c r="A293" s="34" t="s">
        <v>686</v>
      </c>
      <c r="B293" s="35">
        <v>45220</v>
      </c>
      <c r="C293" s="36">
        <v>45239</v>
      </c>
      <c r="D293" s="37">
        <f t="shared" si="34"/>
        <v>19</v>
      </c>
      <c r="E293" s="37" t="str">
        <f>TEXT(Data!B293,"MMM-YYYY")</f>
        <v>Oct-2023</v>
      </c>
      <c r="F293" s="37" t="str">
        <f t="shared" si="30"/>
        <v>Q4-2023</v>
      </c>
      <c r="G293" s="32" t="s">
        <v>78</v>
      </c>
      <c r="H293" s="32" t="s">
        <v>108</v>
      </c>
      <c r="I293" s="32" t="s">
        <v>152</v>
      </c>
      <c r="J293" s="32" t="s">
        <v>39</v>
      </c>
      <c r="K293" s="32" t="s">
        <v>98</v>
      </c>
      <c r="L293" s="32" t="s">
        <v>75</v>
      </c>
      <c r="M293" s="32" t="s">
        <v>81</v>
      </c>
      <c r="N293" s="32" t="s">
        <v>687</v>
      </c>
      <c r="O293" s="37">
        <v>1142.48</v>
      </c>
      <c r="P293" s="38" t="str">
        <f t="shared" si="31"/>
        <v>High</v>
      </c>
      <c r="Q293" s="37">
        <v>2105.5300000000002</v>
      </c>
      <c r="R293" s="37">
        <v>0.20699999999999999</v>
      </c>
      <c r="S293" s="37">
        <v>14</v>
      </c>
      <c r="T293" s="37">
        <f t="shared" si="28"/>
        <v>2525.1498999999999</v>
      </c>
      <c r="U293" s="32">
        <f t="shared" si="29"/>
        <v>15994.720000000001</v>
      </c>
      <c r="V293" s="37">
        <f t="shared" si="32"/>
        <v>-13469.570100000001</v>
      </c>
      <c r="W293" s="39">
        <f t="shared" si="33"/>
        <v>-5.3341665379944381</v>
      </c>
    </row>
    <row r="294" spans="1:23" x14ac:dyDescent="0.3">
      <c r="A294" s="40" t="s">
        <v>688</v>
      </c>
      <c r="B294" s="41">
        <v>45161</v>
      </c>
      <c r="C294" s="42">
        <v>45191</v>
      </c>
      <c r="D294" s="43">
        <f t="shared" si="34"/>
        <v>30</v>
      </c>
      <c r="E294" s="43" t="str">
        <f>TEXT(Data!B294,"MMM-YYYY")</f>
        <v>Aug-2023</v>
      </c>
      <c r="F294" s="43" t="str">
        <f t="shared" si="30"/>
        <v>Q3-2023</v>
      </c>
      <c r="G294" s="33" t="s">
        <v>78</v>
      </c>
      <c r="H294" s="33" t="s">
        <v>108</v>
      </c>
      <c r="I294" s="33" t="s">
        <v>152</v>
      </c>
      <c r="J294" s="33" t="s">
        <v>48</v>
      </c>
      <c r="K294" s="33" t="s">
        <v>55</v>
      </c>
      <c r="L294" s="33" t="s">
        <v>68</v>
      </c>
      <c r="M294" s="33" t="s">
        <v>81</v>
      </c>
      <c r="N294" s="33" t="s">
        <v>689</v>
      </c>
      <c r="O294" s="43">
        <v>209.81</v>
      </c>
      <c r="P294" s="44" t="str">
        <f t="shared" si="31"/>
        <v>High</v>
      </c>
      <c r="Q294" s="43">
        <v>523</v>
      </c>
      <c r="R294" s="43">
        <v>5.8999999999999997E-2</v>
      </c>
      <c r="S294" s="43">
        <v>15</v>
      </c>
      <c r="T294" s="43">
        <f t="shared" si="28"/>
        <v>16636.221300000001</v>
      </c>
      <c r="U294" s="33">
        <f t="shared" si="29"/>
        <v>3147.15</v>
      </c>
      <c r="V294" s="43">
        <f t="shared" si="32"/>
        <v>13489.071300000001</v>
      </c>
      <c r="W294" s="45">
        <f t="shared" si="33"/>
        <v>0.81082543065233215</v>
      </c>
    </row>
    <row r="295" spans="1:23" x14ac:dyDescent="0.3">
      <c r="A295" s="34" t="s">
        <v>690</v>
      </c>
      <c r="B295" s="35">
        <v>45758</v>
      </c>
      <c r="C295" s="36">
        <v>45781</v>
      </c>
      <c r="D295" s="37">
        <f t="shared" si="34"/>
        <v>23</v>
      </c>
      <c r="E295" s="37" t="str">
        <f>TEXT(Data!B295,"MMM-YYYY")</f>
        <v>Apr-2025</v>
      </c>
      <c r="F295" s="37" t="str">
        <f t="shared" si="30"/>
        <v>Q2-2025</v>
      </c>
      <c r="G295" s="32" t="s">
        <v>45</v>
      </c>
      <c r="H295" s="32" t="s">
        <v>46</v>
      </c>
      <c r="I295" s="32" t="s">
        <v>47</v>
      </c>
      <c r="J295" s="32" t="s">
        <v>62</v>
      </c>
      <c r="K295" s="32" t="s">
        <v>28</v>
      </c>
      <c r="L295" s="32" t="s">
        <v>110</v>
      </c>
      <c r="M295" s="32" t="s">
        <v>22</v>
      </c>
      <c r="N295" s="32" t="s">
        <v>691</v>
      </c>
      <c r="O295" s="37">
        <v>786.2</v>
      </c>
      <c r="P295" s="38" t="str">
        <f t="shared" si="31"/>
        <v>High</v>
      </c>
      <c r="Q295" s="37">
        <v>1075.3</v>
      </c>
      <c r="R295" s="37">
        <v>0.08</v>
      </c>
      <c r="S295" s="37">
        <v>9</v>
      </c>
      <c r="T295" s="37">
        <f t="shared" si="28"/>
        <v>20054.987999999998</v>
      </c>
      <c r="U295" s="32">
        <f t="shared" si="29"/>
        <v>7075.8</v>
      </c>
      <c r="V295" s="37">
        <f t="shared" si="32"/>
        <v>12979.187999999998</v>
      </c>
      <c r="W295" s="39">
        <f t="shared" si="33"/>
        <v>0.64718004318925548</v>
      </c>
    </row>
    <row r="296" spans="1:23" x14ac:dyDescent="0.3">
      <c r="A296" s="40" t="s">
        <v>692</v>
      </c>
      <c r="B296" s="41">
        <v>45809</v>
      </c>
      <c r="C296" s="42">
        <v>45835</v>
      </c>
      <c r="D296" s="43">
        <f t="shared" si="34"/>
        <v>26</v>
      </c>
      <c r="E296" s="43" t="str">
        <f>TEXT(Data!B296,"MMM-YYYY")</f>
        <v>Jun-2025</v>
      </c>
      <c r="F296" s="43" t="str">
        <f t="shared" si="30"/>
        <v>Q2-2025</v>
      </c>
      <c r="G296" s="33" t="s">
        <v>78</v>
      </c>
      <c r="H296" s="33" t="s">
        <v>79</v>
      </c>
      <c r="I296" s="33" t="s">
        <v>159</v>
      </c>
      <c r="J296" s="33" t="s">
        <v>48</v>
      </c>
      <c r="K296" s="33" t="s">
        <v>55</v>
      </c>
      <c r="L296" s="33" t="s">
        <v>63</v>
      </c>
      <c r="M296" s="33" t="s">
        <v>57</v>
      </c>
      <c r="N296" s="33" t="s">
        <v>693</v>
      </c>
      <c r="O296" s="43">
        <v>1362.31</v>
      </c>
      <c r="P296" s="44" t="str">
        <f t="shared" si="31"/>
        <v>High</v>
      </c>
      <c r="Q296" s="43">
        <v>3294.57</v>
      </c>
      <c r="R296" s="43">
        <v>0.113</v>
      </c>
      <c r="S296" s="43">
        <v>7</v>
      </c>
      <c r="T296" s="43">
        <f t="shared" si="28"/>
        <v>2693.96092</v>
      </c>
      <c r="U296" s="33">
        <f t="shared" si="29"/>
        <v>9536.17</v>
      </c>
      <c r="V296" s="43">
        <f t="shared" si="32"/>
        <v>-6842.2090800000005</v>
      </c>
      <c r="W296" s="45">
        <f t="shared" si="33"/>
        <v>-2.5398323447097373</v>
      </c>
    </row>
    <row r="297" spans="1:23" x14ac:dyDescent="0.3">
      <c r="A297" s="34" t="s">
        <v>694</v>
      </c>
      <c r="B297" s="35">
        <v>45353</v>
      </c>
      <c r="C297" s="36">
        <v>45367</v>
      </c>
      <c r="D297" s="37">
        <f t="shared" si="34"/>
        <v>14</v>
      </c>
      <c r="E297" s="37" t="str">
        <f>TEXT(Data!B297,"MMM-YYYY")</f>
        <v>Mar-2024</v>
      </c>
      <c r="F297" s="37" t="str">
        <f t="shared" si="30"/>
        <v>Q1-2024</v>
      </c>
      <c r="G297" s="32" t="s">
        <v>52</v>
      </c>
      <c r="H297" s="32" t="s">
        <v>53</v>
      </c>
      <c r="I297" s="32" t="s">
        <v>179</v>
      </c>
      <c r="J297" s="32" t="s">
        <v>39</v>
      </c>
      <c r="K297" s="32" t="s">
        <v>98</v>
      </c>
      <c r="L297" s="32" t="s">
        <v>68</v>
      </c>
      <c r="M297" s="32" t="s">
        <v>30</v>
      </c>
      <c r="N297" s="32" t="s">
        <v>695</v>
      </c>
      <c r="O297" s="37">
        <v>248.24</v>
      </c>
      <c r="P297" s="38" t="str">
        <f t="shared" si="31"/>
        <v>High</v>
      </c>
      <c r="Q297" s="37">
        <v>464.05</v>
      </c>
      <c r="R297" s="37">
        <v>0.16900000000000001</v>
      </c>
      <c r="S297" s="37">
        <v>11</v>
      </c>
      <c r="T297" s="37">
        <f t="shared" si="28"/>
        <v>28786.197329999999</v>
      </c>
      <c r="U297" s="32">
        <f t="shared" si="29"/>
        <v>2730.6400000000003</v>
      </c>
      <c r="V297" s="37">
        <f t="shared" si="32"/>
        <v>26055.55733</v>
      </c>
      <c r="W297" s="39">
        <f t="shared" si="33"/>
        <v>0.90514064887777934</v>
      </c>
    </row>
    <row r="298" spans="1:23" x14ac:dyDescent="0.3">
      <c r="A298" s="40" t="s">
        <v>696</v>
      </c>
      <c r="B298" s="41">
        <v>45097</v>
      </c>
      <c r="C298" s="42">
        <v>45115</v>
      </c>
      <c r="D298" s="43">
        <f t="shared" si="34"/>
        <v>18</v>
      </c>
      <c r="E298" s="43" t="str">
        <f>TEXT(Data!B298,"MMM-YYYY")</f>
        <v>Jun-2023</v>
      </c>
      <c r="F298" s="43" t="str">
        <f t="shared" si="30"/>
        <v>Q2-2023</v>
      </c>
      <c r="G298" s="33" t="s">
        <v>52</v>
      </c>
      <c r="H298" s="33" t="s">
        <v>122</v>
      </c>
      <c r="I298" s="33" t="s">
        <v>326</v>
      </c>
      <c r="J298" s="33" t="s">
        <v>39</v>
      </c>
      <c r="K298" s="33" t="s">
        <v>98</v>
      </c>
      <c r="L298" s="33" t="s">
        <v>84</v>
      </c>
      <c r="M298" s="33" t="s">
        <v>64</v>
      </c>
      <c r="N298" s="33" t="s">
        <v>697</v>
      </c>
      <c r="O298" s="43">
        <v>337</v>
      </c>
      <c r="P298" s="44" t="str">
        <f t="shared" si="31"/>
        <v>High</v>
      </c>
      <c r="Q298" s="43">
        <v>511.03</v>
      </c>
      <c r="R298" s="43">
        <v>0.108</v>
      </c>
      <c r="S298" s="43">
        <v>7</v>
      </c>
      <c r="T298" s="43">
        <f t="shared" si="28"/>
        <v>409.91860000000008</v>
      </c>
      <c r="U298" s="33">
        <f t="shared" si="29"/>
        <v>2359</v>
      </c>
      <c r="V298" s="43">
        <f t="shared" si="32"/>
        <v>-1949.0814</v>
      </c>
      <c r="W298" s="45">
        <f t="shared" si="33"/>
        <v>-4.7548010751402829</v>
      </c>
    </row>
    <row r="299" spans="1:23" x14ac:dyDescent="0.3">
      <c r="A299" s="34" t="s">
        <v>698</v>
      </c>
      <c r="B299" s="35">
        <v>45377</v>
      </c>
      <c r="C299" s="36">
        <v>45387</v>
      </c>
      <c r="D299" s="37">
        <f t="shared" si="34"/>
        <v>10</v>
      </c>
      <c r="E299" s="37" t="str">
        <f>TEXT(Data!B299,"MMM-YYYY")</f>
        <v>Mar-2024</v>
      </c>
      <c r="F299" s="37" t="str">
        <f t="shared" si="30"/>
        <v>Q1-2024</v>
      </c>
      <c r="G299" s="32" t="s">
        <v>52</v>
      </c>
      <c r="H299" s="32" t="s">
        <v>122</v>
      </c>
      <c r="I299" s="32" t="s">
        <v>326</v>
      </c>
      <c r="J299" s="32" t="s">
        <v>48</v>
      </c>
      <c r="K299" s="32" t="s">
        <v>98</v>
      </c>
      <c r="L299" s="32" t="s">
        <v>29</v>
      </c>
      <c r="M299" s="32" t="s">
        <v>64</v>
      </c>
      <c r="N299" s="32" t="s">
        <v>699</v>
      </c>
      <c r="O299" s="37">
        <v>5.66</v>
      </c>
      <c r="P299" s="38" t="str">
        <f t="shared" si="31"/>
        <v>Low</v>
      </c>
      <c r="Q299" s="37">
        <v>4.22</v>
      </c>
      <c r="R299" s="37">
        <v>0.11899999999999999</v>
      </c>
      <c r="S299" s="37">
        <v>18</v>
      </c>
      <c r="T299" s="37">
        <f t="shared" si="28"/>
        <v>39520.356119999997</v>
      </c>
      <c r="U299" s="32">
        <f t="shared" si="29"/>
        <v>101.88</v>
      </c>
      <c r="V299" s="37">
        <f t="shared" si="32"/>
        <v>39418.476119999999</v>
      </c>
      <c r="W299" s="39">
        <f t="shared" si="33"/>
        <v>0.99742208800723742</v>
      </c>
    </row>
    <row r="300" spans="1:23" x14ac:dyDescent="0.3">
      <c r="A300" s="40" t="s">
        <v>700</v>
      </c>
      <c r="B300" s="41">
        <v>45679</v>
      </c>
      <c r="C300" s="42">
        <v>45679</v>
      </c>
      <c r="D300" s="43">
        <f t="shared" si="34"/>
        <v>0</v>
      </c>
      <c r="E300" s="43" t="str">
        <f>TEXT(Data!B300,"MMM-YYYY")</f>
        <v>Jan-2025</v>
      </c>
      <c r="F300" s="43" t="str">
        <f t="shared" si="30"/>
        <v>Q1-2025</v>
      </c>
      <c r="G300" s="33" t="s">
        <v>78</v>
      </c>
      <c r="H300" s="33" t="s">
        <v>90</v>
      </c>
      <c r="I300" s="33" t="s">
        <v>138</v>
      </c>
      <c r="J300" s="33" t="s">
        <v>62</v>
      </c>
      <c r="K300" s="33" t="s">
        <v>28</v>
      </c>
      <c r="L300" s="33" t="s">
        <v>56</v>
      </c>
      <c r="M300" s="33" t="s">
        <v>81</v>
      </c>
      <c r="N300" s="33" t="s">
        <v>701</v>
      </c>
      <c r="O300" s="43">
        <v>591.72</v>
      </c>
      <c r="P300" s="44" t="str">
        <f t="shared" si="31"/>
        <v>High</v>
      </c>
      <c r="Q300" s="43">
        <v>577.24</v>
      </c>
      <c r="R300" s="43">
        <v>0</v>
      </c>
      <c r="S300" s="43">
        <v>22</v>
      </c>
      <c r="T300" s="43">
        <f t="shared" si="28"/>
        <v>20500.48</v>
      </c>
      <c r="U300" s="33">
        <f t="shared" si="29"/>
        <v>13017.84</v>
      </c>
      <c r="V300" s="43">
        <f t="shared" si="32"/>
        <v>7482.6399999999994</v>
      </c>
      <c r="W300" s="45">
        <f t="shared" si="33"/>
        <v>0.36499828296703296</v>
      </c>
    </row>
    <row r="301" spans="1:23" x14ac:dyDescent="0.3">
      <c r="A301" s="34" t="s">
        <v>702</v>
      </c>
      <c r="B301" s="35">
        <v>45787</v>
      </c>
      <c r="C301" s="36">
        <v>45804</v>
      </c>
      <c r="D301" s="37">
        <f t="shared" si="34"/>
        <v>17</v>
      </c>
      <c r="E301" s="37" t="str">
        <f>TEXT(Data!B301,"MMM-YYYY")</f>
        <v>May-2025</v>
      </c>
      <c r="F301" s="37" t="str">
        <f t="shared" si="30"/>
        <v>Q2-2025</v>
      </c>
      <c r="G301" s="32" t="s">
        <v>52</v>
      </c>
      <c r="H301" s="32" t="s">
        <v>53</v>
      </c>
      <c r="I301" s="32" t="s">
        <v>179</v>
      </c>
      <c r="J301" s="32" t="s">
        <v>27</v>
      </c>
      <c r="K301" s="32" t="s">
        <v>98</v>
      </c>
      <c r="L301" s="32" t="s">
        <v>21</v>
      </c>
      <c r="M301" s="32" t="s">
        <v>22</v>
      </c>
      <c r="N301" s="32" t="s">
        <v>703</v>
      </c>
      <c r="O301" s="37">
        <v>862.89</v>
      </c>
      <c r="P301" s="38" t="str">
        <f t="shared" si="31"/>
        <v>High</v>
      </c>
      <c r="Q301" s="37">
        <v>1426.03</v>
      </c>
      <c r="R301" s="37">
        <v>5.6000000000000001E-2</v>
      </c>
      <c r="S301" s="37">
        <v>19</v>
      </c>
      <c r="T301" s="37">
        <f t="shared" si="28"/>
        <v>11111.531359999999</v>
      </c>
      <c r="U301" s="32">
        <f t="shared" si="29"/>
        <v>16394.91</v>
      </c>
      <c r="V301" s="37">
        <f t="shared" si="32"/>
        <v>-5283.3786400000008</v>
      </c>
      <c r="W301" s="39">
        <f t="shared" si="33"/>
        <v>-0.4754860935747745</v>
      </c>
    </row>
    <row r="302" spans="1:23" x14ac:dyDescent="0.3">
      <c r="A302" s="40" t="s">
        <v>704</v>
      </c>
      <c r="B302" s="41">
        <v>45204</v>
      </c>
      <c r="C302" s="42">
        <v>45230</v>
      </c>
      <c r="D302" s="43">
        <f t="shared" si="34"/>
        <v>26</v>
      </c>
      <c r="E302" s="43" t="str">
        <f>TEXT(Data!B302,"MMM-YYYY")</f>
        <v>Oct-2023</v>
      </c>
      <c r="F302" s="43" t="str">
        <f t="shared" si="30"/>
        <v>Q4-2023</v>
      </c>
      <c r="G302" s="33" t="s">
        <v>45</v>
      </c>
      <c r="H302" s="33" t="s">
        <v>116</v>
      </c>
      <c r="I302" s="33" t="s">
        <v>162</v>
      </c>
      <c r="J302" s="33" t="s">
        <v>48</v>
      </c>
      <c r="K302" s="33" t="s">
        <v>1364</v>
      </c>
      <c r="L302" s="33" t="s">
        <v>29</v>
      </c>
      <c r="M302" s="33" t="s">
        <v>30</v>
      </c>
      <c r="N302" s="33" t="s">
        <v>705</v>
      </c>
      <c r="O302" s="43">
        <v>649.91</v>
      </c>
      <c r="P302" s="44" t="str">
        <f t="shared" si="31"/>
        <v>High</v>
      </c>
      <c r="Q302" s="43">
        <v>1360.12</v>
      </c>
      <c r="R302" s="43">
        <v>0.19400000000000001</v>
      </c>
      <c r="S302" s="43">
        <v>9</v>
      </c>
      <c r="T302" s="43">
        <f t="shared" si="28"/>
        <v>10311.923699999999</v>
      </c>
      <c r="U302" s="33">
        <f t="shared" si="29"/>
        <v>5849.19</v>
      </c>
      <c r="V302" s="43">
        <f t="shared" si="32"/>
        <v>4462.7336999999998</v>
      </c>
      <c r="W302" s="45">
        <f t="shared" si="33"/>
        <v>0.43277411953697836</v>
      </c>
    </row>
    <row r="303" spans="1:23" x14ac:dyDescent="0.3">
      <c r="A303" s="34" t="s">
        <v>706</v>
      </c>
      <c r="B303" s="35">
        <v>45125</v>
      </c>
      <c r="C303" s="36">
        <v>45129</v>
      </c>
      <c r="D303" s="37">
        <f t="shared" si="34"/>
        <v>4</v>
      </c>
      <c r="E303" s="37" t="str">
        <f>TEXT(Data!B303,"MMM-YYYY")</f>
        <v>Jul-2023</v>
      </c>
      <c r="F303" s="37" t="str">
        <f t="shared" si="30"/>
        <v>Q3-2023</v>
      </c>
      <c r="G303" s="32" t="s">
        <v>52</v>
      </c>
      <c r="H303" s="32" t="s">
        <v>73</v>
      </c>
      <c r="I303" s="32" t="s">
        <v>74</v>
      </c>
      <c r="J303" s="32" t="s">
        <v>48</v>
      </c>
      <c r="K303" s="32" t="s">
        <v>98</v>
      </c>
      <c r="L303" s="32" t="s">
        <v>84</v>
      </c>
      <c r="M303" s="32" t="s">
        <v>35</v>
      </c>
      <c r="N303" s="32" t="s">
        <v>707</v>
      </c>
      <c r="O303" s="37">
        <v>1269.55</v>
      </c>
      <c r="P303" s="38" t="str">
        <f t="shared" si="31"/>
        <v>High</v>
      </c>
      <c r="Q303" s="37">
        <v>2071.1</v>
      </c>
      <c r="R303" s="37">
        <v>0.129</v>
      </c>
      <c r="S303" s="37">
        <v>22</v>
      </c>
      <c r="T303" s="37">
        <f t="shared" si="28"/>
        <v>18252.954719999998</v>
      </c>
      <c r="U303" s="32">
        <f t="shared" si="29"/>
        <v>27930.1</v>
      </c>
      <c r="V303" s="37">
        <f t="shared" si="32"/>
        <v>-9677.1452800000006</v>
      </c>
      <c r="W303" s="39">
        <f t="shared" si="33"/>
        <v>-0.53016870027057195</v>
      </c>
    </row>
    <row r="304" spans="1:23" x14ac:dyDescent="0.3">
      <c r="A304" s="40" t="s">
        <v>708</v>
      </c>
      <c r="B304" s="41">
        <v>45830</v>
      </c>
      <c r="C304" s="42">
        <v>45846</v>
      </c>
      <c r="D304" s="43">
        <f t="shared" si="34"/>
        <v>16</v>
      </c>
      <c r="E304" s="43" t="str">
        <f>TEXT(Data!B304,"MMM-YYYY")</f>
        <v>Jun-2025</v>
      </c>
      <c r="F304" s="43" t="str">
        <f t="shared" si="30"/>
        <v>Q2-2025</v>
      </c>
      <c r="G304" s="33" t="s">
        <v>78</v>
      </c>
      <c r="H304" s="33" t="s">
        <v>108</v>
      </c>
      <c r="I304" s="33" t="s">
        <v>152</v>
      </c>
      <c r="J304" s="33" t="s">
        <v>27</v>
      </c>
      <c r="K304" s="33" t="s">
        <v>98</v>
      </c>
      <c r="L304" s="33" t="s">
        <v>75</v>
      </c>
      <c r="M304" s="33" t="s">
        <v>42</v>
      </c>
      <c r="N304" s="33" t="s">
        <v>709</v>
      </c>
      <c r="O304" s="43">
        <v>892.73</v>
      </c>
      <c r="P304" s="44" t="str">
        <f t="shared" si="31"/>
        <v>High</v>
      </c>
      <c r="Q304" s="43">
        <v>979.84</v>
      </c>
      <c r="R304" s="43">
        <v>0.17399999999999999</v>
      </c>
      <c r="S304" s="43">
        <v>10</v>
      </c>
      <c r="T304" s="43">
        <f t="shared" si="28"/>
        <v>26053.196400000001</v>
      </c>
      <c r="U304" s="33">
        <f t="shared" si="29"/>
        <v>8927.2999999999993</v>
      </c>
      <c r="V304" s="43">
        <f t="shared" si="32"/>
        <v>17125.896400000001</v>
      </c>
      <c r="W304" s="45">
        <f t="shared" si="33"/>
        <v>0.65734338839129935</v>
      </c>
    </row>
    <row r="305" spans="1:23" x14ac:dyDescent="0.3">
      <c r="A305" s="34" t="s">
        <v>710</v>
      </c>
      <c r="B305" s="35">
        <v>45462</v>
      </c>
      <c r="C305" s="36">
        <v>45463</v>
      </c>
      <c r="D305" s="37">
        <f t="shared" si="34"/>
        <v>1</v>
      </c>
      <c r="E305" s="37" t="str">
        <f>TEXT(Data!B305,"MMM-YYYY")</f>
        <v>Jun-2024</v>
      </c>
      <c r="F305" s="37" t="str">
        <f t="shared" si="30"/>
        <v>Q2-2024</v>
      </c>
      <c r="G305" s="32" t="s">
        <v>16</v>
      </c>
      <c r="H305" s="32" t="s">
        <v>17</v>
      </c>
      <c r="I305" s="32" t="s">
        <v>18</v>
      </c>
      <c r="J305" s="32" t="s">
        <v>62</v>
      </c>
      <c r="K305" s="32" t="s">
        <v>98</v>
      </c>
      <c r="L305" s="32" t="s">
        <v>29</v>
      </c>
      <c r="M305" s="32" t="s">
        <v>57</v>
      </c>
      <c r="N305" s="32" t="s">
        <v>711</v>
      </c>
      <c r="O305" s="37">
        <v>231.63</v>
      </c>
      <c r="P305" s="38" t="str">
        <f t="shared" si="31"/>
        <v>High</v>
      </c>
      <c r="Q305" s="37">
        <v>537.39</v>
      </c>
      <c r="R305" s="37">
        <v>0.08</v>
      </c>
      <c r="S305" s="37">
        <v>12</v>
      </c>
      <c r="T305" s="37">
        <f t="shared" si="28"/>
        <v>2496.5855999999999</v>
      </c>
      <c r="U305" s="32">
        <f t="shared" si="29"/>
        <v>2779.56</v>
      </c>
      <c r="V305" s="37">
        <f t="shared" si="32"/>
        <v>-282.97440000000006</v>
      </c>
      <c r="W305" s="39">
        <f t="shared" si="33"/>
        <v>-0.11334456146827093</v>
      </c>
    </row>
    <row r="306" spans="1:23" x14ac:dyDescent="0.3">
      <c r="A306" s="40" t="s">
        <v>712</v>
      </c>
      <c r="B306" s="41">
        <v>45756</v>
      </c>
      <c r="C306" s="42">
        <v>45759</v>
      </c>
      <c r="D306" s="43">
        <f t="shared" si="34"/>
        <v>3</v>
      </c>
      <c r="E306" s="43" t="str">
        <f>TEXT(Data!B306,"MMM-YYYY")</f>
        <v>Apr-2025</v>
      </c>
      <c r="F306" s="43" t="str">
        <f t="shared" si="30"/>
        <v>Q2-2025</v>
      </c>
      <c r="G306" s="33" t="s">
        <v>78</v>
      </c>
      <c r="H306" s="33" t="s">
        <v>90</v>
      </c>
      <c r="I306" s="33" t="s">
        <v>138</v>
      </c>
      <c r="J306" s="33" t="s">
        <v>62</v>
      </c>
      <c r="K306" s="33" t="s">
        <v>55</v>
      </c>
      <c r="L306" s="33" t="s">
        <v>92</v>
      </c>
      <c r="M306" s="33" t="s">
        <v>64</v>
      </c>
      <c r="N306" s="33" t="s">
        <v>713</v>
      </c>
      <c r="O306" s="43">
        <v>86.68</v>
      </c>
      <c r="P306" s="44" t="str">
        <f t="shared" si="31"/>
        <v>High</v>
      </c>
      <c r="Q306" s="43">
        <v>213.32</v>
      </c>
      <c r="R306" s="43">
        <v>3.7999999999999999E-2</v>
      </c>
      <c r="S306" s="43">
        <v>8</v>
      </c>
      <c r="T306" s="43">
        <f t="shared" si="28"/>
        <v>6818.0403199999992</v>
      </c>
      <c r="U306" s="33">
        <f t="shared" si="29"/>
        <v>693.44</v>
      </c>
      <c r="V306" s="43">
        <f t="shared" si="32"/>
        <v>6124.6003199999996</v>
      </c>
      <c r="W306" s="45">
        <f t="shared" si="33"/>
        <v>0.89829335594190218</v>
      </c>
    </row>
    <row r="307" spans="1:23" x14ac:dyDescent="0.3">
      <c r="A307" s="34" t="s">
        <v>714</v>
      </c>
      <c r="B307" s="35">
        <v>45741</v>
      </c>
      <c r="C307" s="36">
        <v>45742</v>
      </c>
      <c r="D307" s="37">
        <f t="shared" si="34"/>
        <v>1</v>
      </c>
      <c r="E307" s="37" t="str">
        <f>TEXT(Data!B307,"MMM-YYYY")</f>
        <v>Mar-2025</v>
      </c>
      <c r="F307" s="37" t="str">
        <f t="shared" si="30"/>
        <v>Q1-2025</v>
      </c>
      <c r="G307" s="32" t="s">
        <v>16</v>
      </c>
      <c r="H307" s="32" t="s">
        <v>25</v>
      </c>
      <c r="I307" s="32" t="s">
        <v>38</v>
      </c>
      <c r="J307" s="32" t="s">
        <v>27</v>
      </c>
      <c r="K307" s="32" t="s">
        <v>55</v>
      </c>
      <c r="L307" s="32" t="s">
        <v>41</v>
      </c>
      <c r="M307" s="32" t="s">
        <v>81</v>
      </c>
      <c r="N307" s="32" t="s">
        <v>715</v>
      </c>
      <c r="O307" s="37">
        <v>1450.43</v>
      </c>
      <c r="P307" s="38" t="str">
        <f t="shared" si="31"/>
        <v>High</v>
      </c>
      <c r="Q307" s="37">
        <v>1994.67</v>
      </c>
      <c r="R307" s="37">
        <v>0.1</v>
      </c>
      <c r="S307" s="37">
        <v>24</v>
      </c>
      <c r="T307" s="37">
        <f t="shared" si="28"/>
        <v>52560.144000000008</v>
      </c>
      <c r="U307" s="32">
        <f t="shared" si="29"/>
        <v>34810.32</v>
      </c>
      <c r="V307" s="37">
        <f t="shared" si="32"/>
        <v>17749.824000000008</v>
      </c>
      <c r="W307" s="39">
        <f t="shared" si="33"/>
        <v>0.33770501085385163</v>
      </c>
    </row>
    <row r="308" spans="1:23" x14ac:dyDescent="0.3">
      <c r="A308" s="40" t="s">
        <v>716</v>
      </c>
      <c r="B308" s="41">
        <v>45795</v>
      </c>
      <c r="C308" s="42">
        <v>45817</v>
      </c>
      <c r="D308" s="43">
        <f t="shared" si="34"/>
        <v>22</v>
      </c>
      <c r="E308" s="43" t="str">
        <f>TEXT(Data!B308,"MMM-YYYY")</f>
        <v>May-2025</v>
      </c>
      <c r="F308" s="43" t="str">
        <f t="shared" si="30"/>
        <v>Q2-2025</v>
      </c>
      <c r="G308" s="33" t="s">
        <v>52</v>
      </c>
      <c r="H308" s="33" t="s">
        <v>122</v>
      </c>
      <c r="I308" s="33" t="s">
        <v>387</v>
      </c>
      <c r="J308" s="33" t="s">
        <v>48</v>
      </c>
      <c r="K308" s="33" t="s">
        <v>20</v>
      </c>
      <c r="L308" s="33" t="s">
        <v>92</v>
      </c>
      <c r="M308" s="33" t="s">
        <v>35</v>
      </c>
      <c r="N308" s="33" t="s">
        <v>717</v>
      </c>
      <c r="O308" s="43">
        <v>382.96</v>
      </c>
      <c r="P308" s="44" t="str">
        <f t="shared" si="31"/>
        <v>High</v>
      </c>
      <c r="Q308" s="43">
        <v>552.84</v>
      </c>
      <c r="R308" s="43">
        <v>0.17599999999999999</v>
      </c>
      <c r="S308" s="43">
        <v>8</v>
      </c>
      <c r="T308" s="43">
        <f t="shared" si="28"/>
        <v>7609.4092799999999</v>
      </c>
      <c r="U308" s="33">
        <f t="shared" si="29"/>
        <v>3063.68</v>
      </c>
      <c r="V308" s="43">
        <f t="shared" si="32"/>
        <v>4545.7292799999996</v>
      </c>
      <c r="W308" s="45">
        <f t="shared" si="33"/>
        <v>0.59738267620164065</v>
      </c>
    </row>
    <row r="309" spans="1:23" x14ac:dyDescent="0.3">
      <c r="A309" s="34" t="s">
        <v>718</v>
      </c>
      <c r="B309" s="35">
        <v>45679</v>
      </c>
      <c r="C309" s="36">
        <v>45692</v>
      </c>
      <c r="D309" s="37">
        <f t="shared" si="34"/>
        <v>13</v>
      </c>
      <c r="E309" s="37" t="str">
        <f>TEXT(Data!B309,"MMM-YYYY")</f>
        <v>Jan-2025</v>
      </c>
      <c r="F309" s="37" t="str">
        <f t="shared" si="30"/>
        <v>Q1-2025</v>
      </c>
      <c r="G309" s="32" t="s">
        <v>45</v>
      </c>
      <c r="H309" s="32" t="s">
        <v>46</v>
      </c>
      <c r="I309" s="32" t="s">
        <v>214</v>
      </c>
      <c r="J309" s="32" t="s">
        <v>62</v>
      </c>
      <c r="K309" s="32" t="s">
        <v>55</v>
      </c>
      <c r="L309" s="32" t="s">
        <v>49</v>
      </c>
      <c r="M309" s="32" t="s">
        <v>30</v>
      </c>
      <c r="N309" s="32" t="s">
        <v>719</v>
      </c>
      <c r="O309" s="37">
        <v>122.29</v>
      </c>
      <c r="P309" s="38" t="str">
        <f t="shared" si="31"/>
        <v>High</v>
      </c>
      <c r="Q309" s="37">
        <v>224.95</v>
      </c>
      <c r="R309" s="37">
        <v>0.153</v>
      </c>
      <c r="S309" s="37">
        <v>28</v>
      </c>
      <c r="T309" s="37">
        <f t="shared" si="28"/>
        <v>26941.13884</v>
      </c>
      <c r="U309" s="32">
        <f t="shared" si="29"/>
        <v>3424.1200000000003</v>
      </c>
      <c r="V309" s="37">
        <f t="shared" si="32"/>
        <v>23517.018840000001</v>
      </c>
      <c r="W309" s="39">
        <f t="shared" si="33"/>
        <v>0.8729036652705956</v>
      </c>
    </row>
    <row r="310" spans="1:23" x14ac:dyDescent="0.3">
      <c r="A310" s="40" t="s">
        <v>720</v>
      </c>
      <c r="B310" s="41">
        <v>44936</v>
      </c>
      <c r="C310" s="42">
        <v>44955</v>
      </c>
      <c r="D310" s="43">
        <f t="shared" si="34"/>
        <v>19</v>
      </c>
      <c r="E310" s="43" t="str">
        <f>TEXT(Data!B310,"MMM-YYYY")</f>
        <v>Jan-2023</v>
      </c>
      <c r="F310" s="43" t="str">
        <f t="shared" si="30"/>
        <v>Q1-2023</v>
      </c>
      <c r="G310" s="33" t="s">
        <v>78</v>
      </c>
      <c r="H310" s="33" t="s">
        <v>90</v>
      </c>
      <c r="I310" s="33" t="s">
        <v>138</v>
      </c>
      <c r="J310" s="33" t="s">
        <v>39</v>
      </c>
      <c r="K310" s="33" t="s">
        <v>98</v>
      </c>
      <c r="L310" s="33" t="s">
        <v>145</v>
      </c>
      <c r="M310" s="33" t="s">
        <v>57</v>
      </c>
      <c r="N310" s="33" t="s">
        <v>721</v>
      </c>
      <c r="O310" s="43">
        <v>401.66</v>
      </c>
      <c r="P310" s="44" t="str">
        <f t="shared" si="31"/>
        <v>High</v>
      </c>
      <c r="Q310" s="43">
        <v>772.09</v>
      </c>
      <c r="R310" s="43">
        <v>8.8999999999999996E-2</v>
      </c>
      <c r="S310" s="43">
        <v>14</v>
      </c>
      <c r="T310" s="43">
        <f t="shared" si="28"/>
        <v>35096.967360000002</v>
      </c>
      <c r="U310" s="33">
        <f t="shared" si="29"/>
        <v>5623.2400000000007</v>
      </c>
      <c r="V310" s="43">
        <f t="shared" si="32"/>
        <v>29473.727360000001</v>
      </c>
      <c r="W310" s="45">
        <f t="shared" si="33"/>
        <v>0.83977988917615698</v>
      </c>
    </row>
    <row r="311" spans="1:23" x14ac:dyDescent="0.3">
      <c r="A311" s="34" t="s">
        <v>722</v>
      </c>
      <c r="B311" s="35">
        <v>45655</v>
      </c>
      <c r="C311" s="36">
        <v>45669</v>
      </c>
      <c r="D311" s="37">
        <f t="shared" si="34"/>
        <v>14</v>
      </c>
      <c r="E311" s="37" t="str">
        <f>TEXT(Data!B311,"MMM-YYYY")</f>
        <v>Dec-2024</v>
      </c>
      <c r="F311" s="37" t="str">
        <f t="shared" si="30"/>
        <v>Q4-2024</v>
      </c>
      <c r="G311" s="32" t="s">
        <v>78</v>
      </c>
      <c r="H311" s="32" t="s">
        <v>108</v>
      </c>
      <c r="I311" s="32" t="s">
        <v>228</v>
      </c>
      <c r="J311" s="32" t="s">
        <v>19</v>
      </c>
      <c r="K311" s="32" t="s">
        <v>98</v>
      </c>
      <c r="L311" s="32" t="s">
        <v>56</v>
      </c>
      <c r="M311" s="32" t="s">
        <v>64</v>
      </c>
      <c r="N311" s="32" t="s">
        <v>723</v>
      </c>
      <c r="O311" s="37">
        <v>1399.72</v>
      </c>
      <c r="P311" s="38" t="str">
        <f t="shared" si="31"/>
        <v>High</v>
      </c>
      <c r="Q311" s="37">
        <v>3149.21</v>
      </c>
      <c r="R311" s="37">
        <v>0.185</v>
      </c>
      <c r="S311" s="37">
        <v>12</v>
      </c>
      <c r="T311" s="37">
        <f t="shared" si="28"/>
        <v>13444.761599999998</v>
      </c>
      <c r="U311" s="32">
        <f t="shared" si="29"/>
        <v>16796.64</v>
      </c>
      <c r="V311" s="37">
        <f t="shared" si="32"/>
        <v>-3351.8784000000014</v>
      </c>
      <c r="W311" s="39">
        <f t="shared" si="33"/>
        <v>-0.24930738823959525</v>
      </c>
    </row>
    <row r="312" spans="1:23" x14ac:dyDescent="0.3">
      <c r="A312" s="40" t="s">
        <v>724</v>
      </c>
      <c r="B312" s="41">
        <v>45435</v>
      </c>
      <c r="C312" s="42">
        <v>45449</v>
      </c>
      <c r="D312" s="43">
        <f t="shared" si="34"/>
        <v>14</v>
      </c>
      <c r="E312" s="43" t="str">
        <f>TEXT(Data!B312,"MMM-YYYY")</f>
        <v>May-2024</v>
      </c>
      <c r="F312" s="43" t="str">
        <f t="shared" si="30"/>
        <v>Q2-2024</v>
      </c>
      <c r="G312" s="33" t="s">
        <v>52</v>
      </c>
      <c r="H312" s="33" t="s">
        <v>73</v>
      </c>
      <c r="I312" s="33" t="s">
        <v>225</v>
      </c>
      <c r="J312" s="33" t="s">
        <v>39</v>
      </c>
      <c r="K312" s="33" t="s">
        <v>28</v>
      </c>
      <c r="L312" s="33" t="s">
        <v>34</v>
      </c>
      <c r="M312" s="33" t="s">
        <v>35</v>
      </c>
      <c r="N312" s="33" t="s">
        <v>725</v>
      </c>
      <c r="O312" s="43">
        <v>51.13</v>
      </c>
      <c r="P312" s="44" t="str">
        <f t="shared" si="31"/>
        <v>Medium</v>
      </c>
      <c r="Q312" s="43">
        <v>57.53</v>
      </c>
      <c r="R312" s="43">
        <v>4.4999999999999998E-2</v>
      </c>
      <c r="S312" s="43">
        <v>16</v>
      </c>
      <c r="T312" s="43">
        <f t="shared" si="28"/>
        <v>20144.693599999999</v>
      </c>
      <c r="U312" s="33">
        <f t="shared" si="29"/>
        <v>818.08</v>
      </c>
      <c r="V312" s="43">
        <f t="shared" si="32"/>
        <v>19326.613599999997</v>
      </c>
      <c r="W312" s="45">
        <f t="shared" si="33"/>
        <v>0.95938980178879452</v>
      </c>
    </row>
    <row r="313" spans="1:23" x14ac:dyDescent="0.3">
      <c r="A313" s="34" t="s">
        <v>726</v>
      </c>
      <c r="B313" s="35">
        <v>45101</v>
      </c>
      <c r="C313" s="36">
        <v>45099</v>
      </c>
      <c r="D313" s="37">
        <f>DATEDIF(C313,B313, "MD")</f>
        <v>2</v>
      </c>
      <c r="E313" s="37" t="str">
        <f>TEXT(Data!B313,"MMM-YYYY")</f>
        <v>Jun-2023</v>
      </c>
      <c r="F313" s="37" t="str">
        <f t="shared" si="30"/>
        <v>Q2-2023</v>
      </c>
      <c r="G313" s="32" t="s">
        <v>52</v>
      </c>
      <c r="H313" s="32" t="s">
        <v>53</v>
      </c>
      <c r="I313" s="32" t="s">
        <v>54</v>
      </c>
      <c r="J313" s="32" t="s">
        <v>39</v>
      </c>
      <c r="K313" s="32" t="s">
        <v>20</v>
      </c>
      <c r="L313" s="32" t="s">
        <v>110</v>
      </c>
      <c r="M313" s="32" t="s">
        <v>81</v>
      </c>
      <c r="N313" s="32" t="s">
        <v>727</v>
      </c>
      <c r="O313" s="37">
        <v>471.42</v>
      </c>
      <c r="P313" s="38" t="str">
        <f t="shared" si="31"/>
        <v>High</v>
      </c>
      <c r="Q313" s="37">
        <v>824.81</v>
      </c>
      <c r="R313" s="37">
        <v>8.7999999999999995E-2</v>
      </c>
      <c r="S313" s="37">
        <v>15</v>
      </c>
      <c r="T313" s="37">
        <f t="shared" si="28"/>
        <v>6043.0032000000001</v>
      </c>
      <c r="U313" s="32">
        <f t="shared" si="29"/>
        <v>7071.3</v>
      </c>
      <c r="V313" s="37">
        <f t="shared" si="32"/>
        <v>-1028.2968000000001</v>
      </c>
      <c r="W313" s="39">
        <f t="shared" si="33"/>
        <v>-0.17016320626803574</v>
      </c>
    </row>
    <row r="314" spans="1:23" x14ac:dyDescent="0.3">
      <c r="A314" s="40" t="s">
        <v>728</v>
      </c>
      <c r="B314" s="41">
        <v>45600</v>
      </c>
      <c r="C314" s="42">
        <v>45601</v>
      </c>
      <c r="D314" s="43">
        <f t="shared" si="34"/>
        <v>1</v>
      </c>
      <c r="E314" s="43" t="str">
        <f>TEXT(Data!B314,"MMM-YYYY")</f>
        <v>Nov-2024</v>
      </c>
      <c r="F314" s="43" t="str">
        <f t="shared" si="30"/>
        <v>Q4-2024</v>
      </c>
      <c r="G314" s="33" t="s">
        <v>78</v>
      </c>
      <c r="H314" s="33" t="s">
        <v>108</v>
      </c>
      <c r="I314" s="33" t="s">
        <v>152</v>
      </c>
      <c r="J314" s="33" t="s">
        <v>19</v>
      </c>
      <c r="K314" s="33" t="s">
        <v>20</v>
      </c>
      <c r="L314" s="33" t="s">
        <v>110</v>
      </c>
      <c r="M314" s="33" t="s">
        <v>30</v>
      </c>
      <c r="N314" s="33" t="s">
        <v>729</v>
      </c>
      <c r="O314" s="43">
        <v>840.68</v>
      </c>
      <c r="P314" s="44" t="str">
        <f t="shared" si="31"/>
        <v>High</v>
      </c>
      <c r="Q314" s="43">
        <v>1493.53</v>
      </c>
      <c r="R314" s="43">
        <v>0</v>
      </c>
      <c r="S314" s="43">
        <v>27</v>
      </c>
      <c r="T314" s="43">
        <f t="shared" si="28"/>
        <v>35911.89</v>
      </c>
      <c r="U314" s="33">
        <f t="shared" si="29"/>
        <v>22698.359999999997</v>
      </c>
      <c r="V314" s="43">
        <f t="shared" si="32"/>
        <v>13213.530000000002</v>
      </c>
      <c r="W314" s="45">
        <f t="shared" si="33"/>
        <v>0.36794304059184862</v>
      </c>
    </row>
    <row r="315" spans="1:23" x14ac:dyDescent="0.3">
      <c r="A315" s="34" t="s">
        <v>730</v>
      </c>
      <c r="B315" s="35">
        <v>45451</v>
      </c>
      <c r="C315" s="36">
        <v>45467</v>
      </c>
      <c r="D315" s="37">
        <f t="shared" si="34"/>
        <v>16</v>
      </c>
      <c r="E315" s="37" t="str">
        <f>TEXT(Data!B315,"MMM-YYYY")</f>
        <v>Jun-2024</v>
      </c>
      <c r="F315" s="37" t="str">
        <f t="shared" si="30"/>
        <v>Q2-2024</v>
      </c>
      <c r="G315" s="32" t="s">
        <v>16</v>
      </c>
      <c r="H315" s="32" t="s">
        <v>148</v>
      </c>
      <c r="I315" s="32" t="s">
        <v>172</v>
      </c>
      <c r="J315" s="32" t="s">
        <v>27</v>
      </c>
      <c r="K315" s="32" t="s">
        <v>55</v>
      </c>
      <c r="L315" s="32" t="s">
        <v>92</v>
      </c>
      <c r="M315" s="32" t="s">
        <v>64</v>
      </c>
      <c r="N315" s="32" t="s">
        <v>731</v>
      </c>
      <c r="O315" s="37">
        <v>597.85</v>
      </c>
      <c r="P315" s="38" t="str">
        <f t="shared" si="31"/>
        <v>High</v>
      </c>
      <c r="Q315" s="37">
        <v>741.92</v>
      </c>
      <c r="R315" s="37">
        <v>3.1E-2</v>
      </c>
      <c r="S315" s="37">
        <v>7</v>
      </c>
      <c r="T315" s="37">
        <f t="shared" si="28"/>
        <v>11089.255379999999</v>
      </c>
      <c r="U315" s="32">
        <f t="shared" si="29"/>
        <v>4184.95</v>
      </c>
      <c r="V315" s="37">
        <f t="shared" si="32"/>
        <v>6904.3053799999989</v>
      </c>
      <c r="W315" s="39">
        <f t="shared" si="33"/>
        <v>0.62261217217995024</v>
      </c>
    </row>
    <row r="316" spans="1:23" x14ac:dyDescent="0.3">
      <c r="A316" s="40" t="s">
        <v>732</v>
      </c>
      <c r="B316" s="41">
        <v>45809</v>
      </c>
      <c r="C316" s="42">
        <v>45814</v>
      </c>
      <c r="D316" s="43">
        <f t="shared" si="34"/>
        <v>5</v>
      </c>
      <c r="E316" s="43" t="str">
        <f>TEXT(Data!B316,"MMM-YYYY")</f>
        <v>Jun-2025</v>
      </c>
      <c r="F316" s="43" t="str">
        <f t="shared" si="30"/>
        <v>Q2-2025</v>
      </c>
      <c r="G316" s="33" t="s">
        <v>78</v>
      </c>
      <c r="H316" s="33" t="s">
        <v>90</v>
      </c>
      <c r="I316" s="33" t="s">
        <v>217</v>
      </c>
      <c r="J316" s="33" t="s">
        <v>48</v>
      </c>
      <c r="K316" s="33" t="s">
        <v>55</v>
      </c>
      <c r="L316" s="33" t="s">
        <v>41</v>
      </c>
      <c r="M316" s="33" t="s">
        <v>22</v>
      </c>
      <c r="N316" s="33" t="s">
        <v>733</v>
      </c>
      <c r="O316" s="43">
        <v>379.45</v>
      </c>
      <c r="P316" s="44" t="str">
        <f t="shared" si="31"/>
        <v>High</v>
      </c>
      <c r="Q316" s="43">
        <v>742.23</v>
      </c>
      <c r="R316" s="43">
        <v>0.09</v>
      </c>
      <c r="S316" s="43">
        <v>13</v>
      </c>
      <c r="T316" s="43">
        <f t="shared" si="28"/>
        <v>835.19799999999998</v>
      </c>
      <c r="U316" s="33">
        <f t="shared" si="29"/>
        <v>4932.8499999999995</v>
      </c>
      <c r="V316" s="43">
        <f t="shared" si="32"/>
        <v>-4097.6519999999991</v>
      </c>
      <c r="W316" s="45">
        <f t="shared" si="33"/>
        <v>-4.9062042773090919</v>
      </c>
    </row>
    <row r="317" spans="1:23" x14ac:dyDescent="0.3">
      <c r="A317" s="34" t="s">
        <v>734</v>
      </c>
      <c r="B317" s="35">
        <v>45052</v>
      </c>
      <c r="C317" s="36">
        <v>45060</v>
      </c>
      <c r="D317" s="37">
        <f t="shared" si="34"/>
        <v>8</v>
      </c>
      <c r="E317" s="37" t="str">
        <f>TEXT(Data!B317,"MMM-YYYY")</f>
        <v>May-2023</v>
      </c>
      <c r="F317" s="37" t="str">
        <f t="shared" si="30"/>
        <v>Q2-2023</v>
      </c>
      <c r="G317" s="32" t="s">
        <v>45</v>
      </c>
      <c r="H317" s="32" t="s">
        <v>46</v>
      </c>
      <c r="I317" s="32" t="s">
        <v>47</v>
      </c>
      <c r="J317" s="32" t="s">
        <v>105</v>
      </c>
      <c r="K317" s="32" t="s">
        <v>40</v>
      </c>
      <c r="L317" s="32" t="s">
        <v>56</v>
      </c>
      <c r="M317" s="32" t="s">
        <v>42</v>
      </c>
      <c r="N317" s="32" t="s">
        <v>735</v>
      </c>
      <c r="O317" s="37">
        <v>291.18</v>
      </c>
      <c r="P317" s="38" t="str">
        <f t="shared" si="31"/>
        <v>High</v>
      </c>
      <c r="Q317" s="37">
        <v>479.54</v>
      </c>
      <c r="R317" s="37">
        <v>0.14099999999999999</v>
      </c>
      <c r="S317" s="37">
        <v>22</v>
      </c>
      <c r="T317" s="37">
        <f t="shared" si="28"/>
        <v>34451.80992</v>
      </c>
      <c r="U317" s="32">
        <f t="shared" si="29"/>
        <v>6405.96</v>
      </c>
      <c r="V317" s="37">
        <f t="shared" si="32"/>
        <v>28045.849920000001</v>
      </c>
      <c r="W317" s="39">
        <f t="shared" si="33"/>
        <v>0.81406027680765747</v>
      </c>
    </row>
    <row r="318" spans="1:23" x14ac:dyDescent="0.3">
      <c r="A318" s="40" t="s">
        <v>736</v>
      </c>
      <c r="B318" s="41">
        <v>45244</v>
      </c>
      <c r="C318" s="42">
        <v>45260</v>
      </c>
      <c r="D318" s="43">
        <f t="shared" si="34"/>
        <v>16</v>
      </c>
      <c r="E318" s="43" t="str">
        <f>TEXT(Data!B318,"MMM-YYYY")</f>
        <v>Nov-2023</v>
      </c>
      <c r="F318" s="43" t="str">
        <f t="shared" si="30"/>
        <v>Q4-2023</v>
      </c>
      <c r="G318" s="33" t="s">
        <v>52</v>
      </c>
      <c r="H318" s="33" t="s">
        <v>73</v>
      </c>
      <c r="I318" s="33" t="s">
        <v>74</v>
      </c>
      <c r="J318" s="33" t="s">
        <v>105</v>
      </c>
      <c r="K318" s="33" t="s">
        <v>98</v>
      </c>
      <c r="L318" s="33" t="s">
        <v>95</v>
      </c>
      <c r="M318" s="33" t="s">
        <v>35</v>
      </c>
      <c r="N318" s="33" t="s">
        <v>737</v>
      </c>
      <c r="O318" s="43">
        <v>1017.92</v>
      </c>
      <c r="P318" s="44" t="str">
        <f t="shared" si="31"/>
        <v>High</v>
      </c>
      <c r="Q318" s="43">
        <v>1175.25</v>
      </c>
      <c r="R318" s="43">
        <v>7.4999999999999997E-2</v>
      </c>
      <c r="S318" s="43">
        <v>15</v>
      </c>
      <c r="T318" s="43">
        <f t="shared" si="28"/>
        <v>27971.861250000002</v>
      </c>
      <c r="U318" s="33">
        <f t="shared" si="29"/>
        <v>15268.8</v>
      </c>
      <c r="V318" s="43">
        <f t="shared" si="32"/>
        <v>12703.061250000002</v>
      </c>
      <c r="W318" s="45">
        <f t="shared" si="33"/>
        <v>0.45413714648681097</v>
      </c>
    </row>
    <row r="319" spans="1:23" x14ac:dyDescent="0.3">
      <c r="A319" s="34" t="s">
        <v>738</v>
      </c>
      <c r="B319" s="35">
        <v>45748</v>
      </c>
      <c r="C319" s="36">
        <v>45774</v>
      </c>
      <c r="D319" s="37">
        <f t="shared" si="34"/>
        <v>26</v>
      </c>
      <c r="E319" s="37" t="str">
        <f>TEXT(Data!B319,"MMM-YYYY")</f>
        <v>Apr-2025</v>
      </c>
      <c r="F319" s="37" t="str">
        <f t="shared" si="30"/>
        <v>Q2-2025</v>
      </c>
      <c r="G319" s="32" t="s">
        <v>52</v>
      </c>
      <c r="H319" s="32" t="s">
        <v>122</v>
      </c>
      <c r="I319" s="32" t="s">
        <v>167</v>
      </c>
      <c r="J319" s="32" t="s">
        <v>19</v>
      </c>
      <c r="K319" s="32" t="s">
        <v>98</v>
      </c>
      <c r="L319" s="32" t="s">
        <v>34</v>
      </c>
      <c r="M319" s="32" t="s">
        <v>64</v>
      </c>
      <c r="N319" s="32" t="s">
        <v>739</v>
      </c>
      <c r="O319" s="37">
        <v>156.55000000000001</v>
      </c>
      <c r="P319" s="38" t="str">
        <f t="shared" si="31"/>
        <v>High</v>
      </c>
      <c r="Q319" s="37">
        <v>227.45</v>
      </c>
      <c r="R319" s="37">
        <v>1.4E-2</v>
      </c>
      <c r="S319" s="37">
        <v>13</v>
      </c>
      <c r="T319" s="37">
        <f t="shared" si="28"/>
        <v>3129.2583399999999</v>
      </c>
      <c r="U319" s="32">
        <f t="shared" si="29"/>
        <v>2035.15</v>
      </c>
      <c r="V319" s="37">
        <f t="shared" si="32"/>
        <v>1094.1083399999998</v>
      </c>
      <c r="W319" s="39">
        <f t="shared" si="33"/>
        <v>0.34963822769583153</v>
      </c>
    </row>
    <row r="320" spans="1:23" x14ac:dyDescent="0.3">
      <c r="A320" s="40" t="s">
        <v>740</v>
      </c>
      <c r="B320" s="41">
        <v>45008</v>
      </c>
      <c r="C320" s="42">
        <v>45031</v>
      </c>
      <c r="D320" s="43">
        <f t="shared" si="34"/>
        <v>23</v>
      </c>
      <c r="E320" s="43" t="str">
        <f>TEXT(Data!B320,"MMM-YYYY")</f>
        <v>Mar-2023</v>
      </c>
      <c r="F320" s="43" t="str">
        <f t="shared" si="30"/>
        <v>Q1-2023</v>
      </c>
      <c r="G320" s="33" t="s">
        <v>16</v>
      </c>
      <c r="H320" s="33" t="s">
        <v>17</v>
      </c>
      <c r="I320" s="33" t="s">
        <v>113</v>
      </c>
      <c r="J320" s="33" t="s">
        <v>62</v>
      </c>
      <c r="K320" s="33" t="s">
        <v>20</v>
      </c>
      <c r="L320" s="33" t="s">
        <v>21</v>
      </c>
      <c r="M320" s="33" t="s">
        <v>81</v>
      </c>
      <c r="N320" s="33" t="s">
        <v>741</v>
      </c>
      <c r="O320" s="43">
        <v>875.36</v>
      </c>
      <c r="P320" s="44" t="str">
        <f t="shared" si="31"/>
        <v>High</v>
      </c>
      <c r="Q320" s="43">
        <v>1178.6199999999999</v>
      </c>
      <c r="R320" s="43">
        <v>0.151</v>
      </c>
      <c r="S320" s="43">
        <v>53</v>
      </c>
      <c r="T320" s="43">
        <f t="shared" si="28"/>
        <v>125232.05063999999</v>
      </c>
      <c r="U320" s="33">
        <f t="shared" si="29"/>
        <v>46394.080000000002</v>
      </c>
      <c r="V320" s="43">
        <f t="shared" si="32"/>
        <v>78837.970639999985</v>
      </c>
      <c r="W320" s="45">
        <f t="shared" si="33"/>
        <v>0.62953509295022747</v>
      </c>
    </row>
    <row r="321" spans="1:23" x14ac:dyDescent="0.3">
      <c r="A321" s="34" t="s">
        <v>742</v>
      </c>
      <c r="B321" s="35">
        <v>45440</v>
      </c>
      <c r="C321" s="36">
        <v>45461</v>
      </c>
      <c r="D321" s="37">
        <f t="shared" si="34"/>
        <v>21</v>
      </c>
      <c r="E321" s="37" t="str">
        <f>TEXT(Data!B321,"MMM-YYYY")</f>
        <v>May-2024</v>
      </c>
      <c r="F321" s="37" t="str">
        <f t="shared" si="30"/>
        <v>Q2-2024</v>
      </c>
      <c r="G321" s="32" t="s">
        <v>78</v>
      </c>
      <c r="H321" s="32" t="s">
        <v>79</v>
      </c>
      <c r="I321" s="32" t="s">
        <v>335</v>
      </c>
      <c r="J321" s="32" t="s">
        <v>62</v>
      </c>
      <c r="K321" s="32" t="s">
        <v>28</v>
      </c>
      <c r="L321" s="32" t="s">
        <v>63</v>
      </c>
      <c r="M321" s="32" t="s">
        <v>42</v>
      </c>
      <c r="N321" s="32" t="s">
        <v>743</v>
      </c>
      <c r="O321" s="37">
        <v>986.85</v>
      </c>
      <c r="P321" s="38" t="str">
        <f t="shared" si="31"/>
        <v>High</v>
      </c>
      <c r="Q321" s="37">
        <v>2422.1</v>
      </c>
      <c r="R321" s="37">
        <v>7.5999999999999998E-2</v>
      </c>
      <c r="S321" s="37">
        <v>10</v>
      </c>
      <c r="T321" s="37">
        <f t="shared" ref="T321:T384" si="35">(Q347*S321)*(1-R321)</f>
        <v>18944.864399999999</v>
      </c>
      <c r="U321" s="32">
        <f t="shared" ref="U321:U384" si="36">(O321*S321)</f>
        <v>9868.5</v>
      </c>
      <c r="V321" s="37">
        <f t="shared" si="32"/>
        <v>9076.3643999999986</v>
      </c>
      <c r="W321" s="39">
        <f t="shared" si="33"/>
        <v>0.47909365875429538</v>
      </c>
    </row>
    <row r="322" spans="1:23" x14ac:dyDescent="0.3">
      <c r="A322" s="40" t="s">
        <v>744</v>
      </c>
      <c r="B322" s="41">
        <v>45293</v>
      </c>
      <c r="C322" s="42">
        <v>45292</v>
      </c>
      <c r="D322" s="43">
        <f>DATEDIF(C322,B322, "MD")</f>
        <v>1</v>
      </c>
      <c r="E322" s="43" t="str">
        <f>TEXT(Data!B322,"MMM-YYYY")</f>
        <v>Jan-2024</v>
      </c>
      <c r="F322" s="43" t="str">
        <f t="shared" ref="F322:F385" si="37">"Q"&amp;ROUNDUP(MONTH(B322)/3,0)&amp;"-"&amp;YEAR(B322)</f>
        <v>Q1-2024</v>
      </c>
      <c r="G322" s="33" t="s">
        <v>52</v>
      </c>
      <c r="H322" s="33" t="s">
        <v>122</v>
      </c>
      <c r="I322" s="33" t="s">
        <v>123</v>
      </c>
      <c r="J322" s="33" t="s">
        <v>27</v>
      </c>
      <c r="K322" s="33" t="s">
        <v>40</v>
      </c>
      <c r="L322" s="33" t="s">
        <v>56</v>
      </c>
      <c r="M322" s="33" t="s">
        <v>35</v>
      </c>
      <c r="N322" s="33" t="s">
        <v>745</v>
      </c>
      <c r="O322" s="43">
        <v>404.77</v>
      </c>
      <c r="P322" s="44" t="str">
        <f t="shared" ref="P322:P385" si="38">IF(Q322&lt;50, "Low", IF(Q322&lt;200, "Medium", "High"))</f>
        <v>High</v>
      </c>
      <c r="Q322" s="43">
        <v>433.88</v>
      </c>
      <c r="R322" s="43">
        <v>0.215</v>
      </c>
      <c r="S322" s="43">
        <v>22</v>
      </c>
      <c r="T322" s="43">
        <f t="shared" si="35"/>
        <v>2540.7624000000005</v>
      </c>
      <c r="U322" s="33">
        <f t="shared" si="36"/>
        <v>8904.9399999999987</v>
      </c>
      <c r="V322" s="43">
        <f t="shared" ref="V322:V385" si="39">(T322-U322)</f>
        <v>-6364.1775999999982</v>
      </c>
      <c r="W322" s="45">
        <f t="shared" ref="W322:W385" si="40">IF(T322=0, 0, V322/T322)</f>
        <v>-2.504829888855407</v>
      </c>
    </row>
    <row r="323" spans="1:23" x14ac:dyDescent="0.3">
      <c r="A323" s="34" t="s">
        <v>746</v>
      </c>
      <c r="B323" s="35">
        <v>44985</v>
      </c>
      <c r="C323" s="36">
        <v>44984</v>
      </c>
      <c r="D323" s="37">
        <f>DATEDIF(C323,B323, "MD")</f>
        <v>1</v>
      </c>
      <c r="E323" s="37" t="str">
        <f>TEXT(Data!B323,"MMM-YYYY")</f>
        <v>Feb-2023</v>
      </c>
      <c r="F323" s="37" t="str">
        <f t="shared" si="37"/>
        <v>Q1-2023</v>
      </c>
      <c r="G323" s="32" t="s">
        <v>78</v>
      </c>
      <c r="H323" s="32" t="s">
        <v>90</v>
      </c>
      <c r="I323" s="32" t="s">
        <v>91</v>
      </c>
      <c r="J323" s="32" t="s">
        <v>19</v>
      </c>
      <c r="K323" s="32" t="s">
        <v>20</v>
      </c>
      <c r="L323" s="32" t="s">
        <v>95</v>
      </c>
      <c r="M323" s="32" t="s">
        <v>35</v>
      </c>
      <c r="N323" s="32" t="s">
        <v>747</v>
      </c>
      <c r="O323" s="37">
        <v>1299.81</v>
      </c>
      <c r="P323" s="38" t="str">
        <f t="shared" si="38"/>
        <v>High</v>
      </c>
      <c r="Q323" s="37">
        <v>3149.13</v>
      </c>
      <c r="R323" s="37">
        <v>0.10299999999999999</v>
      </c>
      <c r="S323" s="37">
        <v>14</v>
      </c>
      <c r="T323" s="37">
        <f t="shared" si="35"/>
        <v>24902.262840000003</v>
      </c>
      <c r="U323" s="32">
        <f t="shared" si="36"/>
        <v>18197.34</v>
      </c>
      <c r="V323" s="37">
        <f t="shared" si="39"/>
        <v>6704.9228400000029</v>
      </c>
      <c r="W323" s="39">
        <f t="shared" si="40"/>
        <v>0.26924954101881943</v>
      </c>
    </row>
    <row r="324" spans="1:23" x14ac:dyDescent="0.3">
      <c r="A324" s="40" t="s">
        <v>748</v>
      </c>
      <c r="B324" s="41">
        <v>45340</v>
      </c>
      <c r="C324" s="42">
        <v>45362</v>
      </c>
      <c r="D324" s="43">
        <f t="shared" ref="D324:D387" si="41">DATEDIF(B324,C324, "MD")</f>
        <v>22</v>
      </c>
      <c r="E324" s="43" t="str">
        <f>TEXT(Data!B324,"MMM-YYYY")</f>
        <v>Feb-2024</v>
      </c>
      <c r="F324" s="43" t="str">
        <f t="shared" si="37"/>
        <v>Q1-2024</v>
      </c>
      <c r="G324" s="33" t="s">
        <v>52</v>
      </c>
      <c r="H324" s="33" t="s">
        <v>73</v>
      </c>
      <c r="I324" s="33" t="s">
        <v>74</v>
      </c>
      <c r="J324" s="33" t="s">
        <v>48</v>
      </c>
      <c r="K324" s="33" t="s">
        <v>28</v>
      </c>
      <c r="L324" s="33" t="s">
        <v>75</v>
      </c>
      <c r="M324" s="33" t="s">
        <v>22</v>
      </c>
      <c r="N324" s="33" t="s">
        <v>749</v>
      </c>
      <c r="O324" s="43">
        <v>80.48</v>
      </c>
      <c r="P324" s="44" t="str">
        <f t="shared" si="38"/>
        <v>Medium</v>
      </c>
      <c r="Q324" s="43">
        <v>65.650000000000006</v>
      </c>
      <c r="R324" s="43">
        <v>0.17599999999999999</v>
      </c>
      <c r="S324" s="43">
        <v>13</v>
      </c>
      <c r="T324" s="43">
        <f t="shared" si="35"/>
        <v>24630.101600000002</v>
      </c>
      <c r="U324" s="33">
        <f t="shared" si="36"/>
        <v>1046.24</v>
      </c>
      <c r="V324" s="43">
        <f t="shared" si="39"/>
        <v>23583.8616</v>
      </c>
      <c r="W324" s="45">
        <f t="shared" si="40"/>
        <v>0.95752189670220433</v>
      </c>
    </row>
    <row r="325" spans="1:23" x14ac:dyDescent="0.3">
      <c r="A325" s="34" t="s">
        <v>750</v>
      </c>
      <c r="B325" s="35">
        <v>45544</v>
      </c>
      <c r="C325" s="36">
        <v>45573</v>
      </c>
      <c r="D325" s="37">
        <f t="shared" si="41"/>
        <v>29</v>
      </c>
      <c r="E325" s="37" t="str">
        <f>TEXT(Data!B325,"MMM-YYYY")</f>
        <v>Sep-2024</v>
      </c>
      <c r="F325" s="37" t="str">
        <f t="shared" si="37"/>
        <v>Q3-2024</v>
      </c>
      <c r="G325" s="32" t="s">
        <v>52</v>
      </c>
      <c r="H325" s="32" t="s">
        <v>73</v>
      </c>
      <c r="I325" s="32" t="s">
        <v>74</v>
      </c>
      <c r="J325" s="32" t="s">
        <v>27</v>
      </c>
      <c r="K325" s="32" t="s">
        <v>98</v>
      </c>
      <c r="L325" s="32" t="s">
        <v>29</v>
      </c>
      <c r="M325" s="32" t="s">
        <v>22</v>
      </c>
      <c r="N325" s="32" t="s">
        <v>751</v>
      </c>
      <c r="O325" s="37">
        <v>1010.33</v>
      </c>
      <c r="P325" s="38" t="str">
        <f t="shared" si="38"/>
        <v>High</v>
      </c>
      <c r="Q325" s="37">
        <v>2492.14</v>
      </c>
      <c r="R325" s="37">
        <v>5.0999999999999997E-2</v>
      </c>
      <c r="S325" s="37">
        <v>11</v>
      </c>
      <c r="T325" s="37">
        <f t="shared" si="35"/>
        <v>4829.1857899999995</v>
      </c>
      <c r="U325" s="32">
        <f t="shared" si="36"/>
        <v>11113.630000000001</v>
      </c>
      <c r="V325" s="37">
        <f t="shared" si="39"/>
        <v>-6284.4442100000015</v>
      </c>
      <c r="W325" s="39">
        <f t="shared" si="40"/>
        <v>-1.3013465381707756</v>
      </c>
    </row>
    <row r="326" spans="1:23" x14ac:dyDescent="0.3">
      <c r="A326" s="40" t="s">
        <v>752</v>
      </c>
      <c r="B326" s="41">
        <v>45053</v>
      </c>
      <c r="C326" s="42">
        <v>45075</v>
      </c>
      <c r="D326" s="43">
        <f t="shared" si="41"/>
        <v>22</v>
      </c>
      <c r="E326" s="43" t="str">
        <f>TEXT(Data!B326,"MMM-YYYY")</f>
        <v>May-2023</v>
      </c>
      <c r="F326" s="43" t="str">
        <f t="shared" si="37"/>
        <v>Q2-2023</v>
      </c>
      <c r="G326" s="33" t="s">
        <v>16</v>
      </c>
      <c r="H326" s="33" t="s">
        <v>148</v>
      </c>
      <c r="I326" s="33" t="s">
        <v>172</v>
      </c>
      <c r="J326" s="33" t="s">
        <v>27</v>
      </c>
      <c r="K326" s="33" t="s">
        <v>55</v>
      </c>
      <c r="L326" s="33" t="s">
        <v>95</v>
      </c>
      <c r="M326" s="33" t="s">
        <v>81</v>
      </c>
      <c r="N326" s="33" t="s">
        <v>753</v>
      </c>
      <c r="O326" s="43">
        <v>653.86</v>
      </c>
      <c r="P326" s="44" t="str">
        <f t="shared" si="38"/>
        <v>High</v>
      </c>
      <c r="Q326" s="43">
        <v>931.84</v>
      </c>
      <c r="R326" s="43">
        <v>0.121</v>
      </c>
      <c r="S326" s="43">
        <v>12</v>
      </c>
      <c r="T326" s="43">
        <f t="shared" si="35"/>
        <v>11533.077720000001</v>
      </c>
      <c r="U326" s="33">
        <f t="shared" si="36"/>
        <v>7846.32</v>
      </c>
      <c r="V326" s="43">
        <f t="shared" si="39"/>
        <v>3686.7577200000014</v>
      </c>
      <c r="W326" s="45">
        <f t="shared" si="40"/>
        <v>0.3196681587956906</v>
      </c>
    </row>
    <row r="327" spans="1:23" x14ac:dyDescent="0.3">
      <c r="A327" s="34" t="s">
        <v>754</v>
      </c>
      <c r="B327" s="35">
        <v>45303</v>
      </c>
      <c r="C327" s="36">
        <v>45320</v>
      </c>
      <c r="D327" s="37">
        <f t="shared" si="41"/>
        <v>17</v>
      </c>
      <c r="E327" s="37" t="str">
        <f>TEXT(Data!B327,"MMM-YYYY")</f>
        <v>Jan-2024</v>
      </c>
      <c r="F327" s="37" t="str">
        <f t="shared" si="37"/>
        <v>Q1-2024</v>
      </c>
      <c r="G327" s="32" t="s">
        <v>45</v>
      </c>
      <c r="H327" s="32" t="s">
        <v>60</v>
      </c>
      <c r="I327" s="32" t="s">
        <v>281</v>
      </c>
      <c r="J327" s="32" t="s">
        <v>62</v>
      </c>
      <c r="K327" s="32" t="s">
        <v>98</v>
      </c>
      <c r="L327" s="32" t="s">
        <v>56</v>
      </c>
      <c r="M327" s="32" t="s">
        <v>22</v>
      </c>
      <c r="N327" s="32" t="s">
        <v>755</v>
      </c>
      <c r="O327" s="37">
        <v>310.02</v>
      </c>
      <c r="P327" s="38" t="str">
        <f t="shared" si="38"/>
        <v>High</v>
      </c>
      <c r="Q327" s="37">
        <v>619.51</v>
      </c>
      <c r="R327" s="37">
        <v>4.2000000000000003E-2</v>
      </c>
      <c r="S327" s="37">
        <v>4</v>
      </c>
      <c r="T327" s="37">
        <f t="shared" si="35"/>
        <v>5572.5710399999998</v>
      </c>
      <c r="U327" s="32">
        <f t="shared" si="36"/>
        <v>1240.08</v>
      </c>
      <c r="V327" s="37">
        <f t="shared" si="39"/>
        <v>4332.4910399999999</v>
      </c>
      <c r="W327" s="39">
        <f t="shared" si="40"/>
        <v>0.77746717070115634</v>
      </c>
    </row>
    <row r="328" spans="1:23" x14ac:dyDescent="0.3">
      <c r="A328" s="40" t="s">
        <v>756</v>
      </c>
      <c r="B328" s="41">
        <v>45087</v>
      </c>
      <c r="C328" s="42">
        <v>45095</v>
      </c>
      <c r="D328" s="43">
        <f t="shared" si="41"/>
        <v>8</v>
      </c>
      <c r="E328" s="43" t="str">
        <f>TEXT(Data!B328,"MMM-YYYY")</f>
        <v>Jun-2023</v>
      </c>
      <c r="F328" s="43" t="str">
        <f t="shared" si="37"/>
        <v>Q2-2023</v>
      </c>
      <c r="G328" s="33" t="s">
        <v>16</v>
      </c>
      <c r="H328" s="33" t="s">
        <v>17</v>
      </c>
      <c r="I328" s="33" t="s">
        <v>135</v>
      </c>
      <c r="J328" s="33" t="s">
        <v>105</v>
      </c>
      <c r="K328" s="33" t="s">
        <v>98</v>
      </c>
      <c r="L328" s="33" t="s">
        <v>92</v>
      </c>
      <c r="M328" s="33" t="s">
        <v>42</v>
      </c>
      <c r="N328" s="33" t="s">
        <v>757</v>
      </c>
      <c r="O328" s="43">
        <v>894.23</v>
      </c>
      <c r="P328" s="44" t="str">
        <f t="shared" si="38"/>
        <v>High</v>
      </c>
      <c r="Q328" s="43">
        <v>1421.55</v>
      </c>
      <c r="R328" s="43">
        <v>0.109</v>
      </c>
      <c r="S328" s="43">
        <v>3</v>
      </c>
      <c r="T328" s="43">
        <f t="shared" si="35"/>
        <v>5667.829200000001</v>
      </c>
      <c r="U328" s="33">
        <f t="shared" si="36"/>
        <v>2682.69</v>
      </c>
      <c r="V328" s="43">
        <f t="shared" si="39"/>
        <v>2985.139200000001</v>
      </c>
      <c r="W328" s="45">
        <f t="shared" si="40"/>
        <v>0.52668122038681064</v>
      </c>
    </row>
    <row r="329" spans="1:23" x14ac:dyDescent="0.3">
      <c r="A329" s="34" t="s">
        <v>758</v>
      </c>
      <c r="B329" s="35">
        <v>45796</v>
      </c>
      <c r="C329" s="36">
        <v>45794</v>
      </c>
      <c r="D329" s="37">
        <f>DATEDIF(C329,B329, "MD")</f>
        <v>2</v>
      </c>
      <c r="E329" s="37" t="str">
        <f>TEXT(Data!B329,"MMM-YYYY")</f>
        <v>May-2025</v>
      </c>
      <c r="F329" s="37" t="str">
        <f t="shared" si="37"/>
        <v>Q2-2025</v>
      </c>
      <c r="G329" s="32" t="s">
        <v>52</v>
      </c>
      <c r="H329" s="32" t="s">
        <v>73</v>
      </c>
      <c r="I329" s="32" t="s">
        <v>74</v>
      </c>
      <c r="J329" s="32" t="s">
        <v>62</v>
      </c>
      <c r="K329" s="32" t="s">
        <v>55</v>
      </c>
      <c r="L329" s="32" t="s">
        <v>49</v>
      </c>
      <c r="M329" s="32" t="s">
        <v>64</v>
      </c>
      <c r="N329" s="32" t="s">
        <v>759</v>
      </c>
      <c r="O329" s="37">
        <v>383.77</v>
      </c>
      <c r="P329" s="38" t="str">
        <f t="shared" si="38"/>
        <v>High</v>
      </c>
      <c r="Q329" s="37">
        <v>952.56</v>
      </c>
      <c r="R329" s="37">
        <v>0.34599999999999997</v>
      </c>
      <c r="S329" s="37">
        <v>10</v>
      </c>
      <c r="T329" s="37">
        <f t="shared" si="35"/>
        <v>841.56720000000018</v>
      </c>
      <c r="U329" s="32">
        <f t="shared" si="36"/>
        <v>3837.7</v>
      </c>
      <c r="V329" s="37">
        <f t="shared" si="39"/>
        <v>-2996.1327999999994</v>
      </c>
      <c r="W329" s="39">
        <f t="shared" si="40"/>
        <v>-3.5601824785946965</v>
      </c>
    </row>
    <row r="330" spans="1:23" x14ac:dyDescent="0.3">
      <c r="A330" s="40" t="s">
        <v>760</v>
      </c>
      <c r="B330" s="41">
        <v>45221</v>
      </c>
      <c r="C330" s="42">
        <v>45246</v>
      </c>
      <c r="D330" s="43">
        <f t="shared" si="41"/>
        <v>25</v>
      </c>
      <c r="E330" s="43" t="str">
        <f>TEXT(Data!B330,"MMM-YYYY")</f>
        <v>Oct-2023</v>
      </c>
      <c r="F330" s="43" t="str">
        <f t="shared" si="37"/>
        <v>Q4-2023</v>
      </c>
      <c r="G330" s="33" t="s">
        <v>52</v>
      </c>
      <c r="H330" s="33" t="s">
        <v>53</v>
      </c>
      <c r="I330" s="33" t="s">
        <v>54</v>
      </c>
      <c r="J330" s="33" t="s">
        <v>62</v>
      </c>
      <c r="K330" s="33" t="s">
        <v>40</v>
      </c>
      <c r="L330" s="33" t="s">
        <v>34</v>
      </c>
      <c r="M330" s="33" t="s">
        <v>57</v>
      </c>
      <c r="N330" s="33" t="s">
        <v>761</v>
      </c>
      <c r="O330" s="43">
        <v>1373.31</v>
      </c>
      <c r="P330" s="44" t="str">
        <f t="shared" si="38"/>
        <v>High</v>
      </c>
      <c r="Q330" s="43">
        <v>3154.14</v>
      </c>
      <c r="R330" s="43">
        <v>0.2</v>
      </c>
      <c r="S330" s="43">
        <v>11</v>
      </c>
      <c r="T330" s="43">
        <f t="shared" si="35"/>
        <v>11668.448000000002</v>
      </c>
      <c r="U330" s="33">
        <f t="shared" si="36"/>
        <v>15106.41</v>
      </c>
      <c r="V330" s="43">
        <f t="shared" si="39"/>
        <v>-3437.9619999999977</v>
      </c>
      <c r="W330" s="45">
        <f t="shared" si="40"/>
        <v>-0.29463747021026249</v>
      </c>
    </row>
    <row r="331" spans="1:23" x14ac:dyDescent="0.3">
      <c r="A331" s="34" t="s">
        <v>762</v>
      </c>
      <c r="B331" s="35">
        <v>45668</v>
      </c>
      <c r="C331" s="36">
        <v>45680</v>
      </c>
      <c r="D331" s="37">
        <f t="shared" si="41"/>
        <v>12</v>
      </c>
      <c r="E331" s="37" t="str">
        <f>TEXT(Data!B331,"MMM-YYYY")</f>
        <v>Jan-2025</v>
      </c>
      <c r="F331" s="37" t="str">
        <f t="shared" si="37"/>
        <v>Q1-2025</v>
      </c>
      <c r="G331" s="32" t="s">
        <v>52</v>
      </c>
      <c r="H331" s="32" t="s">
        <v>122</v>
      </c>
      <c r="I331" s="32" t="s">
        <v>326</v>
      </c>
      <c r="J331" s="32" t="s">
        <v>48</v>
      </c>
      <c r="K331" s="32" t="s">
        <v>55</v>
      </c>
      <c r="L331" s="32" t="s">
        <v>92</v>
      </c>
      <c r="M331" s="32" t="s">
        <v>42</v>
      </c>
      <c r="N331" s="32" t="s">
        <v>763</v>
      </c>
      <c r="O331" s="37">
        <v>100.69</v>
      </c>
      <c r="P331" s="38" t="str">
        <f t="shared" si="38"/>
        <v>High</v>
      </c>
      <c r="Q331" s="37">
        <v>226.14</v>
      </c>
      <c r="R331" s="37">
        <v>6.5000000000000002E-2</v>
      </c>
      <c r="S331" s="37">
        <v>12</v>
      </c>
      <c r="T331" s="37">
        <f t="shared" si="35"/>
        <v>27369.282600000002</v>
      </c>
      <c r="U331" s="32">
        <f t="shared" si="36"/>
        <v>1208.28</v>
      </c>
      <c r="V331" s="37">
        <f t="shared" si="39"/>
        <v>26161.002600000003</v>
      </c>
      <c r="W331" s="39">
        <f t="shared" si="40"/>
        <v>0.95585269743241286</v>
      </c>
    </row>
    <row r="332" spans="1:23" x14ac:dyDescent="0.3">
      <c r="A332" s="40" t="s">
        <v>764</v>
      </c>
      <c r="B332" s="41">
        <v>45914</v>
      </c>
      <c r="C332" s="42">
        <v>45926</v>
      </c>
      <c r="D332" s="43">
        <f t="shared" si="41"/>
        <v>12</v>
      </c>
      <c r="E332" s="43" t="str">
        <f>TEXT(Data!B332,"MMM-YYYY")</f>
        <v>Sep-2025</v>
      </c>
      <c r="F332" s="43" t="str">
        <f t="shared" si="37"/>
        <v>Q3-2025</v>
      </c>
      <c r="G332" s="33" t="s">
        <v>78</v>
      </c>
      <c r="H332" s="33" t="s">
        <v>108</v>
      </c>
      <c r="I332" s="33" t="s">
        <v>152</v>
      </c>
      <c r="J332" s="33" t="s">
        <v>62</v>
      </c>
      <c r="K332" s="33" t="s">
        <v>98</v>
      </c>
      <c r="L332" s="33" t="s">
        <v>126</v>
      </c>
      <c r="M332" s="33" t="s">
        <v>35</v>
      </c>
      <c r="N332" s="33" t="s">
        <v>765</v>
      </c>
      <c r="O332" s="43">
        <v>425.15</v>
      </c>
      <c r="P332" s="44" t="str">
        <f t="shared" si="38"/>
        <v>High</v>
      </c>
      <c r="Q332" s="43">
        <v>885.92</v>
      </c>
      <c r="R332" s="43">
        <v>0.23899999999999999</v>
      </c>
      <c r="S332" s="43">
        <v>13</v>
      </c>
      <c r="T332" s="43">
        <f t="shared" si="35"/>
        <v>21779.835220000001</v>
      </c>
      <c r="U332" s="33">
        <f t="shared" si="36"/>
        <v>5526.95</v>
      </c>
      <c r="V332" s="43">
        <f t="shared" si="39"/>
        <v>16252.88522</v>
      </c>
      <c r="W332" s="45">
        <f t="shared" si="40"/>
        <v>0.74623545384196899</v>
      </c>
    </row>
    <row r="333" spans="1:23" x14ac:dyDescent="0.3">
      <c r="A333" s="34" t="s">
        <v>766</v>
      </c>
      <c r="B333" s="35">
        <v>45168</v>
      </c>
      <c r="C333" s="36">
        <v>45172</v>
      </c>
      <c r="D333" s="37">
        <f t="shared" si="41"/>
        <v>4</v>
      </c>
      <c r="E333" s="37" t="str">
        <f>TEXT(Data!B333,"MMM-YYYY")</f>
        <v>Aug-2023</v>
      </c>
      <c r="F333" s="37" t="str">
        <f t="shared" si="37"/>
        <v>Q3-2023</v>
      </c>
      <c r="G333" s="32" t="s">
        <v>45</v>
      </c>
      <c r="H333" s="32" t="s">
        <v>60</v>
      </c>
      <c r="I333" s="32" t="s">
        <v>141</v>
      </c>
      <c r="J333" s="32" t="s">
        <v>62</v>
      </c>
      <c r="K333" s="32" t="s">
        <v>40</v>
      </c>
      <c r="L333" s="32" t="s">
        <v>49</v>
      </c>
      <c r="M333" s="32" t="s">
        <v>81</v>
      </c>
      <c r="N333" s="32" t="s">
        <v>767</v>
      </c>
      <c r="O333" s="37">
        <v>1082.25</v>
      </c>
      <c r="P333" s="38" t="str">
        <f t="shared" si="38"/>
        <v>High</v>
      </c>
      <c r="Q333" s="37">
        <v>2433.34</v>
      </c>
      <c r="R333" s="37">
        <v>0.27</v>
      </c>
      <c r="S333" s="37">
        <v>4</v>
      </c>
      <c r="T333" s="37">
        <f t="shared" si="35"/>
        <v>2377.9312</v>
      </c>
      <c r="U333" s="32">
        <f t="shared" si="36"/>
        <v>4329</v>
      </c>
      <c r="V333" s="37">
        <f t="shared" si="39"/>
        <v>-1951.0688</v>
      </c>
      <c r="W333" s="39">
        <f t="shared" si="40"/>
        <v>-0.82049001249489473</v>
      </c>
    </row>
    <row r="334" spans="1:23" x14ac:dyDescent="0.3">
      <c r="A334" s="40" t="s">
        <v>768</v>
      </c>
      <c r="B334" s="41">
        <v>45245</v>
      </c>
      <c r="C334" s="42">
        <v>45266</v>
      </c>
      <c r="D334" s="43">
        <f t="shared" si="41"/>
        <v>21</v>
      </c>
      <c r="E334" s="43" t="str">
        <f>TEXT(Data!B334,"MMM-YYYY")</f>
        <v>Nov-2023</v>
      </c>
      <c r="F334" s="43" t="str">
        <f t="shared" si="37"/>
        <v>Q4-2023</v>
      </c>
      <c r="G334" s="33" t="s">
        <v>78</v>
      </c>
      <c r="H334" s="33" t="s">
        <v>108</v>
      </c>
      <c r="I334" s="33" t="s">
        <v>228</v>
      </c>
      <c r="J334" s="33" t="s">
        <v>27</v>
      </c>
      <c r="K334" s="33" t="s">
        <v>98</v>
      </c>
      <c r="L334" s="33" t="s">
        <v>92</v>
      </c>
      <c r="M334" s="33" t="s">
        <v>81</v>
      </c>
      <c r="N334" s="33" t="s">
        <v>769</v>
      </c>
      <c r="O334" s="43">
        <v>1184.99</v>
      </c>
      <c r="P334" s="44" t="str">
        <f t="shared" si="38"/>
        <v>High</v>
      </c>
      <c r="Q334" s="43">
        <v>1154.3399999999999</v>
      </c>
      <c r="R334" s="43">
        <v>2.8000000000000001E-2</v>
      </c>
      <c r="S334" s="43">
        <v>5</v>
      </c>
      <c r="T334" s="43">
        <f t="shared" si="35"/>
        <v>6720.9426000000003</v>
      </c>
      <c r="U334" s="33">
        <f t="shared" si="36"/>
        <v>5924.95</v>
      </c>
      <c r="V334" s="43">
        <f t="shared" si="39"/>
        <v>795.99260000000049</v>
      </c>
      <c r="W334" s="45">
        <f t="shared" si="40"/>
        <v>0.11843466718492737</v>
      </c>
    </row>
    <row r="335" spans="1:23" x14ac:dyDescent="0.3">
      <c r="A335" s="34" t="s">
        <v>770</v>
      </c>
      <c r="B335" s="35">
        <v>45774</v>
      </c>
      <c r="C335" s="36">
        <v>45804</v>
      </c>
      <c r="D335" s="37">
        <f t="shared" si="41"/>
        <v>0</v>
      </c>
      <c r="E335" s="37" t="str">
        <f>TEXT(Data!B335,"MMM-YYYY")</f>
        <v>Apr-2025</v>
      </c>
      <c r="F335" s="37" t="str">
        <f t="shared" si="37"/>
        <v>Q2-2025</v>
      </c>
      <c r="G335" s="32" t="s">
        <v>45</v>
      </c>
      <c r="H335" s="32" t="s">
        <v>60</v>
      </c>
      <c r="I335" s="32" t="s">
        <v>1364</v>
      </c>
      <c r="J335" s="32" t="s">
        <v>105</v>
      </c>
      <c r="K335" s="32" t="s">
        <v>40</v>
      </c>
      <c r="L335" s="32" t="s">
        <v>92</v>
      </c>
      <c r="M335" s="32" t="s">
        <v>42</v>
      </c>
      <c r="N335" s="32" t="s">
        <v>771</v>
      </c>
      <c r="O335" s="37">
        <v>481.32</v>
      </c>
      <c r="P335" s="38" t="str">
        <f t="shared" si="38"/>
        <v>High</v>
      </c>
      <c r="Q335" s="37">
        <v>1135.99</v>
      </c>
      <c r="R335" s="37">
        <v>0.14499999999999999</v>
      </c>
      <c r="S335" s="37">
        <v>5</v>
      </c>
      <c r="T335" s="37">
        <f t="shared" si="35"/>
        <v>7038.4882499999994</v>
      </c>
      <c r="U335" s="32">
        <f t="shared" si="36"/>
        <v>2406.6</v>
      </c>
      <c r="V335" s="37">
        <f t="shared" si="39"/>
        <v>4631.88825</v>
      </c>
      <c r="W335" s="39">
        <f t="shared" si="40"/>
        <v>0.65807998613906904</v>
      </c>
    </row>
    <row r="336" spans="1:23" x14ac:dyDescent="0.3">
      <c r="A336" s="40" t="s">
        <v>772</v>
      </c>
      <c r="B336" s="41">
        <v>45391</v>
      </c>
      <c r="C336" s="42">
        <v>45400</v>
      </c>
      <c r="D336" s="43">
        <f t="shared" si="41"/>
        <v>9</v>
      </c>
      <c r="E336" s="43" t="str">
        <f>TEXT(Data!B336,"MMM-YYYY")</f>
        <v>Apr-2024</v>
      </c>
      <c r="F336" s="43" t="str">
        <f t="shared" si="37"/>
        <v>Q2-2024</v>
      </c>
      <c r="G336" s="33" t="s">
        <v>78</v>
      </c>
      <c r="H336" s="33" t="s">
        <v>90</v>
      </c>
      <c r="I336" s="33" t="s">
        <v>138</v>
      </c>
      <c r="J336" s="33" t="s">
        <v>48</v>
      </c>
      <c r="K336" s="33" t="s">
        <v>28</v>
      </c>
      <c r="L336" s="33" t="s">
        <v>63</v>
      </c>
      <c r="M336" s="33" t="s">
        <v>30</v>
      </c>
      <c r="N336" s="33" t="s">
        <v>773</v>
      </c>
      <c r="O336" s="43">
        <v>1288.8499999999999</v>
      </c>
      <c r="P336" s="44" t="str">
        <f t="shared" si="38"/>
        <v>High</v>
      </c>
      <c r="Q336" s="43">
        <v>2751.84</v>
      </c>
      <c r="R336" s="43">
        <v>0.158</v>
      </c>
      <c r="S336" s="43">
        <v>7</v>
      </c>
      <c r="T336" s="43">
        <f t="shared" si="35"/>
        <v>2362.5509599999996</v>
      </c>
      <c r="U336" s="33">
        <f t="shared" si="36"/>
        <v>9021.9499999999989</v>
      </c>
      <c r="V336" s="43">
        <f t="shared" si="39"/>
        <v>-6659.3990399999993</v>
      </c>
      <c r="W336" s="45">
        <f t="shared" si="40"/>
        <v>-2.8187324433416667</v>
      </c>
    </row>
    <row r="337" spans="1:23" x14ac:dyDescent="0.3">
      <c r="A337" s="34" t="s">
        <v>774</v>
      </c>
      <c r="B337" s="35">
        <v>45484</v>
      </c>
      <c r="C337" s="36">
        <v>45504</v>
      </c>
      <c r="D337" s="37">
        <f t="shared" si="41"/>
        <v>20</v>
      </c>
      <c r="E337" s="37" t="str">
        <f>TEXT(Data!B337,"MMM-YYYY")</f>
        <v>Jul-2024</v>
      </c>
      <c r="F337" s="37" t="str">
        <f t="shared" si="37"/>
        <v>Q3-2024</v>
      </c>
      <c r="G337" s="32" t="s">
        <v>45</v>
      </c>
      <c r="H337" s="32" t="s">
        <v>116</v>
      </c>
      <c r="I337" s="32" t="s">
        <v>117</v>
      </c>
      <c r="J337" s="32" t="s">
        <v>48</v>
      </c>
      <c r="K337" s="32" t="s">
        <v>28</v>
      </c>
      <c r="L337" s="32" t="s">
        <v>41</v>
      </c>
      <c r="M337" s="32" t="s">
        <v>42</v>
      </c>
      <c r="N337" s="32" t="s">
        <v>775</v>
      </c>
      <c r="O337" s="37">
        <v>647.26</v>
      </c>
      <c r="P337" s="38" t="str">
        <f t="shared" si="38"/>
        <v>High</v>
      </c>
      <c r="Q337" s="37">
        <v>1374.72</v>
      </c>
      <c r="R337" s="37">
        <v>6.6000000000000003E-2</v>
      </c>
      <c r="S337" s="37">
        <v>22</v>
      </c>
      <c r="T337" s="37">
        <f t="shared" si="35"/>
        <v>36586.946879999996</v>
      </c>
      <c r="U337" s="32">
        <f t="shared" si="36"/>
        <v>14239.72</v>
      </c>
      <c r="V337" s="37">
        <f t="shared" si="39"/>
        <v>22347.226879999995</v>
      </c>
      <c r="W337" s="39">
        <f t="shared" si="40"/>
        <v>0.6107978059305067</v>
      </c>
    </row>
    <row r="338" spans="1:23" x14ac:dyDescent="0.3">
      <c r="A338" s="40" t="s">
        <v>776</v>
      </c>
      <c r="B338" s="41">
        <v>45340</v>
      </c>
      <c r="C338" s="42">
        <v>45354</v>
      </c>
      <c r="D338" s="43">
        <f t="shared" si="41"/>
        <v>14</v>
      </c>
      <c r="E338" s="43" t="str">
        <f>TEXT(Data!B338,"MMM-YYYY")</f>
        <v>Feb-2024</v>
      </c>
      <c r="F338" s="43" t="str">
        <f t="shared" si="37"/>
        <v>Q1-2024</v>
      </c>
      <c r="G338" s="33" t="s">
        <v>52</v>
      </c>
      <c r="H338" s="33" t="s">
        <v>73</v>
      </c>
      <c r="I338" s="33" t="s">
        <v>1364</v>
      </c>
      <c r="J338" s="33" t="s">
        <v>105</v>
      </c>
      <c r="K338" s="33" t="s">
        <v>55</v>
      </c>
      <c r="L338" s="33" t="s">
        <v>75</v>
      </c>
      <c r="M338" s="33" t="s">
        <v>30</v>
      </c>
      <c r="N338" s="33" t="s">
        <v>777</v>
      </c>
      <c r="O338" s="43">
        <v>624.23</v>
      </c>
      <c r="P338" s="44" t="str">
        <f t="shared" si="38"/>
        <v>High</v>
      </c>
      <c r="Q338" s="43">
        <v>1318.37</v>
      </c>
      <c r="R338" s="43">
        <v>0.21</v>
      </c>
      <c r="S338" s="43">
        <v>37</v>
      </c>
      <c r="T338" s="43">
        <f t="shared" si="35"/>
        <v>32691.708900000005</v>
      </c>
      <c r="U338" s="33">
        <f t="shared" si="36"/>
        <v>23096.510000000002</v>
      </c>
      <c r="V338" s="43">
        <f t="shared" si="39"/>
        <v>9595.1989000000031</v>
      </c>
      <c r="W338" s="45">
        <f t="shared" si="40"/>
        <v>0.29350557749521627</v>
      </c>
    </row>
    <row r="339" spans="1:23" x14ac:dyDescent="0.3">
      <c r="A339" s="34" t="s">
        <v>778</v>
      </c>
      <c r="B339" s="35">
        <v>45132</v>
      </c>
      <c r="C339" s="36">
        <v>45148</v>
      </c>
      <c r="D339" s="37">
        <f t="shared" si="41"/>
        <v>16</v>
      </c>
      <c r="E339" s="37" t="str">
        <f>TEXT(Data!B339,"MMM-YYYY")</f>
        <v>Jul-2023</v>
      </c>
      <c r="F339" s="37" t="str">
        <f t="shared" si="37"/>
        <v>Q3-2023</v>
      </c>
      <c r="G339" s="32" t="s">
        <v>16</v>
      </c>
      <c r="H339" s="32" t="s">
        <v>25</v>
      </c>
      <c r="I339" s="32" t="s">
        <v>26</v>
      </c>
      <c r="J339" s="32" t="s">
        <v>19</v>
      </c>
      <c r="K339" s="32" t="s">
        <v>55</v>
      </c>
      <c r="L339" s="32" t="s">
        <v>34</v>
      </c>
      <c r="M339" s="32" t="s">
        <v>81</v>
      </c>
      <c r="N339" s="32" t="s">
        <v>779</v>
      </c>
      <c r="O339" s="37">
        <v>506.83</v>
      </c>
      <c r="P339" s="38" t="str">
        <f t="shared" si="38"/>
        <v>High</v>
      </c>
      <c r="Q339" s="37">
        <v>441.74</v>
      </c>
      <c r="R339" s="37">
        <v>0.24</v>
      </c>
      <c r="S339" s="37">
        <v>9</v>
      </c>
      <c r="T339" s="37">
        <f t="shared" si="35"/>
        <v>5274.4607999999998</v>
      </c>
      <c r="U339" s="32">
        <f t="shared" si="36"/>
        <v>4561.47</v>
      </c>
      <c r="V339" s="37">
        <f t="shared" si="39"/>
        <v>712.99079999999958</v>
      </c>
      <c r="W339" s="39">
        <f t="shared" si="40"/>
        <v>0.1351779503224291</v>
      </c>
    </row>
    <row r="340" spans="1:23" x14ac:dyDescent="0.3">
      <c r="A340" s="40" t="s">
        <v>780</v>
      </c>
      <c r="B340" s="41">
        <v>45121</v>
      </c>
      <c r="C340" s="42">
        <v>45128</v>
      </c>
      <c r="D340" s="43">
        <f t="shared" si="41"/>
        <v>7</v>
      </c>
      <c r="E340" s="43" t="str">
        <f>TEXT(Data!B340,"MMM-YYYY")</f>
        <v>Jul-2023</v>
      </c>
      <c r="F340" s="43" t="str">
        <f t="shared" si="37"/>
        <v>Q3-2023</v>
      </c>
      <c r="G340" s="33" t="s">
        <v>16</v>
      </c>
      <c r="H340" s="33" t="s">
        <v>148</v>
      </c>
      <c r="I340" s="33" t="s">
        <v>172</v>
      </c>
      <c r="J340" s="33" t="s">
        <v>105</v>
      </c>
      <c r="K340" s="33" t="s">
        <v>40</v>
      </c>
      <c r="L340" s="33" t="s">
        <v>1364</v>
      </c>
      <c r="M340" s="33" t="s">
        <v>64</v>
      </c>
      <c r="N340" s="33" t="s">
        <v>781</v>
      </c>
      <c r="O340" s="43">
        <v>620.74</v>
      </c>
      <c r="P340" s="44" t="str">
        <f t="shared" si="38"/>
        <v>High</v>
      </c>
      <c r="Q340" s="43">
        <v>1330.07</v>
      </c>
      <c r="R340" s="43">
        <v>0.29899999999999999</v>
      </c>
      <c r="S340" s="43">
        <v>28</v>
      </c>
      <c r="T340" s="43">
        <f t="shared" si="35"/>
        <v>23750.665119999998</v>
      </c>
      <c r="U340" s="33">
        <f t="shared" si="36"/>
        <v>17380.72</v>
      </c>
      <c r="V340" s="43">
        <f t="shared" si="39"/>
        <v>6369.9451199999967</v>
      </c>
      <c r="W340" s="45">
        <f t="shared" si="40"/>
        <v>0.26820070460409901</v>
      </c>
    </row>
    <row r="341" spans="1:23" x14ac:dyDescent="0.3">
      <c r="A341" s="34" t="s">
        <v>782</v>
      </c>
      <c r="B341" s="35">
        <v>45131</v>
      </c>
      <c r="C341" s="36">
        <v>45157</v>
      </c>
      <c r="D341" s="37">
        <f t="shared" si="41"/>
        <v>26</v>
      </c>
      <c r="E341" s="37" t="str">
        <f>TEXT(Data!B341,"MMM-YYYY")</f>
        <v>Jul-2023</v>
      </c>
      <c r="F341" s="37" t="str">
        <f t="shared" si="37"/>
        <v>Q3-2023</v>
      </c>
      <c r="G341" s="32" t="s">
        <v>16</v>
      </c>
      <c r="H341" s="32" t="s">
        <v>17</v>
      </c>
      <c r="I341" s="32" t="s">
        <v>33</v>
      </c>
      <c r="J341" s="32" t="s">
        <v>105</v>
      </c>
      <c r="K341" s="32" t="s">
        <v>55</v>
      </c>
      <c r="L341" s="32" t="s">
        <v>110</v>
      </c>
      <c r="M341" s="32" t="s">
        <v>81</v>
      </c>
      <c r="N341" s="32" t="s">
        <v>783</v>
      </c>
      <c r="O341" s="37">
        <v>661.45</v>
      </c>
      <c r="P341" s="38" t="str">
        <f t="shared" si="38"/>
        <v>High</v>
      </c>
      <c r="Q341" s="37">
        <v>1634.86</v>
      </c>
      <c r="R341" s="37">
        <v>0.56499999999999995</v>
      </c>
      <c r="S341" s="37">
        <v>24</v>
      </c>
      <c r="T341" s="37">
        <f t="shared" si="35"/>
        <v>31570.873200000005</v>
      </c>
      <c r="U341" s="32">
        <f t="shared" si="36"/>
        <v>15874.800000000001</v>
      </c>
      <c r="V341" s="37">
        <f t="shared" si="39"/>
        <v>15696.073200000004</v>
      </c>
      <c r="W341" s="39">
        <f t="shared" si="40"/>
        <v>0.49716943527555019</v>
      </c>
    </row>
    <row r="342" spans="1:23" x14ac:dyDescent="0.3">
      <c r="A342" s="40" t="s">
        <v>784</v>
      </c>
      <c r="B342" s="41">
        <v>45029</v>
      </c>
      <c r="C342" s="42">
        <v>45027</v>
      </c>
      <c r="D342" s="43">
        <f>DATEDIF(C342,B342, "MD")</f>
        <v>2</v>
      </c>
      <c r="E342" s="43" t="str">
        <f>TEXT(Data!B342,"MMM-YYYY")</f>
        <v>Apr-2023</v>
      </c>
      <c r="F342" s="43" t="str">
        <f t="shared" si="37"/>
        <v>Q2-2023</v>
      </c>
      <c r="G342" s="33" t="s">
        <v>52</v>
      </c>
      <c r="H342" s="33" t="s">
        <v>122</v>
      </c>
      <c r="I342" s="33" t="s">
        <v>167</v>
      </c>
      <c r="J342" s="33" t="s">
        <v>27</v>
      </c>
      <c r="K342" s="33" t="s">
        <v>40</v>
      </c>
      <c r="L342" s="33" t="s">
        <v>41</v>
      </c>
      <c r="M342" s="33" t="s">
        <v>35</v>
      </c>
      <c r="N342" s="33" t="s">
        <v>785</v>
      </c>
      <c r="O342" s="43">
        <v>32.1</v>
      </c>
      <c r="P342" s="44" t="str">
        <f t="shared" si="38"/>
        <v>Medium</v>
      </c>
      <c r="Q342" s="43">
        <v>70.599999999999994</v>
      </c>
      <c r="R342" s="43">
        <v>0.28199999999999997</v>
      </c>
      <c r="S342" s="43">
        <v>22</v>
      </c>
      <c r="T342" s="43">
        <f t="shared" si="35"/>
        <v>36385.454160000001</v>
      </c>
      <c r="U342" s="33">
        <f t="shared" si="36"/>
        <v>706.2</v>
      </c>
      <c r="V342" s="43">
        <f t="shared" si="39"/>
        <v>35679.254160000004</v>
      </c>
      <c r="W342" s="45">
        <f t="shared" si="40"/>
        <v>0.98059114510720191</v>
      </c>
    </row>
    <row r="343" spans="1:23" x14ac:dyDescent="0.3">
      <c r="A343" s="34" t="s">
        <v>786</v>
      </c>
      <c r="B343" s="35">
        <v>45594</v>
      </c>
      <c r="C343" s="36">
        <v>45600</v>
      </c>
      <c r="D343" s="37">
        <f t="shared" si="41"/>
        <v>6</v>
      </c>
      <c r="E343" s="37" t="str">
        <f>TEXT(Data!B343,"MMM-YYYY")</f>
        <v>Oct-2024</v>
      </c>
      <c r="F343" s="37" t="str">
        <f t="shared" si="37"/>
        <v>Q4-2024</v>
      </c>
      <c r="G343" s="32" t="s">
        <v>16</v>
      </c>
      <c r="H343" s="32" t="s">
        <v>17</v>
      </c>
      <c r="I343" s="32" t="s">
        <v>33</v>
      </c>
      <c r="J343" s="32" t="s">
        <v>19</v>
      </c>
      <c r="K343" s="32" t="s">
        <v>55</v>
      </c>
      <c r="L343" s="32" t="s">
        <v>110</v>
      </c>
      <c r="M343" s="32" t="s">
        <v>30</v>
      </c>
      <c r="N343" s="32" t="s">
        <v>787</v>
      </c>
      <c r="O343" s="37">
        <v>805.81</v>
      </c>
      <c r="P343" s="38" t="str">
        <f t="shared" si="38"/>
        <v>High</v>
      </c>
      <c r="Q343" s="37">
        <v>1823.04</v>
      </c>
      <c r="R343" s="37">
        <v>0</v>
      </c>
      <c r="S343" s="37">
        <v>11</v>
      </c>
      <c r="T343" s="37">
        <f t="shared" si="35"/>
        <v>33921.800000000003</v>
      </c>
      <c r="U343" s="32">
        <f t="shared" si="36"/>
        <v>8863.91</v>
      </c>
      <c r="V343" s="37">
        <f t="shared" si="39"/>
        <v>25057.890000000003</v>
      </c>
      <c r="W343" s="39">
        <f t="shared" si="40"/>
        <v>0.73869576496530254</v>
      </c>
    </row>
    <row r="344" spans="1:23" x14ac:dyDescent="0.3">
      <c r="A344" s="40" t="s">
        <v>788</v>
      </c>
      <c r="B344" s="41">
        <v>45339</v>
      </c>
      <c r="C344" s="42">
        <v>45355</v>
      </c>
      <c r="D344" s="43">
        <f t="shared" si="41"/>
        <v>16</v>
      </c>
      <c r="E344" s="43" t="str">
        <f>TEXT(Data!B344,"MMM-YYYY")</f>
        <v>Feb-2024</v>
      </c>
      <c r="F344" s="43" t="str">
        <f t="shared" si="37"/>
        <v>Q1-2024</v>
      </c>
      <c r="G344" s="33" t="s">
        <v>45</v>
      </c>
      <c r="H344" s="33" t="s">
        <v>60</v>
      </c>
      <c r="I344" s="33" t="s">
        <v>141</v>
      </c>
      <c r="J344" s="33" t="s">
        <v>62</v>
      </c>
      <c r="K344" s="33" t="s">
        <v>40</v>
      </c>
      <c r="L344" s="33" t="s">
        <v>84</v>
      </c>
      <c r="M344" s="33" t="s">
        <v>42</v>
      </c>
      <c r="N344" s="33" t="s">
        <v>789</v>
      </c>
      <c r="O344" s="43">
        <v>1231.8</v>
      </c>
      <c r="P344" s="44" t="str">
        <f t="shared" si="38"/>
        <v>High</v>
      </c>
      <c r="Q344" s="43">
        <v>2015.99</v>
      </c>
      <c r="R344" s="43">
        <v>0.26100000000000001</v>
      </c>
      <c r="S344" s="43">
        <v>6</v>
      </c>
      <c r="T344" s="43">
        <f t="shared" si="35"/>
        <v>1430.8961399999998</v>
      </c>
      <c r="U344" s="33">
        <f t="shared" si="36"/>
        <v>7390.7999999999993</v>
      </c>
      <c r="V344" s="43">
        <f t="shared" si="39"/>
        <v>-5959.9038599999994</v>
      </c>
      <c r="W344" s="45">
        <f t="shared" si="40"/>
        <v>-4.1651547539991265</v>
      </c>
    </row>
    <row r="345" spans="1:23" x14ac:dyDescent="0.3">
      <c r="A345" s="34" t="s">
        <v>790</v>
      </c>
      <c r="B345" s="35">
        <v>45486</v>
      </c>
      <c r="C345" s="36">
        <v>45485</v>
      </c>
      <c r="D345" s="37">
        <f>DATEDIF(C345,B345, "MD")</f>
        <v>1</v>
      </c>
      <c r="E345" s="37" t="str">
        <f>TEXT(Data!B345,"MMM-YYYY")</f>
        <v>Jul-2024</v>
      </c>
      <c r="F345" s="37" t="str">
        <f t="shared" si="37"/>
        <v>Q3-2024</v>
      </c>
      <c r="G345" s="32" t="s">
        <v>45</v>
      </c>
      <c r="H345" s="32" t="s">
        <v>46</v>
      </c>
      <c r="I345" s="32" t="s">
        <v>231</v>
      </c>
      <c r="J345" s="32" t="s">
        <v>62</v>
      </c>
      <c r="K345" s="32" t="s">
        <v>40</v>
      </c>
      <c r="L345" s="32" t="s">
        <v>84</v>
      </c>
      <c r="M345" s="32" t="s">
        <v>35</v>
      </c>
      <c r="N345" s="32" t="s">
        <v>791</v>
      </c>
      <c r="O345" s="37">
        <v>105.13</v>
      </c>
      <c r="P345" s="38" t="str">
        <f t="shared" si="38"/>
        <v>High</v>
      </c>
      <c r="Q345" s="37">
        <v>244.13</v>
      </c>
      <c r="R345" s="37">
        <v>7.0999999999999994E-2</v>
      </c>
      <c r="S345" s="37">
        <v>14</v>
      </c>
      <c r="T345" s="37">
        <f t="shared" si="35"/>
        <v>9511.1577400000006</v>
      </c>
      <c r="U345" s="32">
        <f t="shared" si="36"/>
        <v>1471.82</v>
      </c>
      <c r="V345" s="37">
        <f t="shared" si="39"/>
        <v>8039.3377400000008</v>
      </c>
      <c r="W345" s="39">
        <f t="shared" si="40"/>
        <v>0.84525332874986048</v>
      </c>
    </row>
    <row r="346" spans="1:23" x14ac:dyDescent="0.3">
      <c r="A346" s="40" t="s">
        <v>792</v>
      </c>
      <c r="B346" s="41">
        <v>45261</v>
      </c>
      <c r="C346" s="42">
        <v>45278</v>
      </c>
      <c r="D346" s="43">
        <f t="shared" si="41"/>
        <v>17</v>
      </c>
      <c r="E346" s="43" t="str">
        <f>TEXT(Data!B346,"MMM-YYYY")</f>
        <v>Dec-2023</v>
      </c>
      <c r="F346" s="43" t="str">
        <f t="shared" si="37"/>
        <v>Q4-2023</v>
      </c>
      <c r="G346" s="33" t="s">
        <v>45</v>
      </c>
      <c r="H346" s="33" t="s">
        <v>46</v>
      </c>
      <c r="I346" s="33" t="s">
        <v>231</v>
      </c>
      <c r="J346" s="33" t="s">
        <v>62</v>
      </c>
      <c r="K346" s="33" t="s">
        <v>98</v>
      </c>
      <c r="L346" s="33" t="s">
        <v>126</v>
      </c>
      <c r="M346" s="33" t="s">
        <v>57</v>
      </c>
      <c r="N346" s="33" t="s">
        <v>793</v>
      </c>
      <c r="O346" s="43">
        <v>1495.79</v>
      </c>
      <c r="P346" s="44" t="str">
        <f t="shared" si="38"/>
        <v>High</v>
      </c>
      <c r="Q346" s="43">
        <v>2783.12</v>
      </c>
      <c r="R346" s="43">
        <v>0.02</v>
      </c>
      <c r="S346" s="43">
        <v>5</v>
      </c>
      <c r="T346" s="43">
        <f t="shared" si="35"/>
        <v>7516.3549999999996</v>
      </c>
      <c r="U346" s="33">
        <f t="shared" si="36"/>
        <v>7478.95</v>
      </c>
      <c r="V346" s="43">
        <f t="shared" si="39"/>
        <v>37.404999999999745</v>
      </c>
      <c r="W346" s="45">
        <f t="shared" si="40"/>
        <v>4.9764812864745937E-3</v>
      </c>
    </row>
    <row r="347" spans="1:23" x14ac:dyDescent="0.3">
      <c r="A347" s="34" t="s">
        <v>794</v>
      </c>
      <c r="B347" s="35">
        <v>45498</v>
      </c>
      <c r="C347" s="36">
        <v>45506</v>
      </c>
      <c r="D347" s="37">
        <f t="shared" si="41"/>
        <v>8</v>
      </c>
      <c r="E347" s="37" t="str">
        <f>TEXT(Data!B347,"MMM-YYYY")</f>
        <v>Jul-2024</v>
      </c>
      <c r="F347" s="37" t="str">
        <f t="shared" si="37"/>
        <v>Q3-2024</v>
      </c>
      <c r="G347" s="32" t="s">
        <v>52</v>
      </c>
      <c r="H347" s="32" t="s">
        <v>53</v>
      </c>
      <c r="I347" s="32" t="s">
        <v>144</v>
      </c>
      <c r="J347" s="32" t="s">
        <v>48</v>
      </c>
      <c r="K347" s="32" t="s">
        <v>98</v>
      </c>
      <c r="L347" s="32" t="s">
        <v>29</v>
      </c>
      <c r="M347" s="32" t="s">
        <v>81</v>
      </c>
      <c r="N347" s="32" t="s">
        <v>795</v>
      </c>
      <c r="O347" s="37">
        <v>986.81</v>
      </c>
      <c r="P347" s="38" t="str">
        <f t="shared" si="38"/>
        <v>High</v>
      </c>
      <c r="Q347" s="37">
        <v>2050.31</v>
      </c>
      <c r="R347" s="37">
        <v>0.10299999999999999</v>
      </c>
      <c r="S347" s="37">
        <v>43</v>
      </c>
      <c r="T347" s="37">
        <f t="shared" si="35"/>
        <v>60620.497860000003</v>
      </c>
      <c r="U347" s="32">
        <f t="shared" si="36"/>
        <v>42432.829999999994</v>
      </c>
      <c r="V347" s="37">
        <f t="shared" si="39"/>
        <v>18187.667860000009</v>
      </c>
      <c r="W347" s="39">
        <f t="shared" si="40"/>
        <v>0.30002504931588508</v>
      </c>
    </row>
    <row r="348" spans="1:23" x14ac:dyDescent="0.3">
      <c r="A348" s="40" t="s">
        <v>796</v>
      </c>
      <c r="B348" s="41">
        <v>45050</v>
      </c>
      <c r="C348" s="42">
        <v>45062</v>
      </c>
      <c r="D348" s="43">
        <f t="shared" si="41"/>
        <v>12</v>
      </c>
      <c r="E348" s="43" t="str">
        <f>TEXT(Data!B348,"MMM-YYYY")</f>
        <v>May-2023</v>
      </c>
      <c r="F348" s="43" t="str">
        <f t="shared" si="37"/>
        <v>Q2-2023</v>
      </c>
      <c r="G348" s="33" t="s">
        <v>16</v>
      </c>
      <c r="H348" s="33" t="s">
        <v>25</v>
      </c>
      <c r="I348" s="33" t="s">
        <v>67</v>
      </c>
      <c r="J348" s="33" t="s">
        <v>62</v>
      </c>
      <c r="K348" s="33" t="s">
        <v>40</v>
      </c>
      <c r="L348" s="33" t="s">
        <v>29</v>
      </c>
      <c r="M348" s="33" t="s">
        <v>42</v>
      </c>
      <c r="N348" s="33" t="s">
        <v>797</v>
      </c>
      <c r="O348" s="43">
        <v>77.739999999999995</v>
      </c>
      <c r="P348" s="44" t="str">
        <f t="shared" si="38"/>
        <v>Medium</v>
      </c>
      <c r="Q348" s="43">
        <v>147.12</v>
      </c>
      <c r="R348" s="43">
        <v>0</v>
      </c>
      <c r="S348" s="43">
        <v>15</v>
      </c>
      <c r="T348" s="43">
        <f t="shared" si="35"/>
        <v>3760.95</v>
      </c>
      <c r="U348" s="33">
        <f t="shared" si="36"/>
        <v>1166.0999999999999</v>
      </c>
      <c r="V348" s="43">
        <f t="shared" si="39"/>
        <v>2594.85</v>
      </c>
      <c r="W348" s="45">
        <f t="shared" si="40"/>
        <v>0.68994535955011371</v>
      </c>
    </row>
    <row r="349" spans="1:23" x14ac:dyDescent="0.3">
      <c r="A349" s="34" t="s">
        <v>798</v>
      </c>
      <c r="B349" s="35">
        <v>45281</v>
      </c>
      <c r="C349" s="36">
        <v>45297</v>
      </c>
      <c r="D349" s="37">
        <f t="shared" si="41"/>
        <v>16</v>
      </c>
      <c r="E349" s="37" t="str">
        <f>TEXT(Data!B349,"MMM-YYYY")</f>
        <v>Dec-2023</v>
      </c>
      <c r="F349" s="37" t="str">
        <f t="shared" si="37"/>
        <v>Q4-2023</v>
      </c>
      <c r="G349" s="32" t="s">
        <v>16</v>
      </c>
      <c r="H349" s="32" t="s">
        <v>25</v>
      </c>
      <c r="I349" s="32" t="s">
        <v>1364</v>
      </c>
      <c r="J349" s="32" t="s">
        <v>19</v>
      </c>
      <c r="K349" s="32" t="s">
        <v>40</v>
      </c>
      <c r="L349" s="32" t="s">
        <v>95</v>
      </c>
      <c r="M349" s="32" t="s">
        <v>22</v>
      </c>
      <c r="N349" s="32" t="s">
        <v>799</v>
      </c>
      <c r="O349" s="37">
        <v>932.61</v>
      </c>
      <c r="P349" s="38" t="str">
        <f t="shared" si="38"/>
        <v>High</v>
      </c>
      <c r="Q349" s="37">
        <v>1982.98</v>
      </c>
      <c r="R349" s="37">
        <v>0.14399999999999999</v>
      </c>
      <c r="S349" s="37">
        <v>16</v>
      </c>
      <c r="T349" s="37">
        <f t="shared" si="35"/>
        <v>47563.605759999999</v>
      </c>
      <c r="U349" s="32">
        <f t="shared" si="36"/>
        <v>14921.76</v>
      </c>
      <c r="V349" s="37">
        <f t="shared" si="39"/>
        <v>32641.845759999997</v>
      </c>
      <c r="W349" s="39">
        <f t="shared" si="40"/>
        <v>0.68627777979463256</v>
      </c>
    </row>
    <row r="350" spans="1:23" x14ac:dyDescent="0.3">
      <c r="A350" s="40" t="s">
        <v>800</v>
      </c>
      <c r="B350" s="41">
        <v>45825</v>
      </c>
      <c r="C350" s="42">
        <v>45843</v>
      </c>
      <c r="D350" s="43">
        <f t="shared" si="41"/>
        <v>18</v>
      </c>
      <c r="E350" s="43" t="str">
        <f>TEXT(Data!B350,"MMM-YYYY")</f>
        <v>Jun-2025</v>
      </c>
      <c r="F350" s="43" t="str">
        <f t="shared" si="37"/>
        <v>Q2-2025</v>
      </c>
      <c r="G350" s="33" t="s">
        <v>45</v>
      </c>
      <c r="H350" s="33" t="s">
        <v>60</v>
      </c>
      <c r="I350" s="33" t="s">
        <v>141</v>
      </c>
      <c r="J350" s="33" t="s">
        <v>48</v>
      </c>
      <c r="K350" s="33" t="s">
        <v>40</v>
      </c>
      <c r="L350" s="33" t="s">
        <v>49</v>
      </c>
      <c r="M350" s="33" t="s">
        <v>57</v>
      </c>
      <c r="N350" s="33" t="s">
        <v>801</v>
      </c>
      <c r="O350" s="43">
        <v>982.93</v>
      </c>
      <c r="P350" s="44" t="str">
        <f t="shared" si="38"/>
        <v>High</v>
      </c>
      <c r="Q350" s="43">
        <v>2299.3000000000002</v>
      </c>
      <c r="R350" s="43">
        <v>0.113</v>
      </c>
      <c r="S350" s="43">
        <v>6</v>
      </c>
      <c r="T350" s="43">
        <f t="shared" si="35"/>
        <v>6418.5448799999995</v>
      </c>
      <c r="U350" s="33">
        <f t="shared" si="36"/>
        <v>5897.58</v>
      </c>
      <c r="V350" s="43">
        <f t="shared" si="39"/>
        <v>520.96487999999954</v>
      </c>
      <c r="W350" s="45">
        <f t="shared" si="40"/>
        <v>8.1165574088811171E-2</v>
      </c>
    </row>
    <row r="351" spans="1:23" x14ac:dyDescent="0.3">
      <c r="A351" s="34" t="s">
        <v>802</v>
      </c>
      <c r="B351" s="35">
        <v>44980</v>
      </c>
      <c r="C351" s="36">
        <v>44993</v>
      </c>
      <c r="D351" s="37">
        <f t="shared" si="41"/>
        <v>13</v>
      </c>
      <c r="E351" s="37" t="str">
        <f>TEXT(Data!B351,"MMM-YYYY")</f>
        <v>Feb-2023</v>
      </c>
      <c r="F351" s="37" t="str">
        <f t="shared" si="37"/>
        <v>Q1-2023</v>
      </c>
      <c r="G351" s="32" t="s">
        <v>78</v>
      </c>
      <c r="H351" s="32" t="s">
        <v>108</v>
      </c>
      <c r="I351" s="32" t="s">
        <v>228</v>
      </c>
      <c r="J351" s="32" t="s">
        <v>62</v>
      </c>
      <c r="K351" s="32" t="s">
        <v>98</v>
      </c>
      <c r="L351" s="32" t="s">
        <v>21</v>
      </c>
      <c r="M351" s="32" t="s">
        <v>30</v>
      </c>
      <c r="N351" s="32" t="s">
        <v>803</v>
      </c>
      <c r="O351" s="37">
        <v>307.37</v>
      </c>
      <c r="P351" s="38" t="str">
        <f t="shared" si="38"/>
        <v>High</v>
      </c>
      <c r="Q351" s="37">
        <v>462.61</v>
      </c>
      <c r="R351" s="37">
        <v>0.188</v>
      </c>
      <c r="S351" s="37">
        <v>11</v>
      </c>
      <c r="T351" s="37">
        <f t="shared" si="35"/>
        <v>19625.658360000001</v>
      </c>
      <c r="U351" s="32">
        <f t="shared" si="36"/>
        <v>3381.07</v>
      </c>
      <c r="V351" s="37">
        <f t="shared" si="39"/>
        <v>16244.588360000002</v>
      </c>
      <c r="W351" s="39">
        <f t="shared" si="40"/>
        <v>0.82772195775652957</v>
      </c>
    </row>
    <row r="352" spans="1:23" x14ac:dyDescent="0.3">
      <c r="A352" s="40" t="s">
        <v>804</v>
      </c>
      <c r="B352" s="41">
        <v>45262</v>
      </c>
      <c r="C352" s="42">
        <v>45276</v>
      </c>
      <c r="D352" s="43">
        <f t="shared" si="41"/>
        <v>14</v>
      </c>
      <c r="E352" s="43" t="str">
        <f>TEXT(Data!B352,"MMM-YYYY")</f>
        <v>Dec-2023</v>
      </c>
      <c r="F352" s="43" t="str">
        <f t="shared" si="37"/>
        <v>Q4-2023</v>
      </c>
      <c r="G352" s="33" t="s">
        <v>78</v>
      </c>
      <c r="H352" s="33" t="s">
        <v>79</v>
      </c>
      <c r="I352" s="33" t="s">
        <v>335</v>
      </c>
      <c r="J352" s="33" t="s">
        <v>27</v>
      </c>
      <c r="K352" s="33" t="s">
        <v>98</v>
      </c>
      <c r="L352" s="33" t="s">
        <v>126</v>
      </c>
      <c r="M352" s="33" t="s">
        <v>64</v>
      </c>
      <c r="N352" s="33" t="s">
        <v>805</v>
      </c>
      <c r="O352" s="43">
        <v>879.08</v>
      </c>
      <c r="P352" s="44" t="str">
        <f t="shared" si="38"/>
        <v>High</v>
      </c>
      <c r="Q352" s="43">
        <v>1093.3900000000001</v>
      </c>
      <c r="R352" s="43">
        <v>0.113</v>
      </c>
      <c r="S352" s="43">
        <v>17</v>
      </c>
      <c r="T352" s="43">
        <f t="shared" si="35"/>
        <v>24437.027399999999</v>
      </c>
      <c r="U352" s="33">
        <f t="shared" si="36"/>
        <v>14944.36</v>
      </c>
      <c r="V352" s="43">
        <f t="shared" si="39"/>
        <v>9492.6673999999985</v>
      </c>
      <c r="W352" s="45">
        <f t="shared" si="40"/>
        <v>0.38845426019369272</v>
      </c>
    </row>
    <row r="353" spans="1:23" x14ac:dyDescent="0.3">
      <c r="A353" s="34" t="s">
        <v>806</v>
      </c>
      <c r="B353" s="35">
        <v>45121</v>
      </c>
      <c r="C353" s="36">
        <v>45121</v>
      </c>
      <c r="D353" s="37">
        <f t="shared" si="41"/>
        <v>0</v>
      </c>
      <c r="E353" s="37" t="str">
        <f>TEXT(Data!B353,"MMM-YYYY")</f>
        <v>Jul-2023</v>
      </c>
      <c r="F353" s="37" t="str">
        <f t="shared" si="37"/>
        <v>Q3-2023</v>
      </c>
      <c r="G353" s="32" t="s">
        <v>16</v>
      </c>
      <c r="H353" s="32" t="s">
        <v>25</v>
      </c>
      <c r="I353" s="32" t="s">
        <v>38</v>
      </c>
      <c r="J353" s="32" t="s">
        <v>27</v>
      </c>
      <c r="K353" s="32" t="s">
        <v>20</v>
      </c>
      <c r="L353" s="32" t="s">
        <v>34</v>
      </c>
      <c r="M353" s="32" t="s">
        <v>81</v>
      </c>
      <c r="N353" s="32" t="s">
        <v>807</v>
      </c>
      <c r="O353" s="37">
        <v>956.38</v>
      </c>
      <c r="P353" s="38" t="str">
        <f t="shared" si="38"/>
        <v>High</v>
      </c>
      <c r="Q353" s="37">
        <v>1454.22</v>
      </c>
      <c r="R353" s="37">
        <v>3.9E-2</v>
      </c>
      <c r="S353" s="37">
        <v>19</v>
      </c>
      <c r="T353" s="37">
        <f t="shared" si="35"/>
        <v>18891.856940000001</v>
      </c>
      <c r="U353" s="32">
        <f t="shared" si="36"/>
        <v>18171.22</v>
      </c>
      <c r="V353" s="37">
        <f t="shared" si="39"/>
        <v>720.63694000000032</v>
      </c>
      <c r="W353" s="39">
        <f t="shared" si="40"/>
        <v>3.8145373548440616E-2</v>
      </c>
    </row>
    <row r="354" spans="1:23" x14ac:dyDescent="0.3">
      <c r="A354" s="40" t="s">
        <v>808</v>
      </c>
      <c r="B354" s="41">
        <v>45512</v>
      </c>
      <c r="C354" s="42">
        <v>45524</v>
      </c>
      <c r="D354" s="43">
        <f t="shared" si="41"/>
        <v>12</v>
      </c>
      <c r="E354" s="43" t="str">
        <f>TEXT(Data!B354,"MMM-YYYY")</f>
        <v>Aug-2024</v>
      </c>
      <c r="F354" s="43" t="str">
        <f t="shared" si="37"/>
        <v>Q3-2024</v>
      </c>
      <c r="G354" s="33" t="s">
        <v>45</v>
      </c>
      <c r="H354" s="33" t="s">
        <v>46</v>
      </c>
      <c r="I354" s="33" t="s">
        <v>47</v>
      </c>
      <c r="J354" s="33" t="s">
        <v>62</v>
      </c>
      <c r="K354" s="33" t="s">
        <v>20</v>
      </c>
      <c r="L354" s="33" t="s">
        <v>92</v>
      </c>
      <c r="M354" s="33" t="s">
        <v>35</v>
      </c>
      <c r="N354" s="33" t="s">
        <v>809</v>
      </c>
      <c r="O354" s="43">
        <v>1233.3599999999999</v>
      </c>
      <c r="P354" s="44" t="str">
        <f t="shared" si="38"/>
        <v>High</v>
      </c>
      <c r="Q354" s="43">
        <v>2120.4</v>
      </c>
      <c r="R354" s="43">
        <v>0.17899999999999999</v>
      </c>
      <c r="S354" s="43">
        <v>20</v>
      </c>
      <c r="T354" s="43">
        <f t="shared" si="35"/>
        <v>31286.9964</v>
      </c>
      <c r="U354" s="33">
        <f t="shared" si="36"/>
        <v>24667.199999999997</v>
      </c>
      <c r="V354" s="43">
        <f t="shared" si="39"/>
        <v>6619.7964000000029</v>
      </c>
      <c r="W354" s="45">
        <f t="shared" si="40"/>
        <v>0.21158299490838958</v>
      </c>
    </row>
    <row r="355" spans="1:23" x14ac:dyDescent="0.3">
      <c r="A355" s="34" t="s">
        <v>810</v>
      </c>
      <c r="B355" s="35">
        <v>45603</v>
      </c>
      <c r="C355" s="36">
        <v>45622</v>
      </c>
      <c r="D355" s="37">
        <f t="shared" si="41"/>
        <v>19</v>
      </c>
      <c r="E355" s="37" t="str">
        <f>TEXT(Data!B355,"MMM-YYYY")</f>
        <v>Nov-2024</v>
      </c>
      <c r="F355" s="37" t="str">
        <f t="shared" si="37"/>
        <v>Q4-2024</v>
      </c>
      <c r="G355" s="32" t="s">
        <v>52</v>
      </c>
      <c r="H355" s="32" t="s">
        <v>73</v>
      </c>
      <c r="I355" s="32" t="s">
        <v>225</v>
      </c>
      <c r="J355" s="32" t="s">
        <v>39</v>
      </c>
      <c r="K355" s="32" t="s">
        <v>55</v>
      </c>
      <c r="L355" s="32" t="s">
        <v>29</v>
      </c>
      <c r="M355" s="32" t="s">
        <v>30</v>
      </c>
      <c r="N355" s="32" t="s">
        <v>811</v>
      </c>
      <c r="O355" s="37">
        <v>55.35</v>
      </c>
      <c r="P355" s="38" t="str">
        <f t="shared" si="38"/>
        <v>Medium</v>
      </c>
      <c r="Q355" s="37">
        <v>128.68</v>
      </c>
      <c r="R355" s="37">
        <v>0.128</v>
      </c>
      <c r="S355" s="37">
        <v>10</v>
      </c>
      <c r="T355" s="37">
        <f t="shared" si="35"/>
        <v>4722.4031999999997</v>
      </c>
      <c r="U355" s="32">
        <f t="shared" si="36"/>
        <v>553.5</v>
      </c>
      <c r="V355" s="37">
        <f t="shared" si="39"/>
        <v>4168.9031999999997</v>
      </c>
      <c r="W355" s="39">
        <f t="shared" si="40"/>
        <v>0.88279272722837387</v>
      </c>
    </row>
    <row r="356" spans="1:23" x14ac:dyDescent="0.3">
      <c r="A356" s="40" t="s">
        <v>812</v>
      </c>
      <c r="B356" s="41">
        <v>45292</v>
      </c>
      <c r="C356" s="42">
        <v>45318</v>
      </c>
      <c r="D356" s="43">
        <f t="shared" si="41"/>
        <v>26</v>
      </c>
      <c r="E356" s="43" t="str">
        <f>TEXT(Data!B356,"MMM-YYYY")</f>
        <v>Jan-2024</v>
      </c>
      <c r="F356" s="43" t="str">
        <f t="shared" si="37"/>
        <v>Q1-2024</v>
      </c>
      <c r="G356" s="33" t="s">
        <v>78</v>
      </c>
      <c r="H356" s="33" t="s">
        <v>108</v>
      </c>
      <c r="I356" s="33" t="s">
        <v>228</v>
      </c>
      <c r="J356" s="33" t="s">
        <v>27</v>
      </c>
      <c r="K356" s="33" t="s">
        <v>55</v>
      </c>
      <c r="L356" s="33" t="s">
        <v>145</v>
      </c>
      <c r="M356" s="33" t="s">
        <v>81</v>
      </c>
      <c r="N356" s="33" t="s">
        <v>813</v>
      </c>
      <c r="O356" s="43">
        <v>657.45</v>
      </c>
      <c r="P356" s="44" t="str">
        <f t="shared" si="38"/>
        <v>High</v>
      </c>
      <c r="Q356" s="43">
        <v>1325.96</v>
      </c>
      <c r="R356" s="43">
        <v>0.16700000000000001</v>
      </c>
      <c r="S356" s="43">
        <v>21</v>
      </c>
      <c r="T356" s="43">
        <f t="shared" si="35"/>
        <v>19532.683799999999</v>
      </c>
      <c r="U356" s="33">
        <f t="shared" si="36"/>
        <v>13806.45</v>
      </c>
      <c r="V356" s="43">
        <f t="shared" si="39"/>
        <v>5726.2337999999982</v>
      </c>
      <c r="W356" s="45">
        <f t="shared" si="40"/>
        <v>0.29316164939914702</v>
      </c>
    </row>
    <row r="357" spans="1:23" x14ac:dyDescent="0.3">
      <c r="A357" s="34" t="s">
        <v>814</v>
      </c>
      <c r="B357" s="35">
        <v>45883</v>
      </c>
      <c r="C357" s="36">
        <v>45911</v>
      </c>
      <c r="D357" s="37">
        <f t="shared" si="41"/>
        <v>28</v>
      </c>
      <c r="E357" s="37" t="str">
        <f>TEXT(Data!B357,"MMM-YYYY")</f>
        <v>Aug-2025</v>
      </c>
      <c r="F357" s="37" t="str">
        <f t="shared" si="37"/>
        <v>Q3-2025</v>
      </c>
      <c r="G357" s="32" t="s">
        <v>52</v>
      </c>
      <c r="H357" s="32" t="s">
        <v>73</v>
      </c>
      <c r="I357" s="32" t="s">
        <v>74</v>
      </c>
      <c r="J357" s="32" t="s">
        <v>39</v>
      </c>
      <c r="K357" s="32" t="s">
        <v>98</v>
      </c>
      <c r="L357" s="32" t="s">
        <v>84</v>
      </c>
      <c r="M357" s="32" t="s">
        <v>30</v>
      </c>
      <c r="N357" s="32" t="s">
        <v>815</v>
      </c>
      <c r="O357" s="37">
        <v>1203.02</v>
      </c>
      <c r="P357" s="38" t="str">
        <f t="shared" si="38"/>
        <v>High</v>
      </c>
      <c r="Q357" s="37">
        <v>2439.33</v>
      </c>
      <c r="R357" s="37">
        <v>0</v>
      </c>
      <c r="S357" s="37">
        <v>18</v>
      </c>
      <c r="T357" s="37">
        <f t="shared" si="35"/>
        <v>26190</v>
      </c>
      <c r="U357" s="32">
        <f t="shared" si="36"/>
        <v>21654.36</v>
      </c>
      <c r="V357" s="37">
        <f t="shared" si="39"/>
        <v>4535.6399999999994</v>
      </c>
      <c r="W357" s="39">
        <f t="shared" si="40"/>
        <v>0.17318213058419241</v>
      </c>
    </row>
    <row r="358" spans="1:23" x14ac:dyDescent="0.3">
      <c r="A358" s="40" t="s">
        <v>816</v>
      </c>
      <c r="B358" s="41">
        <v>45385</v>
      </c>
      <c r="C358" s="42">
        <v>45403</v>
      </c>
      <c r="D358" s="43">
        <f t="shared" si="41"/>
        <v>18</v>
      </c>
      <c r="E358" s="43" t="str">
        <f>TEXT(Data!B358,"MMM-YYYY")</f>
        <v>Apr-2024</v>
      </c>
      <c r="F358" s="43" t="str">
        <f t="shared" si="37"/>
        <v>Q2-2024</v>
      </c>
      <c r="G358" s="33" t="s">
        <v>52</v>
      </c>
      <c r="H358" s="33" t="s">
        <v>73</v>
      </c>
      <c r="I358" s="33" t="s">
        <v>87</v>
      </c>
      <c r="J358" s="33" t="s">
        <v>62</v>
      </c>
      <c r="K358" s="33" t="s">
        <v>55</v>
      </c>
      <c r="L358" s="33" t="s">
        <v>56</v>
      </c>
      <c r="M358" s="33" t="s">
        <v>35</v>
      </c>
      <c r="N358" s="33" t="s">
        <v>817</v>
      </c>
      <c r="O358" s="43">
        <v>1176.69</v>
      </c>
      <c r="P358" s="44" t="str">
        <f t="shared" si="38"/>
        <v>High</v>
      </c>
      <c r="Q358" s="43">
        <v>2201.54</v>
      </c>
      <c r="R358" s="43">
        <v>0.17</v>
      </c>
      <c r="S358" s="43">
        <v>27</v>
      </c>
      <c r="T358" s="43">
        <f t="shared" si="35"/>
        <v>28646.702999999998</v>
      </c>
      <c r="U358" s="33">
        <f t="shared" si="36"/>
        <v>31770.63</v>
      </c>
      <c r="V358" s="43">
        <f t="shared" si="39"/>
        <v>-3123.9270000000033</v>
      </c>
      <c r="W358" s="45">
        <f t="shared" si="40"/>
        <v>-0.1090501409533936</v>
      </c>
    </row>
    <row r="359" spans="1:23" x14ac:dyDescent="0.3">
      <c r="A359" s="34" t="s">
        <v>818</v>
      </c>
      <c r="B359" s="35">
        <v>45621</v>
      </c>
      <c r="C359" s="36">
        <v>45633</v>
      </c>
      <c r="D359" s="37">
        <f t="shared" si="41"/>
        <v>12</v>
      </c>
      <c r="E359" s="37" t="str">
        <f>TEXT(Data!B359,"MMM-YYYY")</f>
        <v>Nov-2024</v>
      </c>
      <c r="F359" s="37" t="str">
        <f t="shared" si="37"/>
        <v>Q4-2024</v>
      </c>
      <c r="G359" s="32" t="s">
        <v>45</v>
      </c>
      <c r="H359" s="32" t="s">
        <v>116</v>
      </c>
      <c r="I359" s="32" t="s">
        <v>162</v>
      </c>
      <c r="J359" s="32" t="s">
        <v>19</v>
      </c>
      <c r="K359" s="32" t="s">
        <v>55</v>
      </c>
      <c r="L359" s="32" t="s">
        <v>75</v>
      </c>
      <c r="M359" s="32" t="s">
        <v>81</v>
      </c>
      <c r="N359" s="32" t="s">
        <v>819</v>
      </c>
      <c r="O359" s="37">
        <v>769.9</v>
      </c>
      <c r="P359" s="38" t="str">
        <f t="shared" si="38"/>
        <v>High</v>
      </c>
      <c r="Q359" s="37">
        <v>814.36</v>
      </c>
      <c r="R359" s="37">
        <v>0</v>
      </c>
      <c r="S359" s="37">
        <v>5</v>
      </c>
      <c r="T359" s="37">
        <f t="shared" si="35"/>
        <v>4499.1500000000005</v>
      </c>
      <c r="U359" s="32">
        <f t="shared" si="36"/>
        <v>3849.5</v>
      </c>
      <c r="V359" s="37">
        <f t="shared" si="39"/>
        <v>649.65000000000055</v>
      </c>
      <c r="W359" s="39">
        <f t="shared" si="40"/>
        <v>0.14439394107775924</v>
      </c>
    </row>
    <row r="360" spans="1:23" x14ac:dyDescent="0.3">
      <c r="A360" s="40" t="s">
        <v>820</v>
      </c>
      <c r="B360" s="41">
        <v>45309</v>
      </c>
      <c r="C360" s="42">
        <v>45325</v>
      </c>
      <c r="D360" s="43">
        <f t="shared" si="41"/>
        <v>16</v>
      </c>
      <c r="E360" s="43" t="str">
        <f>TEXT(Data!B360,"MMM-YYYY")</f>
        <v>Jan-2024</v>
      </c>
      <c r="F360" s="43" t="str">
        <f t="shared" si="37"/>
        <v>Q1-2024</v>
      </c>
      <c r="G360" s="33" t="s">
        <v>16</v>
      </c>
      <c r="H360" s="33" t="s">
        <v>148</v>
      </c>
      <c r="I360" s="33" t="s">
        <v>258</v>
      </c>
      <c r="J360" s="33" t="s">
        <v>39</v>
      </c>
      <c r="K360" s="33" t="s">
        <v>55</v>
      </c>
      <c r="L360" s="33" t="s">
        <v>49</v>
      </c>
      <c r="M360" s="33" t="s">
        <v>30</v>
      </c>
      <c r="N360" s="33" t="s">
        <v>821</v>
      </c>
      <c r="O360" s="43">
        <v>666.23</v>
      </c>
      <c r="P360" s="44" t="str">
        <f t="shared" si="38"/>
        <v>High</v>
      </c>
      <c r="Q360" s="43">
        <v>1382.91</v>
      </c>
      <c r="R360" s="43">
        <v>0.17599999999999999</v>
      </c>
      <c r="S360" s="43">
        <v>13</v>
      </c>
      <c r="T360" s="43">
        <f t="shared" si="35"/>
        <v>9412.9557600000007</v>
      </c>
      <c r="U360" s="33">
        <f t="shared" si="36"/>
        <v>8660.99</v>
      </c>
      <c r="V360" s="43">
        <f t="shared" si="39"/>
        <v>751.96576000000096</v>
      </c>
      <c r="W360" s="45">
        <f t="shared" si="40"/>
        <v>7.9886252434697616E-2</v>
      </c>
    </row>
    <row r="361" spans="1:23" x14ac:dyDescent="0.3">
      <c r="A361" s="34" t="s">
        <v>822</v>
      </c>
      <c r="B361" s="35">
        <v>45466</v>
      </c>
      <c r="C361" s="36">
        <v>45468</v>
      </c>
      <c r="D361" s="37">
        <f t="shared" si="41"/>
        <v>2</v>
      </c>
      <c r="E361" s="37" t="str">
        <f>TEXT(Data!B361,"MMM-YYYY")</f>
        <v>Jun-2024</v>
      </c>
      <c r="F361" s="37" t="str">
        <f t="shared" si="37"/>
        <v>Q2-2024</v>
      </c>
      <c r="G361" s="32" t="s">
        <v>78</v>
      </c>
      <c r="H361" s="32" t="s">
        <v>108</v>
      </c>
      <c r="I361" s="32" t="s">
        <v>109</v>
      </c>
      <c r="J361" s="32" t="s">
        <v>62</v>
      </c>
      <c r="K361" s="32" t="s">
        <v>40</v>
      </c>
      <c r="L361" s="32" t="s">
        <v>49</v>
      </c>
      <c r="M361" s="32" t="s">
        <v>81</v>
      </c>
      <c r="N361" s="32" t="s">
        <v>823</v>
      </c>
      <c r="O361" s="37">
        <v>951.44</v>
      </c>
      <c r="P361" s="38" t="str">
        <f t="shared" si="38"/>
        <v>High</v>
      </c>
      <c r="Q361" s="37">
        <v>1646.43</v>
      </c>
      <c r="R361" s="37">
        <v>0.11</v>
      </c>
      <c r="S361" s="37">
        <v>24</v>
      </c>
      <c r="T361" s="37">
        <f t="shared" si="35"/>
        <v>12696.811199999998</v>
      </c>
      <c r="U361" s="32">
        <f t="shared" si="36"/>
        <v>22834.560000000001</v>
      </c>
      <c r="V361" s="37">
        <f t="shared" si="39"/>
        <v>-10137.748800000003</v>
      </c>
      <c r="W361" s="39">
        <f t="shared" si="40"/>
        <v>-0.79844841671741995</v>
      </c>
    </row>
    <row r="362" spans="1:23" x14ac:dyDescent="0.3">
      <c r="A362" s="40" t="s">
        <v>824</v>
      </c>
      <c r="B362" s="41">
        <v>45833</v>
      </c>
      <c r="C362" s="42">
        <v>45848</v>
      </c>
      <c r="D362" s="43">
        <f t="shared" si="41"/>
        <v>15</v>
      </c>
      <c r="E362" s="43" t="str">
        <f>TEXT(Data!B362,"MMM-YYYY")</f>
        <v>Jun-2025</v>
      </c>
      <c r="F362" s="43" t="str">
        <f t="shared" si="37"/>
        <v>Q2-2025</v>
      </c>
      <c r="G362" s="33" t="s">
        <v>78</v>
      </c>
      <c r="H362" s="33" t="s">
        <v>108</v>
      </c>
      <c r="I362" s="33" t="s">
        <v>109</v>
      </c>
      <c r="J362" s="33" t="s">
        <v>39</v>
      </c>
      <c r="K362" s="33" t="s">
        <v>40</v>
      </c>
      <c r="L362" s="33" t="s">
        <v>145</v>
      </c>
      <c r="M362" s="33" t="s">
        <v>42</v>
      </c>
      <c r="N362" s="33" t="s">
        <v>825</v>
      </c>
      <c r="O362" s="43">
        <v>546.83000000000004</v>
      </c>
      <c r="P362" s="44" t="str">
        <f t="shared" si="38"/>
        <v>High</v>
      </c>
      <c r="Q362" s="43">
        <v>400.84</v>
      </c>
      <c r="R362" s="43">
        <v>7.8E-2</v>
      </c>
      <c r="S362" s="43">
        <v>13</v>
      </c>
      <c r="T362" s="43">
        <f t="shared" si="35"/>
        <v>19391.5501</v>
      </c>
      <c r="U362" s="33">
        <f t="shared" si="36"/>
        <v>7108.7900000000009</v>
      </c>
      <c r="V362" s="43">
        <f t="shared" si="39"/>
        <v>12282.7601</v>
      </c>
      <c r="W362" s="45">
        <f t="shared" si="40"/>
        <v>0.63340785221703344</v>
      </c>
    </row>
    <row r="363" spans="1:23" x14ac:dyDescent="0.3">
      <c r="A363" s="34" t="s">
        <v>826</v>
      </c>
      <c r="B363" s="35">
        <v>45108</v>
      </c>
      <c r="C363" s="36">
        <v>45115</v>
      </c>
      <c r="D363" s="37">
        <f t="shared" si="41"/>
        <v>7</v>
      </c>
      <c r="E363" s="37" t="str">
        <f>TEXT(Data!B363,"MMM-YYYY")</f>
        <v>Jul-2023</v>
      </c>
      <c r="F363" s="37" t="str">
        <f t="shared" si="37"/>
        <v>Q3-2023</v>
      </c>
      <c r="G363" s="32" t="s">
        <v>16</v>
      </c>
      <c r="H363" s="32" t="s">
        <v>25</v>
      </c>
      <c r="I363" s="32" t="s">
        <v>26</v>
      </c>
      <c r="J363" s="32" t="s">
        <v>19</v>
      </c>
      <c r="K363" s="32" t="s">
        <v>20</v>
      </c>
      <c r="L363" s="32" t="s">
        <v>75</v>
      </c>
      <c r="M363" s="32" t="s">
        <v>57</v>
      </c>
      <c r="N363" s="32" t="s">
        <v>827</v>
      </c>
      <c r="O363" s="37">
        <v>834.26</v>
      </c>
      <c r="P363" s="38" t="str">
        <f t="shared" si="38"/>
        <v>High</v>
      </c>
      <c r="Q363" s="37">
        <v>1780.56</v>
      </c>
      <c r="R363" s="37">
        <v>1.4E-2</v>
      </c>
      <c r="S363" s="37">
        <v>47</v>
      </c>
      <c r="T363" s="37">
        <f t="shared" si="35"/>
        <v>45086.595219999996</v>
      </c>
      <c r="U363" s="32">
        <f t="shared" si="36"/>
        <v>39210.22</v>
      </c>
      <c r="V363" s="37">
        <f t="shared" si="39"/>
        <v>5876.3752199999944</v>
      </c>
      <c r="W363" s="39">
        <f t="shared" si="40"/>
        <v>0.13033530678744376</v>
      </c>
    </row>
    <row r="364" spans="1:23" x14ac:dyDescent="0.3">
      <c r="A364" s="40" t="s">
        <v>828</v>
      </c>
      <c r="B364" s="41">
        <v>45360</v>
      </c>
      <c r="C364" s="42">
        <v>45377</v>
      </c>
      <c r="D364" s="43">
        <f t="shared" si="41"/>
        <v>17</v>
      </c>
      <c r="E364" s="43" t="str">
        <f>TEXT(Data!B364,"MMM-YYYY")</f>
        <v>Mar-2024</v>
      </c>
      <c r="F364" s="43" t="str">
        <f t="shared" si="37"/>
        <v>Q1-2024</v>
      </c>
      <c r="G364" s="33" t="s">
        <v>45</v>
      </c>
      <c r="H364" s="33" t="s">
        <v>116</v>
      </c>
      <c r="I364" s="33" t="s">
        <v>117</v>
      </c>
      <c r="J364" s="33" t="s">
        <v>105</v>
      </c>
      <c r="K364" s="33" t="s">
        <v>28</v>
      </c>
      <c r="L364" s="33" t="s">
        <v>95</v>
      </c>
      <c r="M364" s="33" t="s">
        <v>64</v>
      </c>
      <c r="N364" s="33" t="s">
        <v>829</v>
      </c>
      <c r="O364" s="43">
        <v>1029.67</v>
      </c>
      <c r="P364" s="44" t="str">
        <f t="shared" si="38"/>
        <v>High</v>
      </c>
      <c r="Q364" s="43">
        <v>1118.43</v>
      </c>
      <c r="R364" s="43">
        <v>0.27200000000000002</v>
      </c>
      <c r="S364" s="43">
        <v>9</v>
      </c>
      <c r="T364" s="43">
        <f t="shared" si="35"/>
        <v>278.85311999999999</v>
      </c>
      <c r="U364" s="33">
        <f t="shared" si="36"/>
        <v>9267.0300000000007</v>
      </c>
      <c r="V364" s="43">
        <f t="shared" si="39"/>
        <v>-8988.1768800000009</v>
      </c>
      <c r="W364" s="45">
        <f t="shared" si="40"/>
        <v>-32.232656676030743</v>
      </c>
    </row>
    <row r="365" spans="1:23" x14ac:dyDescent="0.3">
      <c r="A365" s="34" t="s">
        <v>830</v>
      </c>
      <c r="B365" s="35">
        <v>45082</v>
      </c>
      <c r="C365" s="36">
        <v>45105</v>
      </c>
      <c r="D365" s="37">
        <f t="shared" si="41"/>
        <v>23</v>
      </c>
      <c r="E365" s="37" t="str">
        <f>TEXT(Data!B365,"MMM-YYYY")</f>
        <v>Jun-2023</v>
      </c>
      <c r="F365" s="37" t="str">
        <f t="shared" si="37"/>
        <v>Q2-2023</v>
      </c>
      <c r="G365" s="32" t="s">
        <v>78</v>
      </c>
      <c r="H365" s="32" t="s">
        <v>108</v>
      </c>
      <c r="I365" s="32" t="s">
        <v>109</v>
      </c>
      <c r="J365" s="32" t="s">
        <v>19</v>
      </c>
      <c r="K365" s="32" t="s">
        <v>98</v>
      </c>
      <c r="L365" s="32" t="s">
        <v>95</v>
      </c>
      <c r="M365" s="32" t="s">
        <v>30</v>
      </c>
      <c r="N365" s="32" t="s">
        <v>831</v>
      </c>
      <c r="O365" s="37">
        <v>605.82000000000005</v>
      </c>
      <c r="P365" s="38" t="str">
        <f t="shared" si="38"/>
        <v>High</v>
      </c>
      <c r="Q365" s="37">
        <v>771.12</v>
      </c>
      <c r="R365" s="37">
        <v>0.13200000000000001</v>
      </c>
      <c r="S365" s="37">
        <v>19</v>
      </c>
      <c r="T365" s="37">
        <f t="shared" si="35"/>
        <v>24421.848359999996</v>
      </c>
      <c r="U365" s="32">
        <f t="shared" si="36"/>
        <v>11510.580000000002</v>
      </c>
      <c r="V365" s="37">
        <f t="shared" si="39"/>
        <v>12911.268359999995</v>
      </c>
      <c r="W365" s="39">
        <f t="shared" si="40"/>
        <v>0.52867695227962652</v>
      </c>
    </row>
    <row r="366" spans="1:23" x14ac:dyDescent="0.3">
      <c r="A366" s="40" t="s">
        <v>832</v>
      </c>
      <c r="B366" s="41">
        <v>45737</v>
      </c>
      <c r="C366" s="42">
        <v>45756</v>
      </c>
      <c r="D366" s="43">
        <f t="shared" si="41"/>
        <v>19</v>
      </c>
      <c r="E366" s="43" t="str">
        <f>TEXT(Data!B366,"MMM-YYYY")</f>
        <v>Mar-2025</v>
      </c>
      <c r="F366" s="43" t="str">
        <f t="shared" si="37"/>
        <v>Q1-2025</v>
      </c>
      <c r="G366" s="33" t="s">
        <v>45</v>
      </c>
      <c r="H366" s="33" t="s">
        <v>46</v>
      </c>
      <c r="I366" s="33" t="s">
        <v>214</v>
      </c>
      <c r="J366" s="33" t="s">
        <v>62</v>
      </c>
      <c r="K366" s="33" t="s">
        <v>55</v>
      </c>
      <c r="L366" s="33" t="s">
        <v>63</v>
      </c>
      <c r="M366" s="33" t="s">
        <v>22</v>
      </c>
      <c r="N366" s="33" t="s">
        <v>833</v>
      </c>
      <c r="O366" s="43">
        <v>1055.45</v>
      </c>
      <c r="P366" s="44" t="str">
        <f t="shared" si="38"/>
        <v>High</v>
      </c>
      <c r="Q366" s="43">
        <v>1210.04</v>
      </c>
      <c r="R366" s="43">
        <v>8.9999999999999993E-3</v>
      </c>
      <c r="S366" s="43">
        <v>18</v>
      </c>
      <c r="T366" s="43">
        <f t="shared" si="35"/>
        <v>10065.26988</v>
      </c>
      <c r="U366" s="33">
        <f t="shared" si="36"/>
        <v>18998.100000000002</v>
      </c>
      <c r="V366" s="43">
        <f t="shared" si="39"/>
        <v>-8932.8301200000024</v>
      </c>
      <c r="W366" s="45">
        <f t="shared" si="40"/>
        <v>-0.887490372985409</v>
      </c>
    </row>
    <row r="367" spans="1:23" x14ac:dyDescent="0.3">
      <c r="A367" s="34" t="s">
        <v>834</v>
      </c>
      <c r="B367" s="35">
        <v>45445</v>
      </c>
      <c r="C367" s="36">
        <v>45458</v>
      </c>
      <c r="D367" s="37">
        <f t="shared" si="41"/>
        <v>13</v>
      </c>
      <c r="E367" s="37" t="str">
        <f>TEXT(Data!B367,"MMM-YYYY")</f>
        <v>Jun-2024</v>
      </c>
      <c r="F367" s="37" t="str">
        <f t="shared" si="37"/>
        <v>Q2-2024</v>
      </c>
      <c r="G367" s="32" t="s">
        <v>16</v>
      </c>
      <c r="H367" s="32" t="s">
        <v>17</v>
      </c>
      <c r="I367" s="32" t="s">
        <v>113</v>
      </c>
      <c r="J367" s="32" t="s">
        <v>27</v>
      </c>
      <c r="K367" s="32" t="s">
        <v>28</v>
      </c>
      <c r="L367" s="32" t="s">
        <v>68</v>
      </c>
      <c r="M367" s="32" t="s">
        <v>42</v>
      </c>
      <c r="N367" s="32" t="s">
        <v>835</v>
      </c>
      <c r="O367" s="37">
        <v>1295.18</v>
      </c>
      <c r="P367" s="38" t="str">
        <f t="shared" si="38"/>
        <v>High</v>
      </c>
      <c r="Q367" s="37">
        <v>3024.03</v>
      </c>
      <c r="R367" s="37">
        <v>0.192</v>
      </c>
      <c r="S367" s="37">
        <v>8</v>
      </c>
      <c r="T367" s="37">
        <f t="shared" si="35"/>
        <v>13814.925440000001</v>
      </c>
      <c r="U367" s="32">
        <f t="shared" si="36"/>
        <v>10361.44</v>
      </c>
      <c r="V367" s="37">
        <f t="shared" si="39"/>
        <v>3453.4854400000004</v>
      </c>
      <c r="W367" s="39">
        <f t="shared" si="40"/>
        <v>0.24998219896292109</v>
      </c>
    </row>
    <row r="368" spans="1:23" x14ac:dyDescent="0.3">
      <c r="A368" s="40" t="s">
        <v>836</v>
      </c>
      <c r="B368" s="41">
        <v>45731</v>
      </c>
      <c r="C368" s="42">
        <v>45745</v>
      </c>
      <c r="D368" s="43">
        <f t="shared" si="41"/>
        <v>14</v>
      </c>
      <c r="E368" s="43" t="str">
        <f>TEXT(Data!B368,"MMM-YYYY")</f>
        <v>Mar-2025</v>
      </c>
      <c r="F368" s="43" t="str">
        <f t="shared" si="37"/>
        <v>Q1-2025</v>
      </c>
      <c r="G368" s="33" t="s">
        <v>45</v>
      </c>
      <c r="H368" s="33" t="s">
        <v>60</v>
      </c>
      <c r="I368" s="33" t="s">
        <v>220</v>
      </c>
      <c r="J368" s="33" t="s">
        <v>105</v>
      </c>
      <c r="K368" s="33" t="s">
        <v>98</v>
      </c>
      <c r="L368" s="33" t="s">
        <v>21</v>
      </c>
      <c r="M368" s="33" t="s">
        <v>22</v>
      </c>
      <c r="N368" s="33" t="s">
        <v>837</v>
      </c>
      <c r="O368" s="43">
        <v>935.83</v>
      </c>
      <c r="P368" s="44" t="str">
        <f t="shared" si="38"/>
        <v>High</v>
      </c>
      <c r="Q368" s="43">
        <v>2303.46</v>
      </c>
      <c r="R368" s="43">
        <v>0.105</v>
      </c>
      <c r="S368" s="43">
        <v>9</v>
      </c>
      <c r="T368" s="43">
        <f t="shared" si="35"/>
        <v>13539.891150000001</v>
      </c>
      <c r="U368" s="33">
        <f t="shared" si="36"/>
        <v>8422.4700000000012</v>
      </c>
      <c r="V368" s="43">
        <f t="shared" si="39"/>
        <v>5117.4211500000001</v>
      </c>
      <c r="W368" s="45">
        <f t="shared" si="40"/>
        <v>0.37795142466858012</v>
      </c>
    </row>
    <row r="369" spans="1:23" x14ac:dyDescent="0.3">
      <c r="A369" s="34" t="s">
        <v>838</v>
      </c>
      <c r="B369" s="35">
        <v>45194</v>
      </c>
      <c r="C369" s="36">
        <v>45208</v>
      </c>
      <c r="D369" s="37">
        <f t="shared" si="41"/>
        <v>14</v>
      </c>
      <c r="E369" s="37" t="str">
        <f>TEXT(Data!B369,"MMM-YYYY")</f>
        <v>Sep-2023</v>
      </c>
      <c r="F369" s="37" t="str">
        <f t="shared" si="37"/>
        <v>Q3-2023</v>
      </c>
      <c r="G369" s="32" t="s">
        <v>52</v>
      </c>
      <c r="H369" s="32" t="s">
        <v>122</v>
      </c>
      <c r="I369" s="32" t="s">
        <v>387</v>
      </c>
      <c r="J369" s="32" t="s">
        <v>62</v>
      </c>
      <c r="K369" s="32" t="s">
        <v>40</v>
      </c>
      <c r="L369" s="32" t="s">
        <v>29</v>
      </c>
      <c r="M369" s="32" t="s">
        <v>57</v>
      </c>
      <c r="N369" s="32" t="s">
        <v>839</v>
      </c>
      <c r="O369" s="37">
        <v>1279.56</v>
      </c>
      <c r="P369" s="38" t="str">
        <f t="shared" si="38"/>
        <v>High</v>
      </c>
      <c r="Q369" s="37">
        <v>3083.8</v>
      </c>
      <c r="R369" s="37">
        <v>0.106</v>
      </c>
      <c r="S369" s="37">
        <v>5</v>
      </c>
      <c r="T369" s="37">
        <f t="shared" si="35"/>
        <v>12985.618199999999</v>
      </c>
      <c r="U369" s="32">
        <f t="shared" si="36"/>
        <v>6397.7999999999993</v>
      </c>
      <c r="V369" s="37">
        <f t="shared" si="39"/>
        <v>6587.8181999999997</v>
      </c>
      <c r="W369" s="39">
        <f t="shared" si="40"/>
        <v>0.50731648648040495</v>
      </c>
    </row>
    <row r="370" spans="1:23" x14ac:dyDescent="0.3">
      <c r="A370" s="40" t="s">
        <v>840</v>
      </c>
      <c r="B370" s="41">
        <v>45832</v>
      </c>
      <c r="C370" s="42">
        <v>45861</v>
      </c>
      <c r="D370" s="43">
        <f t="shared" si="41"/>
        <v>29</v>
      </c>
      <c r="E370" s="43" t="str">
        <f>TEXT(Data!B370,"MMM-YYYY")</f>
        <v>Jun-2025</v>
      </c>
      <c r="F370" s="43" t="str">
        <f t="shared" si="37"/>
        <v>Q2-2025</v>
      </c>
      <c r="G370" s="33" t="s">
        <v>52</v>
      </c>
      <c r="H370" s="33" t="s">
        <v>53</v>
      </c>
      <c r="I370" s="33" t="s">
        <v>179</v>
      </c>
      <c r="J370" s="33" t="s">
        <v>39</v>
      </c>
      <c r="K370" s="33" t="s">
        <v>40</v>
      </c>
      <c r="L370" s="33" t="s">
        <v>34</v>
      </c>
      <c r="M370" s="33" t="s">
        <v>30</v>
      </c>
      <c r="N370" s="33" t="s">
        <v>841</v>
      </c>
      <c r="O370" s="43">
        <v>255.4</v>
      </c>
      <c r="P370" s="44" t="str">
        <f t="shared" si="38"/>
        <v>High</v>
      </c>
      <c r="Q370" s="43">
        <v>322.70999999999998</v>
      </c>
      <c r="R370" s="43">
        <v>0.115</v>
      </c>
      <c r="S370" s="43">
        <v>16</v>
      </c>
      <c r="T370" s="43">
        <f t="shared" si="35"/>
        <v>11923.994400000001</v>
      </c>
      <c r="U370" s="33">
        <f t="shared" si="36"/>
        <v>4086.4</v>
      </c>
      <c r="V370" s="43">
        <f t="shared" si="39"/>
        <v>7837.5944000000018</v>
      </c>
      <c r="W370" s="45">
        <f t="shared" si="40"/>
        <v>0.65729604837788258</v>
      </c>
    </row>
    <row r="371" spans="1:23" x14ac:dyDescent="0.3">
      <c r="A371" s="34" t="s">
        <v>842</v>
      </c>
      <c r="B371" s="35">
        <v>45286</v>
      </c>
      <c r="C371" s="36">
        <v>45294</v>
      </c>
      <c r="D371" s="37">
        <f t="shared" si="41"/>
        <v>8</v>
      </c>
      <c r="E371" s="37" t="str">
        <f>TEXT(Data!B371,"MMM-YYYY")</f>
        <v>Dec-2023</v>
      </c>
      <c r="F371" s="37" t="str">
        <f t="shared" si="37"/>
        <v>Q4-2023</v>
      </c>
      <c r="G371" s="32" t="s">
        <v>78</v>
      </c>
      <c r="H371" s="32" t="s">
        <v>90</v>
      </c>
      <c r="I371" s="32" t="s">
        <v>138</v>
      </c>
      <c r="J371" s="32" t="s">
        <v>62</v>
      </c>
      <c r="K371" s="32" t="s">
        <v>20</v>
      </c>
      <c r="L371" s="32" t="s">
        <v>110</v>
      </c>
      <c r="M371" s="32" t="s">
        <v>57</v>
      </c>
      <c r="N371" s="32" t="s">
        <v>843</v>
      </c>
      <c r="O371" s="37">
        <v>492.75</v>
      </c>
      <c r="P371" s="38" t="str">
        <f t="shared" si="38"/>
        <v>High</v>
      </c>
      <c r="Q371" s="37">
        <v>731.29</v>
      </c>
      <c r="R371" s="37">
        <v>5.8000000000000003E-2</v>
      </c>
      <c r="S371" s="37">
        <v>6</v>
      </c>
      <c r="T371" s="37">
        <f t="shared" si="35"/>
        <v>17698.503240000002</v>
      </c>
      <c r="U371" s="32">
        <f t="shared" si="36"/>
        <v>2956.5</v>
      </c>
      <c r="V371" s="37">
        <f t="shared" si="39"/>
        <v>14742.003240000002</v>
      </c>
      <c r="W371" s="39">
        <f t="shared" si="40"/>
        <v>0.83295197566096557</v>
      </c>
    </row>
    <row r="372" spans="1:23" x14ac:dyDescent="0.3">
      <c r="A372" s="40" t="s">
        <v>844</v>
      </c>
      <c r="B372" s="41">
        <v>44962</v>
      </c>
      <c r="C372" s="42">
        <v>44985</v>
      </c>
      <c r="D372" s="43">
        <f t="shared" si="41"/>
        <v>23</v>
      </c>
      <c r="E372" s="43" t="str">
        <f>TEXT(Data!B372,"MMM-YYYY")</f>
        <v>Feb-2023</v>
      </c>
      <c r="F372" s="43" t="str">
        <f t="shared" si="37"/>
        <v>Q1-2023</v>
      </c>
      <c r="G372" s="33" t="s">
        <v>52</v>
      </c>
      <c r="H372" s="33" t="s">
        <v>122</v>
      </c>
      <c r="I372" s="33" t="s">
        <v>326</v>
      </c>
      <c r="J372" s="33" t="s">
        <v>39</v>
      </c>
      <c r="K372" s="33" t="s">
        <v>55</v>
      </c>
      <c r="L372" s="33" t="s">
        <v>49</v>
      </c>
      <c r="M372" s="33" t="s">
        <v>42</v>
      </c>
      <c r="N372" s="33" t="s">
        <v>845</v>
      </c>
      <c r="O372" s="43">
        <v>1214.49</v>
      </c>
      <c r="P372" s="44" t="str">
        <f t="shared" si="38"/>
        <v>High</v>
      </c>
      <c r="Q372" s="43">
        <v>1533.95</v>
      </c>
      <c r="R372" s="43">
        <v>0</v>
      </c>
      <c r="S372" s="43">
        <v>11</v>
      </c>
      <c r="T372" s="43">
        <f t="shared" si="35"/>
        <v>15891.92</v>
      </c>
      <c r="U372" s="33">
        <f t="shared" si="36"/>
        <v>13359.39</v>
      </c>
      <c r="V372" s="43">
        <f t="shared" si="39"/>
        <v>2532.5300000000007</v>
      </c>
      <c r="W372" s="45">
        <f t="shared" si="40"/>
        <v>0.15935959909186559</v>
      </c>
    </row>
    <row r="373" spans="1:23" x14ac:dyDescent="0.3">
      <c r="A373" s="34" t="s">
        <v>846</v>
      </c>
      <c r="B373" s="35">
        <v>45022</v>
      </c>
      <c r="C373" s="36">
        <v>45024</v>
      </c>
      <c r="D373" s="37">
        <f t="shared" si="41"/>
        <v>2</v>
      </c>
      <c r="E373" s="37" t="str">
        <f>TEXT(Data!B373,"MMM-YYYY")</f>
        <v>Apr-2023</v>
      </c>
      <c r="F373" s="37" t="str">
        <f t="shared" si="37"/>
        <v>Q2-2023</v>
      </c>
      <c r="G373" s="32" t="s">
        <v>16</v>
      </c>
      <c r="H373" s="32" t="s">
        <v>25</v>
      </c>
      <c r="I373" s="32" t="s">
        <v>67</v>
      </c>
      <c r="J373" s="32" t="s">
        <v>62</v>
      </c>
      <c r="K373" s="32" t="s">
        <v>40</v>
      </c>
      <c r="L373" s="32" t="s">
        <v>95</v>
      </c>
      <c r="M373" s="32" t="s">
        <v>64</v>
      </c>
      <c r="N373" s="32" t="s">
        <v>847</v>
      </c>
      <c r="O373" s="37">
        <v>720.35</v>
      </c>
      <c r="P373" s="38" t="str">
        <f t="shared" si="38"/>
        <v>High</v>
      </c>
      <c r="Q373" s="37">
        <v>1571.66</v>
      </c>
      <c r="R373" s="37">
        <v>0.107</v>
      </c>
      <c r="S373" s="37">
        <v>23</v>
      </c>
      <c r="T373" s="37">
        <f t="shared" si="35"/>
        <v>59066.056200000006</v>
      </c>
      <c r="U373" s="32">
        <f t="shared" si="36"/>
        <v>16568.05</v>
      </c>
      <c r="V373" s="37">
        <f t="shared" si="39"/>
        <v>42498.006200000003</v>
      </c>
      <c r="W373" s="39">
        <f t="shared" si="40"/>
        <v>0.71949964047201787</v>
      </c>
    </row>
    <row r="374" spans="1:23" x14ac:dyDescent="0.3">
      <c r="A374" s="40" t="s">
        <v>848</v>
      </c>
      <c r="B374" s="41">
        <v>45751</v>
      </c>
      <c r="C374" s="42">
        <v>45757</v>
      </c>
      <c r="D374" s="43">
        <f t="shared" si="41"/>
        <v>6</v>
      </c>
      <c r="E374" s="43" t="str">
        <f>TEXT(Data!B374,"MMM-YYYY")</f>
        <v>Apr-2025</v>
      </c>
      <c r="F374" s="43" t="str">
        <f t="shared" si="37"/>
        <v>Q2-2025</v>
      </c>
      <c r="G374" s="33" t="s">
        <v>78</v>
      </c>
      <c r="H374" s="33" t="s">
        <v>108</v>
      </c>
      <c r="I374" s="33" t="s">
        <v>109</v>
      </c>
      <c r="J374" s="33" t="s">
        <v>39</v>
      </c>
      <c r="K374" s="33" t="s">
        <v>98</v>
      </c>
      <c r="L374" s="33" t="s">
        <v>126</v>
      </c>
      <c r="M374" s="33" t="s">
        <v>30</v>
      </c>
      <c r="N374" s="33" t="s">
        <v>849</v>
      </c>
      <c r="O374" s="43">
        <v>290.14</v>
      </c>
      <c r="P374" s="44" t="str">
        <f t="shared" si="38"/>
        <v>High</v>
      </c>
      <c r="Q374" s="43">
        <v>250.73</v>
      </c>
      <c r="R374" s="43">
        <v>3.4000000000000002E-2</v>
      </c>
      <c r="S374" s="43">
        <v>17</v>
      </c>
      <c r="T374" s="43">
        <f t="shared" si="35"/>
        <v>26958.519419999997</v>
      </c>
      <c r="U374" s="33">
        <f t="shared" si="36"/>
        <v>4932.38</v>
      </c>
      <c r="V374" s="43">
        <f t="shared" si="39"/>
        <v>22026.139419999996</v>
      </c>
      <c r="W374" s="45">
        <f t="shared" si="40"/>
        <v>0.81703817174986382</v>
      </c>
    </row>
    <row r="375" spans="1:23" x14ac:dyDescent="0.3">
      <c r="A375" s="34" t="s">
        <v>850</v>
      </c>
      <c r="B375" s="35">
        <v>45429</v>
      </c>
      <c r="C375" s="36">
        <v>45439</v>
      </c>
      <c r="D375" s="37">
        <f t="shared" si="41"/>
        <v>10</v>
      </c>
      <c r="E375" s="37" t="str">
        <f>TEXT(Data!B375,"MMM-YYYY")</f>
        <v>May-2024</v>
      </c>
      <c r="F375" s="37" t="str">
        <f t="shared" si="37"/>
        <v>Q2-2024</v>
      </c>
      <c r="G375" s="32" t="s">
        <v>52</v>
      </c>
      <c r="H375" s="32" t="s">
        <v>122</v>
      </c>
      <c r="I375" s="32" t="s">
        <v>326</v>
      </c>
      <c r="J375" s="32" t="s">
        <v>39</v>
      </c>
      <c r="K375" s="32" t="s">
        <v>28</v>
      </c>
      <c r="L375" s="32" t="s">
        <v>21</v>
      </c>
      <c r="M375" s="32" t="s">
        <v>42</v>
      </c>
      <c r="N375" s="32" t="s">
        <v>851</v>
      </c>
      <c r="O375" s="37">
        <v>1484.23</v>
      </c>
      <c r="P375" s="38" t="str">
        <f t="shared" si="38"/>
        <v>High</v>
      </c>
      <c r="Q375" s="37">
        <v>3472.81</v>
      </c>
      <c r="R375" s="37">
        <v>0.25600000000000001</v>
      </c>
      <c r="S375" s="37">
        <v>12</v>
      </c>
      <c r="T375" s="37">
        <f t="shared" si="35"/>
        <v>11597.65056</v>
      </c>
      <c r="U375" s="32">
        <f t="shared" si="36"/>
        <v>17810.760000000002</v>
      </c>
      <c r="V375" s="37">
        <f t="shared" si="39"/>
        <v>-6213.109440000002</v>
      </c>
      <c r="W375" s="39">
        <f t="shared" si="40"/>
        <v>-0.53572138665988589</v>
      </c>
    </row>
    <row r="376" spans="1:23" x14ac:dyDescent="0.3">
      <c r="A376" s="40" t="s">
        <v>852</v>
      </c>
      <c r="B376" s="41">
        <v>45354</v>
      </c>
      <c r="C376" s="42">
        <v>45370</v>
      </c>
      <c r="D376" s="43">
        <f t="shared" si="41"/>
        <v>16</v>
      </c>
      <c r="E376" s="43" t="str">
        <f>TEXT(Data!B376,"MMM-YYYY")</f>
        <v>Mar-2024</v>
      </c>
      <c r="F376" s="43" t="str">
        <f t="shared" si="37"/>
        <v>Q1-2024</v>
      </c>
      <c r="G376" s="33" t="s">
        <v>45</v>
      </c>
      <c r="H376" s="33" t="s">
        <v>116</v>
      </c>
      <c r="I376" s="33" t="s">
        <v>338</v>
      </c>
      <c r="J376" s="33" t="s">
        <v>48</v>
      </c>
      <c r="K376" s="33" t="s">
        <v>55</v>
      </c>
      <c r="L376" s="33" t="s">
        <v>41</v>
      </c>
      <c r="M376" s="33" t="s">
        <v>42</v>
      </c>
      <c r="N376" s="33" t="s">
        <v>853</v>
      </c>
      <c r="O376" s="43">
        <v>988.83</v>
      </c>
      <c r="P376" s="44" t="str">
        <f t="shared" si="38"/>
        <v>High</v>
      </c>
      <c r="Q376" s="43">
        <v>1206.04</v>
      </c>
      <c r="R376" s="43">
        <v>6.3E-2</v>
      </c>
      <c r="S376" s="43">
        <v>34</v>
      </c>
      <c r="T376" s="43">
        <f t="shared" si="35"/>
        <v>35635.084480000005</v>
      </c>
      <c r="U376" s="33">
        <f t="shared" si="36"/>
        <v>33620.22</v>
      </c>
      <c r="V376" s="43">
        <f t="shared" si="39"/>
        <v>2014.8644800000038</v>
      </c>
      <c r="W376" s="45">
        <f t="shared" si="40"/>
        <v>5.6541594033005182E-2</v>
      </c>
    </row>
    <row r="377" spans="1:23" x14ac:dyDescent="0.3">
      <c r="A377" s="34" t="s">
        <v>854</v>
      </c>
      <c r="B377" s="35">
        <v>45835</v>
      </c>
      <c r="C377" s="36">
        <v>45849</v>
      </c>
      <c r="D377" s="37">
        <f t="shared" si="41"/>
        <v>14</v>
      </c>
      <c r="E377" s="37" t="str">
        <f>TEXT(Data!B377,"MMM-YYYY")</f>
        <v>Jun-2025</v>
      </c>
      <c r="F377" s="37" t="str">
        <f t="shared" si="37"/>
        <v>Q2-2025</v>
      </c>
      <c r="G377" s="32" t="s">
        <v>45</v>
      </c>
      <c r="H377" s="32" t="s">
        <v>116</v>
      </c>
      <c r="I377" s="32" t="s">
        <v>162</v>
      </c>
      <c r="J377" s="32" t="s">
        <v>62</v>
      </c>
      <c r="K377" s="32" t="s">
        <v>40</v>
      </c>
      <c r="L377" s="32" t="s">
        <v>49</v>
      </c>
      <c r="M377" s="32" t="s">
        <v>35</v>
      </c>
      <c r="N377" s="32" t="s">
        <v>855</v>
      </c>
      <c r="O377" s="37">
        <v>1227.7</v>
      </c>
      <c r="P377" s="38" t="str">
        <f t="shared" si="38"/>
        <v>High</v>
      </c>
      <c r="Q377" s="37">
        <v>2197.23</v>
      </c>
      <c r="R377" s="37">
        <v>9.9000000000000005E-2</v>
      </c>
      <c r="S377" s="37">
        <v>22</v>
      </c>
      <c r="T377" s="37">
        <f t="shared" si="35"/>
        <v>23483.321620000002</v>
      </c>
      <c r="U377" s="32">
        <f t="shared" si="36"/>
        <v>27009.4</v>
      </c>
      <c r="V377" s="37">
        <f t="shared" si="39"/>
        <v>-3526.078379999999</v>
      </c>
      <c r="W377" s="39">
        <f t="shared" si="40"/>
        <v>-0.15015245445503542</v>
      </c>
    </row>
    <row r="378" spans="1:23" x14ac:dyDescent="0.3">
      <c r="A378" s="40" t="s">
        <v>856</v>
      </c>
      <c r="B378" s="41">
        <v>44998</v>
      </c>
      <c r="C378" s="42">
        <v>45020</v>
      </c>
      <c r="D378" s="43">
        <f t="shared" si="41"/>
        <v>22</v>
      </c>
      <c r="E378" s="43" t="str">
        <f>TEXT(Data!B378,"MMM-YYYY")</f>
        <v>Mar-2023</v>
      </c>
      <c r="F378" s="43" t="str">
        <f t="shared" si="37"/>
        <v>Q1-2023</v>
      </c>
      <c r="G378" s="33" t="s">
        <v>16</v>
      </c>
      <c r="H378" s="33" t="s">
        <v>148</v>
      </c>
      <c r="I378" s="33" t="s">
        <v>172</v>
      </c>
      <c r="J378" s="33" t="s">
        <v>62</v>
      </c>
      <c r="K378" s="33" t="s">
        <v>20</v>
      </c>
      <c r="L378" s="33" t="s">
        <v>75</v>
      </c>
      <c r="M378" s="33" t="s">
        <v>22</v>
      </c>
      <c r="N378" s="33" t="s">
        <v>857</v>
      </c>
      <c r="O378" s="43">
        <v>1113.7</v>
      </c>
      <c r="P378" s="44" t="str">
        <f t="shared" si="38"/>
        <v>High</v>
      </c>
      <c r="Q378" s="43">
        <v>1620.6</v>
      </c>
      <c r="R378" s="43">
        <v>0.13900000000000001</v>
      </c>
      <c r="S378" s="43">
        <v>11</v>
      </c>
      <c r="T378" s="43">
        <f t="shared" si="35"/>
        <v>11379.122369999999</v>
      </c>
      <c r="U378" s="33">
        <f t="shared" si="36"/>
        <v>12250.7</v>
      </c>
      <c r="V378" s="43">
        <f t="shared" si="39"/>
        <v>-871.57763000000159</v>
      </c>
      <c r="W378" s="45">
        <f t="shared" si="40"/>
        <v>-7.6594450930401736E-2</v>
      </c>
    </row>
    <row r="379" spans="1:23" x14ac:dyDescent="0.3">
      <c r="A379" s="34" t="s">
        <v>858</v>
      </c>
      <c r="B379" s="35">
        <v>45664</v>
      </c>
      <c r="C379" s="36">
        <v>45677</v>
      </c>
      <c r="D379" s="37">
        <f t="shared" si="41"/>
        <v>13</v>
      </c>
      <c r="E379" s="37" t="str">
        <f>TEXT(Data!B379,"MMM-YYYY")</f>
        <v>Jan-2025</v>
      </c>
      <c r="F379" s="37" t="str">
        <f t="shared" si="37"/>
        <v>Q1-2025</v>
      </c>
      <c r="G379" s="32" t="s">
        <v>16</v>
      </c>
      <c r="H379" s="32" t="s">
        <v>148</v>
      </c>
      <c r="I379" s="32" t="s">
        <v>258</v>
      </c>
      <c r="J379" s="32" t="s">
        <v>19</v>
      </c>
      <c r="K379" s="32" t="s">
        <v>98</v>
      </c>
      <c r="L379" s="32" t="s">
        <v>95</v>
      </c>
      <c r="M379" s="32" t="s">
        <v>35</v>
      </c>
      <c r="N379" s="32" t="s">
        <v>859</v>
      </c>
      <c r="O379" s="37">
        <v>432.13</v>
      </c>
      <c r="P379" s="38" t="str">
        <f t="shared" si="38"/>
        <v>High</v>
      </c>
      <c r="Q379" s="37">
        <v>1034.6600000000001</v>
      </c>
      <c r="R379" s="37">
        <v>9.1999999999999998E-2</v>
      </c>
      <c r="S379" s="37">
        <v>7</v>
      </c>
      <c r="T379" s="37">
        <f t="shared" si="35"/>
        <v>5599.5724400000008</v>
      </c>
      <c r="U379" s="32">
        <f t="shared" si="36"/>
        <v>3024.91</v>
      </c>
      <c r="V379" s="37">
        <f t="shared" si="39"/>
        <v>2574.662440000001</v>
      </c>
      <c r="W379" s="39">
        <f t="shared" si="40"/>
        <v>0.45979625544410324</v>
      </c>
    </row>
    <row r="380" spans="1:23" x14ac:dyDescent="0.3">
      <c r="A380" s="40" t="s">
        <v>860</v>
      </c>
      <c r="B380" s="41">
        <v>45694</v>
      </c>
      <c r="C380" s="42">
        <v>45703</v>
      </c>
      <c r="D380" s="43">
        <f t="shared" si="41"/>
        <v>9</v>
      </c>
      <c r="E380" s="43" t="str">
        <f>TEXT(Data!B380,"MMM-YYYY")</f>
        <v>Feb-2025</v>
      </c>
      <c r="F380" s="43" t="str">
        <f t="shared" si="37"/>
        <v>Q1-2025</v>
      </c>
      <c r="G380" s="33" t="s">
        <v>52</v>
      </c>
      <c r="H380" s="33" t="s">
        <v>73</v>
      </c>
      <c r="I380" s="33" t="s">
        <v>74</v>
      </c>
      <c r="J380" s="33" t="s">
        <v>39</v>
      </c>
      <c r="K380" s="33" t="s">
        <v>55</v>
      </c>
      <c r="L380" s="33" t="s">
        <v>84</v>
      </c>
      <c r="M380" s="33" t="s">
        <v>35</v>
      </c>
      <c r="N380" s="33" t="s">
        <v>861</v>
      </c>
      <c r="O380" s="43">
        <v>837.39</v>
      </c>
      <c r="P380" s="44" t="str">
        <f t="shared" si="38"/>
        <v>High</v>
      </c>
      <c r="Q380" s="43">
        <v>1905.42</v>
      </c>
      <c r="R380" s="43">
        <v>3.2000000000000001E-2</v>
      </c>
      <c r="S380" s="43">
        <v>18</v>
      </c>
      <c r="T380" s="43">
        <f t="shared" si="35"/>
        <v>35734.358879999992</v>
      </c>
      <c r="U380" s="33">
        <f t="shared" si="36"/>
        <v>15073.02</v>
      </c>
      <c r="V380" s="43">
        <f t="shared" si="39"/>
        <v>20661.338879999992</v>
      </c>
      <c r="W380" s="45">
        <f t="shared" si="40"/>
        <v>0.57819251632254265</v>
      </c>
    </row>
    <row r="381" spans="1:23" x14ac:dyDescent="0.3">
      <c r="A381" s="34" t="s">
        <v>862</v>
      </c>
      <c r="B381" s="35">
        <v>45688</v>
      </c>
      <c r="C381" s="36">
        <v>45705</v>
      </c>
      <c r="D381" s="37">
        <f t="shared" si="41"/>
        <v>17</v>
      </c>
      <c r="E381" s="37" t="str">
        <f>TEXT(Data!B381,"MMM-YYYY")</f>
        <v>Jan-2025</v>
      </c>
      <c r="F381" s="37" t="str">
        <f t="shared" si="37"/>
        <v>Q1-2025</v>
      </c>
      <c r="G381" s="32" t="s">
        <v>78</v>
      </c>
      <c r="H381" s="32" t="s">
        <v>108</v>
      </c>
      <c r="I381" s="32" t="s">
        <v>152</v>
      </c>
      <c r="J381" s="32" t="s">
        <v>105</v>
      </c>
      <c r="K381" s="32" t="s">
        <v>20</v>
      </c>
      <c r="L381" s="32" t="s">
        <v>92</v>
      </c>
      <c r="M381" s="32" t="s">
        <v>22</v>
      </c>
      <c r="N381" s="32" t="s">
        <v>254</v>
      </c>
      <c r="O381" s="37">
        <v>378.26</v>
      </c>
      <c r="P381" s="38" t="str">
        <f t="shared" si="38"/>
        <v>High</v>
      </c>
      <c r="Q381" s="37">
        <v>541.55999999999995</v>
      </c>
      <c r="R381" s="37">
        <v>0.16300000000000001</v>
      </c>
      <c r="S381" s="37">
        <v>25</v>
      </c>
      <c r="T381" s="37">
        <f t="shared" si="35"/>
        <v>36365.557499999995</v>
      </c>
      <c r="U381" s="32">
        <f t="shared" si="36"/>
        <v>9456.5</v>
      </c>
      <c r="V381" s="37">
        <f t="shared" si="39"/>
        <v>26909.057499999995</v>
      </c>
      <c r="W381" s="39">
        <f t="shared" si="40"/>
        <v>0.73995998823887132</v>
      </c>
    </row>
    <row r="382" spans="1:23" x14ac:dyDescent="0.3">
      <c r="A382" s="40" t="s">
        <v>863</v>
      </c>
      <c r="B382" s="41">
        <v>45876</v>
      </c>
      <c r="C382" s="42">
        <v>45906</v>
      </c>
      <c r="D382" s="43">
        <f t="shared" si="41"/>
        <v>30</v>
      </c>
      <c r="E382" s="43" t="str">
        <f>TEXT(Data!B382,"MMM-YYYY")</f>
        <v>Aug-2025</v>
      </c>
      <c r="F382" s="43" t="str">
        <f t="shared" si="37"/>
        <v>Q3-2025</v>
      </c>
      <c r="G382" s="33" t="s">
        <v>52</v>
      </c>
      <c r="H382" s="33" t="s">
        <v>53</v>
      </c>
      <c r="I382" s="33" t="s">
        <v>144</v>
      </c>
      <c r="J382" s="33" t="s">
        <v>27</v>
      </c>
      <c r="K382" s="33" t="s">
        <v>98</v>
      </c>
      <c r="L382" s="33" t="s">
        <v>110</v>
      </c>
      <c r="M382" s="33" t="s">
        <v>35</v>
      </c>
      <c r="N382" s="33" t="s">
        <v>864</v>
      </c>
      <c r="O382" s="43">
        <v>833.73</v>
      </c>
      <c r="P382" s="44" t="str">
        <f t="shared" si="38"/>
        <v>High</v>
      </c>
      <c r="Q382" s="43">
        <v>1116.5999999999999</v>
      </c>
      <c r="R382" s="43">
        <v>0.17599999999999999</v>
      </c>
      <c r="S382" s="43">
        <v>14</v>
      </c>
      <c r="T382" s="43">
        <f t="shared" si="35"/>
        <v>16015.544160000001</v>
      </c>
      <c r="U382" s="33">
        <f t="shared" si="36"/>
        <v>11672.220000000001</v>
      </c>
      <c r="V382" s="43">
        <f t="shared" si="39"/>
        <v>4343.3241600000001</v>
      </c>
      <c r="W382" s="45">
        <f t="shared" si="40"/>
        <v>0.27119429203334666</v>
      </c>
    </row>
    <row r="383" spans="1:23" x14ac:dyDescent="0.3">
      <c r="A383" s="34" t="s">
        <v>865</v>
      </c>
      <c r="B383" s="35">
        <v>45861</v>
      </c>
      <c r="C383" s="36">
        <v>45886</v>
      </c>
      <c r="D383" s="37">
        <f t="shared" si="41"/>
        <v>25</v>
      </c>
      <c r="E383" s="37" t="str">
        <f>TEXT(Data!B383,"MMM-YYYY")</f>
        <v>Jul-2025</v>
      </c>
      <c r="F383" s="37" t="str">
        <f t="shared" si="37"/>
        <v>Q3-2025</v>
      </c>
      <c r="G383" s="32" t="s">
        <v>78</v>
      </c>
      <c r="H383" s="32" t="s">
        <v>108</v>
      </c>
      <c r="I383" s="32" t="s">
        <v>109</v>
      </c>
      <c r="J383" s="32" t="s">
        <v>27</v>
      </c>
      <c r="K383" s="32" t="s">
        <v>28</v>
      </c>
      <c r="L383" s="32" t="s">
        <v>34</v>
      </c>
      <c r="M383" s="32" t="s">
        <v>30</v>
      </c>
      <c r="N383" s="32" t="s">
        <v>866</v>
      </c>
      <c r="O383" s="37">
        <v>1142.06</v>
      </c>
      <c r="P383" s="38" t="str">
        <f t="shared" si="38"/>
        <v>High</v>
      </c>
      <c r="Q383" s="37">
        <v>1455</v>
      </c>
      <c r="R383" s="37">
        <v>7.8E-2</v>
      </c>
      <c r="S383" s="37">
        <v>28</v>
      </c>
      <c r="T383" s="37">
        <f t="shared" si="35"/>
        <v>13660.278240000001</v>
      </c>
      <c r="U383" s="32">
        <f t="shared" si="36"/>
        <v>31977.68</v>
      </c>
      <c r="V383" s="37">
        <f t="shared" si="39"/>
        <v>-18317.401760000001</v>
      </c>
      <c r="W383" s="39">
        <f t="shared" si="40"/>
        <v>-1.3409244993533893</v>
      </c>
    </row>
    <row r="384" spans="1:23" x14ac:dyDescent="0.3">
      <c r="A384" s="40" t="s">
        <v>867</v>
      </c>
      <c r="B384" s="41">
        <v>45097</v>
      </c>
      <c r="C384" s="42">
        <v>45115</v>
      </c>
      <c r="D384" s="43">
        <f t="shared" si="41"/>
        <v>18</v>
      </c>
      <c r="E384" s="43" t="str">
        <f>TEXT(Data!B384,"MMM-YYYY")</f>
        <v>Jun-2023</v>
      </c>
      <c r="F384" s="43" t="str">
        <f t="shared" si="37"/>
        <v>Q2-2023</v>
      </c>
      <c r="G384" s="33" t="s">
        <v>52</v>
      </c>
      <c r="H384" s="33" t="s">
        <v>122</v>
      </c>
      <c r="I384" s="33" t="s">
        <v>387</v>
      </c>
      <c r="J384" s="33" t="s">
        <v>48</v>
      </c>
      <c r="K384" s="33" t="s">
        <v>40</v>
      </c>
      <c r="L384" s="33" t="s">
        <v>68</v>
      </c>
      <c r="M384" s="33" t="s">
        <v>35</v>
      </c>
      <c r="N384" s="33" t="s">
        <v>868</v>
      </c>
      <c r="O384" s="43">
        <v>1145.53</v>
      </c>
      <c r="P384" s="44" t="str">
        <f t="shared" si="38"/>
        <v>High</v>
      </c>
      <c r="Q384" s="43">
        <v>1278.3</v>
      </c>
      <c r="R384" s="43">
        <v>0.09</v>
      </c>
      <c r="S384" s="43">
        <v>41</v>
      </c>
      <c r="T384" s="43">
        <f t="shared" si="35"/>
        <v>73589.497799999997</v>
      </c>
      <c r="U384" s="33">
        <f t="shared" si="36"/>
        <v>46966.729999999996</v>
      </c>
      <c r="V384" s="43">
        <f t="shared" si="39"/>
        <v>26622.767800000001</v>
      </c>
      <c r="W384" s="45">
        <f t="shared" si="40"/>
        <v>0.36177401118234026</v>
      </c>
    </row>
    <row r="385" spans="1:23" x14ac:dyDescent="0.3">
      <c r="A385" s="34" t="s">
        <v>869</v>
      </c>
      <c r="B385" s="35">
        <v>45491</v>
      </c>
      <c r="C385" s="36">
        <v>45511</v>
      </c>
      <c r="D385" s="37">
        <f t="shared" si="41"/>
        <v>20</v>
      </c>
      <c r="E385" s="37" t="str">
        <f>TEXT(Data!B385,"MMM-YYYY")</f>
        <v>Jul-2024</v>
      </c>
      <c r="F385" s="37" t="str">
        <f t="shared" si="37"/>
        <v>Q3-2024</v>
      </c>
      <c r="G385" s="32" t="s">
        <v>78</v>
      </c>
      <c r="H385" s="32" t="s">
        <v>90</v>
      </c>
      <c r="I385" s="32" t="s">
        <v>91</v>
      </c>
      <c r="J385" s="32" t="s">
        <v>19</v>
      </c>
      <c r="K385" s="32" t="s">
        <v>20</v>
      </c>
      <c r="L385" s="32" t="s">
        <v>84</v>
      </c>
      <c r="M385" s="32" t="s">
        <v>64</v>
      </c>
      <c r="N385" s="32" t="s">
        <v>870</v>
      </c>
      <c r="O385" s="37">
        <v>941.35</v>
      </c>
      <c r="P385" s="38" t="str">
        <f t="shared" si="38"/>
        <v>High</v>
      </c>
      <c r="Q385" s="37">
        <v>899.83</v>
      </c>
      <c r="R385" s="37">
        <v>5.8000000000000003E-2</v>
      </c>
      <c r="S385" s="37">
        <v>18</v>
      </c>
      <c r="T385" s="37">
        <f t="shared" ref="T385:T448" si="42">(Q411*S385)*(1-R385)</f>
        <v>14867.190359999997</v>
      </c>
      <c r="U385" s="32">
        <f t="shared" ref="U385:U448" si="43">(O385*S385)</f>
        <v>16944.3</v>
      </c>
      <c r="V385" s="37">
        <f t="shared" si="39"/>
        <v>-2077.1096400000024</v>
      </c>
      <c r="W385" s="39">
        <f t="shared" si="40"/>
        <v>-0.13971097360725546</v>
      </c>
    </row>
    <row r="386" spans="1:23" x14ac:dyDescent="0.3">
      <c r="A386" s="40" t="s">
        <v>871</v>
      </c>
      <c r="B386" s="41">
        <v>45066</v>
      </c>
      <c r="C386" s="42">
        <v>45096</v>
      </c>
      <c r="D386" s="43">
        <f t="shared" si="41"/>
        <v>30</v>
      </c>
      <c r="E386" s="43" t="str">
        <f>TEXT(Data!B386,"MMM-YYYY")</f>
        <v>May-2023</v>
      </c>
      <c r="F386" s="43" t="str">
        <f t="shared" ref="F386:F449" si="44">"Q"&amp;ROUNDUP(MONTH(B386)/3,0)&amp;"-"&amp;YEAR(B386)</f>
        <v>Q2-2023</v>
      </c>
      <c r="G386" s="33" t="s">
        <v>45</v>
      </c>
      <c r="H386" s="33" t="s">
        <v>60</v>
      </c>
      <c r="I386" s="33" t="s">
        <v>141</v>
      </c>
      <c r="J386" s="33" t="s">
        <v>39</v>
      </c>
      <c r="K386" s="33" t="s">
        <v>40</v>
      </c>
      <c r="L386" s="33" t="s">
        <v>92</v>
      </c>
      <c r="M386" s="33" t="s">
        <v>57</v>
      </c>
      <c r="N386" s="33" t="s">
        <v>872</v>
      </c>
      <c r="O386" s="43">
        <v>1161.2</v>
      </c>
      <c r="P386" s="44" t="str">
        <f t="shared" ref="P386:P449" si="45">IF(Q386&lt;50, "Low", IF(Q386&lt;200, "Medium", "High"))</f>
        <v>High</v>
      </c>
      <c r="Q386" s="43">
        <v>878.73</v>
      </c>
      <c r="R386" s="43">
        <v>0.19</v>
      </c>
      <c r="S386" s="43">
        <v>31</v>
      </c>
      <c r="T386" s="43">
        <f t="shared" si="42"/>
        <v>20697.168600000001</v>
      </c>
      <c r="U386" s="33">
        <f t="shared" si="43"/>
        <v>35997.200000000004</v>
      </c>
      <c r="V386" s="43">
        <f t="shared" ref="V386:V449" si="46">(T386-U386)</f>
        <v>-15300.031400000003</v>
      </c>
      <c r="W386" s="45">
        <f t="shared" ref="W386:W449" si="47">IF(T386=0, 0, V386/T386)</f>
        <v>-0.73923306591801174</v>
      </c>
    </row>
    <row r="387" spans="1:23" x14ac:dyDescent="0.3">
      <c r="A387" s="34" t="s">
        <v>873</v>
      </c>
      <c r="B387" s="35">
        <v>45789</v>
      </c>
      <c r="C387" s="36">
        <v>45803</v>
      </c>
      <c r="D387" s="37">
        <f t="shared" si="41"/>
        <v>14</v>
      </c>
      <c r="E387" s="37" t="str">
        <f>TEXT(Data!B387,"MMM-YYYY")</f>
        <v>May-2025</v>
      </c>
      <c r="F387" s="37" t="str">
        <f t="shared" si="44"/>
        <v>Q2-2025</v>
      </c>
      <c r="G387" s="32" t="s">
        <v>45</v>
      </c>
      <c r="H387" s="32" t="s">
        <v>60</v>
      </c>
      <c r="I387" s="32" t="s">
        <v>281</v>
      </c>
      <c r="J387" s="32" t="s">
        <v>19</v>
      </c>
      <c r="K387" s="32" t="s">
        <v>40</v>
      </c>
      <c r="L387" s="32" t="s">
        <v>41</v>
      </c>
      <c r="M387" s="32" t="s">
        <v>30</v>
      </c>
      <c r="N387" s="32" t="s">
        <v>874</v>
      </c>
      <c r="O387" s="37">
        <v>320.12</v>
      </c>
      <c r="P387" s="38" t="str">
        <f t="shared" si="45"/>
        <v>High</v>
      </c>
      <c r="Q387" s="37">
        <v>594.41999999999996</v>
      </c>
      <c r="R387" s="37">
        <v>0.104</v>
      </c>
      <c r="S387" s="37">
        <v>18</v>
      </c>
      <c r="T387" s="37">
        <f t="shared" si="42"/>
        <v>18697.996800000001</v>
      </c>
      <c r="U387" s="32">
        <f t="shared" si="43"/>
        <v>5762.16</v>
      </c>
      <c r="V387" s="37">
        <f t="shared" si="46"/>
        <v>12935.836800000001</v>
      </c>
      <c r="W387" s="39">
        <f t="shared" si="47"/>
        <v>0.69183008952060576</v>
      </c>
    </row>
    <row r="388" spans="1:23" x14ac:dyDescent="0.3">
      <c r="A388" s="40" t="s">
        <v>875</v>
      </c>
      <c r="B388" s="41">
        <v>45419</v>
      </c>
      <c r="C388" s="42">
        <v>45424</v>
      </c>
      <c r="D388" s="43">
        <f t="shared" ref="D388:D450" si="48">DATEDIF(B388,C388, "MD")</f>
        <v>5</v>
      </c>
      <c r="E388" s="43" t="str">
        <f>TEXT(Data!B388,"MMM-YYYY")</f>
        <v>May-2024</v>
      </c>
      <c r="F388" s="43" t="str">
        <f t="shared" si="44"/>
        <v>Q2-2024</v>
      </c>
      <c r="G388" s="33" t="s">
        <v>16</v>
      </c>
      <c r="H388" s="33" t="s">
        <v>25</v>
      </c>
      <c r="I388" s="33" t="s">
        <v>67</v>
      </c>
      <c r="J388" s="33" t="s">
        <v>39</v>
      </c>
      <c r="K388" s="33" t="s">
        <v>55</v>
      </c>
      <c r="L388" s="33" t="s">
        <v>49</v>
      </c>
      <c r="M388" s="33" t="s">
        <v>57</v>
      </c>
      <c r="N388" s="33" t="s">
        <v>876</v>
      </c>
      <c r="O388" s="43">
        <v>1163.99</v>
      </c>
      <c r="P388" s="44" t="str">
        <f t="shared" si="45"/>
        <v>High</v>
      </c>
      <c r="Q388" s="43">
        <v>1617.85</v>
      </c>
      <c r="R388" s="43">
        <v>0.127</v>
      </c>
      <c r="S388" s="43">
        <v>14</v>
      </c>
      <c r="T388" s="43">
        <f t="shared" si="42"/>
        <v>30720.11922</v>
      </c>
      <c r="U388" s="33">
        <f t="shared" si="43"/>
        <v>16295.86</v>
      </c>
      <c r="V388" s="43">
        <f t="shared" si="46"/>
        <v>14424.25922</v>
      </c>
      <c r="W388" s="45">
        <f t="shared" si="47"/>
        <v>0.4695378659406127</v>
      </c>
    </row>
    <row r="389" spans="1:23" x14ac:dyDescent="0.3">
      <c r="A389" s="34" t="s">
        <v>877</v>
      </c>
      <c r="B389" s="35">
        <v>45199</v>
      </c>
      <c r="C389" s="36">
        <v>45202</v>
      </c>
      <c r="D389" s="37">
        <f t="shared" si="48"/>
        <v>3</v>
      </c>
      <c r="E389" s="37" t="str">
        <f>TEXT(Data!B389,"MMM-YYYY")</f>
        <v>Sep-2023</v>
      </c>
      <c r="F389" s="37" t="str">
        <f t="shared" si="44"/>
        <v>Q3-2023</v>
      </c>
      <c r="G389" s="32" t="s">
        <v>45</v>
      </c>
      <c r="H389" s="32" t="s">
        <v>116</v>
      </c>
      <c r="I389" s="32" t="s">
        <v>338</v>
      </c>
      <c r="J389" s="32" t="s">
        <v>39</v>
      </c>
      <c r="K389" s="32" t="s">
        <v>20</v>
      </c>
      <c r="L389" s="32" t="s">
        <v>29</v>
      </c>
      <c r="M389" s="32" t="s">
        <v>57</v>
      </c>
      <c r="N389" s="32" t="s">
        <v>878</v>
      </c>
      <c r="O389" s="37">
        <v>1019.36</v>
      </c>
      <c r="P389" s="38" t="str">
        <f t="shared" si="45"/>
        <v>High</v>
      </c>
      <c r="Q389" s="37">
        <v>972.91</v>
      </c>
      <c r="R389" s="37">
        <v>0.14699999999999999</v>
      </c>
      <c r="S389" s="37">
        <v>17</v>
      </c>
      <c r="T389" s="37">
        <f t="shared" si="42"/>
        <v>44766.472129999995</v>
      </c>
      <c r="U389" s="32">
        <f t="shared" si="43"/>
        <v>17329.12</v>
      </c>
      <c r="V389" s="37">
        <f t="shared" si="46"/>
        <v>27437.352129999996</v>
      </c>
      <c r="W389" s="39">
        <f t="shared" si="47"/>
        <v>0.61289958365097552</v>
      </c>
    </row>
    <row r="390" spans="1:23" x14ac:dyDescent="0.3">
      <c r="A390" s="40" t="s">
        <v>879</v>
      </c>
      <c r="B390" s="41">
        <v>45225</v>
      </c>
      <c r="C390" s="42">
        <v>45235</v>
      </c>
      <c r="D390" s="43">
        <f t="shared" si="48"/>
        <v>10</v>
      </c>
      <c r="E390" s="43" t="str">
        <f>TEXT(Data!B390,"MMM-YYYY")</f>
        <v>Oct-2023</v>
      </c>
      <c r="F390" s="43" t="str">
        <f t="shared" si="44"/>
        <v>Q4-2023</v>
      </c>
      <c r="G390" s="33" t="s">
        <v>16</v>
      </c>
      <c r="H390" s="33" t="s">
        <v>148</v>
      </c>
      <c r="I390" s="33" t="s">
        <v>258</v>
      </c>
      <c r="J390" s="33" t="s">
        <v>39</v>
      </c>
      <c r="K390" s="33" t="s">
        <v>28</v>
      </c>
      <c r="L390" s="33" t="s">
        <v>34</v>
      </c>
      <c r="M390" s="33" t="s">
        <v>57</v>
      </c>
      <c r="N390" s="33" t="s">
        <v>880</v>
      </c>
      <c r="O390" s="43">
        <v>20.38</v>
      </c>
      <c r="P390" s="44" t="str">
        <f t="shared" si="45"/>
        <v>Low</v>
      </c>
      <c r="Q390" s="43">
        <v>42.56</v>
      </c>
      <c r="R390" s="43">
        <v>7.1999999999999995E-2</v>
      </c>
      <c r="S390" s="43">
        <v>11</v>
      </c>
      <c r="T390" s="43">
        <f t="shared" si="42"/>
        <v>27736.667200000004</v>
      </c>
      <c r="U390" s="33">
        <f t="shared" si="43"/>
        <v>224.17999999999998</v>
      </c>
      <c r="V390" s="43">
        <f t="shared" si="46"/>
        <v>27512.487200000003</v>
      </c>
      <c r="W390" s="45">
        <f t="shared" si="47"/>
        <v>0.99191755814123195</v>
      </c>
    </row>
    <row r="391" spans="1:23" x14ac:dyDescent="0.3">
      <c r="A391" s="34" t="s">
        <v>881</v>
      </c>
      <c r="B391" s="35">
        <v>45823</v>
      </c>
      <c r="C391" s="36">
        <v>45838</v>
      </c>
      <c r="D391" s="37">
        <f t="shared" si="48"/>
        <v>15</v>
      </c>
      <c r="E391" s="37" t="str">
        <f>TEXT(Data!B391,"MMM-YYYY")</f>
        <v>Jun-2025</v>
      </c>
      <c r="F391" s="37" t="str">
        <f t="shared" si="44"/>
        <v>Q2-2025</v>
      </c>
      <c r="G391" s="32" t="s">
        <v>16</v>
      </c>
      <c r="H391" s="32" t="s">
        <v>148</v>
      </c>
      <c r="I391" s="32" t="s">
        <v>149</v>
      </c>
      <c r="J391" s="32" t="s">
        <v>62</v>
      </c>
      <c r="K391" s="32" t="s">
        <v>98</v>
      </c>
      <c r="L391" s="32" t="s">
        <v>21</v>
      </c>
      <c r="M391" s="32" t="s">
        <v>64</v>
      </c>
      <c r="N391" s="32" t="s">
        <v>882</v>
      </c>
      <c r="O391" s="37">
        <v>1487.59</v>
      </c>
      <c r="P391" s="38" t="str">
        <f t="shared" si="45"/>
        <v>High</v>
      </c>
      <c r="Q391" s="37">
        <v>1480.83</v>
      </c>
      <c r="R391" s="37">
        <v>8.9999999999999993E-3</v>
      </c>
      <c r="S391" s="37">
        <v>11</v>
      </c>
      <c r="T391" s="37">
        <f t="shared" si="42"/>
        <v>9830.4127899999985</v>
      </c>
      <c r="U391" s="32">
        <f t="shared" si="43"/>
        <v>16363.49</v>
      </c>
      <c r="V391" s="37">
        <f t="shared" si="46"/>
        <v>-6533.0772100000013</v>
      </c>
      <c r="W391" s="39">
        <f t="shared" si="47"/>
        <v>-0.66457811584939586</v>
      </c>
    </row>
    <row r="392" spans="1:23" x14ac:dyDescent="0.3">
      <c r="A392" s="40" t="s">
        <v>883</v>
      </c>
      <c r="B392" s="41">
        <v>45514</v>
      </c>
      <c r="C392" s="42">
        <v>45542</v>
      </c>
      <c r="D392" s="43">
        <f t="shared" si="48"/>
        <v>28</v>
      </c>
      <c r="E392" s="43" t="str">
        <f>TEXT(Data!B392,"MMM-YYYY")</f>
        <v>Aug-2024</v>
      </c>
      <c r="F392" s="43" t="str">
        <f t="shared" si="44"/>
        <v>Q3-2024</v>
      </c>
      <c r="G392" s="33" t="s">
        <v>78</v>
      </c>
      <c r="H392" s="33" t="s">
        <v>90</v>
      </c>
      <c r="I392" s="33" t="s">
        <v>91</v>
      </c>
      <c r="J392" s="33" t="s">
        <v>39</v>
      </c>
      <c r="K392" s="33" t="s">
        <v>98</v>
      </c>
      <c r="L392" s="33" t="s">
        <v>84</v>
      </c>
      <c r="M392" s="33" t="s">
        <v>30</v>
      </c>
      <c r="N392" s="33" t="s">
        <v>884</v>
      </c>
      <c r="O392" s="43">
        <v>229.96</v>
      </c>
      <c r="P392" s="44" t="str">
        <f t="shared" si="45"/>
        <v>High</v>
      </c>
      <c r="Q392" s="43">
        <v>564.26</v>
      </c>
      <c r="R392" s="43">
        <v>0.105</v>
      </c>
      <c r="S392" s="43">
        <v>5</v>
      </c>
      <c r="T392" s="43">
        <f t="shared" si="42"/>
        <v>3562.7712500000002</v>
      </c>
      <c r="U392" s="33">
        <f t="shared" si="43"/>
        <v>1149.8</v>
      </c>
      <c r="V392" s="43">
        <f t="shared" si="46"/>
        <v>2412.9712500000005</v>
      </c>
      <c r="W392" s="45">
        <f t="shared" si="47"/>
        <v>0.67727369530109471</v>
      </c>
    </row>
    <row r="393" spans="1:23" x14ac:dyDescent="0.3">
      <c r="A393" s="34" t="s">
        <v>885</v>
      </c>
      <c r="B393" s="35">
        <v>45208</v>
      </c>
      <c r="C393" s="36">
        <v>45225</v>
      </c>
      <c r="D393" s="37">
        <f t="shared" si="48"/>
        <v>17</v>
      </c>
      <c r="E393" s="37" t="str">
        <f>TEXT(Data!B393,"MMM-YYYY")</f>
        <v>Oct-2023</v>
      </c>
      <c r="F393" s="37" t="str">
        <f t="shared" si="44"/>
        <v>Q4-2023</v>
      </c>
      <c r="G393" s="32" t="s">
        <v>45</v>
      </c>
      <c r="H393" s="32" t="s">
        <v>116</v>
      </c>
      <c r="I393" s="32" t="s">
        <v>162</v>
      </c>
      <c r="J393" s="32" t="s">
        <v>48</v>
      </c>
      <c r="K393" s="32" t="s">
        <v>40</v>
      </c>
      <c r="L393" s="32" t="s">
        <v>21</v>
      </c>
      <c r="M393" s="32" t="s">
        <v>22</v>
      </c>
      <c r="N393" s="32" t="s">
        <v>886</v>
      </c>
      <c r="O393" s="37">
        <v>1132.03</v>
      </c>
      <c r="P393" s="38" t="str">
        <f t="shared" si="45"/>
        <v>High</v>
      </c>
      <c r="Q393" s="37">
        <v>2137.21</v>
      </c>
      <c r="R393" s="37">
        <v>0.35699999999999998</v>
      </c>
      <c r="S393" s="37">
        <v>35</v>
      </c>
      <c r="T393" s="37">
        <f t="shared" si="42"/>
        <v>3551.7390999999998</v>
      </c>
      <c r="U393" s="32">
        <f t="shared" si="43"/>
        <v>39621.049999999996</v>
      </c>
      <c r="V393" s="37">
        <f t="shared" si="46"/>
        <v>-36069.310899999997</v>
      </c>
      <c r="W393" s="39">
        <f t="shared" si="47"/>
        <v>-10.155394268683755</v>
      </c>
    </row>
    <row r="394" spans="1:23" x14ac:dyDescent="0.3">
      <c r="A394" s="40" t="s">
        <v>887</v>
      </c>
      <c r="B394" s="41">
        <v>45360</v>
      </c>
      <c r="C394" s="42">
        <v>45377</v>
      </c>
      <c r="D394" s="43">
        <f t="shared" si="48"/>
        <v>17</v>
      </c>
      <c r="E394" s="43" t="str">
        <f>TEXT(Data!B394,"MMM-YYYY")</f>
        <v>Mar-2024</v>
      </c>
      <c r="F394" s="43" t="str">
        <f t="shared" si="44"/>
        <v>Q1-2024</v>
      </c>
      <c r="G394" s="33" t="s">
        <v>52</v>
      </c>
      <c r="H394" s="33" t="s">
        <v>122</v>
      </c>
      <c r="I394" s="33" t="s">
        <v>167</v>
      </c>
      <c r="J394" s="33" t="s">
        <v>27</v>
      </c>
      <c r="K394" s="33" t="s">
        <v>98</v>
      </c>
      <c r="L394" s="33" t="s">
        <v>34</v>
      </c>
      <c r="M394" s="33" t="s">
        <v>42</v>
      </c>
      <c r="N394" s="33" t="s">
        <v>888</v>
      </c>
      <c r="O394" s="43">
        <v>1137.4100000000001</v>
      </c>
      <c r="P394" s="44" t="str">
        <f t="shared" si="45"/>
        <v>High</v>
      </c>
      <c r="Q394" s="43">
        <v>1680.93</v>
      </c>
      <c r="R394" s="43">
        <v>0.254</v>
      </c>
      <c r="S394" s="43">
        <v>9</v>
      </c>
      <c r="T394" s="43">
        <f t="shared" si="42"/>
        <v>5499.1688399999994</v>
      </c>
      <c r="U394" s="33">
        <f t="shared" si="43"/>
        <v>10236.69</v>
      </c>
      <c r="V394" s="43">
        <f t="shared" si="46"/>
        <v>-4737.5211600000011</v>
      </c>
      <c r="W394" s="45">
        <f t="shared" si="47"/>
        <v>-0.86149767316473258</v>
      </c>
    </row>
    <row r="395" spans="1:23" x14ac:dyDescent="0.3">
      <c r="A395" s="34" t="s">
        <v>889</v>
      </c>
      <c r="B395" s="35">
        <v>45075</v>
      </c>
      <c r="C395" s="36">
        <v>45097</v>
      </c>
      <c r="D395" s="37">
        <f t="shared" si="48"/>
        <v>22</v>
      </c>
      <c r="E395" s="37" t="str">
        <f>TEXT(Data!B395,"MMM-YYYY")</f>
        <v>May-2023</v>
      </c>
      <c r="F395" s="37" t="str">
        <f t="shared" si="44"/>
        <v>Q2-2023</v>
      </c>
      <c r="G395" s="32" t="s">
        <v>78</v>
      </c>
      <c r="H395" s="32" t="s">
        <v>108</v>
      </c>
      <c r="I395" s="32" t="s">
        <v>152</v>
      </c>
      <c r="J395" s="32" t="s">
        <v>62</v>
      </c>
      <c r="K395" s="32" t="s">
        <v>98</v>
      </c>
      <c r="L395" s="32" t="s">
        <v>95</v>
      </c>
      <c r="M395" s="32" t="s">
        <v>22</v>
      </c>
      <c r="N395" s="32" t="s">
        <v>890</v>
      </c>
      <c r="O395" s="37">
        <v>1295.3900000000001</v>
      </c>
      <c r="P395" s="38" t="str">
        <f t="shared" si="45"/>
        <v>High</v>
      </c>
      <c r="Q395" s="37">
        <v>2905.06</v>
      </c>
      <c r="R395" s="37">
        <v>0.14799999999999999</v>
      </c>
      <c r="S395" s="37">
        <v>8</v>
      </c>
      <c r="T395" s="37">
        <f t="shared" si="42"/>
        <v>11663.26656</v>
      </c>
      <c r="U395" s="32">
        <f t="shared" si="43"/>
        <v>10363.120000000001</v>
      </c>
      <c r="V395" s="37">
        <f t="shared" si="46"/>
        <v>1300.1465599999992</v>
      </c>
      <c r="W395" s="39">
        <f t="shared" si="47"/>
        <v>0.11147362133168971</v>
      </c>
    </row>
    <row r="396" spans="1:23" x14ac:dyDescent="0.3">
      <c r="A396" s="40" t="s">
        <v>891</v>
      </c>
      <c r="B396" s="41">
        <v>45804</v>
      </c>
      <c r="C396" s="42">
        <v>45816</v>
      </c>
      <c r="D396" s="43">
        <f t="shared" si="48"/>
        <v>12</v>
      </c>
      <c r="E396" s="43" t="str">
        <f>TEXT(Data!B396,"MMM-YYYY")</f>
        <v>May-2025</v>
      </c>
      <c r="F396" s="43" t="str">
        <f t="shared" si="44"/>
        <v>Q2-2025</v>
      </c>
      <c r="G396" s="33" t="s">
        <v>45</v>
      </c>
      <c r="H396" s="33" t="s">
        <v>46</v>
      </c>
      <c r="I396" s="33" t="s">
        <v>47</v>
      </c>
      <c r="J396" s="33" t="s">
        <v>19</v>
      </c>
      <c r="K396" s="33" t="s">
        <v>20</v>
      </c>
      <c r="L396" s="33" t="s">
        <v>92</v>
      </c>
      <c r="M396" s="33" t="s">
        <v>81</v>
      </c>
      <c r="N396" s="33" t="s">
        <v>892</v>
      </c>
      <c r="O396" s="43">
        <v>653.6</v>
      </c>
      <c r="P396" s="44" t="str">
        <f t="shared" si="45"/>
        <v>High</v>
      </c>
      <c r="Q396" s="43">
        <v>842.09</v>
      </c>
      <c r="R396" s="43">
        <v>9.8000000000000004E-2</v>
      </c>
      <c r="S396" s="43">
        <v>19</v>
      </c>
      <c r="T396" s="43">
        <f t="shared" si="42"/>
        <v>29072.046299999998</v>
      </c>
      <c r="U396" s="33">
        <f t="shared" si="43"/>
        <v>12418.4</v>
      </c>
      <c r="V396" s="43">
        <f t="shared" si="46"/>
        <v>16653.6463</v>
      </c>
      <c r="W396" s="45">
        <f t="shared" si="47"/>
        <v>0.5728405261930255</v>
      </c>
    </row>
    <row r="397" spans="1:23" x14ac:dyDescent="0.3">
      <c r="A397" s="34" t="s">
        <v>893</v>
      </c>
      <c r="B397" s="35">
        <v>45890</v>
      </c>
      <c r="C397" s="36">
        <v>45914</v>
      </c>
      <c r="D397" s="37">
        <f t="shared" si="48"/>
        <v>24</v>
      </c>
      <c r="E397" s="37" t="str">
        <f>TEXT(Data!B397,"MMM-YYYY")</f>
        <v>Aug-2025</v>
      </c>
      <c r="F397" s="37" t="str">
        <f t="shared" si="44"/>
        <v>Q3-2025</v>
      </c>
      <c r="G397" s="32" t="s">
        <v>78</v>
      </c>
      <c r="H397" s="32" t="s">
        <v>79</v>
      </c>
      <c r="I397" s="32" t="s">
        <v>80</v>
      </c>
      <c r="J397" s="32" t="s">
        <v>39</v>
      </c>
      <c r="K397" s="32" t="s">
        <v>28</v>
      </c>
      <c r="L397" s="32" t="s">
        <v>75</v>
      </c>
      <c r="M397" s="32" t="s">
        <v>64</v>
      </c>
      <c r="N397" s="32" t="s">
        <v>894</v>
      </c>
      <c r="O397" s="37">
        <v>1397.67</v>
      </c>
      <c r="P397" s="38" t="str">
        <f t="shared" si="45"/>
        <v>High</v>
      </c>
      <c r="Q397" s="37">
        <v>3131.37</v>
      </c>
      <c r="R397" s="37">
        <v>0.10299999999999999</v>
      </c>
      <c r="S397" s="37">
        <v>20</v>
      </c>
      <c r="T397" s="37">
        <f t="shared" si="42"/>
        <v>51745.059600000001</v>
      </c>
      <c r="U397" s="32">
        <f t="shared" si="43"/>
        <v>27953.4</v>
      </c>
      <c r="V397" s="37">
        <f t="shared" si="46"/>
        <v>23791.659599999999</v>
      </c>
      <c r="W397" s="39">
        <f t="shared" si="47"/>
        <v>0.45978610873993464</v>
      </c>
    </row>
    <row r="398" spans="1:23" x14ac:dyDescent="0.3">
      <c r="A398" s="40" t="s">
        <v>895</v>
      </c>
      <c r="B398" s="41">
        <v>45638</v>
      </c>
      <c r="C398" s="42">
        <v>45646</v>
      </c>
      <c r="D398" s="43">
        <f t="shared" si="48"/>
        <v>8</v>
      </c>
      <c r="E398" s="43" t="str">
        <f>TEXT(Data!B398,"MMM-YYYY")</f>
        <v>Dec-2024</v>
      </c>
      <c r="F398" s="43" t="str">
        <f t="shared" si="44"/>
        <v>Q4-2024</v>
      </c>
      <c r="G398" s="33" t="s">
        <v>45</v>
      </c>
      <c r="H398" s="33" t="s">
        <v>46</v>
      </c>
      <c r="I398" s="33" t="s">
        <v>214</v>
      </c>
      <c r="J398" s="33" t="s">
        <v>19</v>
      </c>
      <c r="K398" s="33" t="s">
        <v>20</v>
      </c>
      <c r="L398" s="33" t="s">
        <v>56</v>
      </c>
      <c r="M398" s="33" t="s">
        <v>57</v>
      </c>
      <c r="N398" s="33" t="s">
        <v>896</v>
      </c>
      <c r="O398" s="43">
        <v>1202.47</v>
      </c>
      <c r="P398" s="44" t="str">
        <f t="shared" si="45"/>
        <v>High</v>
      </c>
      <c r="Q398" s="43">
        <v>1444.72</v>
      </c>
      <c r="R398" s="43">
        <v>0.24099999999999999</v>
      </c>
      <c r="S398" s="43">
        <v>17</v>
      </c>
      <c r="T398" s="43">
        <f t="shared" si="42"/>
        <v>19144.697220000002</v>
      </c>
      <c r="U398" s="33">
        <f t="shared" si="43"/>
        <v>20441.990000000002</v>
      </c>
      <c r="V398" s="43">
        <f t="shared" si="46"/>
        <v>-1297.2927799999998</v>
      </c>
      <c r="W398" s="45">
        <f t="shared" si="47"/>
        <v>-6.7762512255599913E-2</v>
      </c>
    </row>
    <row r="399" spans="1:23" x14ac:dyDescent="0.3">
      <c r="A399" s="34" t="s">
        <v>897</v>
      </c>
      <c r="B399" s="35">
        <v>45914</v>
      </c>
      <c r="C399" s="36">
        <v>45923</v>
      </c>
      <c r="D399" s="37">
        <f t="shared" si="48"/>
        <v>9</v>
      </c>
      <c r="E399" s="37" t="str">
        <f>TEXT(Data!B399,"MMM-YYYY")</f>
        <v>Sep-2025</v>
      </c>
      <c r="F399" s="37" t="str">
        <f t="shared" si="44"/>
        <v>Q3-2025</v>
      </c>
      <c r="G399" s="32" t="s">
        <v>16</v>
      </c>
      <c r="H399" s="32" t="s">
        <v>148</v>
      </c>
      <c r="I399" s="32" t="s">
        <v>172</v>
      </c>
      <c r="J399" s="32" t="s">
        <v>39</v>
      </c>
      <c r="K399" s="32" t="s">
        <v>28</v>
      </c>
      <c r="L399" s="32" t="s">
        <v>145</v>
      </c>
      <c r="M399" s="32" t="s">
        <v>22</v>
      </c>
      <c r="N399" s="32" t="s">
        <v>898</v>
      </c>
      <c r="O399" s="37">
        <v>1310.3</v>
      </c>
      <c r="P399" s="38" t="str">
        <f t="shared" si="45"/>
        <v>High</v>
      </c>
      <c r="Q399" s="37">
        <v>2875.8</v>
      </c>
      <c r="R399" s="37">
        <v>8.3000000000000004E-2</v>
      </c>
      <c r="S399" s="37">
        <v>5</v>
      </c>
      <c r="T399" s="37">
        <f t="shared" si="42"/>
        <v>14660.399949999999</v>
      </c>
      <c r="U399" s="32">
        <f t="shared" si="43"/>
        <v>6551.5</v>
      </c>
      <c r="V399" s="37">
        <f t="shared" si="46"/>
        <v>8108.8999499999991</v>
      </c>
      <c r="W399" s="39">
        <f t="shared" si="47"/>
        <v>0.55311587525959682</v>
      </c>
    </row>
    <row r="400" spans="1:23" x14ac:dyDescent="0.3">
      <c r="A400" s="40" t="s">
        <v>899</v>
      </c>
      <c r="B400" s="41">
        <v>45541</v>
      </c>
      <c r="C400" s="42">
        <v>45569</v>
      </c>
      <c r="D400" s="43">
        <f t="shared" si="48"/>
        <v>28</v>
      </c>
      <c r="E400" s="43" t="str">
        <f>TEXT(Data!B400,"MMM-YYYY")</f>
        <v>Sep-2024</v>
      </c>
      <c r="F400" s="43" t="str">
        <f t="shared" si="44"/>
        <v>Q3-2024</v>
      </c>
      <c r="G400" s="33" t="s">
        <v>16</v>
      </c>
      <c r="H400" s="33" t="s">
        <v>148</v>
      </c>
      <c r="I400" s="33" t="s">
        <v>258</v>
      </c>
      <c r="J400" s="33" t="s">
        <v>19</v>
      </c>
      <c r="K400" s="33" t="s">
        <v>40</v>
      </c>
      <c r="L400" s="33" t="s">
        <v>145</v>
      </c>
      <c r="M400" s="33" t="s">
        <v>64</v>
      </c>
      <c r="N400" s="33" t="s">
        <v>900</v>
      </c>
      <c r="O400" s="43">
        <v>1174.17</v>
      </c>
      <c r="P400" s="44" t="str">
        <f t="shared" si="45"/>
        <v>High</v>
      </c>
      <c r="Q400" s="43">
        <v>1641.61</v>
      </c>
      <c r="R400" s="43">
        <v>0.122</v>
      </c>
      <c r="S400" s="43">
        <v>9</v>
      </c>
      <c r="T400" s="43">
        <f t="shared" si="42"/>
        <v>18353.975399999999</v>
      </c>
      <c r="U400" s="33">
        <f t="shared" si="43"/>
        <v>10567.53</v>
      </c>
      <c r="V400" s="43">
        <f t="shared" si="46"/>
        <v>7786.4453999999987</v>
      </c>
      <c r="W400" s="45">
        <f t="shared" si="47"/>
        <v>0.42423754147561943</v>
      </c>
    </row>
    <row r="401" spans="1:23" x14ac:dyDescent="0.3">
      <c r="A401" s="34" t="s">
        <v>901</v>
      </c>
      <c r="B401" s="35">
        <v>45759</v>
      </c>
      <c r="C401" s="36">
        <v>45777</v>
      </c>
      <c r="D401" s="37">
        <f t="shared" si="48"/>
        <v>18</v>
      </c>
      <c r="E401" s="37" t="str">
        <f>TEXT(Data!B401,"MMM-YYYY")</f>
        <v>Apr-2025</v>
      </c>
      <c r="F401" s="37" t="str">
        <f t="shared" si="44"/>
        <v>Q2-2025</v>
      </c>
      <c r="G401" s="32" t="s">
        <v>16</v>
      </c>
      <c r="H401" s="32" t="s">
        <v>17</v>
      </c>
      <c r="I401" s="32" t="s">
        <v>18</v>
      </c>
      <c r="J401" s="32" t="s">
        <v>19</v>
      </c>
      <c r="K401" s="32" t="s">
        <v>40</v>
      </c>
      <c r="L401" s="32" t="s">
        <v>84</v>
      </c>
      <c r="M401" s="32" t="s">
        <v>35</v>
      </c>
      <c r="N401" s="32" t="s">
        <v>902</v>
      </c>
      <c r="O401" s="37">
        <v>1119.04</v>
      </c>
      <c r="P401" s="38" t="str">
        <f t="shared" si="45"/>
        <v>High</v>
      </c>
      <c r="Q401" s="37">
        <v>1299.02</v>
      </c>
      <c r="R401" s="37">
        <v>2.5000000000000001E-2</v>
      </c>
      <c r="S401" s="37">
        <v>14</v>
      </c>
      <c r="T401" s="37">
        <f t="shared" si="42"/>
        <v>26377.532999999999</v>
      </c>
      <c r="U401" s="32">
        <f t="shared" si="43"/>
        <v>15666.56</v>
      </c>
      <c r="V401" s="37">
        <f t="shared" si="46"/>
        <v>10710.973</v>
      </c>
      <c r="W401" s="39">
        <f t="shared" si="47"/>
        <v>0.40606424414292269</v>
      </c>
    </row>
    <row r="402" spans="1:23" x14ac:dyDescent="0.3">
      <c r="A402" s="40" t="s">
        <v>903</v>
      </c>
      <c r="B402" s="41">
        <v>45516</v>
      </c>
      <c r="C402" s="42">
        <v>45519</v>
      </c>
      <c r="D402" s="43">
        <f t="shared" si="48"/>
        <v>3</v>
      </c>
      <c r="E402" s="43" t="str">
        <f>TEXT(Data!B402,"MMM-YYYY")</f>
        <v>Aug-2024</v>
      </c>
      <c r="F402" s="43" t="str">
        <f t="shared" si="44"/>
        <v>Q3-2024</v>
      </c>
      <c r="G402" s="33" t="s">
        <v>52</v>
      </c>
      <c r="H402" s="33" t="s">
        <v>122</v>
      </c>
      <c r="I402" s="33" t="s">
        <v>123</v>
      </c>
      <c r="J402" s="33" t="s">
        <v>19</v>
      </c>
      <c r="K402" s="33" t="s">
        <v>40</v>
      </c>
      <c r="L402" s="33" t="s">
        <v>145</v>
      </c>
      <c r="M402" s="33" t="s">
        <v>30</v>
      </c>
      <c r="N402" s="33" t="s">
        <v>904</v>
      </c>
      <c r="O402" s="43">
        <v>850.7</v>
      </c>
      <c r="P402" s="44" t="str">
        <f t="shared" si="45"/>
        <v>High</v>
      </c>
      <c r="Q402" s="43">
        <v>1118.56</v>
      </c>
      <c r="R402" s="43">
        <v>0.18</v>
      </c>
      <c r="S402" s="43">
        <v>19</v>
      </c>
      <c r="T402" s="43">
        <f t="shared" si="42"/>
        <v>24777.808799999999</v>
      </c>
      <c r="U402" s="33">
        <f t="shared" si="43"/>
        <v>16163.300000000001</v>
      </c>
      <c r="V402" s="43">
        <f t="shared" si="46"/>
        <v>8614.5087999999978</v>
      </c>
      <c r="W402" s="45">
        <f t="shared" si="47"/>
        <v>0.34767032345491333</v>
      </c>
    </row>
    <row r="403" spans="1:23" x14ac:dyDescent="0.3">
      <c r="A403" s="34" t="s">
        <v>905</v>
      </c>
      <c r="B403" s="35">
        <v>45601</v>
      </c>
      <c r="C403" s="36">
        <v>45604</v>
      </c>
      <c r="D403" s="37">
        <f t="shared" si="48"/>
        <v>3</v>
      </c>
      <c r="E403" s="37" t="str">
        <f>TEXT(Data!B403,"MMM-YYYY")</f>
        <v>Nov-2024</v>
      </c>
      <c r="F403" s="37" t="str">
        <f t="shared" si="44"/>
        <v>Q4-2024</v>
      </c>
      <c r="G403" s="32" t="s">
        <v>52</v>
      </c>
      <c r="H403" s="32" t="s">
        <v>53</v>
      </c>
      <c r="I403" s="32" t="s">
        <v>54</v>
      </c>
      <c r="J403" s="32" t="s">
        <v>27</v>
      </c>
      <c r="K403" s="32" t="s">
        <v>40</v>
      </c>
      <c r="L403" s="32" t="s">
        <v>68</v>
      </c>
      <c r="M403" s="32" t="s">
        <v>22</v>
      </c>
      <c r="N403" s="32" t="s">
        <v>906</v>
      </c>
      <c r="O403" s="37">
        <v>1020.4</v>
      </c>
      <c r="P403" s="38" t="str">
        <f t="shared" si="45"/>
        <v>High</v>
      </c>
      <c r="Q403" s="37">
        <v>1184.71</v>
      </c>
      <c r="R403" s="37">
        <v>0.106</v>
      </c>
      <c r="S403" s="37">
        <v>16</v>
      </c>
      <c r="T403" s="37">
        <f t="shared" si="42"/>
        <v>5658.8054400000001</v>
      </c>
      <c r="U403" s="32">
        <f t="shared" si="43"/>
        <v>16326.4</v>
      </c>
      <c r="V403" s="37">
        <f t="shared" si="46"/>
        <v>-10667.59456</v>
      </c>
      <c r="W403" s="39">
        <f t="shared" si="47"/>
        <v>-1.8851318839475772</v>
      </c>
    </row>
    <row r="404" spans="1:23" x14ac:dyDescent="0.3">
      <c r="A404" s="40" t="s">
        <v>907</v>
      </c>
      <c r="B404" s="41">
        <v>45497</v>
      </c>
      <c r="C404" s="42">
        <v>45512</v>
      </c>
      <c r="D404" s="43">
        <f t="shared" si="48"/>
        <v>15</v>
      </c>
      <c r="E404" s="43" t="str">
        <f>TEXT(Data!B404,"MMM-YYYY")</f>
        <v>Jul-2024</v>
      </c>
      <c r="F404" s="43" t="str">
        <f t="shared" si="44"/>
        <v>Q3-2024</v>
      </c>
      <c r="G404" s="33" t="s">
        <v>78</v>
      </c>
      <c r="H404" s="33" t="s">
        <v>90</v>
      </c>
      <c r="I404" s="33" t="s">
        <v>91</v>
      </c>
      <c r="J404" s="33" t="s">
        <v>105</v>
      </c>
      <c r="K404" s="33" t="s">
        <v>40</v>
      </c>
      <c r="L404" s="33" t="s">
        <v>92</v>
      </c>
      <c r="M404" s="33" t="s">
        <v>57</v>
      </c>
      <c r="N404" s="33" t="s">
        <v>908</v>
      </c>
      <c r="O404" s="43">
        <v>501.5</v>
      </c>
      <c r="P404" s="44" t="str">
        <f t="shared" si="45"/>
        <v>High</v>
      </c>
      <c r="Q404" s="43">
        <v>1201.47</v>
      </c>
      <c r="R404" s="43">
        <v>0.126</v>
      </c>
      <c r="S404" s="43">
        <v>5</v>
      </c>
      <c r="T404" s="43">
        <f t="shared" si="42"/>
        <v>9079.5053000000007</v>
      </c>
      <c r="U404" s="33">
        <f t="shared" si="43"/>
        <v>2507.5</v>
      </c>
      <c r="V404" s="43">
        <f t="shared" si="46"/>
        <v>6572.0053000000007</v>
      </c>
      <c r="W404" s="45">
        <f t="shared" si="47"/>
        <v>0.72382856585809807</v>
      </c>
    </row>
    <row r="405" spans="1:23" x14ac:dyDescent="0.3">
      <c r="A405" s="34" t="s">
        <v>909</v>
      </c>
      <c r="B405" s="35">
        <v>45677</v>
      </c>
      <c r="C405" s="36">
        <v>45691</v>
      </c>
      <c r="D405" s="37">
        <f t="shared" si="48"/>
        <v>14</v>
      </c>
      <c r="E405" s="37" t="str">
        <f>TEXT(Data!B405,"MMM-YYYY")</f>
        <v>Jan-2025</v>
      </c>
      <c r="F405" s="37" t="str">
        <f t="shared" si="44"/>
        <v>Q1-2025</v>
      </c>
      <c r="G405" s="32" t="s">
        <v>52</v>
      </c>
      <c r="H405" s="32" t="s">
        <v>73</v>
      </c>
      <c r="I405" s="32" t="s">
        <v>87</v>
      </c>
      <c r="J405" s="32" t="s">
        <v>105</v>
      </c>
      <c r="K405" s="32" t="s">
        <v>40</v>
      </c>
      <c r="L405" s="32" t="s">
        <v>84</v>
      </c>
      <c r="M405" s="32" t="s">
        <v>22</v>
      </c>
      <c r="N405" s="32" t="s">
        <v>910</v>
      </c>
      <c r="O405" s="37">
        <v>974.11</v>
      </c>
      <c r="P405" s="38" t="str">
        <f t="shared" si="45"/>
        <v>High</v>
      </c>
      <c r="Q405" s="37">
        <v>880.99</v>
      </c>
      <c r="R405" s="37">
        <v>0.111</v>
      </c>
      <c r="S405" s="37">
        <v>10</v>
      </c>
      <c r="T405" s="37">
        <f t="shared" si="42"/>
        <v>11831.2565</v>
      </c>
      <c r="U405" s="32">
        <f t="shared" si="43"/>
        <v>9741.1</v>
      </c>
      <c r="V405" s="37">
        <f t="shared" si="46"/>
        <v>2090.1564999999991</v>
      </c>
      <c r="W405" s="39">
        <f t="shared" si="47"/>
        <v>0.17666394942920891</v>
      </c>
    </row>
    <row r="406" spans="1:23" x14ac:dyDescent="0.3">
      <c r="A406" s="40" t="s">
        <v>911</v>
      </c>
      <c r="B406" s="41">
        <v>44991</v>
      </c>
      <c r="C406" s="42">
        <v>45020</v>
      </c>
      <c r="D406" s="43">
        <f t="shared" si="48"/>
        <v>29</v>
      </c>
      <c r="E406" s="43" t="str">
        <f>TEXT(Data!B406,"MMM-YYYY")</f>
        <v>Mar-2023</v>
      </c>
      <c r="F406" s="43" t="str">
        <f t="shared" si="44"/>
        <v>Q1-2023</v>
      </c>
      <c r="G406" s="33" t="s">
        <v>45</v>
      </c>
      <c r="H406" s="33" t="s">
        <v>116</v>
      </c>
      <c r="I406" s="33" t="s">
        <v>338</v>
      </c>
      <c r="J406" s="33" t="s">
        <v>62</v>
      </c>
      <c r="K406" s="33" t="s">
        <v>98</v>
      </c>
      <c r="L406" s="33" t="s">
        <v>21</v>
      </c>
      <c r="M406" s="33" t="s">
        <v>64</v>
      </c>
      <c r="N406" s="33" t="s">
        <v>912</v>
      </c>
      <c r="O406" s="43">
        <v>1126.29</v>
      </c>
      <c r="P406" s="44" t="str">
        <f t="shared" si="45"/>
        <v>High</v>
      </c>
      <c r="Q406" s="43">
        <v>2050.87</v>
      </c>
      <c r="R406" s="43">
        <v>6.4000000000000001E-2</v>
      </c>
      <c r="S406" s="43">
        <v>7</v>
      </c>
      <c r="T406" s="43">
        <f t="shared" si="42"/>
        <v>18113.986799999999</v>
      </c>
      <c r="U406" s="33">
        <f t="shared" si="43"/>
        <v>7884.03</v>
      </c>
      <c r="V406" s="43">
        <f t="shared" si="46"/>
        <v>10229.9568</v>
      </c>
      <c r="W406" s="45">
        <f t="shared" si="47"/>
        <v>0.56475456855251771</v>
      </c>
    </row>
    <row r="407" spans="1:23" x14ac:dyDescent="0.3">
      <c r="A407" s="34" t="s">
        <v>913</v>
      </c>
      <c r="B407" s="35">
        <v>45646</v>
      </c>
      <c r="C407" s="36">
        <v>45671</v>
      </c>
      <c r="D407" s="37">
        <f t="shared" si="48"/>
        <v>25</v>
      </c>
      <c r="E407" s="37" t="str">
        <f>TEXT(Data!B407,"MMM-YYYY")</f>
        <v>Dec-2024</v>
      </c>
      <c r="F407" s="37" t="str">
        <f t="shared" si="44"/>
        <v>Q4-2024</v>
      </c>
      <c r="G407" s="32" t="s">
        <v>45</v>
      </c>
      <c r="H407" s="32" t="s">
        <v>60</v>
      </c>
      <c r="I407" s="32" t="s">
        <v>141</v>
      </c>
      <c r="J407" s="32" t="s">
        <v>62</v>
      </c>
      <c r="K407" s="32" t="s">
        <v>20</v>
      </c>
      <c r="L407" s="32" t="s">
        <v>110</v>
      </c>
      <c r="M407" s="32" t="s">
        <v>30</v>
      </c>
      <c r="N407" s="32" t="s">
        <v>914</v>
      </c>
      <c r="O407" s="37">
        <v>1361.34</v>
      </c>
      <c r="P407" s="38" t="str">
        <f t="shared" si="45"/>
        <v>High</v>
      </c>
      <c r="Q407" s="37">
        <v>1737.9</v>
      </c>
      <c r="R407" s="37">
        <v>7.6999999999999999E-2</v>
      </c>
      <c r="S407" s="37">
        <v>14</v>
      </c>
      <c r="T407" s="37">
        <f t="shared" si="42"/>
        <v>3596.8387000000007</v>
      </c>
      <c r="U407" s="32">
        <f t="shared" si="43"/>
        <v>19058.759999999998</v>
      </c>
      <c r="V407" s="37">
        <f t="shared" si="46"/>
        <v>-15461.921299999998</v>
      </c>
      <c r="W407" s="39">
        <f t="shared" si="47"/>
        <v>-4.2987530411080135</v>
      </c>
    </row>
    <row r="408" spans="1:23" x14ac:dyDescent="0.3">
      <c r="A408" s="40" t="s">
        <v>915</v>
      </c>
      <c r="B408" s="41">
        <v>45709</v>
      </c>
      <c r="C408" s="42">
        <v>45737</v>
      </c>
      <c r="D408" s="43">
        <f t="shared" si="48"/>
        <v>0</v>
      </c>
      <c r="E408" s="43" t="str">
        <f>TEXT(Data!B408,"MMM-YYYY")</f>
        <v>Feb-2025</v>
      </c>
      <c r="F408" s="43" t="str">
        <f t="shared" si="44"/>
        <v>Q1-2025</v>
      </c>
      <c r="G408" s="33" t="s">
        <v>16</v>
      </c>
      <c r="H408" s="33" t="s">
        <v>25</v>
      </c>
      <c r="I408" s="33" t="s">
        <v>67</v>
      </c>
      <c r="J408" s="33" t="s">
        <v>105</v>
      </c>
      <c r="K408" s="33" t="s">
        <v>40</v>
      </c>
      <c r="L408" s="33" t="s">
        <v>34</v>
      </c>
      <c r="M408" s="33" t="s">
        <v>42</v>
      </c>
      <c r="N408" s="33" t="s">
        <v>916</v>
      </c>
      <c r="O408" s="43">
        <v>1437.39</v>
      </c>
      <c r="P408" s="44" t="str">
        <f t="shared" si="45"/>
        <v>High</v>
      </c>
      <c r="Q408" s="43">
        <v>1388.31</v>
      </c>
      <c r="R408" s="43">
        <v>0.13800000000000001</v>
      </c>
      <c r="S408" s="43">
        <v>18</v>
      </c>
      <c r="T408" s="43">
        <f t="shared" si="42"/>
        <v>15273.329759999999</v>
      </c>
      <c r="U408" s="33">
        <f t="shared" si="43"/>
        <v>25873.02</v>
      </c>
      <c r="V408" s="43">
        <f t="shared" si="46"/>
        <v>-10599.690240000002</v>
      </c>
      <c r="W408" s="45">
        <f t="shared" si="47"/>
        <v>-0.69399995983587026</v>
      </c>
    </row>
    <row r="409" spans="1:23" x14ac:dyDescent="0.3">
      <c r="A409" s="34" t="s">
        <v>917</v>
      </c>
      <c r="B409" s="35">
        <v>45724</v>
      </c>
      <c r="C409" s="36">
        <v>45731</v>
      </c>
      <c r="D409" s="37">
        <f t="shared" si="48"/>
        <v>7</v>
      </c>
      <c r="E409" s="37" t="str">
        <f>TEXT(Data!B409,"MMM-YYYY")</f>
        <v>Mar-2025</v>
      </c>
      <c r="F409" s="37" t="str">
        <f t="shared" si="44"/>
        <v>Q1-2025</v>
      </c>
      <c r="G409" s="32" t="s">
        <v>45</v>
      </c>
      <c r="H409" s="32" t="s">
        <v>60</v>
      </c>
      <c r="I409" s="32" t="s">
        <v>61</v>
      </c>
      <c r="J409" s="32" t="s">
        <v>19</v>
      </c>
      <c r="K409" s="32" t="s">
        <v>55</v>
      </c>
      <c r="L409" s="32" t="s">
        <v>95</v>
      </c>
      <c r="M409" s="32" t="s">
        <v>57</v>
      </c>
      <c r="N409" s="32" t="s">
        <v>918</v>
      </c>
      <c r="O409" s="37">
        <v>475.66</v>
      </c>
      <c r="P409" s="38" t="str">
        <f t="shared" si="45"/>
        <v>High</v>
      </c>
      <c r="Q409" s="37">
        <v>529.14</v>
      </c>
      <c r="R409" s="37">
        <v>0.19600000000000001</v>
      </c>
      <c r="S409" s="37">
        <v>11</v>
      </c>
      <c r="T409" s="37">
        <f t="shared" si="42"/>
        <v>1687.7889600000003</v>
      </c>
      <c r="U409" s="32">
        <f t="shared" si="43"/>
        <v>5232.26</v>
      </c>
      <c r="V409" s="37">
        <f t="shared" si="46"/>
        <v>-3544.4710399999999</v>
      </c>
      <c r="W409" s="39">
        <f t="shared" si="47"/>
        <v>-2.1000676767076372</v>
      </c>
    </row>
    <row r="410" spans="1:23" x14ac:dyDescent="0.3">
      <c r="A410" s="40" t="s">
        <v>919</v>
      </c>
      <c r="B410" s="41">
        <v>45276</v>
      </c>
      <c r="C410" s="42">
        <v>45279</v>
      </c>
      <c r="D410" s="43">
        <f t="shared" si="48"/>
        <v>3</v>
      </c>
      <c r="E410" s="43" t="str">
        <f>TEXT(Data!B410,"MMM-YYYY")</f>
        <v>Dec-2023</v>
      </c>
      <c r="F410" s="43" t="str">
        <f t="shared" si="44"/>
        <v>Q4-2023</v>
      </c>
      <c r="G410" s="33" t="s">
        <v>45</v>
      </c>
      <c r="H410" s="33" t="s">
        <v>116</v>
      </c>
      <c r="I410" s="33" t="s">
        <v>338</v>
      </c>
      <c r="J410" s="33" t="s">
        <v>27</v>
      </c>
      <c r="K410" s="33" t="s">
        <v>20</v>
      </c>
      <c r="L410" s="33" t="s">
        <v>75</v>
      </c>
      <c r="M410" s="33" t="s">
        <v>81</v>
      </c>
      <c r="N410" s="33" t="s">
        <v>920</v>
      </c>
      <c r="O410" s="43">
        <v>1415.05</v>
      </c>
      <c r="P410" s="44" t="str">
        <f t="shared" si="45"/>
        <v>High</v>
      </c>
      <c r="Q410" s="43">
        <v>1972.38</v>
      </c>
      <c r="R410" s="43">
        <v>0</v>
      </c>
      <c r="S410" s="43">
        <v>12</v>
      </c>
      <c r="T410" s="43">
        <f t="shared" si="42"/>
        <v>10899.599999999999</v>
      </c>
      <c r="U410" s="33">
        <f t="shared" si="43"/>
        <v>16980.599999999999</v>
      </c>
      <c r="V410" s="43">
        <f t="shared" si="46"/>
        <v>-6081</v>
      </c>
      <c r="W410" s="45">
        <f t="shared" si="47"/>
        <v>-0.5579103820323682</v>
      </c>
    </row>
    <row r="411" spans="1:23" x14ac:dyDescent="0.3">
      <c r="A411" s="34" t="s">
        <v>921</v>
      </c>
      <c r="B411" s="35">
        <v>45534</v>
      </c>
      <c r="C411" s="36">
        <v>45540</v>
      </c>
      <c r="D411" s="37">
        <f t="shared" si="48"/>
        <v>6</v>
      </c>
      <c r="E411" s="37" t="str">
        <f>TEXT(Data!B411,"MMM-YYYY")</f>
        <v>Aug-2024</v>
      </c>
      <c r="F411" s="37" t="str">
        <f t="shared" si="44"/>
        <v>Q3-2024</v>
      </c>
      <c r="G411" s="32" t="s">
        <v>45</v>
      </c>
      <c r="H411" s="32" t="s">
        <v>46</v>
      </c>
      <c r="I411" s="32" t="s">
        <v>231</v>
      </c>
      <c r="J411" s="32" t="s">
        <v>27</v>
      </c>
      <c r="K411" s="32" t="s">
        <v>28</v>
      </c>
      <c r="L411" s="32" t="s">
        <v>126</v>
      </c>
      <c r="M411" s="32" t="s">
        <v>57</v>
      </c>
      <c r="N411" s="32" t="s">
        <v>922</v>
      </c>
      <c r="O411" s="37">
        <v>466.16</v>
      </c>
      <c r="P411" s="38" t="str">
        <f t="shared" si="45"/>
        <v>High</v>
      </c>
      <c r="Q411" s="37">
        <v>876.81</v>
      </c>
      <c r="R411" s="37">
        <v>0.24099999999999999</v>
      </c>
      <c r="S411" s="37">
        <v>8</v>
      </c>
      <c r="T411" s="37">
        <f t="shared" si="42"/>
        <v>1725.8445600000002</v>
      </c>
      <c r="U411" s="32">
        <f t="shared" si="43"/>
        <v>3729.28</v>
      </c>
      <c r="V411" s="37">
        <f t="shared" si="46"/>
        <v>-2003.43544</v>
      </c>
      <c r="W411" s="39">
        <f t="shared" si="47"/>
        <v>-1.1608435002976165</v>
      </c>
    </row>
    <row r="412" spans="1:23" x14ac:dyDescent="0.3">
      <c r="A412" s="40" t="s">
        <v>923</v>
      </c>
      <c r="B412" s="41">
        <v>45430</v>
      </c>
      <c r="C412" s="42">
        <v>45433</v>
      </c>
      <c r="D412" s="43">
        <f t="shared" si="48"/>
        <v>3</v>
      </c>
      <c r="E412" s="43" t="str">
        <f>TEXT(Data!B412,"MMM-YYYY")</f>
        <v>May-2024</v>
      </c>
      <c r="F412" s="43" t="str">
        <f t="shared" si="44"/>
        <v>Q2-2024</v>
      </c>
      <c r="G412" s="33" t="s">
        <v>78</v>
      </c>
      <c r="H412" s="33" t="s">
        <v>90</v>
      </c>
      <c r="I412" s="33" t="s">
        <v>91</v>
      </c>
      <c r="J412" s="33" t="s">
        <v>39</v>
      </c>
      <c r="K412" s="33" t="s">
        <v>40</v>
      </c>
      <c r="L412" s="33" t="s">
        <v>145</v>
      </c>
      <c r="M412" s="33" t="s">
        <v>30</v>
      </c>
      <c r="N412" s="33" t="s">
        <v>924</v>
      </c>
      <c r="O412" s="43">
        <v>663.66</v>
      </c>
      <c r="P412" s="44" t="str">
        <f t="shared" si="45"/>
        <v>High</v>
      </c>
      <c r="Q412" s="43">
        <v>824.26</v>
      </c>
      <c r="R412" s="43">
        <v>0.23899999999999999</v>
      </c>
      <c r="S412" s="43">
        <v>11</v>
      </c>
      <c r="T412" s="43">
        <f t="shared" si="42"/>
        <v>10290.80514</v>
      </c>
      <c r="U412" s="33">
        <f t="shared" si="43"/>
        <v>7300.2599999999993</v>
      </c>
      <c r="V412" s="43">
        <f t="shared" si="46"/>
        <v>2990.5451400000011</v>
      </c>
      <c r="W412" s="45">
        <f t="shared" si="47"/>
        <v>0.29060361160429093</v>
      </c>
    </row>
    <row r="413" spans="1:23" x14ac:dyDescent="0.3">
      <c r="A413" s="34" t="s">
        <v>925</v>
      </c>
      <c r="B413" s="35">
        <v>45002</v>
      </c>
      <c r="C413" s="36">
        <v>45022</v>
      </c>
      <c r="D413" s="37">
        <f t="shared" si="48"/>
        <v>20</v>
      </c>
      <c r="E413" s="37" t="str">
        <f>TEXT(Data!B413,"MMM-YYYY")</f>
        <v>Mar-2023</v>
      </c>
      <c r="F413" s="37" t="str">
        <f t="shared" si="44"/>
        <v>Q1-2023</v>
      </c>
      <c r="G413" s="32" t="s">
        <v>78</v>
      </c>
      <c r="H413" s="32" t="s">
        <v>79</v>
      </c>
      <c r="I413" s="32" t="s">
        <v>159</v>
      </c>
      <c r="J413" s="32" t="s">
        <v>48</v>
      </c>
      <c r="K413" s="32" t="s">
        <v>20</v>
      </c>
      <c r="L413" s="32" t="s">
        <v>68</v>
      </c>
      <c r="M413" s="32" t="s">
        <v>42</v>
      </c>
      <c r="N413" s="32" t="s">
        <v>926</v>
      </c>
      <c r="O413" s="37">
        <v>692.18</v>
      </c>
      <c r="P413" s="38" t="str">
        <f t="shared" si="45"/>
        <v>High</v>
      </c>
      <c r="Q413" s="37">
        <v>1159.3499999999999</v>
      </c>
      <c r="R413" s="37">
        <v>0.112</v>
      </c>
      <c r="S413" s="37">
        <v>2</v>
      </c>
      <c r="T413" s="37">
        <f t="shared" si="42"/>
        <v>2175.1027199999999</v>
      </c>
      <c r="U413" s="32">
        <f t="shared" si="43"/>
        <v>1384.36</v>
      </c>
      <c r="V413" s="37">
        <f t="shared" si="46"/>
        <v>790.74271999999996</v>
      </c>
      <c r="W413" s="39">
        <f t="shared" si="47"/>
        <v>0.36354270202006828</v>
      </c>
    </row>
    <row r="414" spans="1:23" x14ac:dyDescent="0.3">
      <c r="A414" s="40" t="s">
        <v>927</v>
      </c>
      <c r="B414" s="41">
        <v>45163</v>
      </c>
      <c r="C414" s="42">
        <v>45185</v>
      </c>
      <c r="D414" s="43">
        <f t="shared" si="48"/>
        <v>22</v>
      </c>
      <c r="E414" s="43" t="str">
        <f>TEXT(Data!B414,"MMM-YYYY")</f>
        <v>Aug-2023</v>
      </c>
      <c r="F414" s="43" t="str">
        <f t="shared" si="44"/>
        <v>Q3-2023</v>
      </c>
      <c r="G414" s="33" t="s">
        <v>16</v>
      </c>
      <c r="H414" s="33" t="s">
        <v>25</v>
      </c>
      <c r="I414" s="33" t="s">
        <v>67</v>
      </c>
      <c r="J414" s="33" t="s">
        <v>19</v>
      </c>
      <c r="K414" s="33" t="s">
        <v>40</v>
      </c>
      <c r="L414" s="33" t="s">
        <v>49</v>
      </c>
      <c r="M414" s="33" t="s">
        <v>42</v>
      </c>
      <c r="N414" s="33" t="s">
        <v>928</v>
      </c>
      <c r="O414" s="43">
        <v>1196.83</v>
      </c>
      <c r="P414" s="44" t="str">
        <f t="shared" si="45"/>
        <v>High</v>
      </c>
      <c r="Q414" s="43">
        <v>2513.5100000000002</v>
      </c>
      <c r="R414" s="43">
        <v>8.3000000000000004E-2</v>
      </c>
      <c r="S414" s="43">
        <v>7</v>
      </c>
      <c r="T414" s="43">
        <f t="shared" si="42"/>
        <v>3118.7353400000002</v>
      </c>
      <c r="U414" s="33">
        <f t="shared" si="43"/>
        <v>8377.81</v>
      </c>
      <c r="V414" s="43">
        <f t="shared" si="46"/>
        <v>-5259.0746599999993</v>
      </c>
      <c r="W414" s="45">
        <f t="shared" si="47"/>
        <v>-1.6862843706385162</v>
      </c>
    </row>
    <row r="415" spans="1:23" x14ac:dyDescent="0.3">
      <c r="A415" s="34" t="s">
        <v>929</v>
      </c>
      <c r="B415" s="35">
        <v>45449</v>
      </c>
      <c r="C415" s="36">
        <v>45467</v>
      </c>
      <c r="D415" s="37">
        <f t="shared" si="48"/>
        <v>18</v>
      </c>
      <c r="E415" s="37" t="str">
        <f>TEXT(Data!B415,"MMM-YYYY")</f>
        <v>Jun-2024</v>
      </c>
      <c r="F415" s="37" t="str">
        <f t="shared" si="44"/>
        <v>Q2-2024</v>
      </c>
      <c r="G415" s="32" t="s">
        <v>45</v>
      </c>
      <c r="H415" s="32" t="s">
        <v>60</v>
      </c>
      <c r="I415" s="32" t="s">
        <v>61</v>
      </c>
      <c r="J415" s="32" t="s">
        <v>62</v>
      </c>
      <c r="K415" s="32" t="s">
        <v>98</v>
      </c>
      <c r="L415" s="32" t="s">
        <v>92</v>
      </c>
      <c r="M415" s="32" t="s">
        <v>35</v>
      </c>
      <c r="N415" s="32" t="s">
        <v>930</v>
      </c>
      <c r="O415" s="37">
        <v>1253.25</v>
      </c>
      <c r="P415" s="38" t="str">
        <f t="shared" si="45"/>
        <v>High</v>
      </c>
      <c r="Q415" s="37">
        <v>3087.13</v>
      </c>
      <c r="R415" s="37">
        <v>7.1999999999999995E-2</v>
      </c>
      <c r="S415" s="37">
        <v>11</v>
      </c>
      <c r="T415" s="37">
        <f t="shared" si="42"/>
        <v>22569.275520000003</v>
      </c>
      <c r="U415" s="32">
        <f t="shared" si="43"/>
        <v>13785.75</v>
      </c>
      <c r="V415" s="37">
        <f t="shared" si="46"/>
        <v>8783.5255200000029</v>
      </c>
      <c r="W415" s="39">
        <f t="shared" si="47"/>
        <v>0.38918065899884063</v>
      </c>
    </row>
    <row r="416" spans="1:23" x14ac:dyDescent="0.3">
      <c r="A416" s="40" t="s">
        <v>931</v>
      </c>
      <c r="B416" s="41">
        <v>45167</v>
      </c>
      <c r="C416" s="42">
        <v>45182</v>
      </c>
      <c r="D416" s="43">
        <f t="shared" si="48"/>
        <v>15</v>
      </c>
      <c r="E416" s="43" t="str">
        <f>TEXT(Data!B416,"MMM-YYYY")</f>
        <v>Aug-2023</v>
      </c>
      <c r="F416" s="43" t="str">
        <f t="shared" si="44"/>
        <v>Q3-2023</v>
      </c>
      <c r="G416" s="33" t="s">
        <v>52</v>
      </c>
      <c r="H416" s="33" t="s">
        <v>53</v>
      </c>
      <c r="I416" s="33" t="s">
        <v>179</v>
      </c>
      <c r="J416" s="33" t="s">
        <v>62</v>
      </c>
      <c r="K416" s="33" t="s">
        <v>40</v>
      </c>
      <c r="L416" s="33" t="s">
        <v>68</v>
      </c>
      <c r="M416" s="33" t="s">
        <v>30</v>
      </c>
      <c r="N416" s="33" t="s">
        <v>932</v>
      </c>
      <c r="O416" s="43">
        <v>1287.6400000000001</v>
      </c>
      <c r="P416" s="44" t="str">
        <f t="shared" si="45"/>
        <v>High</v>
      </c>
      <c r="Q416" s="43">
        <v>2717.15</v>
      </c>
      <c r="R416" s="43">
        <v>3.2000000000000001E-2</v>
      </c>
      <c r="S416" s="43">
        <v>7</v>
      </c>
      <c r="T416" s="43">
        <f t="shared" si="42"/>
        <v>3875.12664</v>
      </c>
      <c r="U416" s="33">
        <f t="shared" si="43"/>
        <v>9013.4800000000014</v>
      </c>
      <c r="V416" s="43">
        <f t="shared" si="46"/>
        <v>-5138.353360000001</v>
      </c>
      <c r="W416" s="45">
        <f t="shared" si="47"/>
        <v>-1.3259833387019324</v>
      </c>
    </row>
    <row r="417" spans="1:23" x14ac:dyDescent="0.3">
      <c r="A417" s="34" t="s">
        <v>933</v>
      </c>
      <c r="B417" s="35">
        <v>45626</v>
      </c>
      <c r="C417" s="36">
        <v>45636</v>
      </c>
      <c r="D417" s="37">
        <f t="shared" si="48"/>
        <v>10</v>
      </c>
      <c r="E417" s="37" t="str">
        <f>TEXT(Data!B417,"MMM-YYYY")</f>
        <v>Nov-2024</v>
      </c>
      <c r="F417" s="37" t="str">
        <f t="shared" si="44"/>
        <v>Q4-2024</v>
      </c>
      <c r="G417" s="32" t="s">
        <v>45</v>
      </c>
      <c r="H417" s="32" t="s">
        <v>60</v>
      </c>
      <c r="I417" s="32" t="s">
        <v>281</v>
      </c>
      <c r="J417" s="32" t="s">
        <v>62</v>
      </c>
      <c r="K417" s="32" t="s">
        <v>20</v>
      </c>
      <c r="L417" s="32" t="s">
        <v>84</v>
      </c>
      <c r="M417" s="32" t="s">
        <v>81</v>
      </c>
      <c r="N417" s="32" t="s">
        <v>934</v>
      </c>
      <c r="O417" s="37">
        <v>851.49</v>
      </c>
      <c r="P417" s="38" t="str">
        <f t="shared" si="45"/>
        <v>High</v>
      </c>
      <c r="Q417" s="37">
        <v>901.79</v>
      </c>
      <c r="R417" s="37">
        <v>0.245</v>
      </c>
      <c r="S417" s="37">
        <v>16</v>
      </c>
      <c r="T417" s="37">
        <f t="shared" si="42"/>
        <v>41052.309600000001</v>
      </c>
      <c r="U417" s="32">
        <f t="shared" si="43"/>
        <v>13623.84</v>
      </c>
      <c r="V417" s="37">
        <f t="shared" si="46"/>
        <v>27428.4696</v>
      </c>
      <c r="W417" s="39">
        <f t="shared" si="47"/>
        <v>0.66813462792358946</v>
      </c>
    </row>
    <row r="418" spans="1:23" x14ac:dyDescent="0.3">
      <c r="A418" s="40" t="s">
        <v>935</v>
      </c>
      <c r="B418" s="41">
        <v>45813</v>
      </c>
      <c r="C418" s="42">
        <v>45822</v>
      </c>
      <c r="D418" s="43">
        <f t="shared" si="48"/>
        <v>9</v>
      </c>
      <c r="E418" s="43" t="str">
        <f>TEXT(Data!B418,"MMM-YYYY")</f>
        <v>Jun-2025</v>
      </c>
      <c r="F418" s="43" t="str">
        <f t="shared" si="44"/>
        <v>Q2-2025</v>
      </c>
      <c r="G418" s="33" t="s">
        <v>45</v>
      </c>
      <c r="H418" s="33" t="s">
        <v>60</v>
      </c>
      <c r="I418" s="33" t="s">
        <v>141</v>
      </c>
      <c r="J418" s="33" t="s">
        <v>39</v>
      </c>
      <c r="K418" s="33" t="s">
        <v>20</v>
      </c>
      <c r="L418" s="33" t="s">
        <v>75</v>
      </c>
      <c r="M418" s="33" t="s">
        <v>81</v>
      </c>
      <c r="N418" s="33" t="s">
        <v>936</v>
      </c>
      <c r="O418" s="43">
        <v>618.69000000000005</v>
      </c>
      <c r="P418" s="44" t="str">
        <f t="shared" si="45"/>
        <v>High</v>
      </c>
      <c r="Q418" s="43">
        <v>796.15</v>
      </c>
      <c r="R418" s="43">
        <v>0.09</v>
      </c>
      <c r="S418" s="43">
        <v>11</v>
      </c>
      <c r="T418" s="43">
        <f t="shared" si="42"/>
        <v>1948.1462000000001</v>
      </c>
      <c r="U418" s="33">
        <f t="shared" si="43"/>
        <v>6805.59</v>
      </c>
      <c r="V418" s="43">
        <f t="shared" si="46"/>
        <v>-4857.4438</v>
      </c>
      <c r="W418" s="45">
        <f t="shared" si="47"/>
        <v>-2.4933671815801093</v>
      </c>
    </row>
    <row r="419" spans="1:23" x14ac:dyDescent="0.3">
      <c r="A419" s="34" t="s">
        <v>937</v>
      </c>
      <c r="B419" s="35">
        <v>45730</v>
      </c>
      <c r="C419" s="36">
        <v>45755</v>
      </c>
      <c r="D419" s="37">
        <f t="shared" si="48"/>
        <v>25</v>
      </c>
      <c r="E419" s="37" t="str">
        <f>TEXT(Data!B419,"MMM-YYYY")</f>
        <v>Mar-2025</v>
      </c>
      <c r="F419" s="37" t="str">
        <f t="shared" si="44"/>
        <v>Q1-2025</v>
      </c>
      <c r="G419" s="32" t="s">
        <v>45</v>
      </c>
      <c r="H419" s="32" t="s">
        <v>116</v>
      </c>
      <c r="I419" s="32" t="s">
        <v>1364</v>
      </c>
      <c r="J419" s="32" t="s">
        <v>19</v>
      </c>
      <c r="K419" s="32" t="s">
        <v>55</v>
      </c>
      <c r="L419" s="32" t="s">
        <v>145</v>
      </c>
      <c r="M419" s="32" t="s">
        <v>30</v>
      </c>
      <c r="N419" s="32" t="s">
        <v>938</v>
      </c>
      <c r="O419" s="37">
        <v>80.59</v>
      </c>
      <c r="P419" s="38" t="str">
        <f t="shared" si="45"/>
        <v>Medium</v>
      </c>
      <c r="Q419" s="37">
        <v>157.82</v>
      </c>
      <c r="R419" s="37">
        <v>0.217</v>
      </c>
      <c r="S419" s="37">
        <v>6</v>
      </c>
      <c r="T419" s="37">
        <f t="shared" si="42"/>
        <v>4846.6447200000002</v>
      </c>
      <c r="U419" s="32">
        <f t="shared" si="43"/>
        <v>483.54</v>
      </c>
      <c r="V419" s="37">
        <f t="shared" si="46"/>
        <v>4363.1047200000003</v>
      </c>
      <c r="W419" s="39">
        <f t="shared" si="47"/>
        <v>0.90023201040409662</v>
      </c>
    </row>
    <row r="420" spans="1:23" x14ac:dyDescent="0.3">
      <c r="A420" s="40" t="s">
        <v>939</v>
      </c>
      <c r="B420" s="41">
        <v>45307</v>
      </c>
      <c r="C420" s="42">
        <v>45333</v>
      </c>
      <c r="D420" s="43">
        <f t="shared" si="48"/>
        <v>26</v>
      </c>
      <c r="E420" s="43" t="str">
        <f>TEXT(Data!B420,"MMM-YYYY")</f>
        <v>Jan-2024</v>
      </c>
      <c r="F420" s="43" t="str">
        <f t="shared" si="44"/>
        <v>Q1-2024</v>
      </c>
      <c r="G420" s="33" t="s">
        <v>78</v>
      </c>
      <c r="H420" s="33" t="s">
        <v>79</v>
      </c>
      <c r="I420" s="33" t="s">
        <v>335</v>
      </c>
      <c r="J420" s="33" t="s">
        <v>39</v>
      </c>
      <c r="K420" s="33" t="s">
        <v>55</v>
      </c>
      <c r="L420" s="33" t="s">
        <v>63</v>
      </c>
      <c r="M420" s="33" t="s">
        <v>64</v>
      </c>
      <c r="N420" s="33" t="s">
        <v>940</v>
      </c>
      <c r="O420" s="43">
        <v>504.93</v>
      </c>
      <c r="P420" s="44" t="str">
        <f t="shared" si="45"/>
        <v>High</v>
      </c>
      <c r="Q420" s="43">
        <v>819.06</v>
      </c>
      <c r="R420" s="43">
        <v>0.22600000000000001</v>
      </c>
      <c r="S420" s="43">
        <v>15</v>
      </c>
      <c r="T420" s="43">
        <f t="shared" si="42"/>
        <v>5749.1559000000007</v>
      </c>
      <c r="U420" s="33">
        <f t="shared" si="43"/>
        <v>7573.95</v>
      </c>
      <c r="V420" s="43">
        <f t="shared" si="46"/>
        <v>-1824.7940999999992</v>
      </c>
      <c r="W420" s="45">
        <f t="shared" si="47"/>
        <v>-0.31740209027902672</v>
      </c>
    </row>
    <row r="421" spans="1:23" x14ac:dyDescent="0.3">
      <c r="A421" s="34" t="s">
        <v>941</v>
      </c>
      <c r="B421" s="35">
        <v>45211</v>
      </c>
      <c r="C421" s="36">
        <v>45228</v>
      </c>
      <c r="D421" s="37">
        <f t="shared" si="48"/>
        <v>17</v>
      </c>
      <c r="E421" s="37" t="str">
        <f>TEXT(Data!B421,"MMM-YYYY")</f>
        <v>Oct-2023</v>
      </c>
      <c r="F421" s="37" t="str">
        <f t="shared" si="44"/>
        <v>Q4-2023</v>
      </c>
      <c r="G421" s="32" t="s">
        <v>45</v>
      </c>
      <c r="H421" s="32" t="s">
        <v>46</v>
      </c>
      <c r="I421" s="32" t="s">
        <v>231</v>
      </c>
      <c r="J421" s="32" t="s">
        <v>39</v>
      </c>
      <c r="K421" s="32" t="s">
        <v>98</v>
      </c>
      <c r="L421" s="32" t="s">
        <v>92</v>
      </c>
      <c r="M421" s="32" t="s">
        <v>42</v>
      </c>
      <c r="N421" s="32" t="s">
        <v>942</v>
      </c>
      <c r="O421" s="37">
        <v>1102.19</v>
      </c>
      <c r="P421" s="38" t="str">
        <f t="shared" si="45"/>
        <v>High</v>
      </c>
      <c r="Q421" s="37">
        <v>1711.16</v>
      </c>
      <c r="R421" s="37">
        <v>0.151</v>
      </c>
      <c r="S421" s="37">
        <v>10</v>
      </c>
      <c r="T421" s="37">
        <f t="shared" si="42"/>
        <v>11198.649599999999</v>
      </c>
      <c r="U421" s="32">
        <f t="shared" si="43"/>
        <v>11021.900000000001</v>
      </c>
      <c r="V421" s="37">
        <f t="shared" si="46"/>
        <v>176.74959999999737</v>
      </c>
      <c r="W421" s="39">
        <f t="shared" si="47"/>
        <v>1.5783117278711657E-2</v>
      </c>
    </row>
    <row r="422" spans="1:23" x14ac:dyDescent="0.3">
      <c r="A422" s="40" t="s">
        <v>943</v>
      </c>
      <c r="B422" s="41">
        <v>45713</v>
      </c>
      <c r="C422" s="42">
        <v>45733</v>
      </c>
      <c r="D422" s="43">
        <f t="shared" si="48"/>
        <v>20</v>
      </c>
      <c r="E422" s="43" t="str">
        <f>TEXT(Data!B422,"MMM-YYYY")</f>
        <v>Feb-2025</v>
      </c>
      <c r="F422" s="43" t="str">
        <f t="shared" si="44"/>
        <v>Q1-2025</v>
      </c>
      <c r="G422" s="33" t="s">
        <v>52</v>
      </c>
      <c r="H422" s="33" t="s">
        <v>122</v>
      </c>
      <c r="I422" s="33" t="s">
        <v>167</v>
      </c>
      <c r="J422" s="33" t="s">
        <v>39</v>
      </c>
      <c r="K422" s="33" t="s">
        <v>40</v>
      </c>
      <c r="L422" s="33" t="s">
        <v>92</v>
      </c>
      <c r="M422" s="33" t="s">
        <v>42</v>
      </c>
      <c r="N422" s="33" t="s">
        <v>944</v>
      </c>
      <c r="O422" s="43">
        <v>1205.26</v>
      </c>
      <c r="P422" s="44" t="str">
        <f t="shared" si="45"/>
        <v>High</v>
      </c>
      <c r="Q422" s="43">
        <v>1696.35</v>
      </c>
      <c r="R422" s="43">
        <v>1.9E-2</v>
      </c>
      <c r="S422" s="43">
        <v>6</v>
      </c>
      <c r="T422" s="43">
        <f t="shared" si="42"/>
        <v>1853.32482</v>
      </c>
      <c r="U422" s="33">
        <f t="shared" si="43"/>
        <v>7231.5599999999995</v>
      </c>
      <c r="V422" s="43">
        <f t="shared" si="46"/>
        <v>-5378.2351799999997</v>
      </c>
      <c r="W422" s="45">
        <f t="shared" si="47"/>
        <v>-2.9019387869634206</v>
      </c>
    </row>
    <row r="423" spans="1:23" x14ac:dyDescent="0.3">
      <c r="A423" s="34" t="s">
        <v>945</v>
      </c>
      <c r="B423" s="35">
        <v>45841</v>
      </c>
      <c r="C423" s="36">
        <v>45844</v>
      </c>
      <c r="D423" s="37">
        <f t="shared" si="48"/>
        <v>3</v>
      </c>
      <c r="E423" s="37" t="str">
        <f>TEXT(Data!B423,"MMM-YYYY")</f>
        <v>Jul-2025</v>
      </c>
      <c r="F423" s="37" t="str">
        <f t="shared" si="44"/>
        <v>Q3-2025</v>
      </c>
      <c r="G423" s="32" t="s">
        <v>16</v>
      </c>
      <c r="H423" s="32" t="s">
        <v>25</v>
      </c>
      <c r="I423" s="32" t="s">
        <v>38</v>
      </c>
      <c r="J423" s="32" t="s">
        <v>48</v>
      </c>
      <c r="K423" s="32" t="s">
        <v>28</v>
      </c>
      <c r="L423" s="32" t="s">
        <v>1364</v>
      </c>
      <c r="M423" s="32" t="s">
        <v>57</v>
      </c>
      <c r="N423" s="32" t="s">
        <v>946</v>
      </c>
      <c r="O423" s="37">
        <v>1313.3</v>
      </c>
      <c r="P423" s="38" t="str">
        <f t="shared" si="45"/>
        <v>High</v>
      </c>
      <c r="Q423" s="37">
        <v>2884.34</v>
      </c>
      <c r="R423" s="37">
        <v>0.157</v>
      </c>
      <c r="S423" s="37">
        <v>42</v>
      </c>
      <c r="T423" s="37">
        <f t="shared" si="42"/>
        <v>78253.279020000002</v>
      </c>
      <c r="U423" s="32">
        <f t="shared" si="43"/>
        <v>55158.6</v>
      </c>
      <c r="V423" s="37">
        <f t="shared" si="46"/>
        <v>23094.679020000003</v>
      </c>
      <c r="W423" s="39">
        <f t="shared" si="47"/>
        <v>0.29512730085211453</v>
      </c>
    </row>
    <row r="424" spans="1:23" x14ac:dyDescent="0.3">
      <c r="A424" s="40" t="s">
        <v>947</v>
      </c>
      <c r="B424" s="41">
        <v>45915</v>
      </c>
      <c r="C424" s="42">
        <v>45925</v>
      </c>
      <c r="D424" s="43">
        <f t="shared" si="48"/>
        <v>10</v>
      </c>
      <c r="E424" s="43" t="str">
        <f>TEXT(Data!B424,"MMM-YYYY")</f>
        <v>Sep-2025</v>
      </c>
      <c r="F424" s="43" t="str">
        <f t="shared" si="44"/>
        <v>Q3-2025</v>
      </c>
      <c r="G424" s="33" t="s">
        <v>45</v>
      </c>
      <c r="H424" s="33" t="s">
        <v>60</v>
      </c>
      <c r="I424" s="33" t="s">
        <v>141</v>
      </c>
      <c r="J424" s="33" t="s">
        <v>48</v>
      </c>
      <c r="K424" s="33" t="s">
        <v>20</v>
      </c>
      <c r="L424" s="33" t="s">
        <v>75</v>
      </c>
      <c r="M424" s="33" t="s">
        <v>42</v>
      </c>
      <c r="N424" s="33" t="s">
        <v>948</v>
      </c>
      <c r="O424" s="43">
        <v>1488.91</v>
      </c>
      <c r="P424" s="44" t="str">
        <f t="shared" si="45"/>
        <v>High</v>
      </c>
      <c r="Q424" s="43">
        <v>1483.74</v>
      </c>
      <c r="R424" s="43">
        <v>0.16800000000000001</v>
      </c>
      <c r="S424" s="43">
        <v>24</v>
      </c>
      <c r="T424" s="43">
        <f t="shared" si="42"/>
        <v>20866.559999999998</v>
      </c>
      <c r="U424" s="33">
        <f t="shared" si="43"/>
        <v>35733.840000000004</v>
      </c>
      <c r="V424" s="43">
        <f t="shared" si="46"/>
        <v>-14867.280000000006</v>
      </c>
      <c r="W424" s="45">
        <f t="shared" si="47"/>
        <v>-0.71249309900625724</v>
      </c>
    </row>
    <row r="425" spans="1:23" x14ac:dyDescent="0.3">
      <c r="A425" s="34" t="s">
        <v>949</v>
      </c>
      <c r="B425" s="35">
        <v>45341</v>
      </c>
      <c r="C425" s="36">
        <v>45357</v>
      </c>
      <c r="D425" s="37">
        <f t="shared" si="48"/>
        <v>16</v>
      </c>
      <c r="E425" s="37" t="str">
        <f>TEXT(Data!B425,"MMM-YYYY")</f>
        <v>Feb-2024</v>
      </c>
      <c r="F425" s="37" t="str">
        <f t="shared" si="44"/>
        <v>Q1-2024</v>
      </c>
      <c r="G425" s="32" t="s">
        <v>45</v>
      </c>
      <c r="H425" s="32" t="s">
        <v>116</v>
      </c>
      <c r="I425" s="32" t="s">
        <v>338</v>
      </c>
      <c r="J425" s="32" t="s">
        <v>27</v>
      </c>
      <c r="K425" s="32" t="s">
        <v>40</v>
      </c>
      <c r="L425" s="32" t="s">
        <v>68</v>
      </c>
      <c r="M425" s="32" t="s">
        <v>30</v>
      </c>
      <c r="N425" s="32" t="s">
        <v>950</v>
      </c>
      <c r="O425" s="37">
        <v>1477.84</v>
      </c>
      <c r="P425" s="38" t="str">
        <f t="shared" si="45"/>
        <v>High</v>
      </c>
      <c r="Q425" s="37">
        <v>3197.47</v>
      </c>
      <c r="R425" s="37">
        <v>0.24299999999999999</v>
      </c>
      <c r="S425" s="37">
        <v>24</v>
      </c>
      <c r="T425" s="37">
        <f t="shared" si="42"/>
        <v>38737.627919999999</v>
      </c>
      <c r="U425" s="32">
        <f t="shared" si="43"/>
        <v>35468.159999999996</v>
      </c>
      <c r="V425" s="37">
        <f t="shared" si="46"/>
        <v>3269.4679200000028</v>
      </c>
      <c r="W425" s="39">
        <f t="shared" si="47"/>
        <v>8.4400312965781696E-2</v>
      </c>
    </row>
    <row r="426" spans="1:23" x14ac:dyDescent="0.3">
      <c r="A426" s="40" t="s">
        <v>951</v>
      </c>
      <c r="B426" s="41">
        <v>45349</v>
      </c>
      <c r="C426" s="42">
        <v>45377</v>
      </c>
      <c r="D426" s="43">
        <f t="shared" si="48"/>
        <v>28</v>
      </c>
      <c r="E426" s="43" t="str">
        <f>TEXT(Data!B426,"MMM-YYYY")</f>
        <v>Feb-2024</v>
      </c>
      <c r="F426" s="43" t="str">
        <f t="shared" si="44"/>
        <v>Q1-2024</v>
      </c>
      <c r="G426" s="33" t="s">
        <v>45</v>
      </c>
      <c r="H426" s="33" t="s">
        <v>60</v>
      </c>
      <c r="I426" s="33" t="s">
        <v>220</v>
      </c>
      <c r="J426" s="33" t="s">
        <v>27</v>
      </c>
      <c r="K426" s="33" t="s">
        <v>40</v>
      </c>
      <c r="L426" s="33" t="s">
        <v>41</v>
      </c>
      <c r="M426" s="33" t="s">
        <v>57</v>
      </c>
      <c r="N426" s="33" t="s">
        <v>952</v>
      </c>
      <c r="O426" s="43">
        <v>1035.19</v>
      </c>
      <c r="P426" s="44" t="str">
        <f t="shared" si="45"/>
        <v>High</v>
      </c>
      <c r="Q426" s="43">
        <v>2322.6999999999998</v>
      </c>
      <c r="R426" s="43">
        <v>0.17299999999999999</v>
      </c>
      <c r="S426" s="43">
        <v>8</v>
      </c>
      <c r="T426" s="43">
        <f t="shared" si="42"/>
        <v>13903.854800000001</v>
      </c>
      <c r="U426" s="33">
        <f t="shared" si="43"/>
        <v>8281.52</v>
      </c>
      <c r="V426" s="43">
        <f t="shared" si="46"/>
        <v>5622.3348000000005</v>
      </c>
      <c r="W426" s="45">
        <f t="shared" si="47"/>
        <v>0.40437237592555986</v>
      </c>
    </row>
    <row r="427" spans="1:23" x14ac:dyDescent="0.3">
      <c r="A427" s="34" t="s">
        <v>953</v>
      </c>
      <c r="B427" s="35">
        <v>45897</v>
      </c>
      <c r="C427" s="36">
        <v>45905</v>
      </c>
      <c r="D427" s="37">
        <f t="shared" si="48"/>
        <v>8</v>
      </c>
      <c r="E427" s="37" t="str">
        <f>TEXT(Data!B427,"MMM-YYYY")</f>
        <v>Aug-2025</v>
      </c>
      <c r="F427" s="37" t="str">
        <f t="shared" si="44"/>
        <v>Q3-2025</v>
      </c>
      <c r="G427" s="32" t="s">
        <v>16</v>
      </c>
      <c r="H427" s="32" t="s">
        <v>25</v>
      </c>
      <c r="I427" s="32" t="s">
        <v>26</v>
      </c>
      <c r="J427" s="32" t="s">
        <v>62</v>
      </c>
      <c r="K427" s="32" t="s">
        <v>40</v>
      </c>
      <c r="L427" s="32" t="s">
        <v>63</v>
      </c>
      <c r="M427" s="32" t="s">
        <v>57</v>
      </c>
      <c r="N427" s="32" t="s">
        <v>954</v>
      </c>
      <c r="O427" s="37">
        <v>1271.0999999999999</v>
      </c>
      <c r="P427" s="38" t="str">
        <f t="shared" si="45"/>
        <v>High</v>
      </c>
      <c r="Q427" s="37">
        <v>1932.42</v>
      </c>
      <c r="R427" s="37">
        <v>0.25</v>
      </c>
      <c r="S427" s="37">
        <v>21</v>
      </c>
      <c r="T427" s="37">
        <f t="shared" si="42"/>
        <v>33475.68</v>
      </c>
      <c r="U427" s="32">
        <f t="shared" si="43"/>
        <v>26693.1</v>
      </c>
      <c r="V427" s="37">
        <f t="shared" si="46"/>
        <v>6782.5800000000017</v>
      </c>
      <c r="W427" s="39">
        <f t="shared" si="47"/>
        <v>0.20261216501053905</v>
      </c>
    </row>
    <row r="428" spans="1:23" x14ac:dyDescent="0.3">
      <c r="A428" s="40" t="s">
        <v>955</v>
      </c>
      <c r="B428" s="41">
        <v>45522</v>
      </c>
      <c r="C428" s="42">
        <v>45547</v>
      </c>
      <c r="D428" s="43">
        <f t="shared" si="48"/>
        <v>25</v>
      </c>
      <c r="E428" s="43" t="str">
        <f>TEXT(Data!B428,"MMM-YYYY")</f>
        <v>Aug-2024</v>
      </c>
      <c r="F428" s="43" t="str">
        <f t="shared" si="44"/>
        <v>Q3-2024</v>
      </c>
      <c r="G428" s="33" t="s">
        <v>45</v>
      </c>
      <c r="H428" s="33" t="s">
        <v>60</v>
      </c>
      <c r="I428" s="33" t="s">
        <v>220</v>
      </c>
      <c r="J428" s="33" t="s">
        <v>48</v>
      </c>
      <c r="K428" s="33" t="s">
        <v>40</v>
      </c>
      <c r="L428" s="33" t="s">
        <v>21</v>
      </c>
      <c r="M428" s="33" t="s">
        <v>42</v>
      </c>
      <c r="N428" s="33" t="s">
        <v>956</v>
      </c>
      <c r="O428" s="43">
        <v>1154.03</v>
      </c>
      <c r="P428" s="44" t="str">
        <f t="shared" si="45"/>
        <v>High</v>
      </c>
      <c r="Q428" s="43">
        <v>1590.36</v>
      </c>
      <c r="R428" s="43">
        <v>0.314</v>
      </c>
      <c r="S428" s="43">
        <v>18</v>
      </c>
      <c r="T428" s="43">
        <f t="shared" si="42"/>
        <v>8801.0369999999984</v>
      </c>
      <c r="U428" s="33">
        <f t="shared" si="43"/>
        <v>20772.54</v>
      </c>
      <c r="V428" s="43">
        <f t="shared" si="46"/>
        <v>-11971.503000000002</v>
      </c>
      <c r="W428" s="45">
        <f t="shared" si="47"/>
        <v>-1.360237776525653</v>
      </c>
    </row>
    <row r="429" spans="1:23" x14ac:dyDescent="0.3">
      <c r="A429" s="34" t="s">
        <v>957</v>
      </c>
      <c r="B429" s="35">
        <v>45347</v>
      </c>
      <c r="C429" s="36">
        <v>45360</v>
      </c>
      <c r="D429" s="37">
        <f t="shared" si="48"/>
        <v>13</v>
      </c>
      <c r="E429" s="37" t="str">
        <f>TEXT(Data!B429,"MMM-YYYY")</f>
        <v>Feb-2024</v>
      </c>
      <c r="F429" s="37" t="str">
        <f t="shared" si="44"/>
        <v>Q1-2024</v>
      </c>
      <c r="G429" s="32" t="s">
        <v>78</v>
      </c>
      <c r="H429" s="32" t="s">
        <v>90</v>
      </c>
      <c r="I429" s="32" t="s">
        <v>91</v>
      </c>
      <c r="J429" s="32" t="s">
        <v>62</v>
      </c>
      <c r="K429" s="32" t="s">
        <v>55</v>
      </c>
      <c r="L429" s="32" t="s">
        <v>63</v>
      </c>
      <c r="M429" s="32" t="s">
        <v>64</v>
      </c>
      <c r="N429" s="32" t="s">
        <v>958</v>
      </c>
      <c r="O429" s="37">
        <v>322.44</v>
      </c>
      <c r="P429" s="38" t="str">
        <f t="shared" si="45"/>
        <v>High</v>
      </c>
      <c r="Q429" s="37">
        <v>395.61</v>
      </c>
      <c r="R429" s="37">
        <v>0</v>
      </c>
      <c r="S429" s="37">
        <v>34</v>
      </c>
      <c r="T429" s="37">
        <f t="shared" si="42"/>
        <v>53340.22</v>
      </c>
      <c r="U429" s="32">
        <f t="shared" si="43"/>
        <v>10962.96</v>
      </c>
      <c r="V429" s="37">
        <f t="shared" si="46"/>
        <v>42377.26</v>
      </c>
      <c r="W429" s="39">
        <f t="shared" si="47"/>
        <v>0.79447103892709858</v>
      </c>
    </row>
    <row r="430" spans="1:23" x14ac:dyDescent="0.3">
      <c r="A430" s="40" t="s">
        <v>959</v>
      </c>
      <c r="B430" s="41">
        <v>45784</v>
      </c>
      <c r="C430" s="42">
        <v>45790</v>
      </c>
      <c r="D430" s="43">
        <f t="shared" si="48"/>
        <v>6</v>
      </c>
      <c r="E430" s="43" t="str">
        <f>TEXT(Data!B430,"MMM-YYYY")</f>
        <v>May-2025</v>
      </c>
      <c r="F430" s="43" t="str">
        <f t="shared" si="44"/>
        <v>Q2-2025</v>
      </c>
      <c r="G430" s="33" t="s">
        <v>45</v>
      </c>
      <c r="H430" s="33" t="s">
        <v>60</v>
      </c>
      <c r="I430" s="33" t="s">
        <v>61</v>
      </c>
      <c r="J430" s="33" t="s">
        <v>105</v>
      </c>
      <c r="K430" s="33" t="s">
        <v>98</v>
      </c>
      <c r="L430" s="33" t="s">
        <v>29</v>
      </c>
      <c r="M430" s="33" t="s">
        <v>42</v>
      </c>
      <c r="N430" s="33" t="s">
        <v>960</v>
      </c>
      <c r="O430" s="43">
        <v>935.98</v>
      </c>
      <c r="P430" s="44" t="str">
        <f t="shared" si="45"/>
        <v>High</v>
      </c>
      <c r="Q430" s="43">
        <v>2077.69</v>
      </c>
      <c r="R430" s="43">
        <v>0.17499999999999999</v>
      </c>
      <c r="S430" s="43">
        <v>24</v>
      </c>
      <c r="T430" s="43">
        <f t="shared" si="42"/>
        <v>41071.932000000001</v>
      </c>
      <c r="U430" s="33">
        <f t="shared" si="43"/>
        <v>22463.52</v>
      </c>
      <c r="V430" s="43">
        <f t="shared" si="46"/>
        <v>18608.412</v>
      </c>
      <c r="W430" s="45">
        <f t="shared" si="47"/>
        <v>0.4530688256885505</v>
      </c>
    </row>
    <row r="431" spans="1:23" x14ac:dyDescent="0.3">
      <c r="A431" s="34" t="s">
        <v>961</v>
      </c>
      <c r="B431" s="35">
        <v>45597</v>
      </c>
      <c r="C431" s="36">
        <v>45608</v>
      </c>
      <c r="D431" s="37">
        <f t="shared" si="48"/>
        <v>11</v>
      </c>
      <c r="E431" s="37" t="str">
        <f>TEXT(Data!B431,"MMM-YYYY")</f>
        <v>Nov-2024</v>
      </c>
      <c r="F431" s="37" t="str">
        <f t="shared" si="44"/>
        <v>Q4-2024</v>
      </c>
      <c r="G431" s="32" t="s">
        <v>78</v>
      </c>
      <c r="H431" s="32" t="s">
        <v>79</v>
      </c>
      <c r="I431" s="32" t="s">
        <v>335</v>
      </c>
      <c r="J431" s="32" t="s">
        <v>48</v>
      </c>
      <c r="K431" s="32" t="s">
        <v>28</v>
      </c>
      <c r="L431" s="32" t="s">
        <v>56</v>
      </c>
      <c r="M431" s="32" t="s">
        <v>30</v>
      </c>
      <c r="N431" s="32" t="s">
        <v>962</v>
      </c>
      <c r="O431" s="37">
        <v>599.84</v>
      </c>
      <c r="P431" s="38" t="str">
        <f t="shared" si="45"/>
        <v>High</v>
      </c>
      <c r="Q431" s="37">
        <v>1330.85</v>
      </c>
      <c r="R431" s="37">
        <v>0.115</v>
      </c>
      <c r="S431" s="37">
        <v>11</v>
      </c>
      <c r="T431" s="37">
        <f t="shared" si="42"/>
        <v>4820.6746499999999</v>
      </c>
      <c r="U431" s="32">
        <f t="shared" si="43"/>
        <v>6598.2400000000007</v>
      </c>
      <c r="V431" s="37">
        <f t="shared" si="46"/>
        <v>-1777.5653500000008</v>
      </c>
      <c r="W431" s="39">
        <f t="shared" si="47"/>
        <v>-0.36873787987330792</v>
      </c>
    </row>
    <row r="432" spans="1:23" x14ac:dyDescent="0.3">
      <c r="A432" s="40" t="s">
        <v>963</v>
      </c>
      <c r="B432" s="41">
        <v>45654</v>
      </c>
      <c r="C432" s="42">
        <v>45665</v>
      </c>
      <c r="D432" s="43">
        <f t="shared" si="48"/>
        <v>11</v>
      </c>
      <c r="E432" s="43" t="str">
        <f>TEXT(Data!B432,"MMM-YYYY")</f>
        <v>Dec-2024</v>
      </c>
      <c r="F432" s="43" t="str">
        <f t="shared" si="44"/>
        <v>Q4-2024</v>
      </c>
      <c r="G432" s="33" t="s">
        <v>45</v>
      </c>
      <c r="H432" s="33" t="s">
        <v>116</v>
      </c>
      <c r="I432" s="33" t="s">
        <v>117</v>
      </c>
      <c r="J432" s="33" t="s">
        <v>105</v>
      </c>
      <c r="K432" s="33" t="s">
        <v>28</v>
      </c>
      <c r="L432" s="33" t="s">
        <v>95</v>
      </c>
      <c r="M432" s="33" t="s">
        <v>57</v>
      </c>
      <c r="N432" s="33" t="s">
        <v>964</v>
      </c>
      <c r="O432" s="43">
        <v>1201.31</v>
      </c>
      <c r="P432" s="44" t="str">
        <f t="shared" si="45"/>
        <v>High</v>
      </c>
      <c r="Q432" s="43">
        <v>2764.65</v>
      </c>
      <c r="R432" s="43">
        <v>0</v>
      </c>
      <c r="S432" s="43">
        <v>21</v>
      </c>
      <c r="T432" s="43">
        <f t="shared" si="42"/>
        <v>15909.390000000001</v>
      </c>
      <c r="U432" s="33">
        <f t="shared" si="43"/>
        <v>25227.51</v>
      </c>
      <c r="V432" s="43">
        <f t="shared" si="46"/>
        <v>-9318.1199999999972</v>
      </c>
      <c r="W432" s="45">
        <f t="shared" si="47"/>
        <v>-0.58569938885148942</v>
      </c>
    </row>
    <row r="433" spans="1:23" x14ac:dyDescent="0.3">
      <c r="A433" s="34" t="s">
        <v>965</v>
      </c>
      <c r="B433" s="35">
        <v>45220</v>
      </c>
      <c r="C433" s="36">
        <v>45220</v>
      </c>
      <c r="D433" s="37">
        <f t="shared" si="48"/>
        <v>0</v>
      </c>
      <c r="E433" s="37" t="str">
        <f>TEXT(Data!B433,"MMM-YYYY")</f>
        <v>Oct-2023</v>
      </c>
      <c r="F433" s="37" t="str">
        <f t="shared" si="44"/>
        <v>Q4-2023</v>
      </c>
      <c r="G433" s="32" t="s">
        <v>78</v>
      </c>
      <c r="H433" s="32" t="s">
        <v>108</v>
      </c>
      <c r="I433" s="32" t="s">
        <v>228</v>
      </c>
      <c r="J433" s="32" t="s">
        <v>105</v>
      </c>
      <c r="K433" s="32" t="s">
        <v>55</v>
      </c>
      <c r="L433" s="32" t="s">
        <v>29</v>
      </c>
      <c r="M433" s="32" t="s">
        <v>64</v>
      </c>
      <c r="N433" s="32" t="s">
        <v>966</v>
      </c>
      <c r="O433" s="37">
        <v>384.19</v>
      </c>
      <c r="P433" s="38" t="str">
        <f t="shared" si="45"/>
        <v>High</v>
      </c>
      <c r="Q433" s="37">
        <v>278.35000000000002</v>
      </c>
      <c r="R433" s="37">
        <v>5.6000000000000001E-2</v>
      </c>
      <c r="S433" s="37">
        <v>10</v>
      </c>
      <c r="T433" s="37">
        <f t="shared" si="42"/>
        <v>3926.6623999999993</v>
      </c>
      <c r="U433" s="32">
        <f t="shared" si="43"/>
        <v>3841.9</v>
      </c>
      <c r="V433" s="37">
        <f t="shared" si="46"/>
        <v>84.762399999999161</v>
      </c>
      <c r="W433" s="39">
        <f t="shared" si="47"/>
        <v>2.1586373200812775E-2</v>
      </c>
    </row>
    <row r="434" spans="1:23" x14ac:dyDescent="0.3">
      <c r="A434" s="40" t="s">
        <v>967</v>
      </c>
      <c r="B434" s="41">
        <v>45636</v>
      </c>
      <c r="C434" s="42">
        <v>45645</v>
      </c>
      <c r="D434" s="43">
        <f t="shared" si="48"/>
        <v>9</v>
      </c>
      <c r="E434" s="43" t="str">
        <f>TEXT(Data!B434,"MMM-YYYY")</f>
        <v>Dec-2024</v>
      </c>
      <c r="F434" s="43" t="str">
        <f t="shared" si="44"/>
        <v>Q4-2024</v>
      </c>
      <c r="G434" s="33" t="s">
        <v>16</v>
      </c>
      <c r="H434" s="33" t="s">
        <v>25</v>
      </c>
      <c r="I434" s="33" t="s">
        <v>38</v>
      </c>
      <c r="J434" s="33" t="s">
        <v>19</v>
      </c>
      <c r="K434" s="33" t="s">
        <v>20</v>
      </c>
      <c r="L434" s="33" t="s">
        <v>68</v>
      </c>
      <c r="M434" s="33" t="s">
        <v>64</v>
      </c>
      <c r="N434" s="33" t="s">
        <v>968</v>
      </c>
      <c r="O434" s="43">
        <v>488.68</v>
      </c>
      <c r="P434" s="44" t="str">
        <f t="shared" si="45"/>
        <v>High</v>
      </c>
      <c r="Q434" s="43">
        <v>984.36</v>
      </c>
      <c r="R434" s="43">
        <v>5.8999999999999997E-2</v>
      </c>
      <c r="S434" s="43">
        <v>14</v>
      </c>
      <c r="T434" s="43">
        <f t="shared" si="42"/>
        <v>24647.104860000003</v>
      </c>
      <c r="U434" s="33">
        <f t="shared" si="43"/>
        <v>6841.52</v>
      </c>
      <c r="V434" s="43">
        <f t="shared" si="46"/>
        <v>17805.584860000003</v>
      </c>
      <c r="W434" s="45">
        <f t="shared" si="47"/>
        <v>0.72242094806424251</v>
      </c>
    </row>
    <row r="435" spans="1:23" x14ac:dyDescent="0.3">
      <c r="A435" s="34" t="s">
        <v>969</v>
      </c>
      <c r="B435" s="35">
        <v>45542</v>
      </c>
      <c r="C435" s="36">
        <v>45553</v>
      </c>
      <c r="D435" s="37">
        <f t="shared" si="48"/>
        <v>11</v>
      </c>
      <c r="E435" s="37" t="str">
        <f>TEXT(Data!B435,"MMM-YYYY")</f>
        <v>Sep-2024</v>
      </c>
      <c r="F435" s="37" t="str">
        <f t="shared" si="44"/>
        <v>Q3-2024</v>
      </c>
      <c r="G435" s="32" t="s">
        <v>45</v>
      </c>
      <c r="H435" s="32" t="s">
        <v>116</v>
      </c>
      <c r="I435" s="32" t="s">
        <v>338</v>
      </c>
      <c r="J435" s="32" t="s">
        <v>48</v>
      </c>
      <c r="K435" s="32" t="s">
        <v>55</v>
      </c>
      <c r="L435" s="32" t="s">
        <v>68</v>
      </c>
      <c r="M435" s="32" t="s">
        <v>35</v>
      </c>
      <c r="N435" s="32" t="s">
        <v>970</v>
      </c>
      <c r="O435" s="37">
        <v>181.74</v>
      </c>
      <c r="P435" s="38" t="str">
        <f t="shared" si="45"/>
        <v>Medium</v>
      </c>
      <c r="Q435" s="37">
        <v>190.84</v>
      </c>
      <c r="R435" s="37">
        <v>0.214</v>
      </c>
      <c r="S435" s="37">
        <v>13</v>
      </c>
      <c r="T435" s="37">
        <f t="shared" si="42"/>
        <v>2113.89984</v>
      </c>
      <c r="U435" s="32">
        <f t="shared" si="43"/>
        <v>2362.62</v>
      </c>
      <c r="V435" s="37">
        <f t="shared" si="46"/>
        <v>-248.72015999999985</v>
      </c>
      <c r="W435" s="39">
        <f t="shared" si="47"/>
        <v>-0.11765938730569177</v>
      </c>
    </row>
    <row r="436" spans="1:23" x14ac:dyDescent="0.3">
      <c r="A436" s="40" t="s">
        <v>971</v>
      </c>
      <c r="B436" s="41">
        <v>45217</v>
      </c>
      <c r="C436" s="42">
        <v>45219</v>
      </c>
      <c r="D436" s="43">
        <f t="shared" si="48"/>
        <v>2</v>
      </c>
      <c r="E436" s="43" t="str">
        <f>TEXT(Data!B436,"MMM-YYYY")</f>
        <v>Oct-2023</v>
      </c>
      <c r="F436" s="43" t="str">
        <f t="shared" si="44"/>
        <v>Q4-2023</v>
      </c>
      <c r="G436" s="33" t="s">
        <v>16</v>
      </c>
      <c r="H436" s="33" t="s">
        <v>17</v>
      </c>
      <c r="I436" s="33" t="s">
        <v>18</v>
      </c>
      <c r="J436" s="33" t="s">
        <v>48</v>
      </c>
      <c r="K436" s="33" t="s">
        <v>20</v>
      </c>
      <c r="L436" s="33" t="s">
        <v>29</v>
      </c>
      <c r="M436" s="33" t="s">
        <v>42</v>
      </c>
      <c r="N436" s="33" t="s">
        <v>972</v>
      </c>
      <c r="O436" s="43">
        <v>774.12</v>
      </c>
      <c r="P436" s="44" t="str">
        <f t="shared" si="45"/>
        <v>High</v>
      </c>
      <c r="Q436" s="43">
        <v>908.3</v>
      </c>
      <c r="R436" s="43">
        <v>0</v>
      </c>
      <c r="S436" s="43">
        <v>30</v>
      </c>
      <c r="T436" s="43">
        <f t="shared" si="42"/>
        <v>1884.6</v>
      </c>
      <c r="U436" s="33">
        <f t="shared" si="43"/>
        <v>23223.599999999999</v>
      </c>
      <c r="V436" s="43">
        <f t="shared" si="46"/>
        <v>-21339</v>
      </c>
      <c r="W436" s="45">
        <f t="shared" si="47"/>
        <v>-11.322827125119389</v>
      </c>
    </row>
    <row r="437" spans="1:23" x14ac:dyDescent="0.3">
      <c r="A437" s="34" t="s">
        <v>973</v>
      </c>
      <c r="B437" s="35">
        <v>45650</v>
      </c>
      <c r="C437" s="36">
        <v>45670</v>
      </c>
      <c r="D437" s="37">
        <f t="shared" si="48"/>
        <v>20</v>
      </c>
      <c r="E437" s="37" t="str">
        <f>TEXT(Data!B437,"MMM-YYYY")</f>
        <v>Dec-2024</v>
      </c>
      <c r="F437" s="37" t="str">
        <f t="shared" si="44"/>
        <v>Q4-2024</v>
      </c>
      <c r="G437" s="32" t="s">
        <v>45</v>
      </c>
      <c r="H437" s="32" t="s">
        <v>60</v>
      </c>
      <c r="I437" s="32" t="s">
        <v>61</v>
      </c>
      <c r="J437" s="32" t="s">
        <v>19</v>
      </c>
      <c r="K437" s="32" t="s">
        <v>40</v>
      </c>
      <c r="L437" s="32" t="s">
        <v>145</v>
      </c>
      <c r="M437" s="32" t="s">
        <v>35</v>
      </c>
      <c r="N437" s="32" t="s">
        <v>974</v>
      </c>
      <c r="O437" s="37">
        <v>126.15</v>
      </c>
      <c r="P437" s="38" t="str">
        <f t="shared" si="45"/>
        <v>High</v>
      </c>
      <c r="Q437" s="37">
        <v>284.23</v>
      </c>
      <c r="R437" s="37">
        <v>0.113</v>
      </c>
      <c r="S437" s="37">
        <v>22</v>
      </c>
      <c r="T437" s="37">
        <f t="shared" si="42"/>
        <v>18664.94586</v>
      </c>
      <c r="U437" s="32">
        <f t="shared" si="43"/>
        <v>2775.3</v>
      </c>
      <c r="V437" s="37">
        <f t="shared" si="46"/>
        <v>15889.645860000001</v>
      </c>
      <c r="W437" s="39">
        <f t="shared" si="47"/>
        <v>0.85130950709331443</v>
      </c>
    </row>
    <row r="438" spans="1:23" x14ac:dyDescent="0.3">
      <c r="A438" s="40" t="s">
        <v>975</v>
      </c>
      <c r="B438" s="41">
        <v>45037</v>
      </c>
      <c r="C438" s="42">
        <v>45035</v>
      </c>
      <c r="D438" s="43">
        <f>DATEDIF(C438,B438, "MD")</f>
        <v>2</v>
      </c>
      <c r="E438" s="43" t="str">
        <f>TEXT(Data!B438,"MMM-YYYY")</f>
        <v>Apr-2023</v>
      </c>
      <c r="F438" s="43" t="str">
        <f t="shared" si="44"/>
        <v>Q2-2023</v>
      </c>
      <c r="G438" s="33" t="s">
        <v>45</v>
      </c>
      <c r="H438" s="33" t="s">
        <v>46</v>
      </c>
      <c r="I438" s="33" t="s">
        <v>231</v>
      </c>
      <c r="J438" s="33" t="s">
        <v>62</v>
      </c>
      <c r="K438" s="33" t="s">
        <v>98</v>
      </c>
      <c r="L438" s="33" t="s">
        <v>110</v>
      </c>
      <c r="M438" s="33" t="s">
        <v>22</v>
      </c>
      <c r="N438" s="33" t="s">
        <v>976</v>
      </c>
      <c r="O438" s="43">
        <v>607.04</v>
      </c>
      <c r="P438" s="44" t="str">
        <f t="shared" si="45"/>
        <v>High</v>
      </c>
      <c r="Q438" s="43">
        <v>1229.3399999999999</v>
      </c>
      <c r="R438" s="43">
        <v>0.14699999999999999</v>
      </c>
      <c r="S438" s="43">
        <v>7</v>
      </c>
      <c r="T438" s="43">
        <f t="shared" si="42"/>
        <v>989.39469999999983</v>
      </c>
      <c r="U438" s="33">
        <f t="shared" si="43"/>
        <v>4249.28</v>
      </c>
      <c r="V438" s="43">
        <f t="shared" si="46"/>
        <v>-3259.8852999999999</v>
      </c>
      <c r="W438" s="45">
        <f t="shared" si="47"/>
        <v>-3.2948279387387061</v>
      </c>
    </row>
    <row r="439" spans="1:23" x14ac:dyDescent="0.3">
      <c r="A439" s="34" t="s">
        <v>977</v>
      </c>
      <c r="B439" s="35">
        <v>45290</v>
      </c>
      <c r="C439" s="36">
        <v>45299</v>
      </c>
      <c r="D439" s="37">
        <f t="shared" si="48"/>
        <v>9</v>
      </c>
      <c r="E439" s="37" t="str">
        <f>TEXT(Data!B439,"MMM-YYYY")</f>
        <v>Dec-2023</v>
      </c>
      <c r="F439" s="37" t="str">
        <f t="shared" si="44"/>
        <v>Q4-2023</v>
      </c>
      <c r="G439" s="32" t="s">
        <v>78</v>
      </c>
      <c r="H439" s="32" t="s">
        <v>90</v>
      </c>
      <c r="I439" s="32" t="s">
        <v>91</v>
      </c>
      <c r="J439" s="32" t="s">
        <v>48</v>
      </c>
      <c r="K439" s="32" t="s">
        <v>40</v>
      </c>
      <c r="L439" s="32" t="s">
        <v>49</v>
      </c>
      <c r="M439" s="32" t="s">
        <v>81</v>
      </c>
      <c r="N439" s="32" t="s">
        <v>978</v>
      </c>
      <c r="O439" s="37">
        <v>861.1</v>
      </c>
      <c r="P439" s="38" t="str">
        <f t="shared" si="45"/>
        <v>High</v>
      </c>
      <c r="Q439" s="37">
        <v>1224.72</v>
      </c>
      <c r="R439" s="37">
        <v>0.17399999999999999</v>
      </c>
      <c r="S439" s="37">
        <v>24</v>
      </c>
      <c r="T439" s="37">
        <f t="shared" si="42"/>
        <v>12060.128640000001</v>
      </c>
      <c r="U439" s="32">
        <f t="shared" si="43"/>
        <v>20666.400000000001</v>
      </c>
      <c r="V439" s="37">
        <f t="shared" si="46"/>
        <v>-8606.2713600000006</v>
      </c>
      <c r="W439" s="39">
        <f t="shared" si="47"/>
        <v>-0.71361356225135586</v>
      </c>
    </row>
    <row r="440" spans="1:23" x14ac:dyDescent="0.3">
      <c r="A440" s="40" t="s">
        <v>979</v>
      </c>
      <c r="B440" s="41">
        <v>44978</v>
      </c>
      <c r="C440" s="42">
        <v>44997</v>
      </c>
      <c r="D440" s="43">
        <f t="shared" si="48"/>
        <v>19</v>
      </c>
      <c r="E440" s="43" t="str">
        <f>TEXT(Data!B440,"MMM-YYYY")</f>
        <v>Feb-2023</v>
      </c>
      <c r="F440" s="43" t="str">
        <f t="shared" si="44"/>
        <v>Q1-2023</v>
      </c>
      <c r="G440" s="33" t="s">
        <v>16</v>
      </c>
      <c r="H440" s="33" t="s">
        <v>17</v>
      </c>
      <c r="I440" s="33" t="s">
        <v>135</v>
      </c>
      <c r="J440" s="33" t="s">
        <v>19</v>
      </c>
      <c r="K440" s="33" t="s">
        <v>28</v>
      </c>
      <c r="L440" s="33" t="s">
        <v>84</v>
      </c>
      <c r="M440" s="33" t="s">
        <v>35</v>
      </c>
      <c r="N440" s="33" t="s">
        <v>980</v>
      </c>
      <c r="O440" s="43">
        <v>352.65</v>
      </c>
      <c r="P440" s="44" t="str">
        <f t="shared" si="45"/>
        <v>High</v>
      </c>
      <c r="Q440" s="43">
        <v>485.86</v>
      </c>
      <c r="R440" s="43">
        <v>4.1000000000000002E-2</v>
      </c>
      <c r="S440" s="43">
        <v>6</v>
      </c>
      <c r="T440" s="43">
        <f t="shared" si="42"/>
        <v>15339.646139999999</v>
      </c>
      <c r="U440" s="33">
        <f t="shared" si="43"/>
        <v>2115.8999999999996</v>
      </c>
      <c r="V440" s="43">
        <f t="shared" si="46"/>
        <v>13223.746139999999</v>
      </c>
      <c r="W440" s="45">
        <f t="shared" si="47"/>
        <v>0.86206331093371624</v>
      </c>
    </row>
    <row r="441" spans="1:23" x14ac:dyDescent="0.3">
      <c r="A441" s="34" t="s">
        <v>981</v>
      </c>
      <c r="B441" s="35">
        <v>45063</v>
      </c>
      <c r="C441" s="36">
        <v>45080</v>
      </c>
      <c r="D441" s="37">
        <f t="shared" si="48"/>
        <v>17</v>
      </c>
      <c r="E441" s="37" t="str">
        <f>TEXT(Data!B441,"MMM-YYYY")</f>
        <v>May-2023</v>
      </c>
      <c r="F441" s="37" t="str">
        <f t="shared" si="44"/>
        <v>Q2-2023</v>
      </c>
      <c r="G441" s="32" t="s">
        <v>45</v>
      </c>
      <c r="H441" s="32" t="s">
        <v>116</v>
      </c>
      <c r="I441" s="32" t="s">
        <v>338</v>
      </c>
      <c r="J441" s="32" t="s">
        <v>39</v>
      </c>
      <c r="K441" s="32" t="s">
        <v>55</v>
      </c>
      <c r="L441" s="32" t="s">
        <v>110</v>
      </c>
      <c r="M441" s="32" t="s">
        <v>30</v>
      </c>
      <c r="N441" s="32" t="s">
        <v>982</v>
      </c>
      <c r="O441" s="37">
        <v>979.59</v>
      </c>
      <c r="P441" s="38" t="str">
        <f t="shared" si="45"/>
        <v>High</v>
      </c>
      <c r="Q441" s="37">
        <v>2210.94</v>
      </c>
      <c r="R441" s="37">
        <v>0.15</v>
      </c>
      <c r="S441" s="37">
        <v>11</v>
      </c>
      <c r="T441" s="37">
        <f t="shared" si="42"/>
        <v>5497.3325000000004</v>
      </c>
      <c r="U441" s="32">
        <f t="shared" si="43"/>
        <v>10775.49</v>
      </c>
      <c r="V441" s="37">
        <f t="shared" si="46"/>
        <v>-5278.1574999999993</v>
      </c>
      <c r="W441" s="39">
        <f t="shared" si="47"/>
        <v>-0.96013066337173514</v>
      </c>
    </row>
    <row r="442" spans="1:23" x14ac:dyDescent="0.3">
      <c r="A442" s="40" t="s">
        <v>983</v>
      </c>
      <c r="B442" s="41">
        <v>45374</v>
      </c>
      <c r="C442" s="42">
        <v>45377</v>
      </c>
      <c r="D442" s="43">
        <f t="shared" si="48"/>
        <v>3</v>
      </c>
      <c r="E442" s="43" t="str">
        <f>TEXT(Data!B442,"MMM-YYYY")</f>
        <v>Mar-2024</v>
      </c>
      <c r="F442" s="43" t="str">
        <f t="shared" si="44"/>
        <v>Q1-2024</v>
      </c>
      <c r="G442" s="33" t="s">
        <v>45</v>
      </c>
      <c r="H442" s="33" t="s">
        <v>60</v>
      </c>
      <c r="I442" s="33" t="s">
        <v>61</v>
      </c>
      <c r="J442" s="33" t="s">
        <v>27</v>
      </c>
      <c r="K442" s="33" t="s">
        <v>98</v>
      </c>
      <c r="L442" s="33" t="s">
        <v>41</v>
      </c>
      <c r="M442" s="33" t="s">
        <v>42</v>
      </c>
      <c r="N442" s="33" t="s">
        <v>984</v>
      </c>
      <c r="O442" s="43">
        <v>382.21</v>
      </c>
      <c r="P442" s="44" t="str">
        <f t="shared" si="45"/>
        <v>High</v>
      </c>
      <c r="Q442" s="43">
        <v>571.89</v>
      </c>
      <c r="R442" s="43">
        <v>0.14799999999999999</v>
      </c>
      <c r="S442" s="43">
        <v>26</v>
      </c>
      <c r="T442" s="43">
        <f t="shared" si="42"/>
        <v>48582.215760000006</v>
      </c>
      <c r="U442" s="33">
        <f t="shared" si="43"/>
        <v>9937.4599999999991</v>
      </c>
      <c r="V442" s="43">
        <f t="shared" si="46"/>
        <v>38644.755760000007</v>
      </c>
      <c r="W442" s="45">
        <f t="shared" si="47"/>
        <v>0.79545066348781124</v>
      </c>
    </row>
    <row r="443" spans="1:23" x14ac:dyDescent="0.3">
      <c r="A443" s="34" t="s">
        <v>985</v>
      </c>
      <c r="B443" s="35">
        <v>45189</v>
      </c>
      <c r="C443" s="36">
        <v>45197</v>
      </c>
      <c r="D443" s="37">
        <f t="shared" si="48"/>
        <v>8</v>
      </c>
      <c r="E443" s="37" t="str">
        <f>TEXT(Data!B443,"MMM-YYYY")</f>
        <v>Sep-2023</v>
      </c>
      <c r="F443" s="37" t="str">
        <f t="shared" si="44"/>
        <v>Q3-2023</v>
      </c>
      <c r="G443" s="32" t="s">
        <v>45</v>
      </c>
      <c r="H443" s="32" t="s">
        <v>60</v>
      </c>
      <c r="I443" s="32" t="s">
        <v>1364</v>
      </c>
      <c r="J443" s="32" t="s">
        <v>19</v>
      </c>
      <c r="K443" s="32" t="s">
        <v>1364</v>
      </c>
      <c r="L443" s="32" t="s">
        <v>56</v>
      </c>
      <c r="M443" s="32" t="s">
        <v>81</v>
      </c>
      <c r="N443" s="32" t="s">
        <v>986</v>
      </c>
      <c r="O443" s="37">
        <v>1362.06</v>
      </c>
      <c r="P443" s="38" t="str">
        <f t="shared" si="45"/>
        <v>High</v>
      </c>
      <c r="Q443" s="37">
        <v>3398.37</v>
      </c>
      <c r="R443" s="37">
        <v>0.157</v>
      </c>
      <c r="S443" s="37">
        <v>11</v>
      </c>
      <c r="T443" s="37">
        <f t="shared" si="42"/>
        <v>20287.469400000002</v>
      </c>
      <c r="U443" s="32">
        <f t="shared" si="43"/>
        <v>14982.66</v>
      </c>
      <c r="V443" s="37">
        <f t="shared" si="46"/>
        <v>5304.8094000000019</v>
      </c>
      <c r="W443" s="39">
        <f t="shared" si="47"/>
        <v>0.26148206537775487</v>
      </c>
    </row>
    <row r="444" spans="1:23" x14ac:dyDescent="0.3">
      <c r="A444" s="40" t="s">
        <v>987</v>
      </c>
      <c r="B444" s="41">
        <v>45526</v>
      </c>
      <c r="C444" s="42">
        <v>45539</v>
      </c>
      <c r="D444" s="43">
        <f t="shared" si="48"/>
        <v>13</v>
      </c>
      <c r="E444" s="43" t="str">
        <f>TEXT(Data!B444,"MMM-YYYY")</f>
        <v>Aug-2024</v>
      </c>
      <c r="F444" s="43" t="str">
        <f t="shared" si="44"/>
        <v>Q3-2024</v>
      </c>
      <c r="G444" s="33" t="s">
        <v>78</v>
      </c>
      <c r="H444" s="33" t="s">
        <v>79</v>
      </c>
      <c r="I444" s="33" t="s">
        <v>335</v>
      </c>
      <c r="J444" s="33" t="s">
        <v>39</v>
      </c>
      <c r="K444" s="33" t="s">
        <v>20</v>
      </c>
      <c r="L444" s="33" t="s">
        <v>49</v>
      </c>
      <c r="M444" s="33" t="s">
        <v>30</v>
      </c>
      <c r="N444" s="33" t="s">
        <v>988</v>
      </c>
      <c r="O444" s="43">
        <v>90.04</v>
      </c>
      <c r="P444" s="44" t="str">
        <f t="shared" si="45"/>
        <v>Medium</v>
      </c>
      <c r="Q444" s="43">
        <v>194.62</v>
      </c>
      <c r="R444" s="43">
        <v>4.2999999999999997E-2</v>
      </c>
      <c r="S444" s="43">
        <v>32</v>
      </c>
      <c r="T444" s="43">
        <f t="shared" si="42"/>
        <v>30688.61664</v>
      </c>
      <c r="U444" s="33">
        <f t="shared" si="43"/>
        <v>2881.28</v>
      </c>
      <c r="V444" s="43">
        <f t="shared" si="46"/>
        <v>27807.336640000001</v>
      </c>
      <c r="W444" s="45">
        <f t="shared" si="47"/>
        <v>0.90611241836673417</v>
      </c>
    </row>
    <row r="445" spans="1:23" x14ac:dyDescent="0.3">
      <c r="A445" s="34" t="s">
        <v>989</v>
      </c>
      <c r="B445" s="35">
        <v>45560</v>
      </c>
      <c r="C445" s="36">
        <v>45568</v>
      </c>
      <c r="D445" s="37">
        <f t="shared" si="48"/>
        <v>8</v>
      </c>
      <c r="E445" s="37" t="str">
        <f>TEXT(Data!B445,"MMM-YYYY")</f>
        <v>Sep-2024</v>
      </c>
      <c r="F445" s="37" t="str">
        <f t="shared" si="44"/>
        <v>Q3-2024</v>
      </c>
      <c r="G445" s="32" t="s">
        <v>52</v>
      </c>
      <c r="H445" s="32" t="s">
        <v>53</v>
      </c>
      <c r="I445" s="32" t="s">
        <v>54</v>
      </c>
      <c r="J445" s="32" t="s">
        <v>48</v>
      </c>
      <c r="K445" s="32" t="s">
        <v>28</v>
      </c>
      <c r="L445" s="32" t="s">
        <v>63</v>
      </c>
      <c r="M445" s="32" t="s">
        <v>30</v>
      </c>
      <c r="N445" s="32" t="s">
        <v>990</v>
      </c>
      <c r="O445" s="37">
        <v>558.19000000000005</v>
      </c>
      <c r="P445" s="38" t="str">
        <f t="shared" si="45"/>
        <v>High</v>
      </c>
      <c r="Q445" s="37">
        <v>1031.6400000000001</v>
      </c>
      <c r="R445" s="37">
        <v>0</v>
      </c>
      <c r="S445" s="37">
        <v>21</v>
      </c>
      <c r="T445" s="37">
        <f t="shared" si="42"/>
        <v>19189.38</v>
      </c>
      <c r="U445" s="32">
        <f t="shared" si="43"/>
        <v>11721.990000000002</v>
      </c>
      <c r="V445" s="37">
        <f t="shared" si="46"/>
        <v>7467.3899999999994</v>
      </c>
      <c r="W445" s="39">
        <f t="shared" si="47"/>
        <v>0.3891418065617544</v>
      </c>
    </row>
    <row r="446" spans="1:23" x14ac:dyDescent="0.3">
      <c r="A446" s="40" t="s">
        <v>991</v>
      </c>
      <c r="B446" s="41">
        <v>45090</v>
      </c>
      <c r="C446" s="42">
        <v>45101</v>
      </c>
      <c r="D446" s="43">
        <f t="shared" si="48"/>
        <v>11</v>
      </c>
      <c r="E446" s="43" t="str">
        <f>TEXT(Data!B446,"MMM-YYYY")</f>
        <v>Jun-2023</v>
      </c>
      <c r="F446" s="43" t="str">
        <f t="shared" si="44"/>
        <v>Q2-2023</v>
      </c>
      <c r="G446" s="33" t="s">
        <v>52</v>
      </c>
      <c r="H446" s="33" t="s">
        <v>53</v>
      </c>
      <c r="I446" s="33" t="s">
        <v>54</v>
      </c>
      <c r="J446" s="33" t="s">
        <v>19</v>
      </c>
      <c r="K446" s="33" t="s">
        <v>28</v>
      </c>
      <c r="L446" s="33" t="s">
        <v>21</v>
      </c>
      <c r="M446" s="33" t="s">
        <v>30</v>
      </c>
      <c r="N446" s="33" t="s">
        <v>992</v>
      </c>
      <c r="O446" s="43">
        <v>247.07</v>
      </c>
      <c r="P446" s="44" t="str">
        <f t="shared" si="45"/>
        <v>High</v>
      </c>
      <c r="Q446" s="43">
        <v>495.19</v>
      </c>
      <c r="R446" s="43">
        <v>2.8000000000000001E-2</v>
      </c>
      <c r="S446" s="43">
        <v>4</v>
      </c>
      <c r="T446" s="43">
        <f t="shared" si="42"/>
        <v>7167.5668799999994</v>
      </c>
      <c r="U446" s="33">
        <f t="shared" si="43"/>
        <v>988.28</v>
      </c>
      <c r="V446" s="43">
        <f t="shared" si="46"/>
        <v>6179.2868799999997</v>
      </c>
      <c r="W446" s="45">
        <f t="shared" si="47"/>
        <v>0.86211778466167588</v>
      </c>
    </row>
    <row r="447" spans="1:23" x14ac:dyDescent="0.3">
      <c r="A447" s="34" t="s">
        <v>993</v>
      </c>
      <c r="B447" s="35">
        <v>45284</v>
      </c>
      <c r="C447" s="36">
        <v>45304</v>
      </c>
      <c r="D447" s="37">
        <f t="shared" si="48"/>
        <v>20</v>
      </c>
      <c r="E447" s="37" t="str">
        <f>TEXT(Data!B447,"MMM-YYYY")</f>
        <v>Dec-2023</v>
      </c>
      <c r="F447" s="37" t="str">
        <f t="shared" si="44"/>
        <v>Q4-2023</v>
      </c>
      <c r="G447" s="32" t="s">
        <v>45</v>
      </c>
      <c r="H447" s="32" t="s">
        <v>46</v>
      </c>
      <c r="I447" s="32" t="s">
        <v>231</v>
      </c>
      <c r="J447" s="32" t="s">
        <v>27</v>
      </c>
      <c r="K447" s="32" t="s">
        <v>98</v>
      </c>
      <c r="L447" s="32" t="s">
        <v>56</v>
      </c>
      <c r="M447" s="32" t="s">
        <v>57</v>
      </c>
      <c r="N447" s="32" t="s">
        <v>994</v>
      </c>
      <c r="O447" s="37">
        <v>625.37</v>
      </c>
      <c r="P447" s="38" t="str">
        <f t="shared" si="45"/>
        <v>High</v>
      </c>
      <c r="Q447" s="37">
        <v>1319.04</v>
      </c>
      <c r="R447" s="37">
        <v>7.3999999999999996E-2</v>
      </c>
      <c r="S447" s="37">
        <v>8</v>
      </c>
      <c r="T447" s="37">
        <f t="shared" si="42"/>
        <v>10249.7088</v>
      </c>
      <c r="U447" s="32">
        <f t="shared" si="43"/>
        <v>5002.96</v>
      </c>
      <c r="V447" s="37">
        <f t="shared" si="46"/>
        <v>5246.7488000000003</v>
      </c>
      <c r="W447" s="39">
        <f t="shared" si="47"/>
        <v>0.51189247444766428</v>
      </c>
    </row>
    <row r="448" spans="1:23" x14ac:dyDescent="0.3">
      <c r="A448" s="40" t="s">
        <v>995</v>
      </c>
      <c r="B448" s="41">
        <v>45746</v>
      </c>
      <c r="C448" s="42">
        <v>45776</v>
      </c>
      <c r="D448" s="43">
        <f t="shared" si="48"/>
        <v>30</v>
      </c>
      <c r="E448" s="43" t="str">
        <f>TEXT(Data!B448,"MMM-YYYY")</f>
        <v>Mar-2025</v>
      </c>
      <c r="F448" s="43" t="str">
        <f t="shared" si="44"/>
        <v>Q1-2025</v>
      </c>
      <c r="G448" s="33" t="s">
        <v>16</v>
      </c>
      <c r="H448" s="33" t="s">
        <v>148</v>
      </c>
      <c r="I448" s="33" t="s">
        <v>172</v>
      </c>
      <c r="J448" s="33" t="s">
        <v>48</v>
      </c>
      <c r="K448" s="33" t="s">
        <v>40</v>
      </c>
      <c r="L448" s="33" t="s">
        <v>29</v>
      </c>
      <c r="M448" s="33" t="s">
        <v>64</v>
      </c>
      <c r="N448" s="33" t="s">
        <v>996</v>
      </c>
      <c r="O448" s="43">
        <v>194.6</v>
      </c>
      <c r="P448" s="44" t="str">
        <f t="shared" si="45"/>
        <v>High</v>
      </c>
      <c r="Q448" s="43">
        <v>314.87</v>
      </c>
      <c r="R448" s="43">
        <v>0.29299999999999998</v>
      </c>
      <c r="S448" s="43">
        <v>25</v>
      </c>
      <c r="T448" s="43">
        <f t="shared" si="42"/>
        <v>28077.267750000003</v>
      </c>
      <c r="U448" s="33">
        <f t="shared" si="43"/>
        <v>4865</v>
      </c>
      <c r="V448" s="43">
        <f t="shared" si="46"/>
        <v>23212.267750000003</v>
      </c>
      <c r="W448" s="45">
        <f t="shared" si="47"/>
        <v>0.82672815448718295</v>
      </c>
    </row>
    <row r="449" spans="1:23" x14ac:dyDescent="0.3">
      <c r="A449" s="34" t="s">
        <v>997</v>
      </c>
      <c r="B449" s="35">
        <v>45446</v>
      </c>
      <c r="C449" s="36">
        <v>45467</v>
      </c>
      <c r="D449" s="37">
        <f t="shared" si="48"/>
        <v>21</v>
      </c>
      <c r="E449" s="37" t="str">
        <f>TEXT(Data!B449,"MMM-YYYY")</f>
        <v>Jun-2024</v>
      </c>
      <c r="F449" s="37" t="str">
        <f t="shared" si="44"/>
        <v>Q2-2024</v>
      </c>
      <c r="G449" s="32" t="s">
        <v>52</v>
      </c>
      <c r="H449" s="32" t="s">
        <v>53</v>
      </c>
      <c r="I449" s="32" t="s">
        <v>54</v>
      </c>
      <c r="J449" s="32" t="s">
        <v>62</v>
      </c>
      <c r="K449" s="32" t="s">
        <v>98</v>
      </c>
      <c r="L449" s="32" t="s">
        <v>41</v>
      </c>
      <c r="M449" s="32" t="s">
        <v>64</v>
      </c>
      <c r="N449" s="32" t="s">
        <v>998</v>
      </c>
      <c r="O449" s="37">
        <v>1205.5</v>
      </c>
      <c r="P449" s="38" t="str">
        <f t="shared" si="45"/>
        <v>High</v>
      </c>
      <c r="Q449" s="37">
        <v>2210.17</v>
      </c>
      <c r="R449" s="37">
        <v>0.104</v>
      </c>
      <c r="S449" s="37">
        <v>23</v>
      </c>
      <c r="T449" s="37">
        <f t="shared" ref="T449:T512" si="49">(Q475*S449)*(1-R449)</f>
        <v>27698.182399999998</v>
      </c>
      <c r="U449" s="32">
        <f t="shared" ref="U449:U512" si="50">(O449*S449)</f>
        <v>27726.5</v>
      </c>
      <c r="V449" s="37">
        <f t="shared" si="46"/>
        <v>-28.31760000000213</v>
      </c>
      <c r="W449" s="39">
        <f t="shared" si="47"/>
        <v>-1.0223631136172362E-3</v>
      </c>
    </row>
    <row r="450" spans="1:23" x14ac:dyDescent="0.3">
      <c r="A450" s="40" t="s">
        <v>999</v>
      </c>
      <c r="B450" s="41">
        <v>45454</v>
      </c>
      <c r="C450" s="42">
        <v>45482</v>
      </c>
      <c r="D450" s="43">
        <f t="shared" si="48"/>
        <v>28</v>
      </c>
      <c r="E450" s="43" t="str">
        <f>TEXT(Data!B450,"MMM-YYYY")</f>
        <v>Jun-2024</v>
      </c>
      <c r="F450" s="43" t="str">
        <f t="shared" ref="F450:F513" si="51">"Q"&amp;ROUNDUP(MONTH(B450)/3,0)&amp;"-"&amp;YEAR(B450)</f>
        <v>Q2-2024</v>
      </c>
      <c r="G450" s="33" t="s">
        <v>16</v>
      </c>
      <c r="H450" s="33" t="s">
        <v>25</v>
      </c>
      <c r="I450" s="33" t="s">
        <v>26</v>
      </c>
      <c r="J450" s="33" t="s">
        <v>19</v>
      </c>
      <c r="K450" s="33" t="s">
        <v>40</v>
      </c>
      <c r="L450" s="33" t="s">
        <v>34</v>
      </c>
      <c r="M450" s="33" t="s">
        <v>42</v>
      </c>
      <c r="N450" s="33" t="s">
        <v>1000</v>
      </c>
      <c r="O450" s="43">
        <v>895.54</v>
      </c>
      <c r="P450" s="44" t="str">
        <f t="shared" ref="P450:P513" si="52">IF(Q450&lt;50, "Low", IF(Q450&lt;200, "Medium", "High"))</f>
        <v>High</v>
      </c>
      <c r="Q450" s="43">
        <v>1045</v>
      </c>
      <c r="R450" s="43">
        <v>0.216</v>
      </c>
      <c r="S450" s="43">
        <v>15</v>
      </c>
      <c r="T450" s="43">
        <f t="shared" si="49"/>
        <v>15173.8104</v>
      </c>
      <c r="U450" s="33">
        <f t="shared" si="50"/>
        <v>13433.099999999999</v>
      </c>
      <c r="V450" s="43">
        <f t="shared" ref="V450:V513" si="53">(T450-U450)</f>
        <v>1740.7104000000018</v>
      </c>
      <c r="W450" s="45">
        <f t="shared" ref="W450:W513" si="54">IF(T450=0, 0, V450/T450)</f>
        <v>0.11471808030499721</v>
      </c>
    </row>
    <row r="451" spans="1:23" x14ac:dyDescent="0.3">
      <c r="A451" s="34" t="s">
        <v>1001</v>
      </c>
      <c r="B451" s="35">
        <v>45129</v>
      </c>
      <c r="C451" s="36">
        <v>45128</v>
      </c>
      <c r="D451" s="37">
        <f>DATEDIF(C451,B451, "MD")</f>
        <v>1</v>
      </c>
      <c r="E451" s="37" t="str">
        <f>TEXT(Data!B451,"MMM-YYYY")</f>
        <v>Jul-2023</v>
      </c>
      <c r="F451" s="37" t="str">
        <f t="shared" si="51"/>
        <v>Q3-2023</v>
      </c>
      <c r="G451" s="32" t="s">
        <v>45</v>
      </c>
      <c r="H451" s="32" t="s">
        <v>60</v>
      </c>
      <c r="I451" s="32" t="s">
        <v>141</v>
      </c>
      <c r="J451" s="32" t="s">
        <v>62</v>
      </c>
      <c r="K451" s="32" t="s">
        <v>55</v>
      </c>
      <c r="L451" s="32" t="s">
        <v>63</v>
      </c>
      <c r="M451" s="32" t="s">
        <v>30</v>
      </c>
      <c r="N451" s="32" t="s">
        <v>1002</v>
      </c>
      <c r="O451" s="37">
        <v>946.99</v>
      </c>
      <c r="P451" s="38" t="str">
        <f t="shared" si="52"/>
        <v>High</v>
      </c>
      <c r="Q451" s="37">
        <v>2132.19</v>
      </c>
      <c r="R451" s="37">
        <v>0.16500000000000001</v>
      </c>
      <c r="S451" s="37">
        <v>7</v>
      </c>
      <c r="T451" s="37">
        <f t="shared" si="49"/>
        <v>1295.1351000000002</v>
      </c>
      <c r="U451" s="32">
        <f t="shared" si="50"/>
        <v>6628.93</v>
      </c>
      <c r="V451" s="37">
        <f t="shared" si="53"/>
        <v>-5333.7948999999999</v>
      </c>
      <c r="W451" s="39">
        <f t="shared" si="54"/>
        <v>-4.1183308984522151</v>
      </c>
    </row>
    <row r="452" spans="1:23" x14ac:dyDescent="0.3">
      <c r="A452" s="40" t="s">
        <v>1003</v>
      </c>
      <c r="B452" s="41">
        <v>44945</v>
      </c>
      <c r="C452" s="42">
        <v>44960</v>
      </c>
      <c r="D452" s="43">
        <f t="shared" ref="D452:D515" si="55">DATEDIF(B452,C452, "MD")</f>
        <v>15</v>
      </c>
      <c r="E452" s="43" t="str">
        <f>TEXT(Data!B452,"MMM-YYYY")</f>
        <v>Jan-2023</v>
      </c>
      <c r="F452" s="43" t="str">
        <f t="shared" si="51"/>
        <v>Q1-2023</v>
      </c>
      <c r="G452" s="33" t="s">
        <v>78</v>
      </c>
      <c r="H452" s="33" t="s">
        <v>108</v>
      </c>
      <c r="I452" s="33" t="s">
        <v>152</v>
      </c>
      <c r="J452" s="33" t="s">
        <v>105</v>
      </c>
      <c r="K452" s="33" t="s">
        <v>55</v>
      </c>
      <c r="L452" s="33" t="s">
        <v>41</v>
      </c>
      <c r="M452" s="33" t="s">
        <v>81</v>
      </c>
      <c r="N452" s="33" t="s">
        <v>1004</v>
      </c>
      <c r="O452" s="43">
        <v>873.06</v>
      </c>
      <c r="P452" s="44" t="str">
        <f t="shared" si="52"/>
        <v>High</v>
      </c>
      <c r="Q452" s="43">
        <v>2101.5500000000002</v>
      </c>
      <c r="R452" s="43">
        <v>6.6000000000000003E-2</v>
      </c>
      <c r="S452" s="43">
        <v>10</v>
      </c>
      <c r="T452" s="43">
        <f t="shared" si="49"/>
        <v>3365.5755999999997</v>
      </c>
      <c r="U452" s="33">
        <f t="shared" si="50"/>
        <v>8730.5999999999985</v>
      </c>
      <c r="V452" s="43">
        <f t="shared" si="53"/>
        <v>-5365.0243999999984</v>
      </c>
      <c r="W452" s="45">
        <f t="shared" si="54"/>
        <v>-1.5940882148064062</v>
      </c>
    </row>
    <row r="453" spans="1:23" x14ac:dyDescent="0.3">
      <c r="A453" s="34" t="s">
        <v>1005</v>
      </c>
      <c r="B453" s="35">
        <v>45413</v>
      </c>
      <c r="C453" s="36">
        <v>45428</v>
      </c>
      <c r="D453" s="37">
        <f t="shared" si="55"/>
        <v>15</v>
      </c>
      <c r="E453" s="37" t="str">
        <f>TEXT(Data!B453,"MMM-YYYY")</f>
        <v>May-2024</v>
      </c>
      <c r="F453" s="37" t="str">
        <f t="shared" si="51"/>
        <v>Q2-2024</v>
      </c>
      <c r="G453" s="32" t="s">
        <v>45</v>
      </c>
      <c r="H453" s="32" t="s">
        <v>60</v>
      </c>
      <c r="I453" s="32" t="s">
        <v>61</v>
      </c>
      <c r="J453" s="32" t="s">
        <v>62</v>
      </c>
      <c r="K453" s="32" t="s">
        <v>20</v>
      </c>
      <c r="L453" s="32" t="s">
        <v>49</v>
      </c>
      <c r="M453" s="32" t="s">
        <v>22</v>
      </c>
      <c r="N453" s="32" t="s">
        <v>1006</v>
      </c>
      <c r="O453" s="37">
        <v>901.19</v>
      </c>
      <c r="P453" s="38" t="str">
        <f t="shared" si="52"/>
        <v>High</v>
      </c>
      <c r="Q453" s="37">
        <v>2125.44</v>
      </c>
      <c r="R453" s="37">
        <v>7.0999999999999994E-2</v>
      </c>
      <c r="S453" s="37">
        <v>12</v>
      </c>
      <c r="T453" s="37">
        <f t="shared" si="49"/>
        <v>28380.689880000002</v>
      </c>
      <c r="U453" s="32">
        <f t="shared" si="50"/>
        <v>10814.28</v>
      </c>
      <c r="V453" s="37">
        <f t="shared" si="53"/>
        <v>17566.409879999999</v>
      </c>
      <c r="W453" s="39">
        <f t="shared" si="54"/>
        <v>0.61895640853956568</v>
      </c>
    </row>
    <row r="454" spans="1:23" x14ac:dyDescent="0.3">
      <c r="A454" s="40" t="s">
        <v>1007</v>
      </c>
      <c r="B454" s="41">
        <v>45817</v>
      </c>
      <c r="C454" s="42">
        <v>45832</v>
      </c>
      <c r="D454" s="43">
        <f t="shared" si="55"/>
        <v>15</v>
      </c>
      <c r="E454" s="43" t="str">
        <f>TEXT(Data!B454,"MMM-YYYY")</f>
        <v>Jun-2025</v>
      </c>
      <c r="F454" s="43" t="str">
        <f t="shared" si="51"/>
        <v>Q2-2025</v>
      </c>
      <c r="G454" s="33" t="s">
        <v>45</v>
      </c>
      <c r="H454" s="33" t="s">
        <v>46</v>
      </c>
      <c r="I454" s="33" t="s">
        <v>231</v>
      </c>
      <c r="J454" s="33" t="s">
        <v>19</v>
      </c>
      <c r="K454" s="33" t="s">
        <v>98</v>
      </c>
      <c r="L454" s="33" t="s">
        <v>56</v>
      </c>
      <c r="M454" s="33" t="s">
        <v>42</v>
      </c>
      <c r="N454" s="33" t="s">
        <v>1008</v>
      </c>
      <c r="O454" s="43">
        <v>400.39</v>
      </c>
      <c r="P454" s="44" t="str">
        <f t="shared" si="52"/>
        <v>High</v>
      </c>
      <c r="Q454" s="43">
        <v>712.75</v>
      </c>
      <c r="R454" s="43">
        <v>0.115</v>
      </c>
      <c r="S454" s="43">
        <v>19</v>
      </c>
      <c r="T454" s="43">
        <f t="shared" si="49"/>
        <v>11761.58805</v>
      </c>
      <c r="U454" s="33">
        <f t="shared" si="50"/>
        <v>7607.41</v>
      </c>
      <c r="V454" s="43">
        <f t="shared" si="53"/>
        <v>4154.1780500000004</v>
      </c>
      <c r="W454" s="45">
        <f t="shared" si="54"/>
        <v>0.35319873747831187</v>
      </c>
    </row>
    <row r="455" spans="1:23" x14ac:dyDescent="0.3">
      <c r="A455" s="34" t="s">
        <v>1009</v>
      </c>
      <c r="B455" s="35">
        <v>45070</v>
      </c>
      <c r="C455" s="36">
        <v>45098</v>
      </c>
      <c r="D455" s="37">
        <f t="shared" si="55"/>
        <v>28</v>
      </c>
      <c r="E455" s="37" t="str">
        <f>TEXT(Data!B455,"MMM-YYYY")</f>
        <v>May-2023</v>
      </c>
      <c r="F455" s="37" t="str">
        <f t="shared" si="51"/>
        <v>Q2-2023</v>
      </c>
      <c r="G455" s="32" t="s">
        <v>52</v>
      </c>
      <c r="H455" s="32" t="s">
        <v>122</v>
      </c>
      <c r="I455" s="32" t="s">
        <v>326</v>
      </c>
      <c r="J455" s="32" t="s">
        <v>62</v>
      </c>
      <c r="K455" s="32" t="s">
        <v>40</v>
      </c>
      <c r="L455" s="32" t="s">
        <v>41</v>
      </c>
      <c r="M455" s="32" t="s">
        <v>64</v>
      </c>
      <c r="N455" s="32" t="s">
        <v>1010</v>
      </c>
      <c r="O455" s="37">
        <v>813.97</v>
      </c>
      <c r="P455" s="38" t="str">
        <f t="shared" si="52"/>
        <v>High</v>
      </c>
      <c r="Q455" s="37">
        <v>1568.83</v>
      </c>
      <c r="R455" s="37">
        <v>1.7000000000000001E-2</v>
      </c>
      <c r="S455" s="37">
        <v>15</v>
      </c>
      <c r="T455" s="37">
        <f t="shared" si="49"/>
        <v>40381.984049999999</v>
      </c>
      <c r="U455" s="32">
        <f t="shared" si="50"/>
        <v>12209.550000000001</v>
      </c>
      <c r="V455" s="37">
        <f t="shared" si="53"/>
        <v>28172.434049999996</v>
      </c>
      <c r="W455" s="39">
        <f t="shared" si="54"/>
        <v>0.69764858544636066</v>
      </c>
    </row>
    <row r="456" spans="1:23" x14ac:dyDescent="0.3">
      <c r="A456" s="40" t="s">
        <v>1011</v>
      </c>
      <c r="B456" s="41">
        <v>45653</v>
      </c>
      <c r="C456" s="42">
        <v>45655</v>
      </c>
      <c r="D456" s="43">
        <f t="shared" si="55"/>
        <v>2</v>
      </c>
      <c r="E456" s="43" t="str">
        <f>TEXT(Data!B456,"MMM-YYYY")</f>
        <v>Dec-2024</v>
      </c>
      <c r="F456" s="43" t="str">
        <f t="shared" si="51"/>
        <v>Q4-2024</v>
      </c>
      <c r="G456" s="33" t="s">
        <v>52</v>
      </c>
      <c r="H456" s="33" t="s">
        <v>53</v>
      </c>
      <c r="I456" s="33" t="s">
        <v>179</v>
      </c>
      <c r="J456" s="33" t="s">
        <v>105</v>
      </c>
      <c r="K456" s="33" t="s">
        <v>40</v>
      </c>
      <c r="L456" s="33" t="s">
        <v>21</v>
      </c>
      <c r="M456" s="33" t="s">
        <v>81</v>
      </c>
      <c r="N456" s="33" t="s">
        <v>1012</v>
      </c>
      <c r="O456" s="43">
        <v>1146.72</v>
      </c>
      <c r="P456" s="44" t="str">
        <f t="shared" si="52"/>
        <v>High</v>
      </c>
      <c r="Q456" s="43">
        <v>2074.34</v>
      </c>
      <c r="R456" s="43">
        <v>0.111</v>
      </c>
      <c r="S456" s="43">
        <v>8</v>
      </c>
      <c r="T456" s="43">
        <f t="shared" si="49"/>
        <v>674.07536000000005</v>
      </c>
      <c r="U456" s="33">
        <f t="shared" si="50"/>
        <v>9173.76</v>
      </c>
      <c r="V456" s="43">
        <f t="shared" si="53"/>
        <v>-8499.6846399999995</v>
      </c>
      <c r="W456" s="45">
        <f t="shared" si="54"/>
        <v>-12.60939821327989</v>
      </c>
    </row>
    <row r="457" spans="1:23" x14ac:dyDescent="0.3">
      <c r="A457" s="34" t="s">
        <v>1013</v>
      </c>
      <c r="B457" s="35">
        <v>45265</v>
      </c>
      <c r="C457" s="36">
        <v>45272</v>
      </c>
      <c r="D457" s="37">
        <f t="shared" si="55"/>
        <v>7</v>
      </c>
      <c r="E457" s="37" t="str">
        <f>TEXT(Data!B457,"MMM-YYYY")</f>
        <v>Dec-2023</v>
      </c>
      <c r="F457" s="37" t="str">
        <f t="shared" si="51"/>
        <v>Q4-2023</v>
      </c>
      <c r="G457" s="32" t="s">
        <v>52</v>
      </c>
      <c r="H457" s="32" t="s">
        <v>73</v>
      </c>
      <c r="I457" s="32" t="s">
        <v>87</v>
      </c>
      <c r="J457" s="32" t="s">
        <v>19</v>
      </c>
      <c r="K457" s="32" t="s">
        <v>98</v>
      </c>
      <c r="L457" s="32" t="s">
        <v>84</v>
      </c>
      <c r="M457" s="32" t="s">
        <v>42</v>
      </c>
      <c r="N457" s="32" t="s">
        <v>1014</v>
      </c>
      <c r="O457" s="37">
        <v>307.43</v>
      </c>
      <c r="P457" s="38" t="str">
        <f t="shared" si="52"/>
        <v>High</v>
      </c>
      <c r="Q457" s="37">
        <v>495.19</v>
      </c>
      <c r="R457" s="37">
        <v>0</v>
      </c>
      <c r="S457" s="37">
        <v>42</v>
      </c>
      <c r="T457" s="37">
        <f t="shared" si="49"/>
        <v>116648.7</v>
      </c>
      <c r="U457" s="32">
        <f t="shared" si="50"/>
        <v>12912.06</v>
      </c>
      <c r="V457" s="37">
        <f t="shared" si="53"/>
        <v>103736.64</v>
      </c>
      <c r="W457" s="39">
        <f t="shared" si="54"/>
        <v>0.88930815345563219</v>
      </c>
    </row>
    <row r="458" spans="1:23" x14ac:dyDescent="0.3">
      <c r="A458" s="40" t="s">
        <v>1015</v>
      </c>
      <c r="B458" s="41">
        <v>45048</v>
      </c>
      <c r="C458" s="42">
        <v>45065</v>
      </c>
      <c r="D458" s="43">
        <f t="shared" si="55"/>
        <v>17</v>
      </c>
      <c r="E458" s="43" t="str">
        <f>TEXT(Data!B458,"MMM-YYYY")</f>
        <v>May-2023</v>
      </c>
      <c r="F458" s="43" t="str">
        <f t="shared" si="51"/>
        <v>Q2-2023</v>
      </c>
      <c r="G458" s="33" t="s">
        <v>45</v>
      </c>
      <c r="H458" s="33" t="s">
        <v>116</v>
      </c>
      <c r="I458" s="33" t="s">
        <v>162</v>
      </c>
      <c r="J458" s="33" t="s">
        <v>39</v>
      </c>
      <c r="K458" s="33" t="s">
        <v>98</v>
      </c>
      <c r="L458" s="33" t="s">
        <v>29</v>
      </c>
      <c r="M458" s="33" t="s">
        <v>64</v>
      </c>
      <c r="N458" s="33" t="s">
        <v>1016</v>
      </c>
      <c r="O458" s="43">
        <v>714.28</v>
      </c>
      <c r="P458" s="44" t="str">
        <f t="shared" si="52"/>
        <v>High</v>
      </c>
      <c r="Q458" s="43">
        <v>757.59</v>
      </c>
      <c r="R458" s="43">
        <v>0.13600000000000001</v>
      </c>
      <c r="S458" s="43">
        <v>12</v>
      </c>
      <c r="T458" s="43">
        <f t="shared" si="49"/>
        <v>5102.9222399999999</v>
      </c>
      <c r="U458" s="33">
        <f t="shared" si="50"/>
        <v>8571.36</v>
      </c>
      <c r="V458" s="43">
        <f t="shared" si="53"/>
        <v>-3468.4377600000007</v>
      </c>
      <c r="W458" s="45">
        <f t="shared" si="54"/>
        <v>-0.67969637726637211</v>
      </c>
    </row>
    <row r="459" spans="1:23" x14ac:dyDescent="0.3">
      <c r="A459" s="34" t="s">
        <v>1017</v>
      </c>
      <c r="B459" s="35">
        <v>45260</v>
      </c>
      <c r="C459" s="36">
        <v>45270</v>
      </c>
      <c r="D459" s="37">
        <f t="shared" si="55"/>
        <v>10</v>
      </c>
      <c r="E459" s="37" t="str">
        <f>TEXT(Data!B459,"MMM-YYYY")</f>
        <v>Nov-2023</v>
      </c>
      <c r="F459" s="37" t="str">
        <f t="shared" si="51"/>
        <v>Q4-2023</v>
      </c>
      <c r="G459" s="32" t="s">
        <v>78</v>
      </c>
      <c r="H459" s="32" t="s">
        <v>79</v>
      </c>
      <c r="I459" s="32" t="s">
        <v>159</v>
      </c>
      <c r="J459" s="32" t="s">
        <v>62</v>
      </c>
      <c r="K459" s="32" t="s">
        <v>98</v>
      </c>
      <c r="L459" s="32" t="s">
        <v>84</v>
      </c>
      <c r="M459" s="32" t="s">
        <v>57</v>
      </c>
      <c r="N459" s="32" t="s">
        <v>1018</v>
      </c>
      <c r="O459" s="37">
        <v>174.74</v>
      </c>
      <c r="P459" s="38" t="str">
        <f t="shared" si="52"/>
        <v>High</v>
      </c>
      <c r="Q459" s="37">
        <v>415.96</v>
      </c>
      <c r="R459" s="37">
        <v>0.125</v>
      </c>
      <c r="S459" s="37">
        <v>21</v>
      </c>
      <c r="T459" s="37">
        <f t="shared" si="49"/>
        <v>35310.318749999999</v>
      </c>
      <c r="U459" s="32">
        <f t="shared" si="50"/>
        <v>3669.54</v>
      </c>
      <c r="V459" s="37">
        <f t="shared" si="53"/>
        <v>31640.778749999998</v>
      </c>
      <c r="W459" s="39">
        <f t="shared" si="54"/>
        <v>0.89607740371927391</v>
      </c>
    </row>
    <row r="460" spans="1:23" x14ac:dyDescent="0.3">
      <c r="A460" s="40" t="s">
        <v>1019</v>
      </c>
      <c r="B460" s="41">
        <v>45417</v>
      </c>
      <c r="C460" s="42">
        <v>45430</v>
      </c>
      <c r="D460" s="43">
        <f t="shared" si="55"/>
        <v>13</v>
      </c>
      <c r="E460" s="43" t="str">
        <f>TEXT(Data!B460,"MMM-YYYY")</f>
        <v>May-2024</v>
      </c>
      <c r="F460" s="43" t="str">
        <f t="shared" si="51"/>
        <v>Q2-2024</v>
      </c>
      <c r="G460" s="33" t="s">
        <v>78</v>
      </c>
      <c r="H460" s="33" t="s">
        <v>90</v>
      </c>
      <c r="I460" s="33" t="s">
        <v>91</v>
      </c>
      <c r="J460" s="33" t="s">
        <v>19</v>
      </c>
      <c r="K460" s="33" t="s">
        <v>40</v>
      </c>
      <c r="L460" s="33" t="s">
        <v>75</v>
      </c>
      <c r="M460" s="33" t="s">
        <v>22</v>
      </c>
      <c r="N460" s="33" t="s">
        <v>1020</v>
      </c>
      <c r="O460" s="43">
        <v>1264.04</v>
      </c>
      <c r="P460" s="44" t="str">
        <f t="shared" si="52"/>
        <v>High</v>
      </c>
      <c r="Q460" s="43">
        <v>1870.89</v>
      </c>
      <c r="R460" s="43">
        <v>0</v>
      </c>
      <c r="S460" s="43">
        <v>13</v>
      </c>
      <c r="T460" s="43">
        <f t="shared" si="49"/>
        <v>3774.29</v>
      </c>
      <c r="U460" s="33">
        <f t="shared" si="50"/>
        <v>16432.52</v>
      </c>
      <c r="V460" s="43">
        <f t="shared" si="53"/>
        <v>-12658.23</v>
      </c>
      <c r="W460" s="45">
        <f t="shared" si="54"/>
        <v>-3.3538042916681019</v>
      </c>
    </row>
    <row r="461" spans="1:23" x14ac:dyDescent="0.3">
      <c r="A461" s="34" t="s">
        <v>1021</v>
      </c>
      <c r="B461" s="35">
        <v>45116</v>
      </c>
      <c r="C461" s="36">
        <v>45126</v>
      </c>
      <c r="D461" s="37">
        <f t="shared" si="55"/>
        <v>10</v>
      </c>
      <c r="E461" s="37" t="str">
        <f>TEXT(Data!B461,"MMM-YYYY")</f>
        <v>Jul-2023</v>
      </c>
      <c r="F461" s="37" t="str">
        <f t="shared" si="51"/>
        <v>Q3-2023</v>
      </c>
      <c r="G461" s="32" t="s">
        <v>45</v>
      </c>
      <c r="H461" s="32" t="s">
        <v>46</v>
      </c>
      <c r="I461" s="32" t="s">
        <v>214</v>
      </c>
      <c r="J461" s="32" t="s">
        <v>105</v>
      </c>
      <c r="K461" s="32" t="s">
        <v>55</v>
      </c>
      <c r="L461" s="32" t="s">
        <v>126</v>
      </c>
      <c r="M461" s="32" t="s">
        <v>22</v>
      </c>
      <c r="N461" s="32" t="s">
        <v>1022</v>
      </c>
      <c r="O461" s="37">
        <v>141.26</v>
      </c>
      <c r="P461" s="38" t="str">
        <f t="shared" si="52"/>
        <v>High</v>
      </c>
      <c r="Q461" s="37">
        <v>206.88</v>
      </c>
      <c r="R461" s="37">
        <v>0.107</v>
      </c>
      <c r="S461" s="37">
        <v>9</v>
      </c>
      <c r="T461" s="37">
        <f t="shared" si="49"/>
        <v>4845.6680399999996</v>
      </c>
      <c r="U461" s="32">
        <f t="shared" si="50"/>
        <v>1271.3399999999999</v>
      </c>
      <c r="V461" s="37">
        <f t="shared" si="53"/>
        <v>3574.3280399999994</v>
      </c>
      <c r="W461" s="39">
        <f t="shared" si="54"/>
        <v>0.737633698902742</v>
      </c>
    </row>
    <row r="462" spans="1:23" x14ac:dyDescent="0.3">
      <c r="A462" s="40" t="s">
        <v>1023</v>
      </c>
      <c r="B462" s="41">
        <v>45063</v>
      </c>
      <c r="C462" s="42">
        <v>45092</v>
      </c>
      <c r="D462" s="43">
        <f t="shared" si="55"/>
        <v>29</v>
      </c>
      <c r="E462" s="43" t="str">
        <f>TEXT(Data!B462,"MMM-YYYY")</f>
        <v>May-2023</v>
      </c>
      <c r="F462" s="43" t="str">
        <f t="shared" si="51"/>
        <v>Q2-2023</v>
      </c>
      <c r="G462" s="33" t="s">
        <v>16</v>
      </c>
      <c r="H462" s="33" t="s">
        <v>148</v>
      </c>
      <c r="I462" s="33" t="s">
        <v>172</v>
      </c>
      <c r="J462" s="33" t="s">
        <v>105</v>
      </c>
      <c r="K462" s="33" t="s">
        <v>20</v>
      </c>
      <c r="L462" s="33" t="s">
        <v>95</v>
      </c>
      <c r="M462" s="33" t="s">
        <v>81</v>
      </c>
      <c r="N462" s="33" t="s">
        <v>1024</v>
      </c>
      <c r="O462" s="43">
        <v>40.89</v>
      </c>
      <c r="P462" s="44" t="str">
        <f t="shared" si="52"/>
        <v>Medium</v>
      </c>
      <c r="Q462" s="43">
        <v>62.82</v>
      </c>
      <c r="R462" s="43">
        <v>0.129</v>
      </c>
      <c r="S462" s="43">
        <v>17</v>
      </c>
      <c r="T462" s="43">
        <f t="shared" si="49"/>
        <v>30761.5425</v>
      </c>
      <c r="U462" s="33">
        <f t="shared" si="50"/>
        <v>695.13</v>
      </c>
      <c r="V462" s="43">
        <f t="shared" si="53"/>
        <v>30066.412499999999</v>
      </c>
      <c r="W462" s="45">
        <f t="shared" si="54"/>
        <v>0.97740262862306071</v>
      </c>
    </row>
    <row r="463" spans="1:23" x14ac:dyDescent="0.3">
      <c r="A463" s="34" t="s">
        <v>1025</v>
      </c>
      <c r="B463" s="35">
        <v>45358</v>
      </c>
      <c r="C463" s="36">
        <v>45385</v>
      </c>
      <c r="D463" s="37">
        <f t="shared" si="55"/>
        <v>27</v>
      </c>
      <c r="E463" s="37" t="str">
        <f>TEXT(Data!B463,"MMM-YYYY")</f>
        <v>Mar-2024</v>
      </c>
      <c r="F463" s="37" t="str">
        <f t="shared" si="51"/>
        <v>Q1-2024</v>
      </c>
      <c r="G463" s="32" t="s">
        <v>78</v>
      </c>
      <c r="H463" s="32" t="s">
        <v>79</v>
      </c>
      <c r="I463" s="32" t="s">
        <v>335</v>
      </c>
      <c r="J463" s="32" t="s">
        <v>19</v>
      </c>
      <c r="K463" s="32" t="s">
        <v>98</v>
      </c>
      <c r="L463" s="32" t="s">
        <v>110</v>
      </c>
      <c r="M463" s="32" t="s">
        <v>30</v>
      </c>
      <c r="N463" s="32" t="s">
        <v>1026</v>
      </c>
      <c r="O463" s="37">
        <v>738.16</v>
      </c>
      <c r="P463" s="38" t="str">
        <f t="shared" si="52"/>
        <v>High</v>
      </c>
      <c r="Q463" s="37">
        <v>956.49</v>
      </c>
      <c r="R463" s="37">
        <v>0.152</v>
      </c>
      <c r="S463" s="37">
        <v>5</v>
      </c>
      <c r="T463" s="37">
        <f t="shared" si="49"/>
        <v>733.01119999999992</v>
      </c>
      <c r="U463" s="32">
        <f t="shared" si="50"/>
        <v>3690.7999999999997</v>
      </c>
      <c r="V463" s="37">
        <f t="shared" si="53"/>
        <v>-2957.7887999999998</v>
      </c>
      <c r="W463" s="39">
        <f t="shared" si="54"/>
        <v>-4.0351208821911593</v>
      </c>
    </row>
    <row r="464" spans="1:23" x14ac:dyDescent="0.3">
      <c r="A464" s="40" t="s">
        <v>1027</v>
      </c>
      <c r="B464" s="41">
        <v>45757</v>
      </c>
      <c r="C464" s="42">
        <v>45766</v>
      </c>
      <c r="D464" s="43">
        <f t="shared" si="55"/>
        <v>9</v>
      </c>
      <c r="E464" s="43" t="str">
        <f>TEXT(Data!B464,"MMM-YYYY")</f>
        <v>Apr-2025</v>
      </c>
      <c r="F464" s="43" t="str">
        <f t="shared" si="51"/>
        <v>Q2-2025</v>
      </c>
      <c r="G464" s="33" t="s">
        <v>16</v>
      </c>
      <c r="H464" s="33" t="s">
        <v>148</v>
      </c>
      <c r="I464" s="33" t="s">
        <v>172</v>
      </c>
      <c r="J464" s="33" t="s">
        <v>105</v>
      </c>
      <c r="K464" s="33" t="s">
        <v>1364</v>
      </c>
      <c r="L464" s="33" t="s">
        <v>41</v>
      </c>
      <c r="M464" s="33" t="s">
        <v>35</v>
      </c>
      <c r="N464" s="33" t="s">
        <v>1028</v>
      </c>
      <c r="O464" s="43">
        <v>113.74</v>
      </c>
      <c r="P464" s="44" t="str">
        <f t="shared" si="52"/>
        <v>Medium</v>
      </c>
      <c r="Q464" s="43">
        <v>165.7</v>
      </c>
      <c r="R464" s="43">
        <v>0.124</v>
      </c>
      <c r="S464" s="43">
        <v>13</v>
      </c>
      <c r="T464" s="43">
        <f t="shared" si="49"/>
        <v>31644.291119999994</v>
      </c>
      <c r="U464" s="33">
        <f t="shared" si="50"/>
        <v>1478.62</v>
      </c>
      <c r="V464" s="43">
        <f t="shared" si="53"/>
        <v>30165.671119999995</v>
      </c>
      <c r="W464" s="45">
        <f t="shared" si="54"/>
        <v>0.95327372022988777</v>
      </c>
    </row>
    <row r="465" spans="1:23" x14ac:dyDescent="0.3">
      <c r="A465" s="34" t="s">
        <v>1029</v>
      </c>
      <c r="B465" s="35">
        <v>45865</v>
      </c>
      <c r="C465" s="36">
        <v>45884</v>
      </c>
      <c r="D465" s="37">
        <f t="shared" si="55"/>
        <v>19</v>
      </c>
      <c r="E465" s="37" t="str">
        <f>TEXT(Data!B465,"MMM-YYYY")</f>
        <v>Jul-2025</v>
      </c>
      <c r="F465" s="37" t="str">
        <f t="shared" si="51"/>
        <v>Q3-2025</v>
      </c>
      <c r="G465" s="32" t="s">
        <v>45</v>
      </c>
      <c r="H465" s="32" t="s">
        <v>46</v>
      </c>
      <c r="I465" s="32" t="s">
        <v>214</v>
      </c>
      <c r="J465" s="32" t="s">
        <v>62</v>
      </c>
      <c r="K465" s="32" t="s">
        <v>40</v>
      </c>
      <c r="L465" s="32" t="s">
        <v>29</v>
      </c>
      <c r="M465" s="32" t="s">
        <v>22</v>
      </c>
      <c r="N465" s="32" t="s">
        <v>1030</v>
      </c>
      <c r="O465" s="37">
        <v>275.43</v>
      </c>
      <c r="P465" s="38" t="str">
        <f t="shared" si="52"/>
        <v>High</v>
      </c>
      <c r="Q465" s="37">
        <v>608.36</v>
      </c>
      <c r="R465" s="37">
        <v>0.25700000000000001</v>
      </c>
      <c r="S465" s="37">
        <v>4</v>
      </c>
      <c r="T465" s="37">
        <f t="shared" si="49"/>
        <v>919.74484000000007</v>
      </c>
      <c r="U465" s="32">
        <f t="shared" si="50"/>
        <v>1101.72</v>
      </c>
      <c r="V465" s="37">
        <f t="shared" si="53"/>
        <v>-181.97515999999996</v>
      </c>
      <c r="W465" s="39">
        <f t="shared" si="54"/>
        <v>-0.19785396132257718</v>
      </c>
    </row>
    <row r="466" spans="1:23" x14ac:dyDescent="0.3">
      <c r="A466" s="40" t="s">
        <v>1031</v>
      </c>
      <c r="B466" s="41">
        <v>45618</v>
      </c>
      <c r="C466" s="42">
        <v>45641</v>
      </c>
      <c r="D466" s="43">
        <f t="shared" si="55"/>
        <v>23</v>
      </c>
      <c r="E466" s="43" t="str">
        <f>TEXT(Data!B466,"MMM-YYYY")</f>
        <v>Nov-2024</v>
      </c>
      <c r="F466" s="43" t="str">
        <f t="shared" si="51"/>
        <v>Q4-2024</v>
      </c>
      <c r="G466" s="33" t="s">
        <v>16</v>
      </c>
      <c r="H466" s="33" t="s">
        <v>17</v>
      </c>
      <c r="I466" s="33" t="s">
        <v>113</v>
      </c>
      <c r="J466" s="33" t="s">
        <v>39</v>
      </c>
      <c r="K466" s="33" t="s">
        <v>55</v>
      </c>
      <c r="L466" s="33" t="s">
        <v>21</v>
      </c>
      <c r="M466" s="33" t="s">
        <v>22</v>
      </c>
      <c r="N466" s="33" t="s">
        <v>1032</v>
      </c>
      <c r="O466" s="43">
        <v>1335.76</v>
      </c>
      <c r="P466" s="44" t="str">
        <f t="shared" si="52"/>
        <v>High</v>
      </c>
      <c r="Q466" s="43">
        <v>2665.91</v>
      </c>
      <c r="R466" s="43">
        <v>0.21099999999999999</v>
      </c>
      <c r="S466" s="43">
        <v>40</v>
      </c>
      <c r="T466" s="43">
        <f t="shared" si="49"/>
        <v>21031.899600000001</v>
      </c>
      <c r="U466" s="33">
        <f t="shared" si="50"/>
        <v>53430.400000000001</v>
      </c>
      <c r="V466" s="43">
        <f t="shared" si="53"/>
        <v>-32398.500400000001</v>
      </c>
      <c r="W466" s="45">
        <f t="shared" si="54"/>
        <v>-1.5404457522229709</v>
      </c>
    </row>
    <row r="467" spans="1:23" x14ac:dyDescent="0.3">
      <c r="A467" s="34" t="s">
        <v>1033</v>
      </c>
      <c r="B467" s="35">
        <v>45466</v>
      </c>
      <c r="C467" s="36">
        <v>45471</v>
      </c>
      <c r="D467" s="37">
        <f t="shared" si="55"/>
        <v>5</v>
      </c>
      <c r="E467" s="37" t="str">
        <f>TEXT(Data!B467,"MMM-YYYY")</f>
        <v>Jun-2024</v>
      </c>
      <c r="F467" s="37" t="str">
        <f t="shared" si="51"/>
        <v>Q2-2024</v>
      </c>
      <c r="G467" s="32" t="s">
        <v>16</v>
      </c>
      <c r="H467" s="32" t="s">
        <v>25</v>
      </c>
      <c r="I467" s="32" t="s">
        <v>26</v>
      </c>
      <c r="J467" s="32" t="s">
        <v>39</v>
      </c>
      <c r="K467" s="32" t="s">
        <v>98</v>
      </c>
      <c r="L467" s="32" t="s">
        <v>110</v>
      </c>
      <c r="M467" s="32" t="s">
        <v>81</v>
      </c>
      <c r="N467" s="32" t="s">
        <v>1034</v>
      </c>
      <c r="O467" s="37">
        <v>242.31</v>
      </c>
      <c r="P467" s="38" t="str">
        <f t="shared" si="52"/>
        <v>High</v>
      </c>
      <c r="Q467" s="37">
        <v>587.95000000000005</v>
      </c>
      <c r="R467" s="37">
        <v>0.22900000000000001</v>
      </c>
      <c r="S467" s="37">
        <v>6</v>
      </c>
      <c r="T467" s="37">
        <f t="shared" si="49"/>
        <v>3442.9930199999999</v>
      </c>
      <c r="U467" s="32">
        <f t="shared" si="50"/>
        <v>1453.8600000000001</v>
      </c>
      <c r="V467" s="37">
        <f t="shared" si="53"/>
        <v>1989.1330199999998</v>
      </c>
      <c r="W467" s="39">
        <f t="shared" si="54"/>
        <v>0.57773367777550699</v>
      </c>
    </row>
    <row r="468" spans="1:23" x14ac:dyDescent="0.3">
      <c r="A468" s="40" t="s">
        <v>1035</v>
      </c>
      <c r="B468" s="41">
        <v>45278</v>
      </c>
      <c r="C468" s="42">
        <v>45305</v>
      </c>
      <c r="D468" s="43">
        <f t="shared" si="55"/>
        <v>27</v>
      </c>
      <c r="E468" s="43" t="str">
        <f>TEXT(Data!B468,"MMM-YYYY")</f>
        <v>Dec-2023</v>
      </c>
      <c r="F468" s="43" t="str">
        <f t="shared" si="51"/>
        <v>Q4-2023</v>
      </c>
      <c r="G468" s="33" t="s">
        <v>45</v>
      </c>
      <c r="H468" s="33" t="s">
        <v>60</v>
      </c>
      <c r="I468" s="33" t="s">
        <v>220</v>
      </c>
      <c r="J468" s="33" t="s">
        <v>48</v>
      </c>
      <c r="K468" s="33" t="s">
        <v>55</v>
      </c>
      <c r="L468" s="33" t="s">
        <v>145</v>
      </c>
      <c r="M468" s="33" t="s">
        <v>35</v>
      </c>
      <c r="N468" s="33" t="s">
        <v>1036</v>
      </c>
      <c r="O468" s="43">
        <v>1408.3</v>
      </c>
      <c r="P468" s="44" t="str">
        <f t="shared" si="52"/>
        <v>High</v>
      </c>
      <c r="Q468" s="43">
        <v>2193.13</v>
      </c>
      <c r="R468" s="43">
        <v>7.0999999999999994E-2</v>
      </c>
      <c r="S468" s="43">
        <v>7</v>
      </c>
      <c r="T468" s="43">
        <f t="shared" si="49"/>
        <v>82.523070000000004</v>
      </c>
      <c r="U468" s="33">
        <f t="shared" si="50"/>
        <v>9858.1</v>
      </c>
      <c r="V468" s="43">
        <f t="shared" si="53"/>
        <v>-9775.5769300000011</v>
      </c>
      <c r="W468" s="45">
        <f t="shared" si="54"/>
        <v>-118.45871621111527</v>
      </c>
    </row>
    <row r="469" spans="1:23" x14ac:dyDescent="0.3">
      <c r="A469" s="34" t="s">
        <v>1037</v>
      </c>
      <c r="B469" s="35">
        <v>45809</v>
      </c>
      <c r="C469" s="36">
        <v>45813</v>
      </c>
      <c r="D469" s="37">
        <f t="shared" si="55"/>
        <v>4</v>
      </c>
      <c r="E469" s="37" t="str">
        <f>TEXT(Data!B469,"MMM-YYYY")</f>
        <v>Jun-2025</v>
      </c>
      <c r="F469" s="37" t="str">
        <f t="shared" si="51"/>
        <v>Q2-2025</v>
      </c>
      <c r="G469" s="32" t="s">
        <v>78</v>
      </c>
      <c r="H469" s="32" t="s">
        <v>79</v>
      </c>
      <c r="I469" s="32" t="s">
        <v>159</v>
      </c>
      <c r="J469" s="32" t="s">
        <v>105</v>
      </c>
      <c r="K469" s="32" t="s">
        <v>98</v>
      </c>
      <c r="L469" s="32" t="s">
        <v>110</v>
      </c>
      <c r="M469" s="32" t="s">
        <v>22</v>
      </c>
      <c r="N469" s="32" t="s">
        <v>1038</v>
      </c>
      <c r="O469" s="37">
        <v>1171.42</v>
      </c>
      <c r="P469" s="38" t="str">
        <f t="shared" si="52"/>
        <v>High</v>
      </c>
      <c r="Q469" s="37">
        <v>2187.8000000000002</v>
      </c>
      <c r="R469" s="37">
        <v>0.23</v>
      </c>
      <c r="S469" s="37">
        <v>15</v>
      </c>
      <c r="T469" s="37">
        <f t="shared" si="49"/>
        <v>7525.518</v>
      </c>
      <c r="U469" s="32">
        <f t="shared" si="50"/>
        <v>17571.300000000003</v>
      </c>
      <c r="V469" s="37">
        <f t="shared" si="53"/>
        <v>-10045.782000000003</v>
      </c>
      <c r="W469" s="39">
        <f t="shared" si="54"/>
        <v>-1.3348957506978261</v>
      </c>
    </row>
    <row r="470" spans="1:23" x14ac:dyDescent="0.3">
      <c r="A470" s="40" t="s">
        <v>1039</v>
      </c>
      <c r="B470" s="41">
        <v>45739</v>
      </c>
      <c r="C470" s="42">
        <v>45749</v>
      </c>
      <c r="D470" s="43">
        <f t="shared" si="55"/>
        <v>10</v>
      </c>
      <c r="E470" s="43" t="str">
        <f>TEXT(Data!B470,"MMM-YYYY")</f>
        <v>Mar-2025</v>
      </c>
      <c r="F470" s="43" t="str">
        <f t="shared" si="51"/>
        <v>Q1-2025</v>
      </c>
      <c r="G470" s="33" t="s">
        <v>78</v>
      </c>
      <c r="H470" s="33" t="s">
        <v>79</v>
      </c>
      <c r="I470" s="33" t="s">
        <v>80</v>
      </c>
      <c r="J470" s="33" t="s">
        <v>105</v>
      </c>
      <c r="K470" s="33" t="s">
        <v>28</v>
      </c>
      <c r="L470" s="33" t="s">
        <v>63</v>
      </c>
      <c r="M470" s="33" t="s">
        <v>30</v>
      </c>
      <c r="N470" s="33" t="s">
        <v>1040</v>
      </c>
      <c r="O470" s="43">
        <v>663.61</v>
      </c>
      <c r="P470" s="44" t="str">
        <f t="shared" si="52"/>
        <v>High</v>
      </c>
      <c r="Q470" s="43">
        <v>1002.11</v>
      </c>
      <c r="R470" s="43">
        <v>4.5999999999999999E-2</v>
      </c>
      <c r="S470" s="43">
        <v>17</v>
      </c>
      <c r="T470" s="43">
        <f t="shared" si="49"/>
        <v>12231.93996</v>
      </c>
      <c r="U470" s="33">
        <f t="shared" si="50"/>
        <v>11281.37</v>
      </c>
      <c r="V470" s="43">
        <f t="shared" si="53"/>
        <v>950.5699599999989</v>
      </c>
      <c r="W470" s="45">
        <f t="shared" si="54"/>
        <v>7.7712117874064429E-2</v>
      </c>
    </row>
    <row r="471" spans="1:23" x14ac:dyDescent="0.3">
      <c r="A471" s="34" t="s">
        <v>1041</v>
      </c>
      <c r="B471" s="35">
        <v>45060</v>
      </c>
      <c r="C471" s="36">
        <v>45068</v>
      </c>
      <c r="D471" s="37">
        <f t="shared" si="55"/>
        <v>8</v>
      </c>
      <c r="E471" s="37" t="str">
        <f>TEXT(Data!B471,"MMM-YYYY")</f>
        <v>May-2023</v>
      </c>
      <c r="F471" s="37" t="str">
        <f t="shared" si="51"/>
        <v>Q2-2023</v>
      </c>
      <c r="G471" s="32" t="s">
        <v>16</v>
      </c>
      <c r="H471" s="32" t="s">
        <v>17</v>
      </c>
      <c r="I471" s="32" t="s">
        <v>113</v>
      </c>
      <c r="J471" s="32" t="s">
        <v>62</v>
      </c>
      <c r="K471" s="32" t="s">
        <v>55</v>
      </c>
      <c r="L471" s="32" t="s">
        <v>84</v>
      </c>
      <c r="M471" s="32" t="s">
        <v>30</v>
      </c>
      <c r="N471" s="32" t="s">
        <v>1042</v>
      </c>
      <c r="O471" s="37">
        <v>432.01</v>
      </c>
      <c r="P471" s="38" t="str">
        <f t="shared" si="52"/>
        <v>High</v>
      </c>
      <c r="Q471" s="37">
        <v>913.78</v>
      </c>
      <c r="R471" s="37">
        <v>4.9000000000000002E-2</v>
      </c>
      <c r="S471" s="37">
        <v>12</v>
      </c>
      <c r="T471" s="37">
        <f t="shared" si="49"/>
        <v>34019.286120000004</v>
      </c>
      <c r="U471" s="32">
        <f t="shared" si="50"/>
        <v>5184.12</v>
      </c>
      <c r="V471" s="37">
        <f t="shared" si="53"/>
        <v>28835.166120000005</v>
      </c>
      <c r="W471" s="39">
        <f t="shared" si="54"/>
        <v>0.84761232255981278</v>
      </c>
    </row>
    <row r="472" spans="1:23" x14ac:dyDescent="0.3">
      <c r="A472" s="40" t="s">
        <v>1043</v>
      </c>
      <c r="B472" s="41">
        <v>45167</v>
      </c>
      <c r="C472" s="42">
        <v>45188</v>
      </c>
      <c r="D472" s="43">
        <f t="shared" si="55"/>
        <v>21</v>
      </c>
      <c r="E472" s="43" t="str">
        <f>TEXT(Data!B472,"MMM-YYYY")</f>
        <v>Aug-2023</v>
      </c>
      <c r="F472" s="43" t="str">
        <f t="shared" si="51"/>
        <v>Q3-2023</v>
      </c>
      <c r="G472" s="33" t="s">
        <v>78</v>
      </c>
      <c r="H472" s="33" t="s">
        <v>90</v>
      </c>
      <c r="I472" s="33" t="s">
        <v>138</v>
      </c>
      <c r="J472" s="33" t="s">
        <v>62</v>
      </c>
      <c r="K472" s="33" t="s">
        <v>98</v>
      </c>
      <c r="L472" s="33" t="s">
        <v>56</v>
      </c>
      <c r="M472" s="33" t="s">
        <v>30</v>
      </c>
      <c r="N472" s="33" t="s">
        <v>1044</v>
      </c>
      <c r="O472" s="43">
        <v>784.46</v>
      </c>
      <c r="P472" s="44" t="str">
        <f t="shared" si="52"/>
        <v>High</v>
      </c>
      <c r="Q472" s="43">
        <v>1843.51</v>
      </c>
      <c r="R472" s="43">
        <v>0.13800000000000001</v>
      </c>
      <c r="S472" s="43">
        <v>23</v>
      </c>
      <c r="T472" s="43">
        <f t="shared" si="49"/>
        <v>19353.546419999999</v>
      </c>
      <c r="U472" s="33">
        <f t="shared" si="50"/>
        <v>18042.580000000002</v>
      </c>
      <c r="V472" s="43">
        <f t="shared" si="53"/>
        <v>1310.966419999997</v>
      </c>
      <c r="W472" s="45">
        <f t="shared" si="54"/>
        <v>6.7737787770268371E-2</v>
      </c>
    </row>
    <row r="473" spans="1:23" x14ac:dyDescent="0.3">
      <c r="A473" s="34" t="s">
        <v>1045</v>
      </c>
      <c r="B473" s="35">
        <v>45841</v>
      </c>
      <c r="C473" s="36">
        <v>45861</v>
      </c>
      <c r="D473" s="37">
        <f t="shared" si="55"/>
        <v>20</v>
      </c>
      <c r="E473" s="37" t="str">
        <f>TEXT(Data!B473,"MMM-YYYY")</f>
        <v>Jul-2025</v>
      </c>
      <c r="F473" s="37" t="str">
        <f t="shared" si="51"/>
        <v>Q3-2025</v>
      </c>
      <c r="G473" s="32" t="s">
        <v>45</v>
      </c>
      <c r="H473" s="32" t="s">
        <v>116</v>
      </c>
      <c r="I473" s="32" t="s">
        <v>338</v>
      </c>
      <c r="J473" s="32" t="s">
        <v>62</v>
      </c>
      <c r="K473" s="32" t="s">
        <v>28</v>
      </c>
      <c r="L473" s="32" t="s">
        <v>110</v>
      </c>
      <c r="M473" s="32" t="s">
        <v>22</v>
      </c>
      <c r="N473" s="32" t="s">
        <v>1046</v>
      </c>
      <c r="O473" s="37">
        <v>647.36</v>
      </c>
      <c r="P473" s="38" t="str">
        <f t="shared" si="52"/>
        <v>High</v>
      </c>
      <c r="Q473" s="37">
        <v>1383.6</v>
      </c>
      <c r="R473" s="37">
        <v>7.3999999999999996E-2</v>
      </c>
      <c r="S473" s="37">
        <v>12</v>
      </c>
      <c r="T473" s="37">
        <f t="shared" si="49"/>
        <v>12733.240800000001</v>
      </c>
      <c r="U473" s="32">
        <f t="shared" si="50"/>
        <v>7768.32</v>
      </c>
      <c r="V473" s="37">
        <f t="shared" si="53"/>
        <v>4964.9208000000017</v>
      </c>
      <c r="W473" s="39">
        <f t="shared" si="54"/>
        <v>0.38991807961410746</v>
      </c>
    </row>
    <row r="474" spans="1:23" x14ac:dyDescent="0.3">
      <c r="A474" s="40" t="s">
        <v>1047</v>
      </c>
      <c r="B474" s="41">
        <v>45328</v>
      </c>
      <c r="C474" s="42">
        <v>45350</v>
      </c>
      <c r="D474" s="43">
        <f t="shared" si="55"/>
        <v>22</v>
      </c>
      <c r="E474" s="43" t="str">
        <f>TEXT(Data!B474,"MMM-YYYY")</f>
        <v>Feb-2024</v>
      </c>
      <c r="F474" s="43" t="str">
        <f t="shared" si="51"/>
        <v>Q1-2024</v>
      </c>
      <c r="G474" s="33" t="s">
        <v>16</v>
      </c>
      <c r="H474" s="33" t="s">
        <v>17</v>
      </c>
      <c r="I474" s="33" t="s">
        <v>18</v>
      </c>
      <c r="J474" s="33" t="s">
        <v>39</v>
      </c>
      <c r="K474" s="33" t="s">
        <v>28</v>
      </c>
      <c r="L474" s="33" t="s">
        <v>95</v>
      </c>
      <c r="M474" s="33" t="s">
        <v>64</v>
      </c>
      <c r="N474" s="33" t="s">
        <v>1048</v>
      </c>
      <c r="O474" s="43">
        <v>834.93</v>
      </c>
      <c r="P474" s="44" t="str">
        <f t="shared" si="52"/>
        <v>High</v>
      </c>
      <c r="Q474" s="43">
        <v>1588.53</v>
      </c>
      <c r="R474" s="43">
        <v>0.126</v>
      </c>
      <c r="S474" s="43">
        <v>6</v>
      </c>
      <c r="T474" s="43">
        <f t="shared" si="49"/>
        <v>8549.7651600000008</v>
      </c>
      <c r="U474" s="33">
        <f t="shared" si="50"/>
        <v>5009.58</v>
      </c>
      <c r="V474" s="43">
        <f t="shared" si="53"/>
        <v>3540.1851600000009</v>
      </c>
      <c r="W474" s="45">
        <f t="shared" si="54"/>
        <v>0.4140681169305942</v>
      </c>
    </row>
    <row r="475" spans="1:23" x14ac:dyDescent="0.3">
      <c r="A475" s="34" t="s">
        <v>1049</v>
      </c>
      <c r="B475" s="35">
        <v>45882</v>
      </c>
      <c r="C475" s="36">
        <v>45903</v>
      </c>
      <c r="D475" s="37">
        <f t="shared" si="55"/>
        <v>21</v>
      </c>
      <c r="E475" s="37" t="str">
        <f>TEXT(Data!B475,"MMM-YYYY")</f>
        <v>Aug-2025</v>
      </c>
      <c r="F475" s="37" t="str">
        <f t="shared" si="51"/>
        <v>Q3-2025</v>
      </c>
      <c r="G475" s="32" t="s">
        <v>78</v>
      </c>
      <c r="H475" s="32" t="s">
        <v>90</v>
      </c>
      <c r="I475" s="32" t="s">
        <v>217</v>
      </c>
      <c r="J475" s="32" t="s">
        <v>27</v>
      </c>
      <c r="K475" s="32" t="s">
        <v>20</v>
      </c>
      <c r="L475" s="32" t="s">
        <v>34</v>
      </c>
      <c r="M475" s="32" t="s">
        <v>42</v>
      </c>
      <c r="N475" s="32" t="s">
        <v>1050</v>
      </c>
      <c r="O475" s="37">
        <v>603.47</v>
      </c>
      <c r="P475" s="38" t="str">
        <f t="shared" si="52"/>
        <v>High</v>
      </c>
      <c r="Q475" s="37">
        <v>1344.05</v>
      </c>
      <c r="R475" s="37">
        <v>0.20499999999999999</v>
      </c>
      <c r="S475" s="37">
        <v>18</v>
      </c>
      <c r="T475" s="37">
        <f t="shared" si="49"/>
        <v>13790.9763</v>
      </c>
      <c r="U475" s="32">
        <f t="shared" si="50"/>
        <v>10862.460000000001</v>
      </c>
      <c r="V475" s="37">
        <f t="shared" si="53"/>
        <v>2928.5162999999993</v>
      </c>
      <c r="W475" s="39">
        <f t="shared" si="54"/>
        <v>0.21235018002315031</v>
      </c>
    </row>
    <row r="476" spans="1:23" x14ac:dyDescent="0.3">
      <c r="A476" s="40" t="s">
        <v>1051</v>
      </c>
      <c r="B476" s="41">
        <v>45069</v>
      </c>
      <c r="C476" s="42">
        <v>45071</v>
      </c>
      <c r="D476" s="43">
        <f t="shared" si="55"/>
        <v>2</v>
      </c>
      <c r="E476" s="43" t="str">
        <f>TEXT(Data!B476,"MMM-YYYY")</f>
        <v>May-2023</v>
      </c>
      <c r="F476" s="43" t="str">
        <f t="shared" si="51"/>
        <v>Q2-2023</v>
      </c>
      <c r="G476" s="33" t="s">
        <v>52</v>
      </c>
      <c r="H476" s="33" t="s">
        <v>73</v>
      </c>
      <c r="I476" s="33" t="s">
        <v>225</v>
      </c>
      <c r="J476" s="33" t="s">
        <v>105</v>
      </c>
      <c r="K476" s="33" t="s">
        <v>20</v>
      </c>
      <c r="L476" s="33" t="s">
        <v>110</v>
      </c>
      <c r="M476" s="33" t="s">
        <v>30</v>
      </c>
      <c r="N476" s="33" t="s">
        <v>1052</v>
      </c>
      <c r="O476" s="43">
        <v>690.49</v>
      </c>
      <c r="P476" s="44" t="str">
        <f t="shared" si="52"/>
        <v>High</v>
      </c>
      <c r="Q476" s="43">
        <v>1290.29</v>
      </c>
      <c r="R476" s="43">
        <v>4.2000000000000003E-2</v>
      </c>
      <c r="S476" s="43">
        <v>22</v>
      </c>
      <c r="T476" s="43">
        <f t="shared" si="49"/>
        <v>18794.101480000001</v>
      </c>
      <c r="U476" s="33">
        <f t="shared" si="50"/>
        <v>15190.78</v>
      </c>
      <c r="V476" s="43">
        <f t="shared" si="53"/>
        <v>3603.3214800000005</v>
      </c>
      <c r="W476" s="45">
        <f t="shared" si="54"/>
        <v>0.19172619046643566</v>
      </c>
    </row>
    <row r="477" spans="1:23" x14ac:dyDescent="0.3">
      <c r="A477" s="34" t="s">
        <v>1053</v>
      </c>
      <c r="B477" s="35">
        <v>45422</v>
      </c>
      <c r="C477" s="36">
        <v>45428</v>
      </c>
      <c r="D477" s="37">
        <f t="shared" si="55"/>
        <v>6</v>
      </c>
      <c r="E477" s="37" t="str">
        <f>TEXT(Data!B477,"MMM-YYYY")</f>
        <v>May-2024</v>
      </c>
      <c r="F477" s="37" t="str">
        <f t="shared" si="51"/>
        <v>Q2-2024</v>
      </c>
      <c r="G477" s="32" t="s">
        <v>78</v>
      </c>
      <c r="H477" s="32" t="s">
        <v>108</v>
      </c>
      <c r="I477" s="32" t="s">
        <v>109</v>
      </c>
      <c r="J477" s="32" t="s">
        <v>39</v>
      </c>
      <c r="K477" s="32" t="s">
        <v>98</v>
      </c>
      <c r="L477" s="32" t="s">
        <v>41</v>
      </c>
      <c r="M477" s="32" t="s">
        <v>57</v>
      </c>
      <c r="N477" s="32" t="s">
        <v>1054</v>
      </c>
      <c r="O477" s="37">
        <v>210.76</v>
      </c>
      <c r="P477" s="38" t="str">
        <f t="shared" si="52"/>
        <v>High</v>
      </c>
      <c r="Q477" s="37">
        <v>221.58</v>
      </c>
      <c r="R477" s="37">
        <v>8.8999999999999996E-2</v>
      </c>
      <c r="S477" s="37">
        <v>5</v>
      </c>
      <c r="T477" s="37">
        <f t="shared" si="49"/>
        <v>7596.9201000000003</v>
      </c>
      <c r="U477" s="32">
        <f t="shared" si="50"/>
        <v>1053.8</v>
      </c>
      <c r="V477" s="37">
        <f t="shared" si="53"/>
        <v>6543.1201000000001</v>
      </c>
      <c r="W477" s="39">
        <f t="shared" si="54"/>
        <v>0.86128589137063583</v>
      </c>
    </row>
    <row r="478" spans="1:23" x14ac:dyDescent="0.3">
      <c r="A478" s="40" t="s">
        <v>1055</v>
      </c>
      <c r="B478" s="41">
        <v>44999</v>
      </c>
      <c r="C478" s="42">
        <v>45003</v>
      </c>
      <c r="D478" s="43">
        <f t="shared" si="55"/>
        <v>4</v>
      </c>
      <c r="E478" s="43" t="str">
        <f>TEXT(Data!B478,"MMM-YYYY")</f>
        <v>Mar-2023</v>
      </c>
      <c r="F478" s="43" t="str">
        <f t="shared" si="51"/>
        <v>Q1-2023</v>
      </c>
      <c r="G478" s="33" t="s">
        <v>78</v>
      </c>
      <c r="H478" s="33" t="s">
        <v>79</v>
      </c>
      <c r="I478" s="33" t="s">
        <v>335</v>
      </c>
      <c r="J478" s="33" t="s">
        <v>105</v>
      </c>
      <c r="K478" s="33" t="s">
        <v>98</v>
      </c>
      <c r="L478" s="33" t="s">
        <v>75</v>
      </c>
      <c r="M478" s="33" t="s">
        <v>22</v>
      </c>
      <c r="N478" s="33" t="s">
        <v>1056</v>
      </c>
      <c r="O478" s="43">
        <v>472.33</v>
      </c>
      <c r="P478" s="44" t="str">
        <f t="shared" si="52"/>
        <v>High</v>
      </c>
      <c r="Q478" s="43">
        <v>360.34</v>
      </c>
      <c r="R478" s="43">
        <v>0.16500000000000001</v>
      </c>
      <c r="S478" s="43">
        <v>14</v>
      </c>
      <c r="T478" s="43">
        <f t="shared" si="49"/>
        <v>22462.4519</v>
      </c>
      <c r="U478" s="33">
        <f t="shared" si="50"/>
        <v>6612.62</v>
      </c>
      <c r="V478" s="43">
        <f t="shared" si="53"/>
        <v>15849.831900000001</v>
      </c>
      <c r="W478" s="45">
        <f t="shared" si="54"/>
        <v>0.70561450595693875</v>
      </c>
    </row>
    <row r="479" spans="1:23" x14ac:dyDescent="0.3">
      <c r="A479" s="34" t="s">
        <v>1057</v>
      </c>
      <c r="B479" s="35">
        <v>45123</v>
      </c>
      <c r="C479" s="36">
        <v>45151</v>
      </c>
      <c r="D479" s="37">
        <f t="shared" si="55"/>
        <v>28</v>
      </c>
      <c r="E479" s="37" t="str">
        <f>TEXT(Data!B479,"MMM-YYYY")</f>
        <v>Jul-2023</v>
      </c>
      <c r="F479" s="37" t="str">
        <f t="shared" si="51"/>
        <v>Q3-2023</v>
      </c>
      <c r="G479" s="32" t="s">
        <v>78</v>
      </c>
      <c r="H479" s="32" t="s">
        <v>108</v>
      </c>
      <c r="I479" s="32" t="s">
        <v>228</v>
      </c>
      <c r="J479" s="32" t="s">
        <v>39</v>
      </c>
      <c r="K479" s="32" t="s">
        <v>28</v>
      </c>
      <c r="L479" s="32" t="s">
        <v>29</v>
      </c>
      <c r="M479" s="32" t="s">
        <v>57</v>
      </c>
      <c r="N479" s="32" t="s">
        <v>1058</v>
      </c>
      <c r="O479" s="37">
        <v>1039.03</v>
      </c>
      <c r="P479" s="38" t="str">
        <f t="shared" si="52"/>
        <v>High</v>
      </c>
      <c r="Q479" s="37">
        <v>2545.81</v>
      </c>
      <c r="R479" s="37">
        <v>0.216</v>
      </c>
      <c r="S479" s="37">
        <v>21</v>
      </c>
      <c r="T479" s="37">
        <f t="shared" si="49"/>
        <v>20043.767520000001</v>
      </c>
      <c r="U479" s="32">
        <f t="shared" si="50"/>
        <v>21819.63</v>
      </c>
      <c r="V479" s="37">
        <f t="shared" si="53"/>
        <v>-1775.8624799999998</v>
      </c>
      <c r="W479" s="39">
        <f t="shared" si="54"/>
        <v>-8.8599235559283701E-2</v>
      </c>
    </row>
    <row r="480" spans="1:23" x14ac:dyDescent="0.3">
      <c r="A480" s="40" t="s">
        <v>1059</v>
      </c>
      <c r="B480" s="41">
        <v>45032</v>
      </c>
      <c r="C480" s="42">
        <v>45035</v>
      </c>
      <c r="D480" s="43">
        <f t="shared" si="55"/>
        <v>3</v>
      </c>
      <c r="E480" s="43" t="str">
        <f>TEXT(Data!B480,"MMM-YYYY")</f>
        <v>Apr-2023</v>
      </c>
      <c r="F480" s="43" t="str">
        <f t="shared" si="51"/>
        <v>Q2-2023</v>
      </c>
      <c r="G480" s="33" t="s">
        <v>78</v>
      </c>
      <c r="H480" s="33" t="s">
        <v>79</v>
      </c>
      <c r="I480" s="33" t="s">
        <v>159</v>
      </c>
      <c r="J480" s="33" t="s">
        <v>19</v>
      </c>
      <c r="K480" s="33" t="s">
        <v>98</v>
      </c>
      <c r="L480" s="33" t="s">
        <v>56</v>
      </c>
      <c r="M480" s="33" t="s">
        <v>81</v>
      </c>
      <c r="N480" s="33" t="s">
        <v>1060</v>
      </c>
      <c r="O480" s="43">
        <v>553.61</v>
      </c>
      <c r="P480" s="44" t="str">
        <f t="shared" si="52"/>
        <v>High</v>
      </c>
      <c r="Q480" s="43">
        <v>699.47</v>
      </c>
      <c r="R480" s="43">
        <v>0.02</v>
      </c>
      <c r="S480" s="43">
        <v>33</v>
      </c>
      <c r="T480" s="43">
        <f t="shared" si="49"/>
        <v>31378.531800000001</v>
      </c>
      <c r="U480" s="33">
        <f t="shared" si="50"/>
        <v>18269.13</v>
      </c>
      <c r="V480" s="43">
        <f t="shared" si="53"/>
        <v>13109.4018</v>
      </c>
      <c r="W480" s="45">
        <f t="shared" si="54"/>
        <v>0.41778251078018885</v>
      </c>
    </row>
    <row r="481" spans="1:23" x14ac:dyDescent="0.3">
      <c r="A481" s="34" t="s">
        <v>1061</v>
      </c>
      <c r="B481" s="35">
        <v>45293</v>
      </c>
      <c r="C481" s="36">
        <v>45306</v>
      </c>
      <c r="D481" s="37">
        <f t="shared" si="55"/>
        <v>13</v>
      </c>
      <c r="E481" s="37" t="str">
        <f>TEXT(Data!B481,"MMM-YYYY")</f>
        <v>Jan-2024</v>
      </c>
      <c r="F481" s="37" t="str">
        <f t="shared" si="51"/>
        <v>Q1-2024</v>
      </c>
      <c r="G481" s="32" t="s">
        <v>45</v>
      </c>
      <c r="H481" s="32" t="s">
        <v>46</v>
      </c>
      <c r="I481" s="32" t="s">
        <v>231</v>
      </c>
      <c r="J481" s="32" t="s">
        <v>62</v>
      </c>
      <c r="K481" s="32" t="s">
        <v>40</v>
      </c>
      <c r="L481" s="32" t="s">
        <v>41</v>
      </c>
      <c r="M481" s="32" t="s">
        <v>35</v>
      </c>
      <c r="N481" s="32" t="s">
        <v>1062</v>
      </c>
      <c r="O481" s="37">
        <v>1219.06</v>
      </c>
      <c r="P481" s="38" t="str">
        <f t="shared" si="52"/>
        <v>High</v>
      </c>
      <c r="Q481" s="37">
        <v>2738.69</v>
      </c>
      <c r="R481" s="37">
        <v>7.5999999999999998E-2</v>
      </c>
      <c r="S481" s="37">
        <v>16</v>
      </c>
      <c r="T481" s="37">
        <f t="shared" si="49"/>
        <v>24019.121280000003</v>
      </c>
      <c r="U481" s="32">
        <f t="shared" si="50"/>
        <v>19504.96</v>
      </c>
      <c r="V481" s="37">
        <f t="shared" si="53"/>
        <v>4514.1612800000039</v>
      </c>
      <c r="W481" s="39">
        <f t="shared" si="54"/>
        <v>0.18794031752355611</v>
      </c>
    </row>
    <row r="482" spans="1:23" x14ac:dyDescent="0.3">
      <c r="A482" s="40" t="s">
        <v>1063</v>
      </c>
      <c r="B482" s="41">
        <v>45538</v>
      </c>
      <c r="C482" s="42">
        <v>45542</v>
      </c>
      <c r="D482" s="43">
        <f t="shared" si="55"/>
        <v>4</v>
      </c>
      <c r="E482" s="43" t="str">
        <f>TEXT(Data!B482,"MMM-YYYY")</f>
        <v>Sep-2024</v>
      </c>
      <c r="F482" s="43" t="str">
        <f t="shared" si="51"/>
        <v>Q3-2024</v>
      </c>
      <c r="G482" s="33" t="s">
        <v>45</v>
      </c>
      <c r="H482" s="33" t="s">
        <v>46</v>
      </c>
      <c r="I482" s="33" t="s">
        <v>214</v>
      </c>
      <c r="J482" s="33" t="s">
        <v>62</v>
      </c>
      <c r="K482" s="33" t="s">
        <v>55</v>
      </c>
      <c r="L482" s="33" t="s">
        <v>126</v>
      </c>
      <c r="M482" s="33" t="s">
        <v>30</v>
      </c>
      <c r="N482" s="33" t="s">
        <v>1064</v>
      </c>
      <c r="O482" s="43">
        <v>43.23</v>
      </c>
      <c r="P482" s="44" t="str">
        <f t="shared" si="52"/>
        <v>Medium</v>
      </c>
      <c r="Q482" s="43">
        <v>94.78</v>
      </c>
      <c r="R482" s="43">
        <v>9.0999999999999998E-2</v>
      </c>
      <c r="S482" s="43">
        <v>55</v>
      </c>
      <c r="T482" s="43">
        <f t="shared" si="49"/>
        <v>130292.46945000002</v>
      </c>
      <c r="U482" s="33">
        <f t="shared" si="50"/>
        <v>2377.6499999999996</v>
      </c>
      <c r="V482" s="43">
        <f t="shared" si="53"/>
        <v>127914.81945000002</v>
      </c>
      <c r="W482" s="45">
        <f t="shared" si="54"/>
        <v>0.98175143958790023</v>
      </c>
    </row>
    <row r="483" spans="1:23" x14ac:dyDescent="0.3">
      <c r="A483" s="34" t="s">
        <v>1065</v>
      </c>
      <c r="B483" s="35">
        <v>45899</v>
      </c>
      <c r="C483" s="36">
        <v>45903</v>
      </c>
      <c r="D483" s="37">
        <f t="shared" si="55"/>
        <v>4</v>
      </c>
      <c r="E483" s="37" t="str">
        <f>TEXT(Data!B483,"MMM-YYYY")</f>
        <v>Aug-2025</v>
      </c>
      <c r="F483" s="37" t="str">
        <f t="shared" si="51"/>
        <v>Q3-2025</v>
      </c>
      <c r="G483" s="32" t="s">
        <v>78</v>
      </c>
      <c r="H483" s="32" t="s">
        <v>90</v>
      </c>
      <c r="I483" s="32" t="s">
        <v>91</v>
      </c>
      <c r="J483" s="32" t="s">
        <v>62</v>
      </c>
      <c r="K483" s="32" t="s">
        <v>40</v>
      </c>
      <c r="L483" s="32" t="s">
        <v>29</v>
      </c>
      <c r="M483" s="32" t="s">
        <v>57</v>
      </c>
      <c r="N483" s="32" t="s">
        <v>1066</v>
      </c>
      <c r="O483" s="37">
        <v>1286.56</v>
      </c>
      <c r="P483" s="38" t="str">
        <f t="shared" si="52"/>
        <v>High</v>
      </c>
      <c r="Q483" s="37">
        <v>2777.35</v>
      </c>
      <c r="R483" s="37">
        <v>0.13200000000000001</v>
      </c>
      <c r="S483" s="37">
        <v>15</v>
      </c>
      <c r="T483" s="37">
        <f t="shared" si="49"/>
        <v>5660.0544</v>
      </c>
      <c r="U483" s="32">
        <f t="shared" si="50"/>
        <v>19298.399999999998</v>
      </c>
      <c r="V483" s="37">
        <f t="shared" si="53"/>
        <v>-13638.345599999997</v>
      </c>
      <c r="W483" s="39">
        <f t="shared" si="54"/>
        <v>-2.4095785369130014</v>
      </c>
    </row>
    <row r="484" spans="1:23" x14ac:dyDescent="0.3">
      <c r="A484" s="40" t="s">
        <v>1067</v>
      </c>
      <c r="B484" s="41">
        <v>45775</v>
      </c>
      <c r="C484" s="42">
        <v>45796</v>
      </c>
      <c r="D484" s="43">
        <f t="shared" si="55"/>
        <v>21</v>
      </c>
      <c r="E484" s="43" t="str">
        <f>TEXT(Data!B484,"MMM-YYYY")</f>
        <v>Apr-2025</v>
      </c>
      <c r="F484" s="43" t="str">
        <f t="shared" si="51"/>
        <v>Q2-2025</v>
      </c>
      <c r="G484" s="33" t="s">
        <v>78</v>
      </c>
      <c r="H484" s="33" t="s">
        <v>79</v>
      </c>
      <c r="I484" s="33" t="s">
        <v>80</v>
      </c>
      <c r="J484" s="33" t="s">
        <v>19</v>
      </c>
      <c r="K484" s="33" t="s">
        <v>55</v>
      </c>
      <c r="L484" s="33" t="s">
        <v>56</v>
      </c>
      <c r="M484" s="33" t="s">
        <v>42</v>
      </c>
      <c r="N484" s="33" t="s">
        <v>1068</v>
      </c>
      <c r="O484" s="43">
        <v>350.76</v>
      </c>
      <c r="P484" s="44" t="str">
        <f t="shared" si="52"/>
        <v>High</v>
      </c>
      <c r="Q484" s="43">
        <v>492.18</v>
      </c>
      <c r="R484" s="43">
        <v>5.2999999999999999E-2</v>
      </c>
      <c r="S484" s="43">
        <v>11</v>
      </c>
      <c r="T484" s="43">
        <f t="shared" si="49"/>
        <v>19379.89097</v>
      </c>
      <c r="U484" s="33">
        <f t="shared" si="50"/>
        <v>3858.3599999999997</v>
      </c>
      <c r="V484" s="43">
        <f t="shared" si="53"/>
        <v>15521.53097</v>
      </c>
      <c r="W484" s="45">
        <f t="shared" si="54"/>
        <v>0.80090909665215726</v>
      </c>
    </row>
    <row r="485" spans="1:23" x14ac:dyDescent="0.3">
      <c r="A485" s="34" t="s">
        <v>1069</v>
      </c>
      <c r="B485" s="35">
        <v>45148</v>
      </c>
      <c r="C485" s="36">
        <v>45153</v>
      </c>
      <c r="D485" s="37">
        <f t="shared" si="55"/>
        <v>5</v>
      </c>
      <c r="E485" s="37" t="str">
        <f>TEXT(Data!B485,"MMM-YYYY")</f>
        <v>Aug-2023</v>
      </c>
      <c r="F485" s="37" t="str">
        <f t="shared" si="51"/>
        <v>Q3-2023</v>
      </c>
      <c r="G485" s="32" t="s">
        <v>52</v>
      </c>
      <c r="H485" s="32" t="s">
        <v>73</v>
      </c>
      <c r="I485" s="32" t="s">
        <v>74</v>
      </c>
      <c r="J485" s="32" t="s">
        <v>27</v>
      </c>
      <c r="K485" s="32" t="s">
        <v>98</v>
      </c>
      <c r="L485" s="32" t="s">
        <v>41</v>
      </c>
      <c r="M485" s="32" t="s">
        <v>35</v>
      </c>
      <c r="N485" s="32" t="s">
        <v>1070</v>
      </c>
      <c r="O485" s="37">
        <v>1307.52</v>
      </c>
      <c r="P485" s="38" t="str">
        <f t="shared" si="52"/>
        <v>High</v>
      </c>
      <c r="Q485" s="37">
        <v>1921.65</v>
      </c>
      <c r="R485" s="37">
        <v>0.123</v>
      </c>
      <c r="S485" s="37">
        <v>13</v>
      </c>
      <c r="T485" s="37">
        <f t="shared" si="49"/>
        <v>9504.8996900000002</v>
      </c>
      <c r="U485" s="32">
        <f t="shared" si="50"/>
        <v>16997.759999999998</v>
      </c>
      <c r="V485" s="37">
        <f t="shared" si="53"/>
        <v>-7492.8603099999982</v>
      </c>
      <c r="W485" s="39">
        <f t="shared" si="54"/>
        <v>-0.78831555875157244</v>
      </c>
    </row>
    <row r="486" spans="1:23" x14ac:dyDescent="0.3">
      <c r="A486" s="40" t="s">
        <v>1071</v>
      </c>
      <c r="B486" s="41">
        <v>45634</v>
      </c>
      <c r="C486" s="42">
        <v>45634</v>
      </c>
      <c r="D486" s="43">
        <f t="shared" si="55"/>
        <v>0</v>
      </c>
      <c r="E486" s="43" t="str">
        <f>TEXT(Data!B486,"MMM-YYYY")</f>
        <v>Dec-2024</v>
      </c>
      <c r="F486" s="43" t="str">
        <f t="shared" si="51"/>
        <v>Q4-2024</v>
      </c>
      <c r="G486" s="33" t="s">
        <v>78</v>
      </c>
      <c r="H486" s="33" t="s">
        <v>90</v>
      </c>
      <c r="I486" s="33" t="s">
        <v>138</v>
      </c>
      <c r="J486" s="33" t="s">
        <v>105</v>
      </c>
      <c r="K486" s="33" t="s">
        <v>20</v>
      </c>
      <c r="L486" s="33" t="s">
        <v>92</v>
      </c>
      <c r="M486" s="33" t="s">
        <v>22</v>
      </c>
      <c r="N486" s="33" t="s">
        <v>1072</v>
      </c>
      <c r="O486" s="43">
        <v>257.44</v>
      </c>
      <c r="P486" s="44" t="str">
        <f t="shared" si="52"/>
        <v>High</v>
      </c>
      <c r="Q486" s="43">
        <v>290.33</v>
      </c>
      <c r="R486" s="43">
        <v>9.1999999999999998E-2</v>
      </c>
      <c r="S486" s="43">
        <v>23</v>
      </c>
      <c r="T486" s="43">
        <f t="shared" si="49"/>
        <v>6964.3963200000007</v>
      </c>
      <c r="U486" s="33">
        <f t="shared" si="50"/>
        <v>5921.12</v>
      </c>
      <c r="V486" s="43">
        <f t="shared" si="53"/>
        <v>1043.2763200000009</v>
      </c>
      <c r="W486" s="45">
        <f t="shared" si="54"/>
        <v>0.14980140015926044</v>
      </c>
    </row>
    <row r="487" spans="1:23" x14ac:dyDescent="0.3">
      <c r="A487" s="34" t="s">
        <v>1073</v>
      </c>
      <c r="B487" s="35">
        <v>45224</v>
      </c>
      <c r="C487" s="36">
        <v>45254</v>
      </c>
      <c r="D487" s="37">
        <f t="shared" si="55"/>
        <v>30</v>
      </c>
      <c r="E487" s="37" t="str">
        <f>TEXT(Data!B487,"MMM-YYYY")</f>
        <v>Oct-2023</v>
      </c>
      <c r="F487" s="37" t="str">
        <f t="shared" si="51"/>
        <v>Q4-2023</v>
      </c>
      <c r="G487" s="32" t="s">
        <v>78</v>
      </c>
      <c r="H487" s="32" t="s">
        <v>90</v>
      </c>
      <c r="I487" s="32" t="s">
        <v>217</v>
      </c>
      <c r="J487" s="32" t="s">
        <v>105</v>
      </c>
      <c r="K487" s="32" t="s">
        <v>55</v>
      </c>
      <c r="L487" s="32" t="s">
        <v>21</v>
      </c>
      <c r="M487" s="32" t="s">
        <v>42</v>
      </c>
      <c r="N487" s="32" t="s">
        <v>1074</v>
      </c>
      <c r="O487" s="37">
        <v>287.85000000000002</v>
      </c>
      <c r="P487" s="38" t="str">
        <f t="shared" si="52"/>
        <v>High</v>
      </c>
      <c r="Q487" s="37">
        <v>602.91999999999996</v>
      </c>
      <c r="R487" s="37">
        <v>0.222</v>
      </c>
      <c r="S487" s="37">
        <v>11</v>
      </c>
      <c r="T487" s="37">
        <f t="shared" si="49"/>
        <v>15273.462600000001</v>
      </c>
      <c r="U487" s="32">
        <f t="shared" si="50"/>
        <v>3166.3500000000004</v>
      </c>
      <c r="V487" s="37">
        <f t="shared" si="53"/>
        <v>12107.1126</v>
      </c>
      <c r="W487" s="39">
        <f t="shared" si="54"/>
        <v>0.79268944554851628</v>
      </c>
    </row>
    <row r="488" spans="1:23" x14ac:dyDescent="0.3">
      <c r="A488" s="40" t="s">
        <v>1075</v>
      </c>
      <c r="B488" s="41">
        <v>45613</v>
      </c>
      <c r="C488" s="42">
        <v>45624</v>
      </c>
      <c r="D488" s="43">
        <f t="shared" si="55"/>
        <v>11</v>
      </c>
      <c r="E488" s="43" t="str">
        <f>TEXT(Data!B488,"MMM-YYYY")</f>
        <v>Nov-2024</v>
      </c>
      <c r="F488" s="43" t="str">
        <f t="shared" si="51"/>
        <v>Q4-2024</v>
      </c>
      <c r="G488" s="33" t="s">
        <v>52</v>
      </c>
      <c r="H488" s="33" t="s">
        <v>53</v>
      </c>
      <c r="I488" s="33" t="s">
        <v>1364</v>
      </c>
      <c r="J488" s="33" t="s">
        <v>48</v>
      </c>
      <c r="K488" s="33" t="s">
        <v>55</v>
      </c>
      <c r="L488" s="33" t="s">
        <v>75</v>
      </c>
      <c r="M488" s="33" t="s">
        <v>30</v>
      </c>
      <c r="N488" s="33" t="s">
        <v>1076</v>
      </c>
      <c r="O488" s="43">
        <v>1008.16</v>
      </c>
      <c r="P488" s="44" t="str">
        <f t="shared" si="52"/>
        <v>High</v>
      </c>
      <c r="Q488" s="43">
        <v>2077.5</v>
      </c>
      <c r="R488" s="43">
        <v>7.3999999999999996E-2</v>
      </c>
      <c r="S488" s="43">
        <v>15</v>
      </c>
      <c r="T488" s="43">
        <f t="shared" si="49"/>
        <v>14894.108099999999</v>
      </c>
      <c r="U488" s="33">
        <f t="shared" si="50"/>
        <v>15122.4</v>
      </c>
      <c r="V488" s="43">
        <f t="shared" si="53"/>
        <v>-228.29190000000017</v>
      </c>
      <c r="W488" s="45">
        <f t="shared" si="54"/>
        <v>-1.5327665038230801E-2</v>
      </c>
    </row>
    <row r="489" spans="1:23" x14ac:dyDescent="0.3">
      <c r="A489" s="34" t="s">
        <v>1077</v>
      </c>
      <c r="B489" s="35">
        <v>45424</v>
      </c>
      <c r="C489" s="36">
        <v>45436</v>
      </c>
      <c r="D489" s="37">
        <f t="shared" si="55"/>
        <v>12</v>
      </c>
      <c r="E489" s="37" t="str">
        <f>TEXT(Data!B489,"MMM-YYYY")</f>
        <v>May-2024</v>
      </c>
      <c r="F489" s="37" t="str">
        <f t="shared" si="51"/>
        <v>Q2-2024</v>
      </c>
      <c r="G489" s="32" t="s">
        <v>78</v>
      </c>
      <c r="H489" s="32" t="s">
        <v>108</v>
      </c>
      <c r="I489" s="32" t="s">
        <v>228</v>
      </c>
      <c r="J489" s="32" t="s">
        <v>27</v>
      </c>
      <c r="K489" s="32" t="s">
        <v>40</v>
      </c>
      <c r="L489" s="32" t="s">
        <v>95</v>
      </c>
      <c r="M489" s="32" t="s">
        <v>30</v>
      </c>
      <c r="N489" s="32" t="s">
        <v>1078</v>
      </c>
      <c r="O489" s="37">
        <v>111.02</v>
      </c>
      <c r="P489" s="38" t="str">
        <f t="shared" si="52"/>
        <v>Medium</v>
      </c>
      <c r="Q489" s="37">
        <v>172.88</v>
      </c>
      <c r="R489" s="37">
        <v>0.19700000000000001</v>
      </c>
      <c r="S489" s="37">
        <v>29</v>
      </c>
      <c r="T489" s="37">
        <f t="shared" si="49"/>
        <v>70514.200349999999</v>
      </c>
      <c r="U489" s="32">
        <f t="shared" si="50"/>
        <v>3219.58</v>
      </c>
      <c r="V489" s="37">
        <f t="shared" si="53"/>
        <v>67294.620349999997</v>
      </c>
      <c r="W489" s="39">
        <f t="shared" si="54"/>
        <v>0.95434139529315387</v>
      </c>
    </row>
    <row r="490" spans="1:23" x14ac:dyDescent="0.3">
      <c r="A490" s="40" t="s">
        <v>1079</v>
      </c>
      <c r="B490" s="41">
        <v>45792</v>
      </c>
      <c r="C490" s="42">
        <v>45813</v>
      </c>
      <c r="D490" s="43">
        <f t="shared" si="55"/>
        <v>21</v>
      </c>
      <c r="E490" s="43" t="str">
        <f>TEXT(Data!B490,"MMM-YYYY")</f>
        <v>May-2025</v>
      </c>
      <c r="F490" s="43" t="str">
        <f t="shared" si="51"/>
        <v>Q2-2025</v>
      </c>
      <c r="G490" s="33" t="s">
        <v>45</v>
      </c>
      <c r="H490" s="33" t="s">
        <v>46</v>
      </c>
      <c r="I490" s="33" t="s">
        <v>47</v>
      </c>
      <c r="J490" s="33" t="s">
        <v>105</v>
      </c>
      <c r="K490" s="33" t="s">
        <v>98</v>
      </c>
      <c r="L490" s="33" t="s">
        <v>92</v>
      </c>
      <c r="M490" s="33" t="s">
        <v>42</v>
      </c>
      <c r="N490" s="33" t="s">
        <v>1080</v>
      </c>
      <c r="O490" s="43">
        <v>1466.5</v>
      </c>
      <c r="P490" s="44" t="str">
        <f t="shared" si="52"/>
        <v>High</v>
      </c>
      <c r="Q490" s="43">
        <v>2778.74</v>
      </c>
      <c r="R490" s="43">
        <v>0.13500000000000001</v>
      </c>
      <c r="S490" s="43">
        <v>4</v>
      </c>
      <c r="T490" s="43">
        <f t="shared" si="49"/>
        <v>3415.8503999999998</v>
      </c>
      <c r="U490" s="33">
        <f t="shared" si="50"/>
        <v>5866</v>
      </c>
      <c r="V490" s="43">
        <f t="shared" si="53"/>
        <v>-2450.1496000000002</v>
      </c>
      <c r="W490" s="45">
        <f t="shared" si="54"/>
        <v>-0.71728832152602473</v>
      </c>
    </row>
    <row r="491" spans="1:23" x14ac:dyDescent="0.3">
      <c r="A491" s="34" t="s">
        <v>1081</v>
      </c>
      <c r="B491" s="35">
        <v>45403</v>
      </c>
      <c r="C491" s="36">
        <v>45431</v>
      </c>
      <c r="D491" s="37">
        <f t="shared" si="55"/>
        <v>28</v>
      </c>
      <c r="E491" s="37" t="str">
        <f>TEXT(Data!B491,"MMM-YYYY")</f>
        <v>Apr-2024</v>
      </c>
      <c r="F491" s="37" t="str">
        <f t="shared" si="51"/>
        <v>Q2-2024</v>
      </c>
      <c r="G491" s="32" t="s">
        <v>16</v>
      </c>
      <c r="H491" s="32" t="s">
        <v>25</v>
      </c>
      <c r="I491" s="32" t="s">
        <v>38</v>
      </c>
      <c r="J491" s="32" t="s">
        <v>19</v>
      </c>
      <c r="K491" s="32" t="s">
        <v>55</v>
      </c>
      <c r="L491" s="32" t="s">
        <v>75</v>
      </c>
      <c r="M491" s="32" t="s">
        <v>81</v>
      </c>
      <c r="N491" s="32" t="s">
        <v>1082</v>
      </c>
      <c r="O491" s="37">
        <v>187.22</v>
      </c>
      <c r="P491" s="38" t="str">
        <f t="shared" si="52"/>
        <v>High</v>
      </c>
      <c r="Q491" s="37">
        <v>309.47000000000003</v>
      </c>
      <c r="R491" s="37">
        <v>0</v>
      </c>
      <c r="S491" s="37">
        <v>5</v>
      </c>
      <c r="T491" s="37">
        <f t="shared" si="49"/>
        <v>4877.1499999999996</v>
      </c>
      <c r="U491" s="32">
        <f t="shared" si="50"/>
        <v>936.1</v>
      </c>
      <c r="V491" s="37">
        <f t="shared" si="53"/>
        <v>3941.0499999999997</v>
      </c>
      <c r="W491" s="39">
        <f t="shared" si="54"/>
        <v>0.8080641358170243</v>
      </c>
    </row>
    <row r="492" spans="1:23" x14ac:dyDescent="0.3">
      <c r="A492" s="40" t="s">
        <v>1083</v>
      </c>
      <c r="B492" s="41">
        <v>45523</v>
      </c>
      <c r="C492" s="42">
        <v>45542</v>
      </c>
      <c r="D492" s="43">
        <f t="shared" si="55"/>
        <v>19</v>
      </c>
      <c r="E492" s="43" t="str">
        <f>TEXT(Data!B492,"MMM-YYYY")</f>
        <v>Aug-2024</v>
      </c>
      <c r="F492" s="43" t="str">
        <f t="shared" si="51"/>
        <v>Q3-2024</v>
      </c>
      <c r="G492" s="33" t="s">
        <v>78</v>
      </c>
      <c r="H492" s="33" t="s">
        <v>90</v>
      </c>
      <c r="I492" s="33" t="s">
        <v>138</v>
      </c>
      <c r="J492" s="33" t="s">
        <v>19</v>
      </c>
      <c r="K492" s="33" t="s">
        <v>98</v>
      </c>
      <c r="L492" s="33" t="s">
        <v>29</v>
      </c>
      <c r="M492" s="33" t="s">
        <v>22</v>
      </c>
      <c r="N492" s="33" t="s">
        <v>1084</v>
      </c>
      <c r="O492" s="43">
        <v>297.58999999999997</v>
      </c>
      <c r="P492" s="44" t="str">
        <f t="shared" si="52"/>
        <v>High</v>
      </c>
      <c r="Q492" s="43">
        <v>666.41</v>
      </c>
      <c r="R492" s="43">
        <v>0</v>
      </c>
      <c r="S492" s="43">
        <v>10</v>
      </c>
      <c r="T492" s="43">
        <f t="shared" si="49"/>
        <v>1414.3000000000002</v>
      </c>
      <c r="U492" s="33">
        <f t="shared" si="50"/>
        <v>2975.8999999999996</v>
      </c>
      <c r="V492" s="43">
        <f t="shared" si="53"/>
        <v>-1561.5999999999995</v>
      </c>
      <c r="W492" s="45">
        <f t="shared" si="54"/>
        <v>-1.1041504631266346</v>
      </c>
    </row>
    <row r="493" spans="1:23" x14ac:dyDescent="0.3">
      <c r="A493" s="34" t="s">
        <v>1085</v>
      </c>
      <c r="B493" s="35">
        <v>45861</v>
      </c>
      <c r="C493" s="36">
        <v>45888</v>
      </c>
      <c r="D493" s="37">
        <f t="shared" si="55"/>
        <v>27</v>
      </c>
      <c r="E493" s="37" t="str">
        <f>TEXT(Data!B493,"MMM-YYYY")</f>
        <v>Jul-2025</v>
      </c>
      <c r="F493" s="37" t="str">
        <f t="shared" si="51"/>
        <v>Q3-2025</v>
      </c>
      <c r="G493" s="32" t="s">
        <v>45</v>
      </c>
      <c r="H493" s="32" t="s">
        <v>46</v>
      </c>
      <c r="I493" s="32" t="s">
        <v>231</v>
      </c>
      <c r="J493" s="32" t="s">
        <v>48</v>
      </c>
      <c r="K493" s="32" t="s">
        <v>40</v>
      </c>
      <c r="L493" s="32" t="s">
        <v>56</v>
      </c>
      <c r="M493" s="32" t="s">
        <v>81</v>
      </c>
      <c r="N493" s="32" t="s">
        <v>1086</v>
      </c>
      <c r="O493" s="37">
        <v>896.09</v>
      </c>
      <c r="P493" s="38" t="str">
        <f t="shared" si="52"/>
        <v>High</v>
      </c>
      <c r="Q493" s="37">
        <v>744.27</v>
      </c>
      <c r="R493" s="37">
        <v>8.3000000000000004E-2</v>
      </c>
      <c r="S493" s="37">
        <v>11</v>
      </c>
      <c r="T493" s="37">
        <f t="shared" si="49"/>
        <v>16395.611540000002</v>
      </c>
      <c r="U493" s="32">
        <f t="shared" si="50"/>
        <v>9856.99</v>
      </c>
      <c r="V493" s="37">
        <f t="shared" si="53"/>
        <v>6538.6215400000019</v>
      </c>
      <c r="W493" s="39">
        <f t="shared" si="54"/>
        <v>0.3988031507118765</v>
      </c>
    </row>
    <row r="494" spans="1:23" x14ac:dyDescent="0.3">
      <c r="A494" s="40" t="s">
        <v>1087</v>
      </c>
      <c r="B494" s="41">
        <v>45352</v>
      </c>
      <c r="C494" s="42">
        <v>45351</v>
      </c>
      <c r="D494" s="43">
        <f>DATEDIF(C494,B494, "MD")</f>
        <v>1</v>
      </c>
      <c r="E494" s="43" t="str">
        <f>TEXT(Data!B494,"MMM-YYYY")</f>
        <v>Mar-2024</v>
      </c>
      <c r="F494" s="43" t="str">
        <f t="shared" si="51"/>
        <v>Q1-2024</v>
      </c>
      <c r="G494" s="33" t="s">
        <v>52</v>
      </c>
      <c r="H494" s="33" t="s">
        <v>73</v>
      </c>
      <c r="I494" s="33" t="s">
        <v>74</v>
      </c>
      <c r="J494" s="33" t="s">
        <v>39</v>
      </c>
      <c r="K494" s="33" t="s">
        <v>98</v>
      </c>
      <c r="L494" s="33" t="s">
        <v>34</v>
      </c>
      <c r="M494" s="33" t="s">
        <v>42</v>
      </c>
      <c r="N494" s="33" t="s">
        <v>1088</v>
      </c>
      <c r="O494" s="43">
        <v>5.34</v>
      </c>
      <c r="P494" s="44" t="str">
        <f t="shared" si="52"/>
        <v>Low</v>
      </c>
      <c r="Q494" s="43">
        <v>12.69</v>
      </c>
      <c r="R494" s="43">
        <v>0.13200000000000001</v>
      </c>
      <c r="S494" s="43">
        <v>10</v>
      </c>
      <c r="T494" s="43">
        <f t="shared" si="49"/>
        <v>2603.4792000000002</v>
      </c>
      <c r="U494" s="33">
        <f t="shared" si="50"/>
        <v>53.4</v>
      </c>
      <c r="V494" s="43">
        <f t="shared" si="53"/>
        <v>2550.0792000000001</v>
      </c>
      <c r="W494" s="45">
        <f t="shared" si="54"/>
        <v>0.97948898535467455</v>
      </c>
    </row>
    <row r="495" spans="1:23" x14ac:dyDescent="0.3">
      <c r="A495" s="34" t="s">
        <v>1089</v>
      </c>
      <c r="B495" s="35">
        <v>45439</v>
      </c>
      <c r="C495" s="36">
        <v>45460</v>
      </c>
      <c r="D495" s="37">
        <f t="shared" si="55"/>
        <v>21</v>
      </c>
      <c r="E495" s="37" t="str">
        <f>TEXT(Data!B495,"MMM-YYYY")</f>
        <v>May-2024</v>
      </c>
      <c r="F495" s="37" t="str">
        <f t="shared" si="51"/>
        <v>Q2-2024</v>
      </c>
      <c r="G495" s="32" t="s">
        <v>45</v>
      </c>
      <c r="H495" s="32" t="s">
        <v>60</v>
      </c>
      <c r="I495" s="32" t="s">
        <v>141</v>
      </c>
      <c r="J495" s="32" t="s">
        <v>62</v>
      </c>
      <c r="K495" s="32" t="s">
        <v>28</v>
      </c>
      <c r="L495" s="32" t="s">
        <v>92</v>
      </c>
      <c r="M495" s="32" t="s">
        <v>81</v>
      </c>
      <c r="N495" s="32" t="s">
        <v>1090</v>
      </c>
      <c r="O495" s="37">
        <v>465.02</v>
      </c>
      <c r="P495" s="38" t="str">
        <f t="shared" si="52"/>
        <v>High</v>
      </c>
      <c r="Q495" s="37">
        <v>651.55999999999995</v>
      </c>
      <c r="R495" s="37">
        <v>4.2000000000000003E-2</v>
      </c>
      <c r="S495" s="37">
        <v>19</v>
      </c>
      <c r="T495" s="37">
        <f t="shared" si="49"/>
        <v>27375.07992</v>
      </c>
      <c r="U495" s="32">
        <f t="shared" si="50"/>
        <v>8835.3799999999992</v>
      </c>
      <c r="V495" s="37">
        <f t="shared" si="53"/>
        <v>18539.699919999999</v>
      </c>
      <c r="W495" s="39">
        <f t="shared" si="54"/>
        <v>0.67724733495499501</v>
      </c>
    </row>
    <row r="496" spans="1:23" x14ac:dyDescent="0.3">
      <c r="A496" s="40" t="s">
        <v>1091</v>
      </c>
      <c r="B496" s="41">
        <v>45508</v>
      </c>
      <c r="C496" s="42">
        <v>45521</v>
      </c>
      <c r="D496" s="43">
        <f t="shared" si="55"/>
        <v>13</v>
      </c>
      <c r="E496" s="43" t="str">
        <f>TEXT(Data!B496,"MMM-YYYY")</f>
        <v>Aug-2024</v>
      </c>
      <c r="F496" s="43" t="str">
        <f t="shared" si="51"/>
        <v>Q3-2024</v>
      </c>
      <c r="G496" s="33" t="s">
        <v>52</v>
      </c>
      <c r="H496" s="33" t="s">
        <v>122</v>
      </c>
      <c r="I496" s="33" t="s">
        <v>326</v>
      </c>
      <c r="J496" s="33" t="s">
        <v>48</v>
      </c>
      <c r="K496" s="33" t="s">
        <v>20</v>
      </c>
      <c r="L496" s="33" t="s">
        <v>145</v>
      </c>
      <c r="M496" s="33" t="s">
        <v>64</v>
      </c>
      <c r="N496" s="33" t="s">
        <v>1092</v>
      </c>
      <c r="O496" s="43">
        <v>352.79</v>
      </c>
      <c r="P496" s="44" t="str">
        <f t="shared" si="52"/>
        <v>High</v>
      </c>
      <c r="Q496" s="43">
        <v>754.22</v>
      </c>
      <c r="R496" s="43">
        <v>0.113</v>
      </c>
      <c r="S496" s="43">
        <v>7</v>
      </c>
      <c r="T496" s="43">
        <f t="shared" si="49"/>
        <v>19254.791990000002</v>
      </c>
      <c r="U496" s="33">
        <f t="shared" si="50"/>
        <v>2469.5300000000002</v>
      </c>
      <c r="V496" s="43">
        <f t="shared" si="53"/>
        <v>16785.261990000003</v>
      </c>
      <c r="W496" s="45">
        <f t="shared" si="54"/>
        <v>0.87174465445887173</v>
      </c>
    </row>
    <row r="497" spans="1:23" x14ac:dyDescent="0.3">
      <c r="A497" s="34" t="s">
        <v>1093</v>
      </c>
      <c r="B497" s="35">
        <v>45097</v>
      </c>
      <c r="C497" s="36">
        <v>45111</v>
      </c>
      <c r="D497" s="37">
        <f t="shared" si="55"/>
        <v>14</v>
      </c>
      <c r="E497" s="37" t="str">
        <f>TEXT(Data!B497,"MMM-YYYY")</f>
        <v>Jun-2023</v>
      </c>
      <c r="F497" s="37" t="str">
        <f t="shared" si="51"/>
        <v>Q2-2023</v>
      </c>
      <c r="G497" s="32" t="s">
        <v>52</v>
      </c>
      <c r="H497" s="32" t="s">
        <v>73</v>
      </c>
      <c r="I497" s="32" t="s">
        <v>87</v>
      </c>
      <c r="J497" s="32" t="s">
        <v>39</v>
      </c>
      <c r="K497" s="32" t="s">
        <v>98</v>
      </c>
      <c r="L497" s="32" t="s">
        <v>21</v>
      </c>
      <c r="M497" s="32" t="s">
        <v>35</v>
      </c>
      <c r="N497" s="32" t="s">
        <v>1094</v>
      </c>
      <c r="O497" s="37">
        <v>1292.8599999999999</v>
      </c>
      <c r="P497" s="38" t="str">
        <f t="shared" si="52"/>
        <v>High</v>
      </c>
      <c r="Q497" s="37">
        <v>2981.01</v>
      </c>
      <c r="R497" s="37">
        <v>0.14199999999999999</v>
      </c>
      <c r="S497" s="37">
        <v>12</v>
      </c>
      <c r="T497" s="37">
        <f t="shared" si="49"/>
        <v>10084.108319999999</v>
      </c>
      <c r="U497" s="32">
        <f t="shared" si="50"/>
        <v>15514.32</v>
      </c>
      <c r="V497" s="37">
        <f t="shared" si="53"/>
        <v>-5430.2116800000003</v>
      </c>
      <c r="W497" s="39">
        <f t="shared" si="54"/>
        <v>-0.5384920022358507</v>
      </c>
    </row>
    <row r="498" spans="1:23" x14ac:dyDescent="0.3">
      <c r="A498" s="40" t="s">
        <v>1095</v>
      </c>
      <c r="B498" s="41">
        <v>45544</v>
      </c>
      <c r="C498" s="42">
        <v>45548</v>
      </c>
      <c r="D498" s="43">
        <f t="shared" si="55"/>
        <v>4</v>
      </c>
      <c r="E498" s="43" t="str">
        <f>TEXT(Data!B498,"MMM-YYYY")</f>
        <v>Sep-2024</v>
      </c>
      <c r="F498" s="43" t="str">
        <f t="shared" si="51"/>
        <v>Q3-2024</v>
      </c>
      <c r="G498" s="33" t="s">
        <v>78</v>
      </c>
      <c r="H498" s="33" t="s">
        <v>108</v>
      </c>
      <c r="I498" s="33" t="s">
        <v>152</v>
      </c>
      <c r="J498" s="33" t="s">
        <v>48</v>
      </c>
      <c r="K498" s="33" t="s">
        <v>40</v>
      </c>
      <c r="L498" s="33" t="s">
        <v>84</v>
      </c>
      <c r="M498" s="33" t="s">
        <v>35</v>
      </c>
      <c r="N498" s="33" t="s">
        <v>1096</v>
      </c>
      <c r="O498" s="43">
        <v>1133.08</v>
      </c>
      <c r="P498" s="44" t="str">
        <f t="shared" si="52"/>
        <v>High</v>
      </c>
      <c r="Q498" s="43">
        <v>976.17</v>
      </c>
      <c r="R498" s="43">
        <v>4.2000000000000003E-2</v>
      </c>
      <c r="S498" s="43">
        <v>27</v>
      </c>
      <c r="T498" s="43">
        <f t="shared" si="49"/>
        <v>30683.801159999999</v>
      </c>
      <c r="U498" s="33">
        <f t="shared" si="50"/>
        <v>30593.159999999996</v>
      </c>
      <c r="V498" s="43">
        <f t="shared" si="53"/>
        <v>90.641160000002856</v>
      </c>
      <c r="W498" s="45">
        <f t="shared" si="54"/>
        <v>2.9540394792469337E-3</v>
      </c>
    </row>
    <row r="499" spans="1:23" x14ac:dyDescent="0.3">
      <c r="A499" s="34" t="s">
        <v>1097</v>
      </c>
      <c r="B499" s="35">
        <v>45224</v>
      </c>
      <c r="C499" s="36">
        <v>45227</v>
      </c>
      <c r="D499" s="37">
        <f t="shared" si="55"/>
        <v>3</v>
      </c>
      <c r="E499" s="37" t="str">
        <f>TEXT(Data!B499,"MMM-YYYY")</f>
        <v>Oct-2023</v>
      </c>
      <c r="F499" s="37" t="str">
        <f t="shared" si="51"/>
        <v>Q4-2023</v>
      </c>
      <c r="G499" s="32" t="s">
        <v>52</v>
      </c>
      <c r="H499" s="32" t="s">
        <v>73</v>
      </c>
      <c r="I499" s="32" t="s">
        <v>87</v>
      </c>
      <c r="J499" s="32" t="s">
        <v>19</v>
      </c>
      <c r="K499" s="32" t="s">
        <v>55</v>
      </c>
      <c r="L499" s="32" t="s">
        <v>49</v>
      </c>
      <c r="M499" s="32" t="s">
        <v>81</v>
      </c>
      <c r="N499" s="32" t="s">
        <v>1098</v>
      </c>
      <c r="O499" s="37">
        <v>509.31</v>
      </c>
      <c r="P499" s="38" t="str">
        <f t="shared" si="52"/>
        <v>High</v>
      </c>
      <c r="Q499" s="37">
        <v>1145.9000000000001</v>
      </c>
      <c r="R499" s="37">
        <v>5.7000000000000002E-2</v>
      </c>
      <c r="S499" s="37">
        <v>8</v>
      </c>
      <c r="T499" s="37">
        <f t="shared" si="49"/>
        <v>14622.761519999998</v>
      </c>
      <c r="U499" s="32">
        <f t="shared" si="50"/>
        <v>4074.48</v>
      </c>
      <c r="V499" s="37">
        <f t="shared" si="53"/>
        <v>10548.281519999999</v>
      </c>
      <c r="W499" s="39">
        <f t="shared" si="54"/>
        <v>0.7213604287789821</v>
      </c>
    </row>
    <row r="500" spans="1:23" x14ac:dyDescent="0.3">
      <c r="A500" s="40" t="s">
        <v>1099</v>
      </c>
      <c r="B500" s="41">
        <v>45908</v>
      </c>
      <c r="C500" s="42">
        <v>45935</v>
      </c>
      <c r="D500" s="43">
        <f t="shared" si="55"/>
        <v>27</v>
      </c>
      <c r="E500" s="43" t="str">
        <f>TEXT(Data!B500,"MMM-YYYY")</f>
        <v>Sep-2025</v>
      </c>
      <c r="F500" s="43" t="str">
        <f t="shared" si="51"/>
        <v>Q3-2025</v>
      </c>
      <c r="G500" s="33" t="s">
        <v>52</v>
      </c>
      <c r="H500" s="33" t="s">
        <v>73</v>
      </c>
      <c r="I500" s="33" t="s">
        <v>225</v>
      </c>
      <c r="J500" s="33" t="s">
        <v>27</v>
      </c>
      <c r="K500" s="33" t="s">
        <v>28</v>
      </c>
      <c r="L500" s="33" t="s">
        <v>21</v>
      </c>
      <c r="M500" s="33" t="s">
        <v>64</v>
      </c>
      <c r="N500" s="33" t="s">
        <v>1100</v>
      </c>
      <c r="O500" s="43">
        <v>660.78</v>
      </c>
      <c r="P500" s="44" t="str">
        <f t="shared" si="52"/>
        <v>High</v>
      </c>
      <c r="Q500" s="43">
        <v>1630.39</v>
      </c>
      <c r="R500" s="43">
        <v>0.218</v>
      </c>
      <c r="S500" s="43">
        <v>13</v>
      </c>
      <c r="T500" s="43">
        <f t="shared" si="49"/>
        <v>8401.8940200000015</v>
      </c>
      <c r="U500" s="33">
        <f t="shared" si="50"/>
        <v>8590.14</v>
      </c>
      <c r="V500" s="43">
        <f t="shared" si="53"/>
        <v>-188.24597999999787</v>
      </c>
      <c r="W500" s="45">
        <f t="shared" si="54"/>
        <v>-2.2405183825443903E-2</v>
      </c>
    </row>
    <row r="501" spans="1:23" x14ac:dyDescent="0.3">
      <c r="A501" s="34" t="s">
        <v>1101</v>
      </c>
      <c r="B501" s="35">
        <v>45048</v>
      </c>
      <c r="C501" s="36">
        <v>45062</v>
      </c>
      <c r="D501" s="37">
        <f t="shared" si="55"/>
        <v>14</v>
      </c>
      <c r="E501" s="37" t="str">
        <f>TEXT(Data!B501,"MMM-YYYY")</f>
        <v>May-2023</v>
      </c>
      <c r="F501" s="37" t="str">
        <f t="shared" si="51"/>
        <v>Q2-2023</v>
      </c>
      <c r="G501" s="32" t="s">
        <v>45</v>
      </c>
      <c r="H501" s="32" t="s">
        <v>60</v>
      </c>
      <c r="I501" s="32" t="s">
        <v>61</v>
      </c>
      <c r="J501" s="32" t="s">
        <v>39</v>
      </c>
      <c r="K501" s="32" t="s">
        <v>20</v>
      </c>
      <c r="L501" s="32" t="s">
        <v>49</v>
      </c>
      <c r="M501" s="32" t="s">
        <v>64</v>
      </c>
      <c r="N501" s="32" t="s">
        <v>1102</v>
      </c>
      <c r="O501" s="37">
        <v>475.37</v>
      </c>
      <c r="P501" s="38" t="str">
        <f t="shared" si="52"/>
        <v>High</v>
      </c>
      <c r="Q501" s="37">
        <v>963.73</v>
      </c>
      <c r="R501" s="37">
        <v>4.1000000000000002E-2</v>
      </c>
      <c r="S501" s="37">
        <v>22</v>
      </c>
      <c r="T501" s="37">
        <f t="shared" si="49"/>
        <v>2493.1506600000002</v>
      </c>
      <c r="U501" s="32">
        <f t="shared" si="50"/>
        <v>10458.14</v>
      </c>
      <c r="V501" s="37">
        <f t="shared" si="53"/>
        <v>-7964.9893399999992</v>
      </c>
      <c r="W501" s="39">
        <f t="shared" si="54"/>
        <v>-3.194748503485946</v>
      </c>
    </row>
    <row r="502" spans="1:23" x14ac:dyDescent="0.3">
      <c r="A502" s="40" t="s">
        <v>1103</v>
      </c>
      <c r="B502" s="41">
        <v>45408</v>
      </c>
      <c r="C502" s="42">
        <v>45406</v>
      </c>
      <c r="D502" s="43">
        <f>DATEDIF(C502,B502, "MD")</f>
        <v>2</v>
      </c>
      <c r="E502" s="43" t="str">
        <f>TEXT(Data!B502,"MMM-YYYY")</f>
        <v>Apr-2024</v>
      </c>
      <c r="F502" s="43" t="str">
        <f t="shared" si="51"/>
        <v>Q2-2024</v>
      </c>
      <c r="G502" s="33" t="s">
        <v>78</v>
      </c>
      <c r="H502" s="33" t="s">
        <v>108</v>
      </c>
      <c r="I502" s="33" t="s">
        <v>152</v>
      </c>
      <c r="J502" s="33" t="s">
        <v>39</v>
      </c>
      <c r="K502" s="33" t="s">
        <v>55</v>
      </c>
      <c r="L502" s="33" t="s">
        <v>126</v>
      </c>
      <c r="M502" s="33" t="s">
        <v>42</v>
      </c>
      <c r="N502" s="33" t="s">
        <v>1104</v>
      </c>
      <c r="O502" s="43">
        <v>1232.77</v>
      </c>
      <c r="P502" s="44" t="str">
        <f t="shared" si="52"/>
        <v>High</v>
      </c>
      <c r="Q502" s="43">
        <v>891.73</v>
      </c>
      <c r="R502" s="43">
        <v>0.16700000000000001</v>
      </c>
      <c r="S502" s="43">
        <v>10</v>
      </c>
      <c r="T502" s="43">
        <f t="shared" si="49"/>
        <v>11877.497099999999</v>
      </c>
      <c r="U502" s="33">
        <f t="shared" si="50"/>
        <v>12327.7</v>
      </c>
      <c r="V502" s="43">
        <f t="shared" si="53"/>
        <v>-450.20290000000205</v>
      </c>
      <c r="W502" s="45">
        <f t="shared" si="54"/>
        <v>-3.7903852655960836E-2</v>
      </c>
    </row>
    <row r="503" spans="1:23" x14ac:dyDescent="0.3">
      <c r="A503" s="34" t="s">
        <v>1105</v>
      </c>
      <c r="B503" s="35">
        <v>44980</v>
      </c>
      <c r="C503" s="36">
        <v>45003</v>
      </c>
      <c r="D503" s="37">
        <f t="shared" si="55"/>
        <v>23</v>
      </c>
      <c r="E503" s="37" t="str">
        <f>TEXT(Data!B503,"MMM-YYYY")</f>
        <v>Feb-2023</v>
      </c>
      <c r="F503" s="37" t="str">
        <f t="shared" si="51"/>
        <v>Q1-2023</v>
      </c>
      <c r="G503" s="32" t="s">
        <v>45</v>
      </c>
      <c r="H503" s="32" t="s">
        <v>116</v>
      </c>
      <c r="I503" s="32" t="s">
        <v>338</v>
      </c>
      <c r="J503" s="32" t="s">
        <v>27</v>
      </c>
      <c r="K503" s="32" t="s">
        <v>55</v>
      </c>
      <c r="L503" s="32" t="s">
        <v>95</v>
      </c>
      <c r="M503" s="32" t="s">
        <v>30</v>
      </c>
      <c r="N503" s="32" t="s">
        <v>1106</v>
      </c>
      <c r="O503" s="37">
        <v>770.11</v>
      </c>
      <c r="P503" s="38" t="str">
        <f t="shared" si="52"/>
        <v>High</v>
      </c>
      <c r="Q503" s="37">
        <v>1667.82</v>
      </c>
      <c r="R503" s="37">
        <v>6.9000000000000006E-2</v>
      </c>
      <c r="S503" s="37">
        <v>7</v>
      </c>
      <c r="T503" s="37">
        <f t="shared" si="49"/>
        <v>10393.181259999999</v>
      </c>
      <c r="U503" s="32">
        <f t="shared" si="50"/>
        <v>5390.77</v>
      </c>
      <c r="V503" s="37">
        <f t="shared" si="53"/>
        <v>5002.4112599999989</v>
      </c>
      <c r="W503" s="39">
        <f t="shared" si="54"/>
        <v>0.48131665703288229</v>
      </c>
    </row>
    <row r="504" spans="1:23" x14ac:dyDescent="0.3">
      <c r="A504" s="40" t="s">
        <v>1107</v>
      </c>
      <c r="B504" s="41">
        <v>45740</v>
      </c>
      <c r="C504" s="42">
        <v>45741</v>
      </c>
      <c r="D504" s="43">
        <f t="shared" si="55"/>
        <v>1</v>
      </c>
      <c r="E504" s="43" t="str">
        <f>TEXT(Data!B504,"MMM-YYYY")</f>
        <v>Mar-2025</v>
      </c>
      <c r="F504" s="43" t="str">
        <f t="shared" si="51"/>
        <v>Q1-2025</v>
      </c>
      <c r="G504" s="33" t="s">
        <v>45</v>
      </c>
      <c r="H504" s="33" t="s">
        <v>116</v>
      </c>
      <c r="I504" s="33" t="s">
        <v>338</v>
      </c>
      <c r="J504" s="33" t="s">
        <v>39</v>
      </c>
      <c r="K504" s="33" t="s">
        <v>28</v>
      </c>
      <c r="L504" s="33" t="s">
        <v>41</v>
      </c>
      <c r="M504" s="33" t="s">
        <v>35</v>
      </c>
      <c r="N504" s="33" t="s">
        <v>1108</v>
      </c>
      <c r="O504" s="43">
        <v>1133.03</v>
      </c>
      <c r="P504" s="44" t="str">
        <f t="shared" si="52"/>
        <v>High</v>
      </c>
      <c r="Q504" s="43">
        <v>1921.51</v>
      </c>
      <c r="R504" s="43">
        <v>0.10100000000000001</v>
      </c>
      <c r="S504" s="43">
        <v>5</v>
      </c>
      <c r="T504" s="43">
        <f t="shared" si="49"/>
        <v>15022.784449999999</v>
      </c>
      <c r="U504" s="33">
        <f t="shared" si="50"/>
        <v>5665.15</v>
      </c>
      <c r="V504" s="43">
        <f t="shared" si="53"/>
        <v>9357.6344499999996</v>
      </c>
      <c r="W504" s="45">
        <f t="shared" si="54"/>
        <v>0.62289614026912299</v>
      </c>
    </row>
    <row r="505" spans="1:23" x14ac:dyDescent="0.3">
      <c r="A505" s="34" t="s">
        <v>1109</v>
      </c>
      <c r="B505" s="35">
        <v>45726</v>
      </c>
      <c r="C505" s="36">
        <v>45743</v>
      </c>
      <c r="D505" s="37">
        <f t="shared" si="55"/>
        <v>17</v>
      </c>
      <c r="E505" s="37" t="str">
        <f>TEXT(Data!B505,"MMM-YYYY")</f>
        <v>Mar-2025</v>
      </c>
      <c r="F505" s="37" t="str">
        <f t="shared" si="51"/>
        <v>Q1-2025</v>
      </c>
      <c r="G505" s="32" t="s">
        <v>52</v>
      </c>
      <c r="H505" s="32" t="s">
        <v>73</v>
      </c>
      <c r="I505" s="32" t="s">
        <v>225</v>
      </c>
      <c r="J505" s="32" t="s">
        <v>105</v>
      </c>
      <c r="K505" s="32" t="s">
        <v>98</v>
      </c>
      <c r="L505" s="32" t="s">
        <v>84</v>
      </c>
      <c r="M505" s="32" t="s">
        <v>35</v>
      </c>
      <c r="N505" s="32" t="s">
        <v>1110</v>
      </c>
      <c r="O505" s="37">
        <v>996.73</v>
      </c>
      <c r="P505" s="38" t="str">
        <f t="shared" si="52"/>
        <v>High</v>
      </c>
      <c r="Q505" s="37">
        <v>1217.43</v>
      </c>
      <c r="R505" s="37">
        <v>7.0000000000000007E-2</v>
      </c>
      <c r="S505" s="37">
        <v>9</v>
      </c>
      <c r="T505" s="37">
        <f t="shared" si="49"/>
        <v>8953.9748999999993</v>
      </c>
      <c r="U505" s="32">
        <f t="shared" si="50"/>
        <v>8970.57</v>
      </c>
      <c r="V505" s="37">
        <f t="shared" si="53"/>
        <v>-16.595100000000457</v>
      </c>
      <c r="W505" s="39">
        <f t="shared" si="54"/>
        <v>-1.8533779897015859E-3</v>
      </c>
    </row>
    <row r="506" spans="1:23" x14ac:dyDescent="0.3">
      <c r="A506" s="40" t="s">
        <v>1111</v>
      </c>
      <c r="B506" s="41">
        <v>45387</v>
      </c>
      <c r="C506" s="42">
        <v>45391</v>
      </c>
      <c r="D506" s="43">
        <f t="shared" si="55"/>
        <v>4</v>
      </c>
      <c r="E506" s="43" t="str">
        <f>TEXT(Data!B506,"MMM-YYYY")</f>
        <v>Apr-2024</v>
      </c>
      <c r="F506" s="43" t="str">
        <f t="shared" si="51"/>
        <v>Q2-2024</v>
      </c>
      <c r="G506" s="33" t="s">
        <v>16</v>
      </c>
      <c r="H506" s="33" t="s">
        <v>25</v>
      </c>
      <c r="I506" s="33" t="s">
        <v>38</v>
      </c>
      <c r="J506" s="33" t="s">
        <v>39</v>
      </c>
      <c r="K506" s="33" t="s">
        <v>98</v>
      </c>
      <c r="L506" s="33" t="s">
        <v>95</v>
      </c>
      <c r="M506" s="33" t="s">
        <v>22</v>
      </c>
      <c r="N506" s="33" t="s">
        <v>1112</v>
      </c>
      <c r="O506" s="43">
        <v>395.07</v>
      </c>
      <c r="P506" s="44" t="str">
        <f t="shared" si="52"/>
        <v>High</v>
      </c>
      <c r="Q506" s="43">
        <v>970.27</v>
      </c>
      <c r="R506" s="43">
        <v>0.123</v>
      </c>
      <c r="S506" s="43">
        <v>38</v>
      </c>
      <c r="T506" s="43">
        <f t="shared" si="49"/>
        <v>4692.9673199999997</v>
      </c>
      <c r="U506" s="33">
        <f t="shared" si="50"/>
        <v>15012.66</v>
      </c>
      <c r="V506" s="43">
        <f t="shared" si="53"/>
        <v>-10319.69268</v>
      </c>
      <c r="W506" s="45">
        <f t="shared" si="54"/>
        <v>-2.1989696446469185</v>
      </c>
    </row>
    <row r="507" spans="1:23" x14ac:dyDescent="0.3">
      <c r="A507" s="34" t="s">
        <v>1113</v>
      </c>
      <c r="B507" s="35">
        <v>45774</v>
      </c>
      <c r="C507" s="36">
        <v>45794</v>
      </c>
      <c r="D507" s="37">
        <f t="shared" si="55"/>
        <v>20</v>
      </c>
      <c r="E507" s="37" t="str">
        <f>TEXT(Data!B507,"MMM-YYYY")</f>
        <v>Apr-2025</v>
      </c>
      <c r="F507" s="37" t="str">
        <f t="shared" si="51"/>
        <v>Q2-2025</v>
      </c>
      <c r="G507" s="32" t="s">
        <v>52</v>
      </c>
      <c r="H507" s="32" t="s">
        <v>122</v>
      </c>
      <c r="I507" s="32" t="s">
        <v>326</v>
      </c>
      <c r="J507" s="32" t="s">
        <v>19</v>
      </c>
      <c r="K507" s="32" t="s">
        <v>98</v>
      </c>
      <c r="L507" s="32" t="s">
        <v>126</v>
      </c>
      <c r="M507" s="32" t="s">
        <v>42</v>
      </c>
      <c r="N507" s="32" t="s">
        <v>1114</v>
      </c>
      <c r="O507" s="37">
        <v>932.26</v>
      </c>
      <c r="P507" s="38" t="str">
        <f t="shared" si="52"/>
        <v>High</v>
      </c>
      <c r="Q507" s="37">
        <v>1624.67</v>
      </c>
      <c r="R507" s="37">
        <v>0.23499999999999999</v>
      </c>
      <c r="S507" s="37">
        <v>28</v>
      </c>
      <c r="T507" s="37">
        <f t="shared" si="49"/>
        <v>1435.9968000000001</v>
      </c>
      <c r="U507" s="32">
        <f t="shared" si="50"/>
        <v>26103.279999999999</v>
      </c>
      <c r="V507" s="37">
        <f t="shared" si="53"/>
        <v>-24667.283199999998</v>
      </c>
      <c r="W507" s="39">
        <f t="shared" si="54"/>
        <v>-17.177812095402995</v>
      </c>
    </row>
    <row r="508" spans="1:23" x14ac:dyDescent="0.3">
      <c r="A508" s="40" t="s">
        <v>1115</v>
      </c>
      <c r="B508" s="41">
        <v>45589</v>
      </c>
      <c r="C508" s="42">
        <v>45593</v>
      </c>
      <c r="D508" s="43">
        <f t="shared" si="55"/>
        <v>4</v>
      </c>
      <c r="E508" s="43" t="str">
        <f>TEXT(Data!B508,"MMM-YYYY")</f>
        <v>Oct-2024</v>
      </c>
      <c r="F508" s="43" t="str">
        <f t="shared" si="51"/>
        <v>Q4-2024</v>
      </c>
      <c r="G508" s="33" t="s">
        <v>45</v>
      </c>
      <c r="H508" s="33" t="s">
        <v>116</v>
      </c>
      <c r="I508" s="33" t="s">
        <v>162</v>
      </c>
      <c r="J508" s="33" t="s">
        <v>62</v>
      </c>
      <c r="K508" s="33" t="s">
        <v>55</v>
      </c>
      <c r="L508" s="33" t="s">
        <v>34</v>
      </c>
      <c r="M508" s="33" t="s">
        <v>35</v>
      </c>
      <c r="N508" s="33" t="s">
        <v>1116</v>
      </c>
      <c r="O508" s="43">
        <v>1331.77</v>
      </c>
      <c r="P508" s="44" t="str">
        <f t="shared" si="52"/>
        <v>High</v>
      </c>
      <c r="Q508" s="43">
        <v>2606.11</v>
      </c>
      <c r="R508" s="43">
        <v>0.02</v>
      </c>
      <c r="S508" s="43">
        <v>6</v>
      </c>
      <c r="T508" s="43">
        <f t="shared" si="49"/>
        <v>7506.8196000000007</v>
      </c>
      <c r="U508" s="33">
        <f t="shared" si="50"/>
        <v>7990.62</v>
      </c>
      <c r="V508" s="43">
        <f t="shared" si="53"/>
        <v>-483.80039999999917</v>
      </c>
      <c r="W508" s="45">
        <f t="shared" si="54"/>
        <v>-6.444811861470591E-2</v>
      </c>
    </row>
    <row r="509" spans="1:23" x14ac:dyDescent="0.3">
      <c r="A509" s="34" t="s">
        <v>1117</v>
      </c>
      <c r="B509" s="35">
        <v>45029</v>
      </c>
      <c r="C509" s="36">
        <v>45036</v>
      </c>
      <c r="D509" s="37">
        <f t="shared" si="55"/>
        <v>7</v>
      </c>
      <c r="E509" s="37" t="str">
        <f>TEXT(Data!B509,"MMM-YYYY")</f>
        <v>Apr-2023</v>
      </c>
      <c r="F509" s="37" t="str">
        <f t="shared" si="51"/>
        <v>Q2-2023</v>
      </c>
      <c r="G509" s="32" t="s">
        <v>78</v>
      </c>
      <c r="H509" s="32" t="s">
        <v>90</v>
      </c>
      <c r="I509" s="32" t="s">
        <v>138</v>
      </c>
      <c r="J509" s="32" t="s">
        <v>62</v>
      </c>
      <c r="K509" s="32" t="s">
        <v>28</v>
      </c>
      <c r="L509" s="32" t="s">
        <v>75</v>
      </c>
      <c r="M509" s="32" t="s">
        <v>57</v>
      </c>
      <c r="N509" s="32" t="s">
        <v>1118</v>
      </c>
      <c r="O509" s="37">
        <v>227.02</v>
      </c>
      <c r="P509" s="38" t="str">
        <f t="shared" si="52"/>
        <v>High</v>
      </c>
      <c r="Q509" s="37">
        <v>434.72</v>
      </c>
      <c r="R509" s="37">
        <v>9.8000000000000004E-2</v>
      </c>
      <c r="S509" s="37">
        <v>10</v>
      </c>
      <c r="T509" s="37">
        <f t="shared" si="49"/>
        <v>25448.667200000004</v>
      </c>
      <c r="U509" s="32">
        <f t="shared" si="50"/>
        <v>2270.2000000000003</v>
      </c>
      <c r="V509" s="37">
        <f t="shared" si="53"/>
        <v>23178.467200000003</v>
      </c>
      <c r="W509" s="39">
        <f t="shared" si="54"/>
        <v>0.91079297072186161</v>
      </c>
    </row>
    <row r="510" spans="1:23" x14ac:dyDescent="0.3">
      <c r="A510" s="40" t="s">
        <v>1119</v>
      </c>
      <c r="B510" s="41">
        <v>45608</v>
      </c>
      <c r="C510" s="42">
        <v>45617</v>
      </c>
      <c r="D510" s="43">
        <f t="shared" si="55"/>
        <v>9</v>
      </c>
      <c r="E510" s="43" t="str">
        <f>TEXT(Data!B510,"MMM-YYYY")</f>
        <v>Nov-2024</v>
      </c>
      <c r="F510" s="43" t="str">
        <f t="shared" si="51"/>
        <v>Q4-2024</v>
      </c>
      <c r="G510" s="33" t="s">
        <v>45</v>
      </c>
      <c r="H510" s="33" t="s">
        <v>60</v>
      </c>
      <c r="I510" s="33" t="s">
        <v>220</v>
      </c>
      <c r="J510" s="33" t="s">
        <v>19</v>
      </c>
      <c r="K510" s="33" t="s">
        <v>98</v>
      </c>
      <c r="L510" s="33" t="s">
        <v>92</v>
      </c>
      <c r="M510" s="33" t="s">
        <v>57</v>
      </c>
      <c r="N510" s="33" t="s">
        <v>1120</v>
      </c>
      <c r="O510" s="43">
        <v>903.41</v>
      </c>
      <c r="P510" s="44" t="str">
        <f t="shared" si="52"/>
        <v>High</v>
      </c>
      <c r="Q510" s="43">
        <v>1860.41</v>
      </c>
      <c r="R510" s="43">
        <v>0.108</v>
      </c>
      <c r="S510" s="43">
        <v>5</v>
      </c>
      <c r="T510" s="43">
        <f t="shared" si="49"/>
        <v>6953.9874000000009</v>
      </c>
      <c r="U510" s="33">
        <f t="shared" si="50"/>
        <v>4517.05</v>
      </c>
      <c r="V510" s="43">
        <f t="shared" si="53"/>
        <v>2436.9374000000007</v>
      </c>
      <c r="W510" s="45">
        <f t="shared" si="54"/>
        <v>0.35043741954436103</v>
      </c>
    </row>
    <row r="511" spans="1:23" x14ac:dyDescent="0.3">
      <c r="A511" s="34" t="s">
        <v>1121</v>
      </c>
      <c r="B511" s="35">
        <v>45056</v>
      </c>
      <c r="C511" s="36">
        <v>45060</v>
      </c>
      <c r="D511" s="37">
        <f t="shared" si="55"/>
        <v>4</v>
      </c>
      <c r="E511" s="37" t="str">
        <f>TEXT(Data!B511,"MMM-YYYY")</f>
        <v>May-2023</v>
      </c>
      <c r="F511" s="37" t="str">
        <f t="shared" si="51"/>
        <v>Q2-2023</v>
      </c>
      <c r="G511" s="32" t="s">
        <v>45</v>
      </c>
      <c r="H511" s="32" t="s">
        <v>60</v>
      </c>
      <c r="I511" s="32" t="s">
        <v>141</v>
      </c>
      <c r="J511" s="32" t="s">
        <v>39</v>
      </c>
      <c r="K511" s="32" t="s">
        <v>55</v>
      </c>
      <c r="L511" s="32" t="s">
        <v>21</v>
      </c>
      <c r="M511" s="32" t="s">
        <v>64</v>
      </c>
      <c r="N511" s="32" t="s">
        <v>1122</v>
      </c>
      <c r="O511" s="37">
        <v>622.6</v>
      </c>
      <c r="P511" s="38" t="str">
        <f t="shared" si="52"/>
        <v>High</v>
      </c>
      <c r="Q511" s="37">
        <v>833.69</v>
      </c>
      <c r="R511" s="37">
        <v>0.20899999999999999</v>
      </c>
      <c r="S511" s="37">
        <v>14</v>
      </c>
      <c r="T511" s="37">
        <f t="shared" si="49"/>
        <v>7271.8528400000005</v>
      </c>
      <c r="U511" s="32">
        <f t="shared" si="50"/>
        <v>8716.4</v>
      </c>
      <c r="V511" s="37">
        <f t="shared" si="53"/>
        <v>-1444.5471599999992</v>
      </c>
      <c r="W511" s="39">
        <f t="shared" si="54"/>
        <v>-0.19864911897749557</v>
      </c>
    </row>
    <row r="512" spans="1:23" x14ac:dyDescent="0.3">
      <c r="A512" s="40" t="s">
        <v>1123</v>
      </c>
      <c r="B512" s="41">
        <v>45353</v>
      </c>
      <c r="C512" s="42">
        <v>45374</v>
      </c>
      <c r="D512" s="43">
        <f t="shared" si="55"/>
        <v>21</v>
      </c>
      <c r="E512" s="43" t="str">
        <f>TEXT(Data!B512,"MMM-YYYY")</f>
        <v>Mar-2024</v>
      </c>
      <c r="F512" s="43" t="str">
        <f t="shared" si="51"/>
        <v>Q1-2024</v>
      </c>
      <c r="G512" s="33" t="s">
        <v>52</v>
      </c>
      <c r="H512" s="33" t="s">
        <v>122</v>
      </c>
      <c r="I512" s="33" t="s">
        <v>123</v>
      </c>
      <c r="J512" s="33" t="s">
        <v>62</v>
      </c>
      <c r="K512" s="33" t="s">
        <v>28</v>
      </c>
      <c r="L512" s="33" t="s">
        <v>84</v>
      </c>
      <c r="M512" s="33" t="s">
        <v>22</v>
      </c>
      <c r="N512" s="33" t="s">
        <v>1124</v>
      </c>
      <c r="O512" s="43">
        <v>225.01</v>
      </c>
      <c r="P512" s="44" t="str">
        <f t="shared" si="52"/>
        <v>High</v>
      </c>
      <c r="Q512" s="43">
        <v>333.48</v>
      </c>
      <c r="R512" s="43">
        <v>0.11899999999999999</v>
      </c>
      <c r="S512" s="43">
        <v>12</v>
      </c>
      <c r="T512" s="43">
        <f t="shared" si="49"/>
        <v>28098.68448</v>
      </c>
      <c r="U512" s="33">
        <f t="shared" si="50"/>
        <v>2700.12</v>
      </c>
      <c r="V512" s="43">
        <f t="shared" si="53"/>
        <v>25398.564480000001</v>
      </c>
      <c r="W512" s="45">
        <f t="shared" si="54"/>
        <v>0.90390582157246957</v>
      </c>
    </row>
    <row r="513" spans="1:23" x14ac:dyDescent="0.3">
      <c r="A513" s="34" t="s">
        <v>1125</v>
      </c>
      <c r="B513" s="35">
        <v>45575</v>
      </c>
      <c r="C513" s="36">
        <v>45576</v>
      </c>
      <c r="D513" s="37">
        <f t="shared" si="55"/>
        <v>1</v>
      </c>
      <c r="E513" s="37" t="str">
        <f>TEXT(Data!B513,"MMM-YYYY")</f>
        <v>Oct-2024</v>
      </c>
      <c r="F513" s="37" t="str">
        <f t="shared" si="51"/>
        <v>Q4-2024</v>
      </c>
      <c r="G513" s="32" t="s">
        <v>78</v>
      </c>
      <c r="H513" s="32" t="s">
        <v>108</v>
      </c>
      <c r="I513" s="32" t="s">
        <v>228</v>
      </c>
      <c r="J513" s="32" t="s">
        <v>39</v>
      </c>
      <c r="K513" s="32" t="s">
        <v>55</v>
      </c>
      <c r="L513" s="32" t="s">
        <v>49</v>
      </c>
      <c r="M513" s="32" t="s">
        <v>22</v>
      </c>
      <c r="N513" s="32" t="s">
        <v>1126</v>
      </c>
      <c r="O513" s="37">
        <v>1389.46</v>
      </c>
      <c r="P513" s="38" t="str">
        <f t="shared" si="52"/>
        <v>High</v>
      </c>
      <c r="Q513" s="37">
        <v>1784.7</v>
      </c>
      <c r="R513" s="37">
        <v>0.14599999999999999</v>
      </c>
      <c r="S513" s="37">
        <v>33</v>
      </c>
      <c r="T513" s="37">
        <f t="shared" ref="T513:T576" si="56">(Q539*S513)*(1-R513)</f>
        <v>40152.022679999995</v>
      </c>
      <c r="U513" s="32">
        <f t="shared" ref="U513:U576" si="57">(O513*S513)</f>
        <v>45852.18</v>
      </c>
      <c r="V513" s="37">
        <f t="shared" si="53"/>
        <v>-5700.1573200000057</v>
      </c>
      <c r="W513" s="39">
        <f t="shared" si="54"/>
        <v>-0.14196438783242904</v>
      </c>
    </row>
    <row r="514" spans="1:23" x14ac:dyDescent="0.3">
      <c r="A514" s="40" t="s">
        <v>1127</v>
      </c>
      <c r="B514" s="41">
        <v>45078</v>
      </c>
      <c r="C514" s="42">
        <v>45085</v>
      </c>
      <c r="D514" s="43">
        <f t="shared" si="55"/>
        <v>7</v>
      </c>
      <c r="E514" s="43" t="str">
        <f>TEXT(Data!B514,"MMM-YYYY")</f>
        <v>Jun-2023</v>
      </c>
      <c r="F514" s="43" t="str">
        <f t="shared" ref="F514:F577" si="58">"Q"&amp;ROUNDUP(MONTH(B514)/3,0)&amp;"-"&amp;YEAR(B514)</f>
        <v>Q2-2023</v>
      </c>
      <c r="G514" s="33" t="s">
        <v>78</v>
      </c>
      <c r="H514" s="33" t="s">
        <v>79</v>
      </c>
      <c r="I514" s="33" t="s">
        <v>335</v>
      </c>
      <c r="J514" s="33" t="s">
        <v>48</v>
      </c>
      <c r="K514" s="33" t="s">
        <v>28</v>
      </c>
      <c r="L514" s="33" t="s">
        <v>75</v>
      </c>
      <c r="M514" s="33" t="s">
        <v>42</v>
      </c>
      <c r="N514" s="33" t="s">
        <v>1128</v>
      </c>
      <c r="O514" s="43">
        <v>804.17</v>
      </c>
      <c r="P514" s="44" t="str">
        <f t="shared" ref="P514:P577" si="59">IF(Q514&lt;50, "Low", IF(Q514&lt;200, "Medium", "High"))</f>
        <v>High</v>
      </c>
      <c r="Q514" s="43">
        <v>1072.29</v>
      </c>
      <c r="R514" s="43">
        <v>3.2000000000000001E-2</v>
      </c>
      <c r="S514" s="43">
        <v>5</v>
      </c>
      <c r="T514" s="43">
        <f t="shared" si="56"/>
        <v>11222.701599999999</v>
      </c>
      <c r="U514" s="33">
        <f t="shared" si="57"/>
        <v>4020.85</v>
      </c>
      <c r="V514" s="43">
        <f t="shared" ref="V514:V577" si="60">(T514-U514)</f>
        <v>7201.8515999999981</v>
      </c>
      <c r="W514" s="45">
        <f t="shared" ref="W514:W577" si="61">IF(T514=0, 0, V514/T514)</f>
        <v>0.64172174015568584</v>
      </c>
    </row>
    <row r="515" spans="1:23" x14ac:dyDescent="0.3">
      <c r="A515" s="34" t="s">
        <v>1129</v>
      </c>
      <c r="B515" s="35">
        <v>45661</v>
      </c>
      <c r="C515" s="36">
        <v>45662</v>
      </c>
      <c r="D515" s="37">
        <f t="shared" si="55"/>
        <v>1</v>
      </c>
      <c r="E515" s="37" t="str">
        <f>TEXT(Data!B515,"MMM-YYYY")</f>
        <v>Jan-2025</v>
      </c>
      <c r="F515" s="37" t="str">
        <f t="shared" si="58"/>
        <v>Q1-2025</v>
      </c>
      <c r="G515" s="32" t="s">
        <v>45</v>
      </c>
      <c r="H515" s="32" t="s">
        <v>60</v>
      </c>
      <c r="I515" s="32" t="s">
        <v>141</v>
      </c>
      <c r="J515" s="32" t="s">
        <v>27</v>
      </c>
      <c r="K515" s="32" t="s">
        <v>20</v>
      </c>
      <c r="L515" s="32" t="s">
        <v>34</v>
      </c>
      <c r="M515" s="32" t="s">
        <v>22</v>
      </c>
      <c r="N515" s="32" t="s">
        <v>1130</v>
      </c>
      <c r="O515" s="37">
        <v>1428.33</v>
      </c>
      <c r="P515" s="38" t="str">
        <f t="shared" si="59"/>
        <v>High</v>
      </c>
      <c r="Q515" s="37">
        <v>3028.05</v>
      </c>
      <c r="R515" s="37">
        <v>0</v>
      </c>
      <c r="S515" s="37">
        <v>11</v>
      </c>
      <c r="T515" s="37">
        <f t="shared" si="56"/>
        <v>4033.7</v>
      </c>
      <c r="U515" s="32">
        <f t="shared" si="57"/>
        <v>15711.63</v>
      </c>
      <c r="V515" s="37">
        <f t="shared" si="60"/>
        <v>-11677.93</v>
      </c>
      <c r="W515" s="39">
        <f t="shared" si="61"/>
        <v>-2.8950913553313335</v>
      </c>
    </row>
    <row r="516" spans="1:23" x14ac:dyDescent="0.3">
      <c r="A516" s="40" t="s">
        <v>1131</v>
      </c>
      <c r="B516" s="41">
        <v>45874</v>
      </c>
      <c r="C516" s="42">
        <v>45897</v>
      </c>
      <c r="D516" s="43">
        <f t="shared" ref="D516:D579" si="62">DATEDIF(B516,C516, "MD")</f>
        <v>23</v>
      </c>
      <c r="E516" s="43" t="str">
        <f>TEXT(Data!B516,"MMM-YYYY")</f>
        <v>Aug-2025</v>
      </c>
      <c r="F516" s="43" t="str">
        <f t="shared" si="58"/>
        <v>Q3-2025</v>
      </c>
      <c r="G516" s="33" t="s">
        <v>45</v>
      </c>
      <c r="H516" s="33" t="s">
        <v>60</v>
      </c>
      <c r="I516" s="33" t="s">
        <v>220</v>
      </c>
      <c r="J516" s="33" t="s">
        <v>39</v>
      </c>
      <c r="K516" s="33" t="s">
        <v>55</v>
      </c>
      <c r="L516" s="33" t="s">
        <v>126</v>
      </c>
      <c r="M516" s="33" t="s">
        <v>57</v>
      </c>
      <c r="N516" s="33" t="s">
        <v>1132</v>
      </c>
      <c r="O516" s="43">
        <v>638.54</v>
      </c>
      <c r="P516" s="44" t="str">
        <f t="shared" si="59"/>
        <v>High</v>
      </c>
      <c r="Q516" s="43">
        <v>987.24</v>
      </c>
      <c r="R516" s="43">
        <v>0</v>
      </c>
      <c r="S516" s="43">
        <v>11</v>
      </c>
      <c r="T516" s="43">
        <f t="shared" si="56"/>
        <v>30771.51</v>
      </c>
      <c r="U516" s="33">
        <f t="shared" si="57"/>
        <v>7023.94</v>
      </c>
      <c r="V516" s="43">
        <f t="shared" si="60"/>
        <v>23747.57</v>
      </c>
      <c r="W516" s="45">
        <f t="shared" si="61"/>
        <v>0.77173885844406076</v>
      </c>
    </row>
    <row r="517" spans="1:23" x14ac:dyDescent="0.3">
      <c r="A517" s="34" t="s">
        <v>1133</v>
      </c>
      <c r="B517" s="35">
        <v>45199</v>
      </c>
      <c r="C517" s="36">
        <v>45229</v>
      </c>
      <c r="D517" s="37">
        <f t="shared" si="62"/>
        <v>0</v>
      </c>
      <c r="E517" s="37" t="str">
        <f>TEXT(Data!B517,"MMM-YYYY")</f>
        <v>Sep-2023</v>
      </c>
      <c r="F517" s="37" t="str">
        <f t="shared" si="58"/>
        <v>Q3-2023</v>
      </c>
      <c r="G517" s="32" t="s">
        <v>45</v>
      </c>
      <c r="H517" s="32" t="s">
        <v>46</v>
      </c>
      <c r="I517" s="32" t="s">
        <v>214</v>
      </c>
      <c r="J517" s="32" t="s">
        <v>105</v>
      </c>
      <c r="K517" s="32" t="s">
        <v>28</v>
      </c>
      <c r="L517" s="32" t="s">
        <v>145</v>
      </c>
      <c r="M517" s="32" t="s">
        <v>30</v>
      </c>
      <c r="N517" s="32" t="s">
        <v>1134</v>
      </c>
      <c r="O517" s="37">
        <v>649.13</v>
      </c>
      <c r="P517" s="38" t="str">
        <f t="shared" si="59"/>
        <v>High</v>
      </c>
      <c r="Q517" s="37">
        <v>975.43</v>
      </c>
      <c r="R517" s="37">
        <v>0.157</v>
      </c>
      <c r="S517" s="37">
        <v>27</v>
      </c>
      <c r="T517" s="37">
        <f t="shared" si="56"/>
        <v>50294.07125999999</v>
      </c>
      <c r="U517" s="32">
        <f t="shared" si="57"/>
        <v>17526.509999999998</v>
      </c>
      <c r="V517" s="37">
        <f t="shared" si="60"/>
        <v>32767.561259999991</v>
      </c>
      <c r="W517" s="39">
        <f t="shared" si="61"/>
        <v>0.65151936280133227</v>
      </c>
    </row>
    <row r="518" spans="1:23" x14ac:dyDescent="0.3">
      <c r="A518" s="40" t="s">
        <v>1135</v>
      </c>
      <c r="B518" s="41">
        <v>45794</v>
      </c>
      <c r="C518" s="42">
        <v>45807</v>
      </c>
      <c r="D518" s="43">
        <f t="shared" si="62"/>
        <v>13</v>
      </c>
      <c r="E518" s="43" t="str">
        <f>TEXT(Data!B518,"MMM-YYYY")</f>
        <v>May-2025</v>
      </c>
      <c r="F518" s="43" t="str">
        <f t="shared" si="58"/>
        <v>Q2-2025</v>
      </c>
      <c r="G518" s="33" t="s">
        <v>16</v>
      </c>
      <c r="H518" s="33" t="s">
        <v>25</v>
      </c>
      <c r="I518" s="33" t="s">
        <v>38</v>
      </c>
      <c r="J518" s="33" t="s">
        <v>48</v>
      </c>
      <c r="K518" s="33" t="s">
        <v>55</v>
      </c>
      <c r="L518" s="33" t="s">
        <v>84</v>
      </c>
      <c r="M518" s="33" t="s">
        <v>81</v>
      </c>
      <c r="N518" s="33" t="s">
        <v>1136</v>
      </c>
      <c r="O518" s="43">
        <v>66.400000000000006</v>
      </c>
      <c r="P518" s="44" t="str">
        <f t="shared" si="59"/>
        <v>Medium</v>
      </c>
      <c r="Q518" s="43">
        <v>141.43</v>
      </c>
      <c r="R518" s="43">
        <v>0.107</v>
      </c>
      <c r="S518" s="43">
        <v>8</v>
      </c>
      <c r="T518" s="43">
        <f t="shared" si="56"/>
        <v>5994.1017599999996</v>
      </c>
      <c r="U518" s="33">
        <f t="shared" si="57"/>
        <v>531.20000000000005</v>
      </c>
      <c r="V518" s="43">
        <f t="shared" si="60"/>
        <v>5462.9017599999997</v>
      </c>
      <c r="W518" s="45">
        <f t="shared" si="61"/>
        <v>0.91137954921873066</v>
      </c>
    </row>
    <row r="519" spans="1:23" x14ac:dyDescent="0.3">
      <c r="A519" s="34" t="s">
        <v>1137</v>
      </c>
      <c r="B519" s="35">
        <v>45413</v>
      </c>
      <c r="C519" s="36">
        <v>45438</v>
      </c>
      <c r="D519" s="37">
        <f t="shared" si="62"/>
        <v>25</v>
      </c>
      <c r="E519" s="37" t="str">
        <f>TEXT(Data!B519,"MMM-YYYY")</f>
        <v>May-2024</v>
      </c>
      <c r="F519" s="37" t="str">
        <f t="shared" si="58"/>
        <v>Q2-2024</v>
      </c>
      <c r="G519" s="32" t="s">
        <v>78</v>
      </c>
      <c r="H519" s="32" t="s">
        <v>79</v>
      </c>
      <c r="I519" s="32" t="s">
        <v>80</v>
      </c>
      <c r="J519" s="32" t="s">
        <v>39</v>
      </c>
      <c r="K519" s="32" t="s">
        <v>20</v>
      </c>
      <c r="L519" s="32" t="s">
        <v>56</v>
      </c>
      <c r="M519" s="32" t="s">
        <v>35</v>
      </c>
      <c r="N519" s="32" t="s">
        <v>1138</v>
      </c>
      <c r="O519" s="37">
        <v>930.71</v>
      </c>
      <c r="P519" s="38" t="str">
        <f t="shared" si="59"/>
        <v>High</v>
      </c>
      <c r="Q519" s="37">
        <v>1625.42</v>
      </c>
      <c r="R519" s="37">
        <v>0.13800000000000001</v>
      </c>
      <c r="S519" s="37">
        <v>7</v>
      </c>
      <c r="T519" s="37">
        <f t="shared" si="56"/>
        <v>6873.6311000000005</v>
      </c>
      <c r="U519" s="32">
        <f t="shared" si="57"/>
        <v>6514.97</v>
      </c>
      <c r="V519" s="37">
        <f t="shared" si="60"/>
        <v>358.66110000000026</v>
      </c>
      <c r="W519" s="39">
        <f t="shared" si="61"/>
        <v>5.2179276830844216E-2</v>
      </c>
    </row>
    <row r="520" spans="1:23" x14ac:dyDescent="0.3">
      <c r="A520" s="40" t="s">
        <v>1139</v>
      </c>
      <c r="B520" s="41">
        <v>45047</v>
      </c>
      <c r="C520" s="42">
        <v>45064</v>
      </c>
      <c r="D520" s="43">
        <f t="shared" si="62"/>
        <v>17</v>
      </c>
      <c r="E520" s="43" t="str">
        <f>TEXT(Data!B520,"MMM-YYYY")</f>
        <v>May-2023</v>
      </c>
      <c r="F520" s="43" t="str">
        <f t="shared" si="58"/>
        <v>Q2-2023</v>
      </c>
      <c r="G520" s="33" t="s">
        <v>16</v>
      </c>
      <c r="H520" s="33" t="s">
        <v>25</v>
      </c>
      <c r="I520" s="33" t="s">
        <v>26</v>
      </c>
      <c r="J520" s="33" t="s">
        <v>19</v>
      </c>
      <c r="K520" s="33" t="s">
        <v>98</v>
      </c>
      <c r="L520" s="33" t="s">
        <v>84</v>
      </c>
      <c r="M520" s="33" t="s">
        <v>22</v>
      </c>
      <c r="N520" s="33" t="s">
        <v>1140</v>
      </c>
      <c r="O520" s="43">
        <v>327.97</v>
      </c>
      <c r="P520" s="44" t="str">
        <f t="shared" si="59"/>
        <v>High</v>
      </c>
      <c r="Q520" s="43">
        <v>299.94</v>
      </c>
      <c r="R520" s="43">
        <v>4.9000000000000002E-2</v>
      </c>
      <c r="S520" s="43">
        <v>3</v>
      </c>
      <c r="T520" s="43">
        <f t="shared" si="56"/>
        <v>4884.4215899999999</v>
      </c>
      <c r="U520" s="33">
        <f t="shared" si="57"/>
        <v>983.91000000000008</v>
      </c>
      <c r="V520" s="43">
        <f t="shared" si="60"/>
        <v>3900.5115900000001</v>
      </c>
      <c r="W520" s="45">
        <f t="shared" si="61"/>
        <v>0.79856161433435968</v>
      </c>
    </row>
    <row r="521" spans="1:23" x14ac:dyDescent="0.3">
      <c r="A521" s="34" t="s">
        <v>1141</v>
      </c>
      <c r="B521" s="35">
        <v>45482</v>
      </c>
      <c r="C521" s="36">
        <v>45512</v>
      </c>
      <c r="D521" s="37">
        <f t="shared" si="62"/>
        <v>30</v>
      </c>
      <c r="E521" s="37" t="str">
        <f>TEXT(Data!B521,"MMM-YYYY")</f>
        <v>Jul-2024</v>
      </c>
      <c r="F521" s="37" t="str">
        <f t="shared" si="58"/>
        <v>Q3-2024</v>
      </c>
      <c r="G521" s="32" t="s">
        <v>78</v>
      </c>
      <c r="H521" s="32" t="s">
        <v>90</v>
      </c>
      <c r="I521" s="32" t="s">
        <v>91</v>
      </c>
      <c r="J521" s="32" t="s">
        <v>19</v>
      </c>
      <c r="K521" s="32" t="s">
        <v>98</v>
      </c>
      <c r="L521" s="32" t="s">
        <v>29</v>
      </c>
      <c r="M521" s="32" t="s">
        <v>22</v>
      </c>
      <c r="N521" s="32" t="s">
        <v>1142</v>
      </c>
      <c r="O521" s="37">
        <v>1062.3800000000001</v>
      </c>
      <c r="P521" s="38" t="str">
        <f t="shared" si="59"/>
        <v>High</v>
      </c>
      <c r="Q521" s="37">
        <v>1503.96</v>
      </c>
      <c r="R521" s="37">
        <v>0.18</v>
      </c>
      <c r="S521" s="37">
        <v>6</v>
      </c>
      <c r="T521" s="37">
        <f t="shared" si="56"/>
        <v>5187.1068000000005</v>
      </c>
      <c r="U521" s="32">
        <f t="shared" si="57"/>
        <v>6374.2800000000007</v>
      </c>
      <c r="V521" s="37">
        <f t="shared" si="60"/>
        <v>-1187.1732000000002</v>
      </c>
      <c r="W521" s="39">
        <f t="shared" si="61"/>
        <v>-0.22887001285572142</v>
      </c>
    </row>
    <row r="522" spans="1:23" x14ac:dyDescent="0.3">
      <c r="A522" s="40" t="s">
        <v>1143</v>
      </c>
      <c r="B522" s="41">
        <v>45056</v>
      </c>
      <c r="C522" s="42">
        <v>45073</v>
      </c>
      <c r="D522" s="43">
        <f t="shared" si="62"/>
        <v>17</v>
      </c>
      <c r="E522" s="43" t="str">
        <f>TEXT(Data!B522,"MMM-YYYY")</f>
        <v>May-2023</v>
      </c>
      <c r="F522" s="43" t="str">
        <f t="shared" si="58"/>
        <v>Q2-2023</v>
      </c>
      <c r="G522" s="33" t="s">
        <v>45</v>
      </c>
      <c r="H522" s="33" t="s">
        <v>60</v>
      </c>
      <c r="I522" s="33" t="s">
        <v>220</v>
      </c>
      <c r="J522" s="33" t="s">
        <v>48</v>
      </c>
      <c r="K522" s="33" t="s">
        <v>20</v>
      </c>
      <c r="L522" s="33" t="s">
        <v>110</v>
      </c>
      <c r="M522" s="33" t="s">
        <v>57</v>
      </c>
      <c r="N522" s="33" t="s">
        <v>1144</v>
      </c>
      <c r="O522" s="43">
        <v>1286.1600000000001</v>
      </c>
      <c r="P522" s="44" t="str">
        <f t="shared" si="59"/>
        <v>High</v>
      </c>
      <c r="Q522" s="43">
        <v>3101.11</v>
      </c>
      <c r="R522" s="43">
        <v>0.1</v>
      </c>
      <c r="S522" s="43">
        <v>23</v>
      </c>
      <c r="T522" s="43">
        <f t="shared" si="56"/>
        <v>50740.254000000001</v>
      </c>
      <c r="U522" s="33">
        <f t="shared" si="57"/>
        <v>29581.68</v>
      </c>
      <c r="V522" s="43">
        <f t="shared" si="60"/>
        <v>21158.574000000001</v>
      </c>
      <c r="W522" s="45">
        <f t="shared" si="61"/>
        <v>0.41699779429562966</v>
      </c>
    </row>
    <row r="523" spans="1:23" x14ac:dyDescent="0.3">
      <c r="A523" s="34" t="s">
        <v>1145</v>
      </c>
      <c r="B523" s="35">
        <v>45482</v>
      </c>
      <c r="C523" s="36">
        <v>45485</v>
      </c>
      <c r="D523" s="37">
        <f t="shared" si="62"/>
        <v>3</v>
      </c>
      <c r="E523" s="37" t="str">
        <f>TEXT(Data!B523,"MMM-YYYY")</f>
        <v>Jul-2024</v>
      </c>
      <c r="F523" s="37" t="str">
        <f t="shared" si="58"/>
        <v>Q3-2024</v>
      </c>
      <c r="G523" s="32" t="s">
        <v>45</v>
      </c>
      <c r="H523" s="32" t="s">
        <v>116</v>
      </c>
      <c r="I523" s="32" t="s">
        <v>162</v>
      </c>
      <c r="J523" s="32" t="s">
        <v>62</v>
      </c>
      <c r="K523" s="32" t="s">
        <v>20</v>
      </c>
      <c r="L523" s="32" t="s">
        <v>145</v>
      </c>
      <c r="M523" s="32" t="s">
        <v>81</v>
      </c>
      <c r="N523" s="32" t="s">
        <v>1146</v>
      </c>
      <c r="O523" s="37">
        <v>748.39</v>
      </c>
      <c r="P523" s="38" t="str">
        <f t="shared" si="59"/>
        <v>High</v>
      </c>
      <c r="Q523" s="37">
        <v>979.42</v>
      </c>
      <c r="R523" s="37">
        <v>0</v>
      </c>
      <c r="S523" s="37">
        <v>23</v>
      </c>
      <c r="T523" s="37">
        <f t="shared" si="56"/>
        <v>28777.83</v>
      </c>
      <c r="U523" s="32">
        <f t="shared" si="57"/>
        <v>17212.97</v>
      </c>
      <c r="V523" s="37">
        <f t="shared" si="60"/>
        <v>11564.86</v>
      </c>
      <c r="W523" s="39">
        <f t="shared" si="61"/>
        <v>0.401866992751017</v>
      </c>
    </row>
    <row r="524" spans="1:23" x14ac:dyDescent="0.3">
      <c r="A524" s="40" t="s">
        <v>1147</v>
      </c>
      <c r="B524" s="41">
        <v>45406</v>
      </c>
      <c r="C524" s="42">
        <v>45422</v>
      </c>
      <c r="D524" s="43">
        <f t="shared" si="62"/>
        <v>16</v>
      </c>
      <c r="E524" s="43" t="str">
        <f>TEXT(Data!B524,"MMM-YYYY")</f>
        <v>Apr-2024</v>
      </c>
      <c r="F524" s="43" t="str">
        <f t="shared" si="58"/>
        <v>Q2-2024</v>
      </c>
      <c r="G524" s="33" t="s">
        <v>16</v>
      </c>
      <c r="H524" s="33" t="s">
        <v>17</v>
      </c>
      <c r="I524" s="33" t="s">
        <v>18</v>
      </c>
      <c r="J524" s="33" t="s">
        <v>39</v>
      </c>
      <c r="K524" s="33" t="s">
        <v>28</v>
      </c>
      <c r="L524" s="33" t="s">
        <v>126</v>
      </c>
      <c r="M524" s="33" t="s">
        <v>64</v>
      </c>
      <c r="N524" s="33" t="s">
        <v>1148</v>
      </c>
      <c r="O524" s="43">
        <v>513.30999999999995</v>
      </c>
      <c r="P524" s="44" t="str">
        <f t="shared" si="59"/>
        <v>High</v>
      </c>
      <c r="Q524" s="43">
        <v>1186.26</v>
      </c>
      <c r="R524" s="43">
        <v>9.4E-2</v>
      </c>
      <c r="S524" s="43">
        <v>15</v>
      </c>
      <c r="T524" s="43">
        <f t="shared" si="56"/>
        <v>15014.232</v>
      </c>
      <c r="U524" s="33">
        <f t="shared" si="57"/>
        <v>7699.65</v>
      </c>
      <c r="V524" s="43">
        <f t="shared" si="60"/>
        <v>7314.5820000000003</v>
      </c>
      <c r="W524" s="45">
        <f t="shared" si="61"/>
        <v>0.48717656687335059</v>
      </c>
    </row>
    <row r="525" spans="1:23" x14ac:dyDescent="0.3">
      <c r="A525" s="34" t="s">
        <v>1149</v>
      </c>
      <c r="B525" s="35">
        <v>45304</v>
      </c>
      <c r="C525" s="36">
        <v>45306</v>
      </c>
      <c r="D525" s="37">
        <f t="shared" si="62"/>
        <v>2</v>
      </c>
      <c r="E525" s="37" t="str">
        <f>TEXT(Data!B525,"MMM-YYYY")</f>
        <v>Jan-2024</v>
      </c>
      <c r="F525" s="37" t="str">
        <f t="shared" si="58"/>
        <v>Q1-2024</v>
      </c>
      <c r="G525" s="32" t="s">
        <v>52</v>
      </c>
      <c r="H525" s="32" t="s">
        <v>122</v>
      </c>
      <c r="I525" s="32" t="s">
        <v>167</v>
      </c>
      <c r="J525" s="32" t="s">
        <v>39</v>
      </c>
      <c r="K525" s="32" t="s">
        <v>98</v>
      </c>
      <c r="L525" s="32" t="s">
        <v>63</v>
      </c>
      <c r="M525" s="32" t="s">
        <v>22</v>
      </c>
      <c r="N525" s="32" t="s">
        <v>1150</v>
      </c>
      <c r="O525" s="37">
        <v>1061.3699999999999</v>
      </c>
      <c r="P525" s="38" t="str">
        <f t="shared" si="59"/>
        <v>High</v>
      </c>
      <c r="Q525" s="37">
        <v>1938.33</v>
      </c>
      <c r="R525" s="37">
        <v>0.17</v>
      </c>
      <c r="S525" s="37">
        <v>4</v>
      </c>
      <c r="T525" s="37">
        <f t="shared" si="56"/>
        <v>7912.9211999999989</v>
      </c>
      <c r="U525" s="32">
        <f t="shared" si="57"/>
        <v>4245.4799999999996</v>
      </c>
      <c r="V525" s="37">
        <f t="shared" si="60"/>
        <v>3667.4411999999993</v>
      </c>
      <c r="W525" s="39">
        <f t="shared" si="61"/>
        <v>0.46347500591816837</v>
      </c>
    </row>
    <row r="526" spans="1:23" x14ac:dyDescent="0.3">
      <c r="A526" s="40" t="s">
        <v>1151</v>
      </c>
      <c r="B526" s="41">
        <v>45398</v>
      </c>
      <c r="C526" s="42">
        <v>45409</v>
      </c>
      <c r="D526" s="43">
        <f t="shared" si="62"/>
        <v>11</v>
      </c>
      <c r="E526" s="43" t="str">
        <f>TEXT(Data!B526,"MMM-YYYY")</f>
        <v>Apr-2024</v>
      </c>
      <c r="F526" s="43" t="str">
        <f t="shared" si="58"/>
        <v>Q2-2024</v>
      </c>
      <c r="G526" s="33" t="s">
        <v>16</v>
      </c>
      <c r="H526" s="33" t="s">
        <v>17</v>
      </c>
      <c r="I526" s="33" t="s">
        <v>135</v>
      </c>
      <c r="J526" s="33" t="s">
        <v>105</v>
      </c>
      <c r="K526" s="33" t="s">
        <v>28</v>
      </c>
      <c r="L526" s="33" t="s">
        <v>145</v>
      </c>
      <c r="M526" s="33" t="s">
        <v>30</v>
      </c>
      <c r="N526" s="33" t="s">
        <v>1152</v>
      </c>
      <c r="O526" s="43">
        <v>401.3</v>
      </c>
      <c r="P526" s="44" t="str">
        <f t="shared" si="59"/>
        <v>High</v>
      </c>
      <c r="Q526" s="43">
        <v>826.47</v>
      </c>
      <c r="R526" s="43">
        <v>0.22500000000000001</v>
      </c>
      <c r="S526" s="43">
        <v>13</v>
      </c>
      <c r="T526" s="43">
        <f t="shared" si="56"/>
        <v>2146.5795000000003</v>
      </c>
      <c r="U526" s="33">
        <f t="shared" si="57"/>
        <v>5216.9000000000005</v>
      </c>
      <c r="V526" s="43">
        <f t="shared" si="60"/>
        <v>-3070.3205000000003</v>
      </c>
      <c r="W526" s="45">
        <f t="shared" si="61"/>
        <v>-1.4303316043034977</v>
      </c>
    </row>
    <row r="527" spans="1:23" x14ac:dyDescent="0.3">
      <c r="A527" s="34" t="s">
        <v>1153</v>
      </c>
      <c r="B527" s="35">
        <v>45695</v>
      </c>
      <c r="C527" s="36">
        <v>45704</v>
      </c>
      <c r="D527" s="37">
        <f t="shared" si="62"/>
        <v>9</v>
      </c>
      <c r="E527" s="37" t="str">
        <f>TEXT(Data!B527,"MMM-YYYY")</f>
        <v>Feb-2025</v>
      </c>
      <c r="F527" s="37" t="str">
        <f t="shared" si="58"/>
        <v>Q1-2025</v>
      </c>
      <c r="G527" s="32" t="s">
        <v>16</v>
      </c>
      <c r="H527" s="32" t="s">
        <v>25</v>
      </c>
      <c r="I527" s="32" t="s">
        <v>38</v>
      </c>
      <c r="J527" s="32" t="s">
        <v>62</v>
      </c>
      <c r="K527" s="32" t="s">
        <v>55</v>
      </c>
      <c r="L527" s="32" t="s">
        <v>21</v>
      </c>
      <c r="M527" s="32" t="s">
        <v>30</v>
      </c>
      <c r="N527" s="32" t="s">
        <v>1154</v>
      </c>
      <c r="O527" s="37">
        <v>90.68</v>
      </c>
      <c r="P527" s="38" t="str">
        <f t="shared" si="59"/>
        <v>Medium</v>
      </c>
      <c r="Q527" s="37">
        <v>118.17</v>
      </c>
      <c r="R527" s="37">
        <v>0.13500000000000001</v>
      </c>
      <c r="S527" s="37">
        <v>21</v>
      </c>
      <c r="T527" s="37">
        <f t="shared" si="56"/>
        <v>36886.575600000004</v>
      </c>
      <c r="U527" s="32">
        <f t="shared" si="57"/>
        <v>1904.2800000000002</v>
      </c>
      <c r="V527" s="37">
        <f t="shared" si="60"/>
        <v>34982.295600000005</v>
      </c>
      <c r="W527" s="39">
        <f t="shared" si="61"/>
        <v>0.94837471440422894</v>
      </c>
    </row>
    <row r="528" spans="1:23" x14ac:dyDescent="0.3">
      <c r="A528" s="40" t="s">
        <v>1155</v>
      </c>
      <c r="B528" s="41">
        <v>44938</v>
      </c>
      <c r="C528" s="42">
        <v>44952</v>
      </c>
      <c r="D528" s="43">
        <f t="shared" si="62"/>
        <v>14</v>
      </c>
      <c r="E528" s="43" t="str">
        <f>TEXT(Data!B528,"MMM-YYYY")</f>
        <v>Jan-2023</v>
      </c>
      <c r="F528" s="43" t="str">
        <f t="shared" si="58"/>
        <v>Q1-2023</v>
      </c>
      <c r="G528" s="33" t="s">
        <v>45</v>
      </c>
      <c r="H528" s="33" t="s">
        <v>116</v>
      </c>
      <c r="I528" s="33" t="s">
        <v>117</v>
      </c>
      <c r="J528" s="33" t="s">
        <v>39</v>
      </c>
      <c r="K528" s="33" t="s">
        <v>20</v>
      </c>
      <c r="L528" s="33" t="s">
        <v>110</v>
      </c>
      <c r="M528" s="33" t="s">
        <v>30</v>
      </c>
      <c r="N528" s="33" t="s">
        <v>1156</v>
      </c>
      <c r="O528" s="43">
        <v>1083.0899999999999</v>
      </c>
      <c r="P528" s="44" t="str">
        <f t="shared" si="59"/>
        <v>High</v>
      </c>
      <c r="Q528" s="43">
        <v>1425.87</v>
      </c>
      <c r="R528" s="43">
        <v>0</v>
      </c>
      <c r="S528" s="43">
        <v>8</v>
      </c>
      <c r="T528" s="43">
        <f t="shared" si="56"/>
        <v>7653.6</v>
      </c>
      <c r="U528" s="33">
        <f t="shared" si="57"/>
        <v>8664.7199999999993</v>
      </c>
      <c r="V528" s="43">
        <f t="shared" si="60"/>
        <v>-1011.119999999999</v>
      </c>
      <c r="W528" s="45">
        <f t="shared" si="61"/>
        <v>-0.13211037942928805</v>
      </c>
    </row>
    <row r="529" spans="1:23" x14ac:dyDescent="0.3">
      <c r="A529" s="34" t="s">
        <v>1157</v>
      </c>
      <c r="B529" s="35">
        <v>45448</v>
      </c>
      <c r="C529" s="36">
        <v>45466</v>
      </c>
      <c r="D529" s="37">
        <f t="shared" si="62"/>
        <v>18</v>
      </c>
      <c r="E529" s="37" t="str">
        <f>TEXT(Data!B529,"MMM-YYYY")</f>
        <v>Jun-2024</v>
      </c>
      <c r="F529" s="37" t="str">
        <f t="shared" si="58"/>
        <v>Q2-2024</v>
      </c>
      <c r="G529" s="32" t="s">
        <v>16</v>
      </c>
      <c r="H529" s="32" t="s">
        <v>17</v>
      </c>
      <c r="I529" s="32" t="s">
        <v>33</v>
      </c>
      <c r="J529" s="32" t="s">
        <v>48</v>
      </c>
      <c r="K529" s="32" t="s">
        <v>55</v>
      </c>
      <c r="L529" s="32" t="s">
        <v>145</v>
      </c>
      <c r="M529" s="32" t="s">
        <v>57</v>
      </c>
      <c r="N529" s="32" t="s">
        <v>1158</v>
      </c>
      <c r="O529" s="37">
        <v>1208.74</v>
      </c>
      <c r="P529" s="38" t="str">
        <f t="shared" si="59"/>
        <v>High</v>
      </c>
      <c r="Q529" s="37">
        <v>1594.78</v>
      </c>
      <c r="R529" s="37">
        <v>5.8999999999999997E-2</v>
      </c>
      <c r="S529" s="37">
        <v>39</v>
      </c>
      <c r="T529" s="37">
        <f t="shared" si="56"/>
        <v>53128.40832000001</v>
      </c>
      <c r="U529" s="32">
        <f t="shared" si="57"/>
        <v>47140.86</v>
      </c>
      <c r="V529" s="37">
        <f t="shared" si="60"/>
        <v>5987.548320000009</v>
      </c>
      <c r="W529" s="39">
        <f t="shared" si="61"/>
        <v>0.11269956148387032</v>
      </c>
    </row>
    <row r="530" spans="1:23" x14ac:dyDescent="0.3">
      <c r="A530" s="40" t="s">
        <v>1159</v>
      </c>
      <c r="B530" s="41">
        <v>45162</v>
      </c>
      <c r="C530" s="42">
        <v>45189</v>
      </c>
      <c r="D530" s="43">
        <f t="shared" si="62"/>
        <v>27</v>
      </c>
      <c r="E530" s="43" t="str">
        <f>TEXT(Data!B530,"MMM-YYYY")</f>
        <v>Aug-2023</v>
      </c>
      <c r="F530" s="43" t="str">
        <f t="shared" si="58"/>
        <v>Q3-2023</v>
      </c>
      <c r="G530" s="33" t="s">
        <v>16</v>
      </c>
      <c r="H530" s="33" t="s">
        <v>148</v>
      </c>
      <c r="I530" s="33" t="s">
        <v>172</v>
      </c>
      <c r="J530" s="33" t="s">
        <v>62</v>
      </c>
      <c r="K530" s="33" t="s">
        <v>40</v>
      </c>
      <c r="L530" s="33" t="s">
        <v>110</v>
      </c>
      <c r="M530" s="33" t="s">
        <v>30</v>
      </c>
      <c r="N530" s="33" t="s">
        <v>1160</v>
      </c>
      <c r="O530" s="43">
        <v>1399.64</v>
      </c>
      <c r="P530" s="44" t="str">
        <f t="shared" si="59"/>
        <v>High</v>
      </c>
      <c r="Q530" s="43">
        <v>3342.11</v>
      </c>
      <c r="R530" s="43">
        <v>0</v>
      </c>
      <c r="S530" s="43">
        <v>10</v>
      </c>
      <c r="T530" s="43">
        <f t="shared" si="56"/>
        <v>29496.199999999997</v>
      </c>
      <c r="U530" s="33">
        <f t="shared" si="57"/>
        <v>13996.400000000001</v>
      </c>
      <c r="V530" s="43">
        <f t="shared" si="60"/>
        <v>15499.799999999996</v>
      </c>
      <c r="W530" s="45">
        <f t="shared" si="61"/>
        <v>0.52548463869922213</v>
      </c>
    </row>
    <row r="531" spans="1:23" x14ac:dyDescent="0.3">
      <c r="A531" s="34" t="s">
        <v>1161</v>
      </c>
      <c r="B531" s="35">
        <v>45316</v>
      </c>
      <c r="C531" s="36">
        <v>45330</v>
      </c>
      <c r="D531" s="37">
        <f t="shared" si="62"/>
        <v>14</v>
      </c>
      <c r="E531" s="37" t="str">
        <f>TEXT(Data!B531,"MMM-YYYY")</f>
        <v>Jan-2024</v>
      </c>
      <c r="F531" s="37" t="str">
        <f t="shared" si="58"/>
        <v>Q1-2024</v>
      </c>
      <c r="G531" s="32" t="s">
        <v>45</v>
      </c>
      <c r="H531" s="32" t="s">
        <v>46</v>
      </c>
      <c r="I531" s="32" t="s">
        <v>47</v>
      </c>
      <c r="J531" s="32" t="s">
        <v>48</v>
      </c>
      <c r="K531" s="32" t="s">
        <v>40</v>
      </c>
      <c r="L531" s="32" t="s">
        <v>34</v>
      </c>
      <c r="M531" s="32" t="s">
        <v>35</v>
      </c>
      <c r="N531" s="32" t="s">
        <v>1162</v>
      </c>
      <c r="O531" s="37">
        <v>937.16</v>
      </c>
      <c r="P531" s="38" t="str">
        <f t="shared" si="59"/>
        <v>High</v>
      </c>
      <c r="Q531" s="37">
        <v>1069.77</v>
      </c>
      <c r="R531" s="37">
        <v>3.7999999999999999E-2</v>
      </c>
      <c r="S531" s="37">
        <v>9</v>
      </c>
      <c r="T531" s="37">
        <f t="shared" si="56"/>
        <v>22342.575059999999</v>
      </c>
      <c r="U531" s="32">
        <f t="shared" si="57"/>
        <v>8434.44</v>
      </c>
      <c r="V531" s="37">
        <f t="shared" si="60"/>
        <v>13908.135059999999</v>
      </c>
      <c r="W531" s="39">
        <f t="shared" si="61"/>
        <v>0.62249472241450754</v>
      </c>
    </row>
    <row r="532" spans="1:23" x14ac:dyDescent="0.3">
      <c r="A532" s="40" t="s">
        <v>1163</v>
      </c>
      <c r="B532" s="41">
        <v>45727</v>
      </c>
      <c r="C532" s="42">
        <v>45742</v>
      </c>
      <c r="D532" s="43">
        <f t="shared" si="62"/>
        <v>15</v>
      </c>
      <c r="E532" s="43" t="str">
        <f>TEXT(Data!B532,"MMM-YYYY")</f>
        <v>Mar-2025</v>
      </c>
      <c r="F532" s="43" t="str">
        <f t="shared" si="58"/>
        <v>Q1-2025</v>
      </c>
      <c r="G532" s="33" t="s">
        <v>78</v>
      </c>
      <c r="H532" s="33" t="s">
        <v>79</v>
      </c>
      <c r="I532" s="33" t="s">
        <v>80</v>
      </c>
      <c r="J532" s="33" t="s">
        <v>62</v>
      </c>
      <c r="K532" s="33" t="s">
        <v>28</v>
      </c>
      <c r="L532" s="33" t="s">
        <v>34</v>
      </c>
      <c r="M532" s="33" t="s">
        <v>42</v>
      </c>
      <c r="N532" s="33" t="s">
        <v>1164</v>
      </c>
      <c r="O532" s="43">
        <v>116.97</v>
      </c>
      <c r="P532" s="44" t="str">
        <f t="shared" si="59"/>
        <v>Medium</v>
      </c>
      <c r="Q532" s="43">
        <v>140.82</v>
      </c>
      <c r="R532" s="43">
        <v>0.122</v>
      </c>
      <c r="S532" s="43">
        <v>5</v>
      </c>
      <c r="T532" s="43">
        <f t="shared" si="56"/>
        <v>8687.4149000000016</v>
      </c>
      <c r="U532" s="33">
        <f t="shared" si="57"/>
        <v>584.85</v>
      </c>
      <c r="V532" s="43">
        <f t="shared" si="60"/>
        <v>8102.5649000000012</v>
      </c>
      <c r="W532" s="45">
        <f t="shared" si="61"/>
        <v>0.93267847723032082</v>
      </c>
    </row>
    <row r="533" spans="1:23" x14ac:dyDescent="0.3">
      <c r="A533" s="34" t="s">
        <v>1165</v>
      </c>
      <c r="B533" s="35">
        <v>45769</v>
      </c>
      <c r="C533" s="36">
        <v>45789</v>
      </c>
      <c r="D533" s="37">
        <f t="shared" si="62"/>
        <v>20</v>
      </c>
      <c r="E533" s="37" t="str">
        <f>TEXT(Data!B533,"MMM-YYYY")</f>
        <v>Apr-2025</v>
      </c>
      <c r="F533" s="37" t="str">
        <f t="shared" si="58"/>
        <v>Q2-2025</v>
      </c>
      <c r="G533" s="32" t="s">
        <v>78</v>
      </c>
      <c r="H533" s="32" t="s">
        <v>90</v>
      </c>
      <c r="I533" s="32" t="s">
        <v>138</v>
      </c>
      <c r="J533" s="32" t="s">
        <v>105</v>
      </c>
      <c r="K533" s="32" t="s">
        <v>40</v>
      </c>
      <c r="L533" s="32" t="s">
        <v>95</v>
      </c>
      <c r="M533" s="32" t="s">
        <v>64</v>
      </c>
      <c r="N533" s="32" t="s">
        <v>1166</v>
      </c>
      <c r="O533" s="37">
        <v>59.51</v>
      </c>
      <c r="P533" s="38" t="str">
        <f t="shared" si="59"/>
        <v>Medium</v>
      </c>
      <c r="Q533" s="37">
        <v>67.040000000000006</v>
      </c>
      <c r="R533" s="37">
        <v>0.114</v>
      </c>
      <c r="S533" s="37">
        <v>9</v>
      </c>
      <c r="T533" s="37">
        <f t="shared" si="56"/>
        <v>11813.082300000002</v>
      </c>
      <c r="U533" s="32">
        <f t="shared" si="57"/>
        <v>535.59</v>
      </c>
      <c r="V533" s="37">
        <f t="shared" si="60"/>
        <v>11277.492300000002</v>
      </c>
      <c r="W533" s="39">
        <f t="shared" si="61"/>
        <v>0.95466128260191674</v>
      </c>
    </row>
    <row r="534" spans="1:23" x14ac:dyDescent="0.3">
      <c r="A534" s="40" t="s">
        <v>1167</v>
      </c>
      <c r="B534" s="41">
        <v>45155</v>
      </c>
      <c r="C534" s="42">
        <v>45172</v>
      </c>
      <c r="D534" s="43">
        <f t="shared" si="62"/>
        <v>17</v>
      </c>
      <c r="E534" s="43" t="str">
        <f>TEXT(Data!B534,"MMM-YYYY")</f>
        <v>Aug-2023</v>
      </c>
      <c r="F534" s="43" t="str">
        <f t="shared" si="58"/>
        <v>Q3-2023</v>
      </c>
      <c r="G534" s="33" t="s">
        <v>16</v>
      </c>
      <c r="H534" s="33" t="s">
        <v>148</v>
      </c>
      <c r="I534" s="33" t="s">
        <v>172</v>
      </c>
      <c r="J534" s="33" t="s">
        <v>105</v>
      </c>
      <c r="K534" s="33" t="s">
        <v>20</v>
      </c>
      <c r="L534" s="33" t="s">
        <v>75</v>
      </c>
      <c r="M534" s="33" t="s">
        <v>42</v>
      </c>
      <c r="N534" s="33" t="s">
        <v>1168</v>
      </c>
      <c r="O534" s="43">
        <v>676.37</v>
      </c>
      <c r="P534" s="44" t="str">
        <f t="shared" si="59"/>
        <v>High</v>
      </c>
      <c r="Q534" s="43">
        <v>1276.67</v>
      </c>
      <c r="R534" s="43">
        <v>6.6000000000000003E-2</v>
      </c>
      <c r="S534" s="43">
        <v>10</v>
      </c>
      <c r="T534" s="43">
        <f t="shared" si="56"/>
        <v>15494.3128</v>
      </c>
      <c r="U534" s="33">
        <f t="shared" si="57"/>
        <v>6763.7</v>
      </c>
      <c r="V534" s="43">
        <f t="shared" si="60"/>
        <v>8730.612799999999</v>
      </c>
      <c r="W534" s="45">
        <f t="shared" si="61"/>
        <v>0.56347208893317291</v>
      </c>
    </row>
    <row r="535" spans="1:23" x14ac:dyDescent="0.3">
      <c r="A535" s="34" t="s">
        <v>1169</v>
      </c>
      <c r="B535" s="35">
        <v>45832</v>
      </c>
      <c r="C535" s="36">
        <v>45852</v>
      </c>
      <c r="D535" s="37">
        <f t="shared" si="62"/>
        <v>20</v>
      </c>
      <c r="E535" s="37" t="str">
        <f>TEXT(Data!B535,"MMM-YYYY")</f>
        <v>Jun-2025</v>
      </c>
      <c r="F535" s="37" t="str">
        <f t="shared" si="58"/>
        <v>Q2-2025</v>
      </c>
      <c r="G535" s="32" t="s">
        <v>16</v>
      </c>
      <c r="H535" s="32" t="s">
        <v>148</v>
      </c>
      <c r="I535" s="32" t="s">
        <v>149</v>
      </c>
      <c r="J535" s="32" t="s">
        <v>105</v>
      </c>
      <c r="K535" s="32" t="s">
        <v>40</v>
      </c>
      <c r="L535" s="32" t="s">
        <v>29</v>
      </c>
      <c r="M535" s="32" t="s">
        <v>57</v>
      </c>
      <c r="N535" s="32" t="s">
        <v>1170</v>
      </c>
      <c r="O535" s="37">
        <v>1151.06</v>
      </c>
      <c r="P535" s="38" t="str">
        <f t="shared" si="59"/>
        <v>High</v>
      </c>
      <c r="Q535" s="37">
        <v>2821.36</v>
      </c>
      <c r="R535" s="37">
        <v>0.248</v>
      </c>
      <c r="S535" s="37">
        <v>20</v>
      </c>
      <c r="T535" s="37">
        <f t="shared" si="56"/>
        <v>9059.1936000000005</v>
      </c>
      <c r="U535" s="32">
        <f t="shared" si="57"/>
        <v>23021.199999999997</v>
      </c>
      <c r="V535" s="37">
        <f t="shared" si="60"/>
        <v>-13962.006399999997</v>
      </c>
      <c r="W535" s="39">
        <f t="shared" si="61"/>
        <v>-1.5411974858336173</v>
      </c>
    </row>
    <row r="536" spans="1:23" x14ac:dyDescent="0.3">
      <c r="A536" s="40" t="s">
        <v>1171</v>
      </c>
      <c r="B536" s="41">
        <v>45667</v>
      </c>
      <c r="C536" s="42">
        <v>45694</v>
      </c>
      <c r="D536" s="43">
        <f t="shared" si="62"/>
        <v>27</v>
      </c>
      <c r="E536" s="43" t="str">
        <f>TEXT(Data!B536,"MMM-YYYY")</f>
        <v>Jan-2025</v>
      </c>
      <c r="F536" s="43" t="str">
        <f t="shared" si="58"/>
        <v>Q1-2025</v>
      </c>
      <c r="G536" s="33" t="s">
        <v>52</v>
      </c>
      <c r="H536" s="33" t="s">
        <v>73</v>
      </c>
      <c r="I536" s="33" t="s">
        <v>87</v>
      </c>
      <c r="J536" s="33" t="s">
        <v>39</v>
      </c>
      <c r="K536" s="33" t="s">
        <v>20</v>
      </c>
      <c r="L536" s="33" t="s">
        <v>56</v>
      </c>
      <c r="M536" s="33" t="s">
        <v>57</v>
      </c>
      <c r="N536" s="33" t="s">
        <v>1172</v>
      </c>
      <c r="O536" s="43">
        <v>725.62</v>
      </c>
      <c r="P536" s="44" t="str">
        <f t="shared" si="59"/>
        <v>High</v>
      </c>
      <c r="Q536" s="43">
        <v>1559.19</v>
      </c>
      <c r="R536" s="43">
        <v>0.19</v>
      </c>
      <c r="S536" s="43">
        <v>12</v>
      </c>
      <c r="T536" s="43">
        <f t="shared" si="56"/>
        <v>5128.6608000000006</v>
      </c>
      <c r="U536" s="33">
        <f t="shared" si="57"/>
        <v>8707.44</v>
      </c>
      <c r="V536" s="43">
        <f t="shared" si="60"/>
        <v>-3578.7791999999999</v>
      </c>
      <c r="W536" s="45">
        <f t="shared" si="61"/>
        <v>-0.69779994028850567</v>
      </c>
    </row>
    <row r="537" spans="1:23" x14ac:dyDescent="0.3">
      <c r="A537" s="34" t="s">
        <v>1173</v>
      </c>
      <c r="B537" s="35">
        <v>45108</v>
      </c>
      <c r="C537" s="36">
        <v>45118</v>
      </c>
      <c r="D537" s="37">
        <f t="shared" si="62"/>
        <v>10</v>
      </c>
      <c r="E537" s="37" t="str">
        <f>TEXT(Data!B537,"MMM-YYYY")</f>
        <v>Jul-2023</v>
      </c>
      <c r="F537" s="37" t="str">
        <f t="shared" si="58"/>
        <v>Q3-2023</v>
      </c>
      <c r="G537" s="32" t="s">
        <v>78</v>
      </c>
      <c r="H537" s="32" t="s">
        <v>90</v>
      </c>
      <c r="I537" s="32" t="s">
        <v>217</v>
      </c>
      <c r="J537" s="32" t="s">
        <v>19</v>
      </c>
      <c r="K537" s="32" t="s">
        <v>98</v>
      </c>
      <c r="L537" s="32" t="s">
        <v>84</v>
      </c>
      <c r="M537" s="32" t="s">
        <v>35</v>
      </c>
      <c r="N537" s="32" t="s">
        <v>1174</v>
      </c>
      <c r="O537" s="37">
        <v>479.5</v>
      </c>
      <c r="P537" s="38" t="str">
        <f t="shared" si="59"/>
        <v>High</v>
      </c>
      <c r="Q537" s="37">
        <v>656.66</v>
      </c>
      <c r="R537" s="37">
        <v>0.14899999999999999</v>
      </c>
      <c r="S537" s="37">
        <v>14</v>
      </c>
      <c r="T537" s="37">
        <f t="shared" si="56"/>
        <v>21944.3966</v>
      </c>
      <c r="U537" s="32">
        <f t="shared" si="57"/>
        <v>6713</v>
      </c>
      <c r="V537" s="37">
        <f t="shared" si="60"/>
        <v>15231.3966</v>
      </c>
      <c r="W537" s="39">
        <f t="shared" si="61"/>
        <v>0.69409047228029042</v>
      </c>
    </row>
    <row r="538" spans="1:23" x14ac:dyDescent="0.3">
      <c r="A538" s="40" t="s">
        <v>1175</v>
      </c>
      <c r="B538" s="41">
        <v>45520</v>
      </c>
      <c r="C538" s="42">
        <v>45530</v>
      </c>
      <c r="D538" s="43">
        <f t="shared" si="62"/>
        <v>10</v>
      </c>
      <c r="E538" s="43" t="str">
        <f>TEXT(Data!B538,"MMM-YYYY")</f>
        <v>Aug-2024</v>
      </c>
      <c r="F538" s="43" t="str">
        <f t="shared" si="58"/>
        <v>Q3-2024</v>
      </c>
      <c r="G538" s="33" t="s">
        <v>52</v>
      </c>
      <c r="H538" s="33" t="s">
        <v>122</v>
      </c>
      <c r="I538" s="33" t="s">
        <v>123</v>
      </c>
      <c r="J538" s="33" t="s">
        <v>19</v>
      </c>
      <c r="K538" s="33" t="s">
        <v>55</v>
      </c>
      <c r="L538" s="33" t="s">
        <v>49</v>
      </c>
      <c r="M538" s="33" t="s">
        <v>57</v>
      </c>
      <c r="N538" s="33" t="s">
        <v>878</v>
      </c>
      <c r="O538" s="43">
        <v>1291.7</v>
      </c>
      <c r="P538" s="44" t="str">
        <f t="shared" si="59"/>
        <v>High</v>
      </c>
      <c r="Q538" s="43">
        <v>2657.84</v>
      </c>
      <c r="R538" s="43">
        <v>8.6999999999999994E-2</v>
      </c>
      <c r="S538" s="43">
        <v>21</v>
      </c>
      <c r="T538" s="43">
        <f t="shared" si="56"/>
        <v>31548.788040000003</v>
      </c>
      <c r="U538" s="33">
        <f t="shared" si="57"/>
        <v>27125.7</v>
      </c>
      <c r="V538" s="43">
        <f t="shared" si="60"/>
        <v>4423.0880400000024</v>
      </c>
      <c r="W538" s="45">
        <f t="shared" si="61"/>
        <v>0.14019835038962727</v>
      </c>
    </row>
    <row r="539" spans="1:23" x14ac:dyDescent="0.3">
      <c r="A539" s="34" t="s">
        <v>1176</v>
      </c>
      <c r="B539" s="35">
        <v>45114</v>
      </c>
      <c r="C539" s="36">
        <v>45120</v>
      </c>
      <c r="D539" s="37">
        <f t="shared" si="62"/>
        <v>6</v>
      </c>
      <c r="E539" s="37" t="str">
        <f>TEXT(Data!B539,"MMM-YYYY")</f>
        <v>Jul-2023</v>
      </c>
      <c r="F539" s="37" t="str">
        <f t="shared" si="58"/>
        <v>Q3-2023</v>
      </c>
      <c r="G539" s="32" t="s">
        <v>16</v>
      </c>
      <c r="H539" s="32" t="s">
        <v>148</v>
      </c>
      <c r="I539" s="32" t="s">
        <v>258</v>
      </c>
      <c r="J539" s="32" t="s">
        <v>62</v>
      </c>
      <c r="K539" s="32" t="s">
        <v>40</v>
      </c>
      <c r="L539" s="32" t="s">
        <v>56</v>
      </c>
      <c r="M539" s="32" t="s">
        <v>81</v>
      </c>
      <c r="N539" s="32" t="s">
        <v>1177</v>
      </c>
      <c r="O539" s="37">
        <v>612.59</v>
      </c>
      <c r="P539" s="38" t="str">
        <f t="shared" si="59"/>
        <v>High</v>
      </c>
      <c r="Q539" s="37">
        <v>1424.74</v>
      </c>
      <c r="R539" s="37">
        <v>4.3999999999999997E-2</v>
      </c>
      <c r="S539" s="37">
        <v>15</v>
      </c>
      <c r="T539" s="37">
        <f t="shared" si="56"/>
        <v>10428.334800000001</v>
      </c>
      <c r="U539" s="32">
        <f t="shared" si="57"/>
        <v>9188.85</v>
      </c>
      <c r="V539" s="37">
        <f t="shared" si="60"/>
        <v>1239.4848000000002</v>
      </c>
      <c r="W539" s="39">
        <f t="shared" si="61"/>
        <v>0.11885740377265219</v>
      </c>
    </row>
    <row r="540" spans="1:23" x14ac:dyDescent="0.3">
      <c r="A540" s="40" t="s">
        <v>1178</v>
      </c>
      <c r="B540" s="41">
        <v>45288</v>
      </c>
      <c r="C540" s="42">
        <v>45292</v>
      </c>
      <c r="D540" s="43">
        <f t="shared" si="62"/>
        <v>4</v>
      </c>
      <c r="E540" s="43" t="str">
        <f>TEXT(Data!B540,"MMM-YYYY")</f>
        <v>Dec-2023</v>
      </c>
      <c r="F540" s="43" t="str">
        <f t="shared" si="58"/>
        <v>Q4-2023</v>
      </c>
      <c r="G540" s="33" t="s">
        <v>16</v>
      </c>
      <c r="H540" s="33" t="s">
        <v>148</v>
      </c>
      <c r="I540" s="33" t="s">
        <v>258</v>
      </c>
      <c r="J540" s="33" t="s">
        <v>27</v>
      </c>
      <c r="K540" s="33" t="s">
        <v>55</v>
      </c>
      <c r="L540" s="33" t="s">
        <v>75</v>
      </c>
      <c r="M540" s="33" t="s">
        <v>30</v>
      </c>
      <c r="N540" s="33" t="s">
        <v>1179</v>
      </c>
      <c r="O540" s="43">
        <v>1141.8</v>
      </c>
      <c r="P540" s="44" t="str">
        <f t="shared" si="59"/>
        <v>High</v>
      </c>
      <c r="Q540" s="43">
        <v>2318.7399999999998</v>
      </c>
      <c r="R540" s="43">
        <v>0.107</v>
      </c>
      <c r="S540" s="43">
        <v>32</v>
      </c>
      <c r="T540" s="43">
        <f t="shared" si="56"/>
        <v>35256.783040000002</v>
      </c>
      <c r="U540" s="33">
        <f t="shared" si="57"/>
        <v>36537.599999999999</v>
      </c>
      <c r="V540" s="43">
        <f t="shared" si="60"/>
        <v>-1280.8169599999965</v>
      </c>
      <c r="W540" s="45">
        <f t="shared" si="61"/>
        <v>-3.6328242385213268E-2</v>
      </c>
    </row>
    <row r="541" spans="1:23" x14ac:dyDescent="0.3">
      <c r="A541" s="34" t="s">
        <v>1180</v>
      </c>
      <c r="B541" s="35">
        <v>44952</v>
      </c>
      <c r="C541" s="36">
        <v>44972</v>
      </c>
      <c r="D541" s="37">
        <f t="shared" si="62"/>
        <v>20</v>
      </c>
      <c r="E541" s="37" t="str">
        <f>TEXT(Data!B541,"MMM-YYYY")</f>
        <v>Jan-2023</v>
      </c>
      <c r="F541" s="37" t="str">
        <f t="shared" si="58"/>
        <v>Q1-2023</v>
      </c>
      <c r="G541" s="32" t="s">
        <v>78</v>
      </c>
      <c r="H541" s="32" t="s">
        <v>79</v>
      </c>
      <c r="I541" s="32" t="s">
        <v>80</v>
      </c>
      <c r="J541" s="32" t="s">
        <v>62</v>
      </c>
      <c r="K541" s="32" t="s">
        <v>28</v>
      </c>
      <c r="L541" s="32" t="s">
        <v>68</v>
      </c>
      <c r="M541" s="32" t="s">
        <v>35</v>
      </c>
      <c r="N541" s="32" t="s">
        <v>1181</v>
      </c>
      <c r="O541" s="37">
        <v>492.62</v>
      </c>
      <c r="P541" s="38" t="str">
        <f t="shared" si="59"/>
        <v>High</v>
      </c>
      <c r="Q541" s="37">
        <v>366.7</v>
      </c>
      <c r="R541" s="37">
        <v>8.8999999999999996E-2</v>
      </c>
      <c r="S541" s="37">
        <v>10</v>
      </c>
      <c r="T541" s="37">
        <f t="shared" si="56"/>
        <v>14063.653600000001</v>
      </c>
      <c r="U541" s="32">
        <f t="shared" si="57"/>
        <v>4926.2</v>
      </c>
      <c r="V541" s="37">
        <f t="shared" si="60"/>
        <v>9137.4536000000007</v>
      </c>
      <c r="W541" s="39">
        <f t="shared" si="61"/>
        <v>0.6497211791393952</v>
      </c>
    </row>
    <row r="542" spans="1:23" x14ac:dyDescent="0.3">
      <c r="A542" s="40" t="s">
        <v>1182</v>
      </c>
      <c r="B542" s="41">
        <v>45115</v>
      </c>
      <c r="C542" s="42">
        <v>45116</v>
      </c>
      <c r="D542" s="43">
        <f t="shared" si="62"/>
        <v>1</v>
      </c>
      <c r="E542" s="43" t="str">
        <f>TEXT(Data!B542,"MMM-YYYY")</f>
        <v>Jul-2023</v>
      </c>
      <c r="F542" s="43" t="str">
        <f t="shared" si="58"/>
        <v>Q3-2023</v>
      </c>
      <c r="G542" s="33" t="s">
        <v>16</v>
      </c>
      <c r="H542" s="33" t="s">
        <v>17</v>
      </c>
      <c r="I542" s="33" t="s">
        <v>33</v>
      </c>
      <c r="J542" s="33" t="s">
        <v>48</v>
      </c>
      <c r="K542" s="33" t="s">
        <v>28</v>
      </c>
      <c r="L542" s="33" t="s">
        <v>145</v>
      </c>
      <c r="M542" s="33" t="s">
        <v>57</v>
      </c>
      <c r="N542" s="33" t="s">
        <v>1183</v>
      </c>
      <c r="O542" s="43">
        <v>1258.72</v>
      </c>
      <c r="P542" s="44" t="str">
        <f t="shared" si="59"/>
        <v>High</v>
      </c>
      <c r="Q542" s="43">
        <v>2797.41</v>
      </c>
      <c r="R542" s="43">
        <v>0</v>
      </c>
      <c r="S542" s="43">
        <v>7</v>
      </c>
      <c r="T542" s="43">
        <f t="shared" si="56"/>
        <v>14806.33</v>
      </c>
      <c r="U542" s="33">
        <f t="shared" si="57"/>
        <v>8811.0400000000009</v>
      </c>
      <c r="V542" s="43">
        <f t="shared" si="60"/>
        <v>5995.2899999999991</v>
      </c>
      <c r="W542" s="45">
        <f t="shared" si="61"/>
        <v>0.40491397935882822</v>
      </c>
    </row>
    <row r="543" spans="1:23" x14ac:dyDescent="0.3">
      <c r="A543" s="34" t="s">
        <v>1184</v>
      </c>
      <c r="B543" s="35">
        <v>45450</v>
      </c>
      <c r="C543" s="36">
        <v>45452</v>
      </c>
      <c r="D543" s="37">
        <f t="shared" si="62"/>
        <v>2</v>
      </c>
      <c r="E543" s="37" t="str">
        <f>TEXT(Data!B543,"MMM-YYYY")</f>
        <v>Jun-2024</v>
      </c>
      <c r="F543" s="37" t="str">
        <f t="shared" si="58"/>
        <v>Q2-2024</v>
      </c>
      <c r="G543" s="32" t="s">
        <v>45</v>
      </c>
      <c r="H543" s="32" t="s">
        <v>116</v>
      </c>
      <c r="I543" s="32" t="s">
        <v>162</v>
      </c>
      <c r="J543" s="32" t="s">
        <v>19</v>
      </c>
      <c r="K543" s="32" t="s">
        <v>20</v>
      </c>
      <c r="L543" s="32" t="s">
        <v>68</v>
      </c>
      <c r="M543" s="32" t="s">
        <v>64</v>
      </c>
      <c r="N543" s="32" t="s">
        <v>1185</v>
      </c>
      <c r="O543" s="37">
        <v>1370.28</v>
      </c>
      <c r="P543" s="38" t="str">
        <f t="shared" si="59"/>
        <v>High</v>
      </c>
      <c r="Q543" s="37">
        <v>2209.66</v>
      </c>
      <c r="R543" s="37">
        <v>0.13300000000000001</v>
      </c>
      <c r="S543" s="37">
        <v>16</v>
      </c>
      <c r="T543" s="37">
        <f t="shared" si="56"/>
        <v>25485.499680000001</v>
      </c>
      <c r="U543" s="32">
        <f t="shared" si="57"/>
        <v>21924.48</v>
      </c>
      <c r="V543" s="37">
        <f t="shared" si="60"/>
        <v>3561.0196800000012</v>
      </c>
      <c r="W543" s="39">
        <f t="shared" si="61"/>
        <v>0.13972728511164123</v>
      </c>
    </row>
    <row r="544" spans="1:23" x14ac:dyDescent="0.3">
      <c r="A544" s="40" t="s">
        <v>1186</v>
      </c>
      <c r="B544" s="41">
        <v>44968</v>
      </c>
      <c r="C544" s="42">
        <v>44969</v>
      </c>
      <c r="D544" s="43">
        <f t="shared" si="62"/>
        <v>1</v>
      </c>
      <c r="E544" s="43" t="str">
        <f>TEXT(Data!B544,"MMM-YYYY")</f>
        <v>Feb-2023</v>
      </c>
      <c r="F544" s="43" t="str">
        <f t="shared" si="58"/>
        <v>Q1-2023</v>
      </c>
      <c r="G544" s="33" t="s">
        <v>16</v>
      </c>
      <c r="H544" s="33" t="s">
        <v>25</v>
      </c>
      <c r="I544" s="33" t="s">
        <v>26</v>
      </c>
      <c r="J544" s="33" t="s">
        <v>39</v>
      </c>
      <c r="K544" s="33" t="s">
        <v>98</v>
      </c>
      <c r="L544" s="33" t="s">
        <v>145</v>
      </c>
      <c r="M544" s="33" t="s">
        <v>81</v>
      </c>
      <c r="N544" s="33" t="s">
        <v>1187</v>
      </c>
      <c r="O544" s="43">
        <v>944.61</v>
      </c>
      <c r="P544" s="44" t="str">
        <f t="shared" si="59"/>
        <v>High</v>
      </c>
      <c r="Q544" s="43">
        <v>839.04</v>
      </c>
      <c r="R544" s="43">
        <v>5.8999999999999997E-2</v>
      </c>
      <c r="S544" s="43">
        <v>6</v>
      </c>
      <c r="T544" s="43">
        <f t="shared" si="56"/>
        <v>16141.518779999999</v>
      </c>
      <c r="U544" s="33">
        <f t="shared" si="57"/>
        <v>5667.66</v>
      </c>
      <c r="V544" s="43">
        <f t="shared" si="60"/>
        <v>10473.858779999999</v>
      </c>
      <c r="W544" s="45">
        <f t="shared" si="61"/>
        <v>0.64887690698458544</v>
      </c>
    </row>
    <row r="545" spans="1:23" x14ac:dyDescent="0.3">
      <c r="A545" s="34" t="s">
        <v>1188</v>
      </c>
      <c r="B545" s="35">
        <v>45108</v>
      </c>
      <c r="C545" s="36">
        <v>45115</v>
      </c>
      <c r="D545" s="37">
        <f t="shared" si="62"/>
        <v>7</v>
      </c>
      <c r="E545" s="37" t="str">
        <f>TEXT(Data!B545,"MMM-YYYY")</f>
        <v>Jul-2023</v>
      </c>
      <c r="F545" s="37" t="str">
        <f t="shared" si="58"/>
        <v>Q3-2023</v>
      </c>
      <c r="G545" s="32" t="s">
        <v>78</v>
      </c>
      <c r="H545" s="32" t="s">
        <v>79</v>
      </c>
      <c r="I545" s="32" t="s">
        <v>335</v>
      </c>
      <c r="J545" s="32" t="s">
        <v>62</v>
      </c>
      <c r="K545" s="32" t="s">
        <v>55</v>
      </c>
      <c r="L545" s="32" t="s">
        <v>126</v>
      </c>
      <c r="M545" s="32" t="s">
        <v>57</v>
      </c>
      <c r="N545" s="32" t="s">
        <v>1189</v>
      </c>
      <c r="O545" s="37">
        <v>460.21</v>
      </c>
      <c r="P545" s="38" t="str">
        <f t="shared" si="59"/>
        <v>High</v>
      </c>
      <c r="Q545" s="37">
        <v>1139.1500000000001</v>
      </c>
      <c r="R545" s="37">
        <v>0.115</v>
      </c>
      <c r="S545" s="37">
        <v>14</v>
      </c>
      <c r="T545" s="37">
        <f t="shared" si="56"/>
        <v>3592.1088</v>
      </c>
      <c r="U545" s="32">
        <f t="shared" si="57"/>
        <v>6442.94</v>
      </c>
      <c r="V545" s="37">
        <f t="shared" si="60"/>
        <v>-2850.8311999999996</v>
      </c>
      <c r="W545" s="39">
        <f t="shared" si="61"/>
        <v>-0.79363720831618456</v>
      </c>
    </row>
    <row r="546" spans="1:23" x14ac:dyDescent="0.3">
      <c r="A546" s="40" t="s">
        <v>1190</v>
      </c>
      <c r="B546" s="41">
        <v>45889</v>
      </c>
      <c r="C546" s="42">
        <v>45895</v>
      </c>
      <c r="D546" s="43">
        <f t="shared" si="62"/>
        <v>6</v>
      </c>
      <c r="E546" s="43" t="str">
        <f>TEXT(Data!B546,"MMM-YYYY")</f>
        <v>Aug-2025</v>
      </c>
      <c r="F546" s="43" t="str">
        <f t="shared" si="58"/>
        <v>Q3-2025</v>
      </c>
      <c r="G546" s="33" t="s">
        <v>52</v>
      </c>
      <c r="H546" s="33" t="s">
        <v>122</v>
      </c>
      <c r="I546" s="33" t="s">
        <v>387</v>
      </c>
      <c r="J546" s="33" t="s">
        <v>19</v>
      </c>
      <c r="K546" s="33" t="s">
        <v>20</v>
      </c>
      <c r="L546" s="33" t="s">
        <v>110</v>
      </c>
      <c r="M546" s="33" t="s">
        <v>35</v>
      </c>
      <c r="N546" s="33" t="s">
        <v>1191</v>
      </c>
      <c r="O546" s="43">
        <v>1304.95</v>
      </c>
      <c r="P546" s="44" t="str">
        <f t="shared" si="59"/>
        <v>High</v>
      </c>
      <c r="Q546" s="43">
        <v>1712.03</v>
      </c>
      <c r="R546" s="43">
        <v>0.21199999999999999</v>
      </c>
      <c r="S546" s="43">
        <v>8</v>
      </c>
      <c r="T546" s="43">
        <f t="shared" si="56"/>
        <v>6286.3488000000007</v>
      </c>
      <c r="U546" s="33">
        <f t="shared" si="57"/>
        <v>10439.6</v>
      </c>
      <c r="V546" s="43">
        <f t="shared" si="60"/>
        <v>-4153.2511999999997</v>
      </c>
      <c r="W546" s="45">
        <f t="shared" si="61"/>
        <v>-0.66067781666839731</v>
      </c>
    </row>
    <row r="547" spans="1:23" x14ac:dyDescent="0.3">
      <c r="A547" s="34" t="s">
        <v>1192</v>
      </c>
      <c r="B547" s="35">
        <v>45355</v>
      </c>
      <c r="C547" s="36">
        <v>45367</v>
      </c>
      <c r="D547" s="37">
        <f t="shared" si="62"/>
        <v>12</v>
      </c>
      <c r="E547" s="37" t="str">
        <f>TEXT(Data!B547,"MMM-YYYY")</f>
        <v>Mar-2024</v>
      </c>
      <c r="F547" s="37" t="str">
        <f t="shared" si="58"/>
        <v>Q1-2024</v>
      </c>
      <c r="G547" s="32" t="s">
        <v>16</v>
      </c>
      <c r="H547" s="32" t="s">
        <v>148</v>
      </c>
      <c r="I547" s="32" t="s">
        <v>149</v>
      </c>
      <c r="J547" s="32" t="s">
        <v>105</v>
      </c>
      <c r="K547" s="32" t="s">
        <v>55</v>
      </c>
      <c r="L547" s="32" t="s">
        <v>110</v>
      </c>
      <c r="M547" s="32" t="s">
        <v>64</v>
      </c>
      <c r="N547" s="32" t="s">
        <v>1193</v>
      </c>
      <c r="O547" s="37">
        <v>441.08</v>
      </c>
      <c r="P547" s="38" t="str">
        <f t="shared" si="59"/>
        <v>High</v>
      </c>
      <c r="Q547" s="37">
        <v>1054.29</v>
      </c>
      <c r="R547" s="37">
        <v>0.23699999999999999</v>
      </c>
      <c r="S547" s="37">
        <v>6</v>
      </c>
      <c r="T547" s="37">
        <f t="shared" si="56"/>
        <v>216.49362000000002</v>
      </c>
      <c r="U547" s="32">
        <f t="shared" si="57"/>
        <v>2646.48</v>
      </c>
      <c r="V547" s="37">
        <f t="shared" si="60"/>
        <v>-2429.9863799999998</v>
      </c>
      <c r="W547" s="39">
        <f t="shared" si="61"/>
        <v>-11.224286332317782</v>
      </c>
    </row>
    <row r="548" spans="1:23" x14ac:dyDescent="0.3">
      <c r="A548" s="40" t="s">
        <v>1194</v>
      </c>
      <c r="B548" s="41">
        <v>45177</v>
      </c>
      <c r="C548" s="42">
        <v>45201</v>
      </c>
      <c r="D548" s="43">
        <f t="shared" si="62"/>
        <v>24</v>
      </c>
      <c r="E548" s="43" t="str">
        <f>TEXT(Data!B548,"MMM-YYYY")</f>
        <v>Sep-2023</v>
      </c>
      <c r="F548" s="43" t="str">
        <f t="shared" si="58"/>
        <v>Q3-2023</v>
      </c>
      <c r="G548" s="33" t="s">
        <v>52</v>
      </c>
      <c r="H548" s="33" t="s">
        <v>53</v>
      </c>
      <c r="I548" s="33" t="s">
        <v>54</v>
      </c>
      <c r="J548" s="33" t="s">
        <v>27</v>
      </c>
      <c r="K548" s="33" t="s">
        <v>98</v>
      </c>
      <c r="L548" s="33" t="s">
        <v>75</v>
      </c>
      <c r="M548" s="33" t="s">
        <v>81</v>
      </c>
      <c r="N548" s="33" t="s">
        <v>1195</v>
      </c>
      <c r="O548" s="43">
        <v>1299.03</v>
      </c>
      <c r="P548" s="44" t="str">
        <f t="shared" si="59"/>
        <v>High</v>
      </c>
      <c r="Q548" s="43">
        <v>2451.2199999999998</v>
      </c>
      <c r="R548" s="43">
        <v>0.20799999999999999</v>
      </c>
      <c r="S548" s="43">
        <v>8</v>
      </c>
      <c r="T548" s="43">
        <f t="shared" si="56"/>
        <v>4778.8646400000007</v>
      </c>
      <c r="U548" s="33">
        <f t="shared" si="57"/>
        <v>10392.24</v>
      </c>
      <c r="V548" s="43">
        <f t="shared" si="60"/>
        <v>-5613.3753599999991</v>
      </c>
      <c r="W548" s="45">
        <f t="shared" si="61"/>
        <v>-1.1746253101657214</v>
      </c>
    </row>
    <row r="549" spans="1:23" x14ac:dyDescent="0.3">
      <c r="A549" s="34" t="s">
        <v>1196</v>
      </c>
      <c r="B549" s="35">
        <v>44985</v>
      </c>
      <c r="C549" s="36">
        <v>44991</v>
      </c>
      <c r="D549" s="37">
        <f t="shared" si="62"/>
        <v>6</v>
      </c>
      <c r="E549" s="37" t="str">
        <f>TEXT(Data!B549,"MMM-YYYY")</f>
        <v>Feb-2023</v>
      </c>
      <c r="F549" s="37" t="str">
        <f t="shared" si="58"/>
        <v>Q1-2023</v>
      </c>
      <c r="G549" s="32" t="s">
        <v>78</v>
      </c>
      <c r="H549" s="32" t="s">
        <v>79</v>
      </c>
      <c r="I549" s="32" t="s">
        <v>335</v>
      </c>
      <c r="J549" s="32" t="s">
        <v>62</v>
      </c>
      <c r="K549" s="32" t="s">
        <v>40</v>
      </c>
      <c r="L549" s="32" t="s">
        <v>145</v>
      </c>
      <c r="M549" s="32" t="s">
        <v>30</v>
      </c>
      <c r="N549" s="32" t="s">
        <v>1197</v>
      </c>
      <c r="O549" s="37">
        <v>880.02</v>
      </c>
      <c r="P549" s="38" t="str">
        <f t="shared" si="59"/>
        <v>High</v>
      </c>
      <c r="Q549" s="37">
        <v>1251.21</v>
      </c>
      <c r="R549" s="37">
        <v>0.123</v>
      </c>
      <c r="S549" s="37">
        <v>29</v>
      </c>
      <c r="T549" s="37">
        <f t="shared" si="56"/>
        <v>22927.340840000001</v>
      </c>
      <c r="U549" s="32">
        <f t="shared" si="57"/>
        <v>25520.579999999998</v>
      </c>
      <c r="V549" s="37">
        <f t="shared" si="60"/>
        <v>-2593.2391599999974</v>
      </c>
      <c r="W549" s="39">
        <f t="shared" si="61"/>
        <v>-0.1131068438375428</v>
      </c>
    </row>
    <row r="550" spans="1:23" x14ac:dyDescent="0.3">
      <c r="A550" s="40" t="s">
        <v>1198</v>
      </c>
      <c r="B550" s="41">
        <v>45486</v>
      </c>
      <c r="C550" s="42">
        <v>45507</v>
      </c>
      <c r="D550" s="43">
        <f t="shared" si="62"/>
        <v>21</v>
      </c>
      <c r="E550" s="43" t="str">
        <f>TEXT(Data!B550,"MMM-YYYY")</f>
        <v>Jul-2024</v>
      </c>
      <c r="F550" s="43" t="str">
        <f t="shared" si="58"/>
        <v>Q3-2024</v>
      </c>
      <c r="G550" s="33" t="s">
        <v>52</v>
      </c>
      <c r="H550" s="33" t="s">
        <v>73</v>
      </c>
      <c r="I550" s="33" t="s">
        <v>225</v>
      </c>
      <c r="J550" s="33" t="s">
        <v>19</v>
      </c>
      <c r="K550" s="33" t="s">
        <v>40</v>
      </c>
      <c r="L550" s="33" t="s">
        <v>110</v>
      </c>
      <c r="M550" s="33" t="s">
        <v>64</v>
      </c>
      <c r="N550" s="33" t="s">
        <v>1199</v>
      </c>
      <c r="O550" s="43">
        <v>702.98</v>
      </c>
      <c r="P550" s="44" t="str">
        <f t="shared" si="59"/>
        <v>High</v>
      </c>
      <c r="Q550" s="43">
        <v>1104.8</v>
      </c>
      <c r="R550" s="43">
        <v>0.17499999999999999</v>
      </c>
      <c r="S550" s="43">
        <v>12</v>
      </c>
      <c r="T550" s="43">
        <f t="shared" si="56"/>
        <v>1119.492</v>
      </c>
      <c r="U550" s="33">
        <f t="shared" si="57"/>
        <v>8435.76</v>
      </c>
      <c r="V550" s="43">
        <f t="shared" si="60"/>
        <v>-7316.268</v>
      </c>
      <c r="W550" s="45">
        <f t="shared" si="61"/>
        <v>-6.5353463892551265</v>
      </c>
    </row>
    <row r="551" spans="1:23" x14ac:dyDescent="0.3">
      <c r="A551" s="34" t="s">
        <v>1200</v>
      </c>
      <c r="B551" s="35">
        <v>45633</v>
      </c>
      <c r="C551" s="36">
        <v>45652</v>
      </c>
      <c r="D551" s="37">
        <f t="shared" si="62"/>
        <v>19</v>
      </c>
      <c r="E551" s="37" t="str">
        <f>TEXT(Data!B551,"MMM-YYYY")</f>
        <v>Dec-2024</v>
      </c>
      <c r="F551" s="37" t="str">
        <f t="shared" si="58"/>
        <v>Q4-2024</v>
      </c>
      <c r="G551" s="32" t="s">
        <v>78</v>
      </c>
      <c r="H551" s="32" t="s">
        <v>108</v>
      </c>
      <c r="I551" s="32" t="s">
        <v>152</v>
      </c>
      <c r="J551" s="32" t="s">
        <v>105</v>
      </c>
      <c r="K551" s="32" t="s">
        <v>28</v>
      </c>
      <c r="L551" s="32" t="s">
        <v>145</v>
      </c>
      <c r="M551" s="32" t="s">
        <v>35</v>
      </c>
      <c r="N551" s="32" t="s">
        <v>1201</v>
      </c>
      <c r="O551" s="37">
        <v>1035.24</v>
      </c>
      <c r="P551" s="38" t="str">
        <f t="shared" si="59"/>
        <v>High</v>
      </c>
      <c r="Q551" s="37">
        <v>2383.41</v>
      </c>
      <c r="R551" s="37">
        <v>0.17</v>
      </c>
      <c r="S551" s="37">
        <v>15</v>
      </c>
      <c r="T551" s="37">
        <f t="shared" si="56"/>
        <v>10814.319</v>
      </c>
      <c r="U551" s="32">
        <f t="shared" si="57"/>
        <v>15528.6</v>
      </c>
      <c r="V551" s="37">
        <f t="shared" si="60"/>
        <v>-4714.2810000000009</v>
      </c>
      <c r="W551" s="39">
        <f t="shared" si="61"/>
        <v>-0.43592953009801183</v>
      </c>
    </row>
    <row r="552" spans="1:23" x14ac:dyDescent="0.3">
      <c r="A552" s="40" t="s">
        <v>1202</v>
      </c>
      <c r="B552" s="41">
        <v>45875</v>
      </c>
      <c r="C552" s="42">
        <v>45892</v>
      </c>
      <c r="D552" s="43">
        <f t="shared" si="62"/>
        <v>17</v>
      </c>
      <c r="E552" s="43" t="str">
        <f>TEXT(Data!B552,"MMM-YYYY")</f>
        <v>Aug-2025</v>
      </c>
      <c r="F552" s="43" t="str">
        <f t="shared" si="58"/>
        <v>Q3-2025</v>
      </c>
      <c r="G552" s="33" t="s">
        <v>52</v>
      </c>
      <c r="H552" s="33" t="s">
        <v>73</v>
      </c>
      <c r="I552" s="33" t="s">
        <v>87</v>
      </c>
      <c r="J552" s="33" t="s">
        <v>48</v>
      </c>
      <c r="K552" s="33" t="s">
        <v>55</v>
      </c>
      <c r="L552" s="33" t="s">
        <v>75</v>
      </c>
      <c r="M552" s="33" t="s">
        <v>64</v>
      </c>
      <c r="N552" s="33" t="s">
        <v>1203</v>
      </c>
      <c r="O552" s="43">
        <v>86.64</v>
      </c>
      <c r="P552" s="44" t="str">
        <f t="shared" si="59"/>
        <v>High</v>
      </c>
      <c r="Q552" s="43">
        <v>213.06</v>
      </c>
      <c r="R552" s="43">
        <v>0.21199999999999999</v>
      </c>
      <c r="S552" s="43">
        <v>11</v>
      </c>
      <c r="T552" s="43">
        <f t="shared" si="56"/>
        <v>3015.5971999999997</v>
      </c>
      <c r="U552" s="33">
        <f t="shared" si="57"/>
        <v>953.04</v>
      </c>
      <c r="V552" s="43">
        <f t="shared" si="60"/>
        <v>2062.5571999999997</v>
      </c>
      <c r="W552" s="45">
        <f t="shared" si="61"/>
        <v>0.68396309692819712</v>
      </c>
    </row>
    <row r="553" spans="1:23" x14ac:dyDescent="0.3">
      <c r="A553" s="34" t="s">
        <v>1204</v>
      </c>
      <c r="B553" s="35">
        <v>44988</v>
      </c>
      <c r="C553" s="36">
        <v>45005</v>
      </c>
      <c r="D553" s="37">
        <f t="shared" si="62"/>
        <v>17</v>
      </c>
      <c r="E553" s="37" t="str">
        <f>TEXT(Data!B553,"MMM-YYYY")</f>
        <v>Mar-2023</v>
      </c>
      <c r="F553" s="37" t="str">
        <f t="shared" si="58"/>
        <v>Q1-2023</v>
      </c>
      <c r="G553" s="32" t="s">
        <v>45</v>
      </c>
      <c r="H553" s="32" t="s">
        <v>46</v>
      </c>
      <c r="I553" s="32" t="s">
        <v>231</v>
      </c>
      <c r="J553" s="32" t="s">
        <v>62</v>
      </c>
      <c r="K553" s="32" t="s">
        <v>28</v>
      </c>
      <c r="L553" s="32" t="s">
        <v>145</v>
      </c>
      <c r="M553" s="32" t="s">
        <v>35</v>
      </c>
      <c r="N553" s="32" t="s">
        <v>1205</v>
      </c>
      <c r="O553" s="37">
        <v>1171.17</v>
      </c>
      <c r="P553" s="38" t="str">
        <f t="shared" si="59"/>
        <v>High</v>
      </c>
      <c r="Q553" s="37">
        <v>2030.64</v>
      </c>
      <c r="R553" s="37">
        <v>0.157</v>
      </c>
      <c r="S553" s="37">
        <v>11</v>
      </c>
      <c r="T553" s="37">
        <f t="shared" si="56"/>
        <v>10310.463239999999</v>
      </c>
      <c r="U553" s="32">
        <f t="shared" si="57"/>
        <v>12882.87</v>
      </c>
      <c r="V553" s="37">
        <f t="shared" si="60"/>
        <v>-2572.4067600000017</v>
      </c>
      <c r="W553" s="39">
        <f t="shared" si="61"/>
        <v>-0.24949478021707217</v>
      </c>
    </row>
    <row r="554" spans="1:23" x14ac:dyDescent="0.3">
      <c r="A554" s="40" t="s">
        <v>1206</v>
      </c>
      <c r="B554" s="41">
        <v>45704</v>
      </c>
      <c r="C554" s="42">
        <v>45733</v>
      </c>
      <c r="D554" s="43">
        <f t="shared" si="62"/>
        <v>1</v>
      </c>
      <c r="E554" s="43" t="str">
        <f>TEXT(Data!B554,"MMM-YYYY")</f>
        <v>Feb-2025</v>
      </c>
      <c r="F554" s="43" t="str">
        <f t="shared" si="58"/>
        <v>Q1-2025</v>
      </c>
      <c r="G554" s="33" t="s">
        <v>78</v>
      </c>
      <c r="H554" s="33" t="s">
        <v>79</v>
      </c>
      <c r="I554" s="33" t="s">
        <v>159</v>
      </c>
      <c r="J554" s="33" t="s">
        <v>48</v>
      </c>
      <c r="K554" s="33" t="s">
        <v>20</v>
      </c>
      <c r="L554" s="33" t="s">
        <v>49</v>
      </c>
      <c r="M554" s="33" t="s">
        <v>81</v>
      </c>
      <c r="N554" s="33" t="s">
        <v>1207</v>
      </c>
      <c r="O554" s="43">
        <v>730.42</v>
      </c>
      <c r="P554" s="44" t="str">
        <f t="shared" si="59"/>
        <v>High</v>
      </c>
      <c r="Q554" s="43">
        <v>956.7</v>
      </c>
      <c r="R554" s="43">
        <v>4.2000000000000003E-2</v>
      </c>
      <c r="S554" s="43">
        <v>22</v>
      </c>
      <c r="T554" s="43">
        <f t="shared" si="56"/>
        <v>6907.0267199999998</v>
      </c>
      <c r="U554" s="33">
        <f t="shared" si="57"/>
        <v>16069.24</v>
      </c>
      <c r="V554" s="43">
        <f t="shared" si="60"/>
        <v>-9162.2132799999999</v>
      </c>
      <c r="W554" s="45">
        <f t="shared" si="61"/>
        <v>-1.3265061293986133</v>
      </c>
    </row>
    <row r="555" spans="1:23" x14ac:dyDescent="0.3">
      <c r="A555" s="34" t="s">
        <v>1208</v>
      </c>
      <c r="B555" s="35">
        <v>45703</v>
      </c>
      <c r="C555" s="36">
        <v>45717</v>
      </c>
      <c r="D555" s="37">
        <f t="shared" si="62"/>
        <v>14</v>
      </c>
      <c r="E555" s="37" t="str">
        <f>TEXT(Data!B555,"MMM-YYYY")</f>
        <v>Feb-2025</v>
      </c>
      <c r="F555" s="37" t="str">
        <f t="shared" si="58"/>
        <v>Q1-2025</v>
      </c>
      <c r="G555" s="32" t="s">
        <v>16</v>
      </c>
      <c r="H555" s="32" t="s">
        <v>17</v>
      </c>
      <c r="I555" s="32" t="s">
        <v>113</v>
      </c>
      <c r="J555" s="32" t="s">
        <v>27</v>
      </c>
      <c r="K555" s="32" t="s">
        <v>98</v>
      </c>
      <c r="L555" s="32" t="s">
        <v>49</v>
      </c>
      <c r="M555" s="32" t="s">
        <v>81</v>
      </c>
      <c r="N555" s="32" t="s">
        <v>1209</v>
      </c>
      <c r="O555" s="37">
        <v>1162.8599999999999</v>
      </c>
      <c r="P555" s="38" t="str">
        <f t="shared" si="59"/>
        <v>High</v>
      </c>
      <c r="Q555" s="37">
        <v>1447.68</v>
      </c>
      <c r="R555" s="37">
        <v>8.6999999999999994E-2</v>
      </c>
      <c r="S555" s="37">
        <v>12</v>
      </c>
      <c r="T555" s="37">
        <f t="shared" si="56"/>
        <v>5326.0402800000002</v>
      </c>
      <c r="U555" s="32">
        <f t="shared" si="57"/>
        <v>13954.32</v>
      </c>
      <c r="V555" s="37">
        <f t="shared" si="60"/>
        <v>-8628.2797199999986</v>
      </c>
      <c r="W555" s="39">
        <f t="shared" si="61"/>
        <v>-1.6200177367040112</v>
      </c>
    </row>
    <row r="556" spans="1:23" x14ac:dyDescent="0.3">
      <c r="A556" s="40" t="s">
        <v>1210</v>
      </c>
      <c r="B556" s="41">
        <v>45535</v>
      </c>
      <c r="C556" s="42">
        <v>45561</v>
      </c>
      <c r="D556" s="43">
        <f t="shared" si="62"/>
        <v>26</v>
      </c>
      <c r="E556" s="43" t="str">
        <f>TEXT(Data!B556,"MMM-YYYY")</f>
        <v>Aug-2024</v>
      </c>
      <c r="F556" s="43" t="str">
        <f t="shared" si="58"/>
        <v>Q3-2024</v>
      </c>
      <c r="G556" s="33" t="s">
        <v>45</v>
      </c>
      <c r="H556" s="33" t="s">
        <v>46</v>
      </c>
      <c r="I556" s="33" t="s">
        <v>214</v>
      </c>
      <c r="J556" s="33" t="s">
        <v>27</v>
      </c>
      <c r="K556" s="33" t="s">
        <v>28</v>
      </c>
      <c r="L556" s="33" t="s">
        <v>34</v>
      </c>
      <c r="M556" s="33" t="s">
        <v>42</v>
      </c>
      <c r="N556" s="33" t="s">
        <v>1211</v>
      </c>
      <c r="O556" s="43">
        <v>1189.03</v>
      </c>
      <c r="P556" s="44" t="str">
        <f t="shared" si="59"/>
        <v>High</v>
      </c>
      <c r="Q556" s="43">
        <v>2949.62</v>
      </c>
      <c r="R556" s="43">
        <v>0.125</v>
      </c>
      <c r="S556" s="43">
        <v>13</v>
      </c>
      <c r="T556" s="43">
        <f t="shared" si="56"/>
        <v>23507.575000000001</v>
      </c>
      <c r="U556" s="33">
        <f t="shared" si="57"/>
        <v>15457.39</v>
      </c>
      <c r="V556" s="43">
        <f t="shared" si="60"/>
        <v>8050.1850000000013</v>
      </c>
      <c r="W556" s="45">
        <f t="shared" si="61"/>
        <v>0.34245067813247437</v>
      </c>
    </row>
    <row r="557" spans="1:23" x14ac:dyDescent="0.3">
      <c r="A557" s="34" t="s">
        <v>1212</v>
      </c>
      <c r="B557" s="35">
        <v>45053</v>
      </c>
      <c r="C557" s="36">
        <v>45066</v>
      </c>
      <c r="D557" s="37">
        <f t="shared" si="62"/>
        <v>13</v>
      </c>
      <c r="E557" s="37" t="str">
        <f>TEXT(Data!B557,"MMM-YYYY")</f>
        <v>May-2023</v>
      </c>
      <c r="F557" s="37" t="str">
        <f t="shared" si="58"/>
        <v>Q2-2023</v>
      </c>
      <c r="G557" s="32" t="s">
        <v>45</v>
      </c>
      <c r="H557" s="32" t="s">
        <v>60</v>
      </c>
      <c r="I557" s="32" t="s">
        <v>220</v>
      </c>
      <c r="J557" s="32" t="s">
        <v>105</v>
      </c>
      <c r="K557" s="32" t="s">
        <v>20</v>
      </c>
      <c r="L557" s="32" t="s">
        <v>145</v>
      </c>
      <c r="M557" s="32" t="s">
        <v>81</v>
      </c>
      <c r="N557" s="32" t="s">
        <v>1213</v>
      </c>
      <c r="O557" s="37">
        <v>1443.28</v>
      </c>
      <c r="P557" s="38" t="str">
        <f t="shared" si="59"/>
        <v>High</v>
      </c>
      <c r="Q557" s="37">
        <v>2580.5700000000002</v>
      </c>
      <c r="R557" s="37">
        <v>0</v>
      </c>
      <c r="S557" s="37">
        <v>18</v>
      </c>
      <c r="T557" s="37">
        <f t="shared" si="56"/>
        <v>1551.6000000000001</v>
      </c>
      <c r="U557" s="32">
        <f t="shared" si="57"/>
        <v>25979.040000000001</v>
      </c>
      <c r="V557" s="37">
        <f t="shared" si="60"/>
        <v>-24427.440000000002</v>
      </c>
      <c r="W557" s="39">
        <f t="shared" si="61"/>
        <v>-15.74338747099768</v>
      </c>
    </row>
    <row r="558" spans="1:23" x14ac:dyDescent="0.3">
      <c r="A558" s="40" t="s">
        <v>1214</v>
      </c>
      <c r="B558" s="41">
        <v>45791</v>
      </c>
      <c r="C558" s="42">
        <v>45789</v>
      </c>
      <c r="D558" s="43">
        <f>DATEDIF(C558,B558, "MD")</f>
        <v>2</v>
      </c>
      <c r="E558" s="43" t="str">
        <f>TEXT(Data!B558,"MMM-YYYY")</f>
        <v>May-2025</v>
      </c>
      <c r="F558" s="43" t="str">
        <f t="shared" si="58"/>
        <v>Q2-2025</v>
      </c>
      <c r="G558" s="33" t="s">
        <v>52</v>
      </c>
      <c r="H558" s="33" t="s">
        <v>53</v>
      </c>
      <c r="I558" s="33" t="s">
        <v>179</v>
      </c>
      <c r="J558" s="33" t="s">
        <v>39</v>
      </c>
      <c r="K558" s="33" t="s">
        <v>55</v>
      </c>
      <c r="L558" s="33" t="s">
        <v>84</v>
      </c>
      <c r="M558" s="33" t="s">
        <v>30</v>
      </c>
      <c r="N558" s="33" t="s">
        <v>1215</v>
      </c>
      <c r="O558" s="43">
        <v>883.5</v>
      </c>
      <c r="P558" s="44" t="str">
        <f t="shared" si="59"/>
        <v>High</v>
      </c>
      <c r="Q558" s="43">
        <v>1978.91</v>
      </c>
      <c r="R558" s="43">
        <v>5.3999999999999999E-2</v>
      </c>
      <c r="S558" s="43">
        <v>27</v>
      </c>
      <c r="T558" s="43">
        <f t="shared" si="56"/>
        <v>58944.550499999998</v>
      </c>
      <c r="U558" s="33">
        <f t="shared" si="57"/>
        <v>23854.5</v>
      </c>
      <c r="V558" s="43">
        <f t="shared" si="60"/>
        <v>35090.050499999998</v>
      </c>
      <c r="W558" s="45">
        <f t="shared" si="61"/>
        <v>0.59530610043416987</v>
      </c>
    </row>
    <row r="559" spans="1:23" x14ac:dyDescent="0.3">
      <c r="A559" s="34" t="s">
        <v>1216</v>
      </c>
      <c r="B559" s="35">
        <v>45362</v>
      </c>
      <c r="C559" s="36">
        <v>45380</v>
      </c>
      <c r="D559" s="37">
        <f t="shared" si="62"/>
        <v>18</v>
      </c>
      <c r="E559" s="37" t="str">
        <f>TEXT(Data!B559,"MMM-YYYY")</f>
        <v>Mar-2024</v>
      </c>
      <c r="F559" s="37" t="str">
        <f t="shared" si="58"/>
        <v>Q1-2024</v>
      </c>
      <c r="G559" s="32" t="s">
        <v>52</v>
      </c>
      <c r="H559" s="32" t="s">
        <v>122</v>
      </c>
      <c r="I559" s="32" t="s">
        <v>387</v>
      </c>
      <c r="J559" s="32" t="s">
        <v>19</v>
      </c>
      <c r="K559" s="32" t="s">
        <v>20</v>
      </c>
      <c r="L559" s="32" t="s">
        <v>110</v>
      </c>
      <c r="M559" s="32" t="s">
        <v>64</v>
      </c>
      <c r="N559" s="32" t="s">
        <v>1217</v>
      </c>
      <c r="O559" s="37">
        <v>710.98</v>
      </c>
      <c r="P559" s="38" t="str">
        <f t="shared" si="59"/>
        <v>High</v>
      </c>
      <c r="Q559" s="37">
        <v>1481.45</v>
      </c>
      <c r="R559" s="37">
        <v>0.21099999999999999</v>
      </c>
      <c r="S559" s="37">
        <v>9</v>
      </c>
      <c r="T559" s="37">
        <f t="shared" si="56"/>
        <v>7902.0638099999996</v>
      </c>
      <c r="U559" s="32">
        <f t="shared" si="57"/>
        <v>6398.82</v>
      </c>
      <c r="V559" s="37">
        <f t="shared" si="60"/>
        <v>1503.2438099999999</v>
      </c>
      <c r="W559" s="39">
        <f t="shared" si="61"/>
        <v>0.19023432942893434</v>
      </c>
    </row>
    <row r="560" spans="1:23" x14ac:dyDescent="0.3">
      <c r="A560" s="40" t="s">
        <v>1218</v>
      </c>
      <c r="B560" s="41">
        <v>45430</v>
      </c>
      <c r="C560" s="42">
        <v>45434</v>
      </c>
      <c r="D560" s="43">
        <f t="shared" si="62"/>
        <v>4</v>
      </c>
      <c r="E560" s="43" t="str">
        <f>TEXT(Data!B560,"MMM-YYYY")</f>
        <v>May-2024</v>
      </c>
      <c r="F560" s="43" t="str">
        <f t="shared" si="58"/>
        <v>Q2-2024</v>
      </c>
      <c r="G560" s="33" t="s">
        <v>16</v>
      </c>
      <c r="H560" s="33" t="s">
        <v>17</v>
      </c>
      <c r="I560" s="33" t="s">
        <v>33</v>
      </c>
      <c r="J560" s="33" t="s">
        <v>19</v>
      </c>
      <c r="K560" s="33" t="s">
        <v>98</v>
      </c>
      <c r="L560" s="33" t="s">
        <v>92</v>
      </c>
      <c r="M560" s="33" t="s">
        <v>81</v>
      </c>
      <c r="N560" s="33" t="s">
        <v>1219</v>
      </c>
      <c r="O560" s="43">
        <v>857.42</v>
      </c>
      <c r="P560" s="44" t="str">
        <f t="shared" si="59"/>
        <v>High</v>
      </c>
      <c r="Q560" s="43">
        <v>1658.92</v>
      </c>
      <c r="R560" s="43">
        <v>0.122</v>
      </c>
      <c r="S560" s="43">
        <v>9</v>
      </c>
      <c r="T560" s="43">
        <f t="shared" si="56"/>
        <v>8897.572979999999</v>
      </c>
      <c r="U560" s="33">
        <f t="shared" si="57"/>
        <v>7716.78</v>
      </c>
      <c r="V560" s="43">
        <f t="shared" si="60"/>
        <v>1180.7929799999993</v>
      </c>
      <c r="W560" s="45">
        <f t="shared" si="61"/>
        <v>0.13270955828675871</v>
      </c>
    </row>
    <row r="561" spans="1:23" x14ac:dyDescent="0.3">
      <c r="A561" s="34" t="s">
        <v>1220</v>
      </c>
      <c r="B561" s="35">
        <v>45299</v>
      </c>
      <c r="C561" s="36">
        <v>45303</v>
      </c>
      <c r="D561" s="37">
        <f t="shared" si="62"/>
        <v>4</v>
      </c>
      <c r="E561" s="37" t="str">
        <f>TEXT(Data!B561,"MMM-YYYY")</f>
        <v>Jan-2024</v>
      </c>
      <c r="F561" s="37" t="str">
        <f t="shared" si="58"/>
        <v>Q1-2024</v>
      </c>
      <c r="G561" s="32" t="s">
        <v>45</v>
      </c>
      <c r="H561" s="32" t="s">
        <v>60</v>
      </c>
      <c r="I561" s="32" t="s">
        <v>61</v>
      </c>
      <c r="J561" s="32" t="s">
        <v>19</v>
      </c>
      <c r="K561" s="32" t="s">
        <v>98</v>
      </c>
      <c r="L561" s="32" t="s">
        <v>63</v>
      </c>
      <c r="M561" s="32" t="s">
        <v>30</v>
      </c>
      <c r="N561" s="32" t="s">
        <v>1221</v>
      </c>
      <c r="O561" s="37">
        <v>802.32</v>
      </c>
      <c r="P561" s="38" t="str">
        <f t="shared" si="59"/>
        <v>High</v>
      </c>
      <c r="Q561" s="37">
        <v>602.34</v>
      </c>
      <c r="R561" s="37">
        <v>0.12</v>
      </c>
      <c r="S561" s="37">
        <v>25</v>
      </c>
      <c r="T561" s="37">
        <f t="shared" si="56"/>
        <v>2719.64</v>
      </c>
      <c r="U561" s="32">
        <f t="shared" si="57"/>
        <v>20058</v>
      </c>
      <c r="V561" s="37">
        <f t="shared" si="60"/>
        <v>-17338.36</v>
      </c>
      <c r="W561" s="39">
        <f t="shared" si="61"/>
        <v>-6.3752408406995045</v>
      </c>
    </row>
    <row r="562" spans="1:23" x14ac:dyDescent="0.3">
      <c r="A562" s="40" t="s">
        <v>1222</v>
      </c>
      <c r="B562" s="41">
        <v>45590</v>
      </c>
      <c r="C562" s="42">
        <v>45601</v>
      </c>
      <c r="D562" s="43">
        <f t="shared" si="62"/>
        <v>11</v>
      </c>
      <c r="E562" s="43" t="str">
        <f>TEXT(Data!B562,"MMM-YYYY")</f>
        <v>Oct-2024</v>
      </c>
      <c r="F562" s="43" t="str">
        <f t="shared" si="58"/>
        <v>Q4-2024</v>
      </c>
      <c r="G562" s="33" t="s">
        <v>52</v>
      </c>
      <c r="H562" s="33" t="s">
        <v>122</v>
      </c>
      <c r="I562" s="33" t="s">
        <v>387</v>
      </c>
      <c r="J562" s="33" t="s">
        <v>19</v>
      </c>
      <c r="K562" s="33" t="s">
        <v>55</v>
      </c>
      <c r="L562" s="33" t="s">
        <v>126</v>
      </c>
      <c r="M562" s="33" t="s">
        <v>22</v>
      </c>
      <c r="N562" s="33" t="s">
        <v>1223</v>
      </c>
      <c r="O562" s="43">
        <v>446.66</v>
      </c>
      <c r="P562" s="44" t="str">
        <f t="shared" si="59"/>
        <v>High</v>
      </c>
      <c r="Q562" s="43">
        <v>527.64</v>
      </c>
      <c r="R562" s="43">
        <v>0.14499999999999999</v>
      </c>
      <c r="S562" s="43">
        <v>15</v>
      </c>
      <c r="T562" s="43">
        <f t="shared" si="56"/>
        <v>22209.693749999999</v>
      </c>
      <c r="U562" s="33">
        <f t="shared" si="57"/>
        <v>6699.9000000000005</v>
      </c>
      <c r="V562" s="43">
        <f t="shared" si="60"/>
        <v>15509.793749999997</v>
      </c>
      <c r="W562" s="45">
        <f t="shared" si="61"/>
        <v>0.6983344266059498</v>
      </c>
    </row>
    <row r="563" spans="1:23" x14ac:dyDescent="0.3">
      <c r="A563" s="34" t="s">
        <v>1224</v>
      </c>
      <c r="B563" s="35">
        <v>45626</v>
      </c>
      <c r="C563" s="36">
        <v>45645</v>
      </c>
      <c r="D563" s="37">
        <f t="shared" si="62"/>
        <v>19</v>
      </c>
      <c r="E563" s="37" t="str">
        <f>TEXT(Data!B563,"MMM-YYYY")</f>
        <v>Nov-2024</v>
      </c>
      <c r="F563" s="37" t="str">
        <f t="shared" si="58"/>
        <v>Q4-2024</v>
      </c>
      <c r="G563" s="32" t="s">
        <v>16</v>
      </c>
      <c r="H563" s="32" t="s">
        <v>17</v>
      </c>
      <c r="I563" s="32" t="s">
        <v>18</v>
      </c>
      <c r="J563" s="32" t="s">
        <v>19</v>
      </c>
      <c r="K563" s="32" t="s">
        <v>28</v>
      </c>
      <c r="L563" s="32" t="s">
        <v>49</v>
      </c>
      <c r="M563" s="32" t="s">
        <v>42</v>
      </c>
      <c r="N563" s="32" t="s">
        <v>1225</v>
      </c>
      <c r="O563" s="37">
        <v>1195.98</v>
      </c>
      <c r="P563" s="38" t="str">
        <f t="shared" si="59"/>
        <v>High</v>
      </c>
      <c r="Q563" s="37">
        <v>1841.9</v>
      </c>
      <c r="R563" s="37">
        <v>5.5E-2</v>
      </c>
      <c r="S563" s="37">
        <v>19</v>
      </c>
      <c r="T563" s="37">
        <f t="shared" si="56"/>
        <v>54978.38955</v>
      </c>
      <c r="U563" s="32">
        <f t="shared" si="57"/>
        <v>22723.62</v>
      </c>
      <c r="V563" s="37">
        <f t="shared" si="60"/>
        <v>32254.769550000001</v>
      </c>
      <c r="W563" s="39">
        <f t="shared" si="61"/>
        <v>0.58668087250293055</v>
      </c>
    </row>
    <row r="564" spans="1:23" x14ac:dyDescent="0.3">
      <c r="A564" s="40" t="s">
        <v>1226</v>
      </c>
      <c r="B564" s="41">
        <v>45029</v>
      </c>
      <c r="C564" s="42">
        <v>45048</v>
      </c>
      <c r="D564" s="43">
        <f t="shared" si="62"/>
        <v>19</v>
      </c>
      <c r="E564" s="43" t="str">
        <f>TEXT(Data!B564,"MMM-YYYY")</f>
        <v>Apr-2023</v>
      </c>
      <c r="F564" s="43" t="str">
        <f t="shared" si="58"/>
        <v>Q2-2023</v>
      </c>
      <c r="G564" s="33" t="s">
        <v>52</v>
      </c>
      <c r="H564" s="33" t="s">
        <v>53</v>
      </c>
      <c r="I564" s="33" t="s">
        <v>144</v>
      </c>
      <c r="J564" s="33" t="s">
        <v>48</v>
      </c>
      <c r="K564" s="33" t="s">
        <v>55</v>
      </c>
      <c r="L564" s="33" t="s">
        <v>63</v>
      </c>
      <c r="M564" s="33" t="s">
        <v>64</v>
      </c>
      <c r="N564" s="33" t="s">
        <v>1227</v>
      </c>
      <c r="O564" s="43">
        <v>671.05</v>
      </c>
      <c r="P564" s="44" t="str">
        <f t="shared" si="59"/>
        <v>High</v>
      </c>
      <c r="Q564" s="43">
        <v>1645.48</v>
      </c>
      <c r="R564" s="43">
        <v>0.13700000000000001</v>
      </c>
      <c r="S564" s="43">
        <v>6</v>
      </c>
      <c r="T564" s="43">
        <f t="shared" si="56"/>
        <v>11393.722979999999</v>
      </c>
      <c r="U564" s="33">
        <f t="shared" si="57"/>
        <v>4026.2999999999997</v>
      </c>
      <c r="V564" s="43">
        <f t="shared" si="60"/>
        <v>7367.4229799999994</v>
      </c>
      <c r="W564" s="45">
        <f t="shared" si="61"/>
        <v>0.64662121353419111</v>
      </c>
    </row>
    <row r="565" spans="1:23" x14ac:dyDescent="0.3">
      <c r="A565" s="34" t="s">
        <v>1228</v>
      </c>
      <c r="B565" s="35">
        <v>45692</v>
      </c>
      <c r="C565" s="36">
        <v>45696</v>
      </c>
      <c r="D565" s="37">
        <f t="shared" si="62"/>
        <v>4</v>
      </c>
      <c r="E565" s="37" t="str">
        <f>TEXT(Data!B565,"MMM-YYYY")</f>
        <v>Feb-2025</v>
      </c>
      <c r="F565" s="37" t="str">
        <f t="shared" si="58"/>
        <v>Q1-2025</v>
      </c>
      <c r="G565" s="32" t="s">
        <v>78</v>
      </c>
      <c r="H565" s="32" t="s">
        <v>108</v>
      </c>
      <c r="I565" s="32" t="s">
        <v>228</v>
      </c>
      <c r="J565" s="32" t="s">
        <v>105</v>
      </c>
      <c r="K565" s="32" t="s">
        <v>40</v>
      </c>
      <c r="L565" s="32" t="s">
        <v>49</v>
      </c>
      <c r="M565" s="32" t="s">
        <v>35</v>
      </c>
      <c r="N565" s="32" t="s">
        <v>1229</v>
      </c>
      <c r="O565" s="37">
        <v>586.21</v>
      </c>
      <c r="P565" s="38" t="str">
        <f t="shared" si="59"/>
        <v>High</v>
      </c>
      <c r="Q565" s="37">
        <v>727.22</v>
      </c>
      <c r="R565" s="37">
        <v>6.8000000000000005E-2</v>
      </c>
      <c r="S565" s="37">
        <v>15</v>
      </c>
      <c r="T565" s="37">
        <f t="shared" si="56"/>
        <v>8408.8302000000003</v>
      </c>
      <c r="U565" s="32">
        <f t="shared" si="57"/>
        <v>8793.1500000000015</v>
      </c>
      <c r="V565" s="37">
        <f t="shared" si="60"/>
        <v>-384.31980000000112</v>
      </c>
      <c r="W565" s="39">
        <f t="shared" si="61"/>
        <v>-4.5704312117041096E-2</v>
      </c>
    </row>
    <row r="566" spans="1:23" x14ac:dyDescent="0.3">
      <c r="A566" s="40" t="s">
        <v>1230</v>
      </c>
      <c r="B566" s="41">
        <v>45315</v>
      </c>
      <c r="C566" s="42">
        <v>45326</v>
      </c>
      <c r="D566" s="43">
        <f t="shared" si="62"/>
        <v>11</v>
      </c>
      <c r="E566" s="43" t="str">
        <f>TEXT(Data!B566,"MMM-YYYY")</f>
        <v>Jan-2024</v>
      </c>
      <c r="F566" s="43" t="str">
        <f t="shared" si="58"/>
        <v>Q1-2024</v>
      </c>
      <c r="G566" s="33" t="s">
        <v>78</v>
      </c>
      <c r="H566" s="33" t="s">
        <v>108</v>
      </c>
      <c r="I566" s="33" t="s">
        <v>228</v>
      </c>
      <c r="J566" s="33" t="s">
        <v>48</v>
      </c>
      <c r="K566" s="33" t="s">
        <v>20</v>
      </c>
      <c r="L566" s="33" t="s">
        <v>56</v>
      </c>
      <c r="M566" s="33" t="s">
        <v>57</v>
      </c>
      <c r="N566" s="33" t="s">
        <v>1231</v>
      </c>
      <c r="O566" s="43">
        <v>525.34</v>
      </c>
      <c r="P566" s="44" t="str">
        <f t="shared" si="59"/>
        <v>High</v>
      </c>
      <c r="Q566" s="43">
        <v>1233.79</v>
      </c>
      <c r="R566" s="43">
        <v>0.14299999999999999</v>
      </c>
      <c r="S566" s="43">
        <v>4</v>
      </c>
      <c r="T566" s="43">
        <f t="shared" si="56"/>
        <v>3248.9555599999999</v>
      </c>
      <c r="U566" s="33">
        <f t="shared" si="57"/>
        <v>2101.36</v>
      </c>
      <c r="V566" s="43">
        <f t="shared" si="60"/>
        <v>1147.5955599999998</v>
      </c>
      <c r="W566" s="45">
        <f t="shared" si="61"/>
        <v>0.35321983905498533</v>
      </c>
    </row>
    <row r="567" spans="1:23" x14ac:dyDescent="0.3">
      <c r="A567" s="34" t="s">
        <v>1232</v>
      </c>
      <c r="B567" s="35">
        <v>45330</v>
      </c>
      <c r="C567" s="36">
        <v>45331</v>
      </c>
      <c r="D567" s="37">
        <f t="shared" si="62"/>
        <v>1</v>
      </c>
      <c r="E567" s="37" t="str">
        <f>TEXT(Data!B567,"MMM-YYYY")</f>
        <v>Feb-2024</v>
      </c>
      <c r="F567" s="37" t="str">
        <f t="shared" si="58"/>
        <v>Q1-2024</v>
      </c>
      <c r="G567" s="32" t="s">
        <v>16</v>
      </c>
      <c r="H567" s="32" t="s">
        <v>17</v>
      </c>
      <c r="I567" s="32" t="s">
        <v>113</v>
      </c>
      <c r="J567" s="32" t="s">
        <v>19</v>
      </c>
      <c r="K567" s="32" t="s">
        <v>98</v>
      </c>
      <c r="L567" s="32" t="s">
        <v>84</v>
      </c>
      <c r="M567" s="32" t="s">
        <v>22</v>
      </c>
      <c r="N567" s="32" t="s">
        <v>1233</v>
      </c>
      <c r="O567" s="37">
        <v>1233.52</v>
      </c>
      <c r="P567" s="38" t="str">
        <f t="shared" si="59"/>
        <v>High</v>
      </c>
      <c r="Q567" s="37">
        <v>1543.76</v>
      </c>
      <c r="R567" s="37">
        <v>0.126</v>
      </c>
      <c r="S567" s="37">
        <v>13</v>
      </c>
      <c r="T567" s="37">
        <f t="shared" si="56"/>
        <v>26490.27576</v>
      </c>
      <c r="U567" s="32">
        <f t="shared" si="57"/>
        <v>16035.76</v>
      </c>
      <c r="V567" s="37">
        <f t="shared" si="60"/>
        <v>10454.51576</v>
      </c>
      <c r="W567" s="39">
        <f t="shared" si="61"/>
        <v>0.39465484824382968</v>
      </c>
    </row>
    <row r="568" spans="1:23" x14ac:dyDescent="0.3">
      <c r="A568" s="40" t="s">
        <v>1234</v>
      </c>
      <c r="B568" s="41">
        <v>45834</v>
      </c>
      <c r="C568" s="42">
        <v>45849</v>
      </c>
      <c r="D568" s="43">
        <f t="shared" si="62"/>
        <v>15</v>
      </c>
      <c r="E568" s="43" t="str">
        <f>TEXT(Data!B568,"MMM-YYYY")</f>
        <v>Jun-2025</v>
      </c>
      <c r="F568" s="43" t="str">
        <f t="shared" si="58"/>
        <v>Q2-2025</v>
      </c>
      <c r="G568" s="33" t="s">
        <v>16</v>
      </c>
      <c r="H568" s="33" t="s">
        <v>25</v>
      </c>
      <c r="I568" s="33" t="s">
        <v>26</v>
      </c>
      <c r="J568" s="33" t="s">
        <v>62</v>
      </c>
      <c r="K568" s="33" t="s">
        <v>28</v>
      </c>
      <c r="L568" s="33" t="s">
        <v>75</v>
      </c>
      <c r="M568" s="33" t="s">
        <v>57</v>
      </c>
      <c r="N568" s="33" t="s">
        <v>1235</v>
      </c>
      <c r="O568" s="43">
        <v>1170.1500000000001</v>
      </c>
      <c r="P568" s="44" t="str">
        <f t="shared" si="59"/>
        <v>High</v>
      </c>
      <c r="Q568" s="43">
        <v>2115.19</v>
      </c>
      <c r="R568" s="43">
        <v>9.1999999999999998E-2</v>
      </c>
      <c r="S568" s="43">
        <v>23</v>
      </c>
      <c r="T568" s="43">
        <f t="shared" si="56"/>
        <v>29597.640160000003</v>
      </c>
      <c r="U568" s="33">
        <f t="shared" si="57"/>
        <v>26913.45</v>
      </c>
      <c r="V568" s="43">
        <f t="shared" si="60"/>
        <v>2684.1901600000019</v>
      </c>
      <c r="W568" s="45">
        <f t="shared" si="61"/>
        <v>9.0689330145569333E-2</v>
      </c>
    </row>
    <row r="569" spans="1:23" x14ac:dyDescent="0.3">
      <c r="A569" s="34" t="s">
        <v>1236</v>
      </c>
      <c r="B569" s="35">
        <v>45600</v>
      </c>
      <c r="C569" s="36">
        <v>45603</v>
      </c>
      <c r="D569" s="37">
        <f t="shared" si="62"/>
        <v>3</v>
      </c>
      <c r="E569" s="37" t="str">
        <f>TEXT(Data!B569,"MMM-YYYY")</f>
        <v>Nov-2024</v>
      </c>
      <c r="F569" s="37" t="str">
        <f t="shared" si="58"/>
        <v>Q4-2024</v>
      </c>
      <c r="G569" s="32" t="s">
        <v>78</v>
      </c>
      <c r="H569" s="32" t="s">
        <v>90</v>
      </c>
      <c r="I569" s="32" t="s">
        <v>138</v>
      </c>
      <c r="J569" s="32" t="s">
        <v>19</v>
      </c>
      <c r="K569" s="32" t="s">
        <v>28</v>
      </c>
      <c r="L569" s="32" t="s">
        <v>68</v>
      </c>
      <c r="M569" s="32" t="s">
        <v>64</v>
      </c>
      <c r="N569" s="32" t="s">
        <v>1237</v>
      </c>
      <c r="O569" s="37">
        <v>740.68</v>
      </c>
      <c r="P569" s="38" t="str">
        <f t="shared" si="59"/>
        <v>High</v>
      </c>
      <c r="Q569" s="37">
        <v>1837.19</v>
      </c>
      <c r="R569" s="37">
        <v>0.19700000000000001</v>
      </c>
      <c r="S569" s="37">
        <v>17</v>
      </c>
      <c r="T569" s="37">
        <f t="shared" si="56"/>
        <v>9548.8744999999999</v>
      </c>
      <c r="U569" s="32">
        <f t="shared" si="57"/>
        <v>12591.56</v>
      </c>
      <c r="V569" s="37">
        <f t="shared" si="60"/>
        <v>-3042.6854999999996</v>
      </c>
      <c r="W569" s="39">
        <f t="shared" si="61"/>
        <v>-0.31864336472324561</v>
      </c>
    </row>
    <row r="570" spans="1:23" x14ac:dyDescent="0.3">
      <c r="A570" s="40" t="s">
        <v>1238</v>
      </c>
      <c r="B570" s="41">
        <v>45342</v>
      </c>
      <c r="C570" s="42">
        <v>45342</v>
      </c>
      <c r="D570" s="43">
        <f t="shared" si="62"/>
        <v>0</v>
      </c>
      <c r="E570" s="43" t="str">
        <f>TEXT(Data!B570,"MMM-YYYY")</f>
        <v>Feb-2024</v>
      </c>
      <c r="F570" s="43" t="str">
        <f t="shared" si="58"/>
        <v>Q1-2024</v>
      </c>
      <c r="G570" s="33" t="s">
        <v>52</v>
      </c>
      <c r="H570" s="33" t="s">
        <v>122</v>
      </c>
      <c r="I570" s="33" t="s">
        <v>387</v>
      </c>
      <c r="J570" s="33" t="s">
        <v>105</v>
      </c>
      <c r="K570" s="33" t="s">
        <v>28</v>
      </c>
      <c r="L570" s="33" t="s">
        <v>21</v>
      </c>
      <c r="M570" s="33" t="s">
        <v>35</v>
      </c>
      <c r="N570" s="33" t="s">
        <v>1239</v>
      </c>
      <c r="O570" s="43">
        <v>1407.05</v>
      </c>
      <c r="P570" s="44" t="str">
        <f t="shared" si="59"/>
        <v>High</v>
      </c>
      <c r="Q570" s="43">
        <v>2858.93</v>
      </c>
      <c r="R570" s="43">
        <v>0</v>
      </c>
      <c r="S570" s="43">
        <v>12</v>
      </c>
      <c r="T570" s="43">
        <f t="shared" si="56"/>
        <v>21446.400000000001</v>
      </c>
      <c r="U570" s="33">
        <f t="shared" si="57"/>
        <v>16884.599999999999</v>
      </c>
      <c r="V570" s="43">
        <f t="shared" si="60"/>
        <v>4561.8000000000029</v>
      </c>
      <c r="W570" s="45">
        <f t="shared" si="61"/>
        <v>0.2127070277529097</v>
      </c>
    </row>
    <row r="571" spans="1:23" x14ac:dyDescent="0.3">
      <c r="A571" s="34" t="s">
        <v>1240</v>
      </c>
      <c r="B571" s="35">
        <v>45760</v>
      </c>
      <c r="C571" s="36">
        <v>45761</v>
      </c>
      <c r="D571" s="37">
        <f t="shared" si="62"/>
        <v>1</v>
      </c>
      <c r="E571" s="37" t="str">
        <f>TEXT(Data!B571,"MMM-YYYY")</f>
        <v>Apr-2025</v>
      </c>
      <c r="F571" s="37" t="str">
        <f t="shared" si="58"/>
        <v>Q2-2025</v>
      </c>
      <c r="G571" s="32" t="s">
        <v>45</v>
      </c>
      <c r="H571" s="32" t="s">
        <v>46</v>
      </c>
      <c r="I571" s="32" t="s">
        <v>47</v>
      </c>
      <c r="J571" s="32" t="s">
        <v>105</v>
      </c>
      <c r="K571" s="32" t="s">
        <v>28</v>
      </c>
      <c r="L571" s="32" t="s">
        <v>41</v>
      </c>
      <c r="M571" s="32" t="s">
        <v>22</v>
      </c>
      <c r="N571" s="32" t="s">
        <v>1241</v>
      </c>
      <c r="O571" s="37">
        <v>138.9</v>
      </c>
      <c r="P571" s="38" t="str">
        <f t="shared" si="59"/>
        <v>High</v>
      </c>
      <c r="Q571" s="37">
        <v>289.92</v>
      </c>
      <c r="R571" s="37">
        <v>2.9000000000000001E-2</v>
      </c>
      <c r="S571" s="37">
        <v>12</v>
      </c>
      <c r="T571" s="37">
        <f t="shared" si="56"/>
        <v>19793.834999999999</v>
      </c>
      <c r="U571" s="32">
        <f t="shared" si="57"/>
        <v>1666.8000000000002</v>
      </c>
      <c r="V571" s="37">
        <f t="shared" si="60"/>
        <v>18127.035</v>
      </c>
      <c r="W571" s="39">
        <f t="shared" si="61"/>
        <v>0.91579196249741401</v>
      </c>
    </row>
    <row r="572" spans="1:23" x14ac:dyDescent="0.3">
      <c r="A572" s="40" t="s">
        <v>1242</v>
      </c>
      <c r="B572" s="41">
        <v>45078</v>
      </c>
      <c r="C572" s="42">
        <v>45078</v>
      </c>
      <c r="D572" s="43">
        <f t="shared" si="62"/>
        <v>0</v>
      </c>
      <c r="E572" s="43" t="str">
        <f>TEXT(Data!B572,"MMM-YYYY")</f>
        <v>Jun-2023</v>
      </c>
      <c r="F572" s="43" t="str">
        <f t="shared" si="58"/>
        <v>Q2-2023</v>
      </c>
      <c r="G572" s="33" t="s">
        <v>45</v>
      </c>
      <c r="H572" s="33" t="s">
        <v>60</v>
      </c>
      <c r="I572" s="33" t="s">
        <v>61</v>
      </c>
      <c r="J572" s="33" t="s">
        <v>19</v>
      </c>
      <c r="K572" s="33" t="s">
        <v>20</v>
      </c>
      <c r="L572" s="33" t="s">
        <v>63</v>
      </c>
      <c r="M572" s="33" t="s">
        <v>81</v>
      </c>
      <c r="N572" s="33" t="s">
        <v>1243</v>
      </c>
      <c r="O572" s="43">
        <v>669.37</v>
      </c>
      <c r="P572" s="44" t="str">
        <f t="shared" si="59"/>
        <v>High</v>
      </c>
      <c r="Q572" s="43">
        <v>997.2</v>
      </c>
      <c r="R572" s="43">
        <v>8.2000000000000003E-2</v>
      </c>
      <c r="S572" s="43">
        <v>5</v>
      </c>
      <c r="T572" s="43">
        <f t="shared" si="56"/>
        <v>3326.373</v>
      </c>
      <c r="U572" s="33">
        <f t="shared" si="57"/>
        <v>3346.85</v>
      </c>
      <c r="V572" s="43">
        <f t="shared" si="60"/>
        <v>-20.476999999999862</v>
      </c>
      <c r="W572" s="45">
        <f t="shared" si="61"/>
        <v>-6.1559542480653434E-3</v>
      </c>
    </row>
    <row r="573" spans="1:23" x14ac:dyDescent="0.3">
      <c r="A573" s="34" t="s">
        <v>1244</v>
      </c>
      <c r="B573" s="35">
        <v>45740</v>
      </c>
      <c r="C573" s="36">
        <v>45751</v>
      </c>
      <c r="D573" s="37">
        <f t="shared" si="62"/>
        <v>11</v>
      </c>
      <c r="E573" s="37" t="str">
        <f>TEXT(Data!B573,"MMM-YYYY")</f>
        <v>Mar-2025</v>
      </c>
      <c r="F573" s="37" t="str">
        <f t="shared" si="58"/>
        <v>Q1-2025</v>
      </c>
      <c r="G573" s="32" t="s">
        <v>45</v>
      </c>
      <c r="H573" s="32" t="s">
        <v>60</v>
      </c>
      <c r="I573" s="32" t="s">
        <v>220</v>
      </c>
      <c r="J573" s="32" t="s">
        <v>27</v>
      </c>
      <c r="K573" s="32" t="s">
        <v>40</v>
      </c>
      <c r="L573" s="32" t="s">
        <v>29</v>
      </c>
      <c r="M573" s="32" t="s">
        <v>42</v>
      </c>
      <c r="N573" s="32" t="s">
        <v>1245</v>
      </c>
      <c r="O573" s="37">
        <v>23.83</v>
      </c>
      <c r="P573" s="38" t="str">
        <f t="shared" si="59"/>
        <v>Low</v>
      </c>
      <c r="Q573" s="37">
        <v>47.29</v>
      </c>
      <c r="R573" s="37">
        <v>6.4000000000000001E-2</v>
      </c>
      <c r="S573" s="37">
        <v>19</v>
      </c>
      <c r="T573" s="37">
        <f t="shared" si="56"/>
        <v>24114.036959999998</v>
      </c>
      <c r="U573" s="32">
        <f t="shared" si="57"/>
        <v>452.77</v>
      </c>
      <c r="V573" s="37">
        <f t="shared" si="60"/>
        <v>23661.266959999997</v>
      </c>
      <c r="W573" s="39">
        <f t="shared" si="61"/>
        <v>0.98122379920247083</v>
      </c>
    </row>
    <row r="574" spans="1:23" x14ac:dyDescent="0.3">
      <c r="A574" s="40" t="s">
        <v>1246</v>
      </c>
      <c r="B574" s="41">
        <v>45293</v>
      </c>
      <c r="C574" s="42">
        <v>45293</v>
      </c>
      <c r="D574" s="43">
        <f t="shared" si="62"/>
        <v>0</v>
      </c>
      <c r="E574" s="43" t="str">
        <f>TEXT(Data!B574,"MMM-YYYY")</f>
        <v>Jan-2024</v>
      </c>
      <c r="F574" s="43" t="str">
        <f t="shared" si="58"/>
        <v>Q1-2024</v>
      </c>
      <c r="G574" s="33" t="s">
        <v>52</v>
      </c>
      <c r="H574" s="33" t="s">
        <v>53</v>
      </c>
      <c r="I574" s="33" t="s">
        <v>179</v>
      </c>
      <c r="J574" s="33" t="s">
        <v>27</v>
      </c>
      <c r="K574" s="33" t="s">
        <v>98</v>
      </c>
      <c r="L574" s="33" t="s">
        <v>75</v>
      </c>
      <c r="M574" s="33" t="s">
        <v>57</v>
      </c>
      <c r="N574" s="33" t="s">
        <v>1247</v>
      </c>
      <c r="O574" s="43">
        <v>444.41</v>
      </c>
      <c r="P574" s="44" t="str">
        <f t="shared" si="59"/>
        <v>High</v>
      </c>
      <c r="Q574" s="43">
        <v>754.24</v>
      </c>
      <c r="R574" s="43">
        <v>0.20699999999999999</v>
      </c>
      <c r="S574" s="43">
        <v>32</v>
      </c>
      <c r="T574" s="43">
        <f t="shared" si="56"/>
        <v>6980.1763200000005</v>
      </c>
      <c r="U574" s="33">
        <f t="shared" si="57"/>
        <v>14221.12</v>
      </c>
      <c r="V574" s="43">
        <f t="shared" si="60"/>
        <v>-7240.9436800000003</v>
      </c>
      <c r="W574" s="45">
        <f t="shared" si="61"/>
        <v>-1.0373582769324659</v>
      </c>
    </row>
    <row r="575" spans="1:23" x14ac:dyDescent="0.3">
      <c r="A575" s="34" t="s">
        <v>1248</v>
      </c>
      <c r="B575" s="35">
        <v>45279</v>
      </c>
      <c r="C575" s="36">
        <v>45292</v>
      </c>
      <c r="D575" s="37">
        <f t="shared" si="62"/>
        <v>13</v>
      </c>
      <c r="E575" s="37" t="str">
        <f>TEXT(Data!B575,"MMM-YYYY")</f>
        <v>Dec-2023</v>
      </c>
      <c r="F575" s="37" t="str">
        <f t="shared" si="58"/>
        <v>Q4-2023</v>
      </c>
      <c r="G575" s="32" t="s">
        <v>52</v>
      </c>
      <c r="H575" s="32" t="s">
        <v>53</v>
      </c>
      <c r="I575" s="32" t="s">
        <v>54</v>
      </c>
      <c r="J575" s="32" t="s">
        <v>105</v>
      </c>
      <c r="K575" s="32" t="s">
        <v>20</v>
      </c>
      <c r="L575" s="32" t="s">
        <v>95</v>
      </c>
      <c r="M575" s="32" t="s">
        <v>64</v>
      </c>
      <c r="N575" s="32" t="s">
        <v>1249</v>
      </c>
      <c r="O575" s="37">
        <v>856.1</v>
      </c>
      <c r="P575" s="38" t="str">
        <f t="shared" si="59"/>
        <v>High</v>
      </c>
      <c r="Q575" s="37">
        <v>901.48</v>
      </c>
      <c r="R575" s="37">
        <v>5.6000000000000001E-2</v>
      </c>
      <c r="S575" s="37">
        <v>17</v>
      </c>
      <c r="T575" s="37">
        <f t="shared" si="56"/>
        <v>28925.557119999998</v>
      </c>
      <c r="U575" s="32">
        <f t="shared" si="57"/>
        <v>14553.7</v>
      </c>
      <c r="V575" s="37">
        <f t="shared" si="60"/>
        <v>14371.857119999997</v>
      </c>
      <c r="W575" s="39">
        <f t="shared" si="61"/>
        <v>0.49685670911634278</v>
      </c>
    </row>
    <row r="576" spans="1:23" x14ac:dyDescent="0.3">
      <c r="A576" s="40" t="s">
        <v>1250</v>
      </c>
      <c r="B576" s="41">
        <v>45042</v>
      </c>
      <c r="C576" s="42">
        <v>45042</v>
      </c>
      <c r="D576" s="43">
        <f t="shared" si="62"/>
        <v>0</v>
      </c>
      <c r="E576" s="43" t="str">
        <f>TEXT(Data!B576,"MMM-YYYY")</f>
        <v>Apr-2023</v>
      </c>
      <c r="F576" s="43" t="str">
        <f t="shared" si="58"/>
        <v>Q2-2023</v>
      </c>
      <c r="G576" s="33" t="s">
        <v>78</v>
      </c>
      <c r="H576" s="33" t="s">
        <v>90</v>
      </c>
      <c r="I576" s="33" t="s">
        <v>91</v>
      </c>
      <c r="J576" s="33" t="s">
        <v>48</v>
      </c>
      <c r="K576" s="33" t="s">
        <v>98</v>
      </c>
      <c r="L576" s="33" t="s">
        <v>110</v>
      </c>
      <c r="M576" s="33" t="s">
        <v>22</v>
      </c>
      <c r="N576" s="33" t="s">
        <v>1251</v>
      </c>
      <c r="O576" s="43">
        <v>81.489999999999995</v>
      </c>
      <c r="P576" s="44" t="str">
        <f t="shared" si="59"/>
        <v>Medium</v>
      </c>
      <c r="Q576" s="43">
        <v>113.08</v>
      </c>
      <c r="R576" s="43">
        <v>0.121</v>
      </c>
      <c r="S576" s="43">
        <v>5</v>
      </c>
      <c r="T576" s="43">
        <f t="shared" si="56"/>
        <v>5580.6830999999993</v>
      </c>
      <c r="U576" s="33">
        <f t="shared" si="57"/>
        <v>407.45</v>
      </c>
      <c r="V576" s="43">
        <f t="shared" si="60"/>
        <v>5173.2330999999995</v>
      </c>
      <c r="W576" s="45">
        <f t="shared" si="61"/>
        <v>0.92698922467036338</v>
      </c>
    </row>
    <row r="577" spans="1:23" x14ac:dyDescent="0.3">
      <c r="A577" s="34" t="s">
        <v>1252</v>
      </c>
      <c r="B577" s="35">
        <v>45872</v>
      </c>
      <c r="C577" s="36">
        <v>45885</v>
      </c>
      <c r="D577" s="37">
        <f t="shared" si="62"/>
        <v>13</v>
      </c>
      <c r="E577" s="37" t="str">
        <f>TEXT(Data!B577,"MMM-YYYY")</f>
        <v>Aug-2025</v>
      </c>
      <c r="F577" s="37" t="str">
        <f t="shared" si="58"/>
        <v>Q3-2025</v>
      </c>
      <c r="G577" s="32" t="s">
        <v>52</v>
      </c>
      <c r="H577" s="32" t="s">
        <v>53</v>
      </c>
      <c r="I577" s="32" t="s">
        <v>144</v>
      </c>
      <c r="J577" s="32" t="s">
        <v>105</v>
      </c>
      <c r="K577" s="32" t="s">
        <v>55</v>
      </c>
      <c r="L577" s="32" t="s">
        <v>68</v>
      </c>
      <c r="M577" s="32" t="s">
        <v>35</v>
      </c>
      <c r="N577" s="32" t="s">
        <v>1253</v>
      </c>
      <c r="O577" s="37">
        <v>698.66</v>
      </c>
      <c r="P577" s="38" t="str">
        <f t="shared" si="59"/>
        <v>High</v>
      </c>
      <c r="Q577" s="37">
        <v>868.62</v>
      </c>
      <c r="R577" s="37">
        <v>7.1999999999999995E-2</v>
      </c>
      <c r="S577" s="37">
        <v>15</v>
      </c>
      <c r="T577" s="37">
        <f t="shared" ref="T577:T632" si="63">(Q603*S577)*(1-R577)</f>
        <v>7960.848</v>
      </c>
      <c r="U577" s="32">
        <f t="shared" ref="U577:U632" si="64">(O577*S577)</f>
        <v>10479.9</v>
      </c>
      <c r="V577" s="37">
        <f t="shared" si="60"/>
        <v>-2519.0519999999997</v>
      </c>
      <c r="W577" s="39">
        <f t="shared" si="61"/>
        <v>-0.31643010895321699</v>
      </c>
    </row>
    <row r="578" spans="1:23" x14ac:dyDescent="0.3">
      <c r="A578" s="40" t="s">
        <v>1254</v>
      </c>
      <c r="B578" s="41">
        <v>45140</v>
      </c>
      <c r="C578" s="42">
        <v>45157</v>
      </c>
      <c r="D578" s="43">
        <f t="shared" si="62"/>
        <v>17</v>
      </c>
      <c r="E578" s="43" t="str">
        <f>TEXT(Data!B578,"MMM-YYYY")</f>
        <v>Aug-2023</v>
      </c>
      <c r="F578" s="43" t="str">
        <f t="shared" ref="F578:F632" si="65">"Q"&amp;ROUNDUP(MONTH(B578)/3,0)&amp;"-"&amp;YEAR(B578)</f>
        <v>Q3-2023</v>
      </c>
      <c r="G578" s="33" t="s">
        <v>52</v>
      </c>
      <c r="H578" s="33" t="s">
        <v>53</v>
      </c>
      <c r="I578" s="33" t="s">
        <v>179</v>
      </c>
      <c r="J578" s="33" t="s">
        <v>19</v>
      </c>
      <c r="K578" s="33" t="s">
        <v>28</v>
      </c>
      <c r="L578" s="33" t="s">
        <v>84</v>
      </c>
      <c r="M578" s="33" t="s">
        <v>35</v>
      </c>
      <c r="N578" s="33" t="s">
        <v>1255</v>
      </c>
      <c r="O578" s="43">
        <v>175.38</v>
      </c>
      <c r="P578" s="44" t="str">
        <f t="shared" ref="P578:P632" si="66">IF(Q578&lt;50, "Low", IF(Q578&lt;200, "Medium", "High"))</f>
        <v>High</v>
      </c>
      <c r="Q578" s="43">
        <v>347.9</v>
      </c>
      <c r="R578" s="43">
        <v>7.1999999999999995E-2</v>
      </c>
      <c r="S578" s="43">
        <v>43</v>
      </c>
      <c r="T578" s="43">
        <f t="shared" si="63"/>
        <v>109937.11616000001</v>
      </c>
      <c r="U578" s="33">
        <f t="shared" si="64"/>
        <v>7541.34</v>
      </c>
      <c r="V578" s="43">
        <f t="shared" ref="V578:V632" si="67">(T578-U578)</f>
        <v>102395.77616000001</v>
      </c>
      <c r="W578" s="45">
        <f t="shared" ref="W578:W632" si="68">IF(T578=0, 0, V578/T578)</f>
        <v>0.93140314878712571</v>
      </c>
    </row>
    <row r="579" spans="1:23" x14ac:dyDescent="0.3">
      <c r="A579" s="34" t="s">
        <v>1256</v>
      </c>
      <c r="B579" s="35">
        <v>45092</v>
      </c>
      <c r="C579" s="36">
        <v>45119</v>
      </c>
      <c r="D579" s="37">
        <f t="shared" si="62"/>
        <v>27</v>
      </c>
      <c r="E579" s="37" t="str">
        <f>TEXT(Data!B579,"MMM-YYYY")</f>
        <v>Jun-2023</v>
      </c>
      <c r="F579" s="37" t="str">
        <f t="shared" si="65"/>
        <v>Q2-2023</v>
      </c>
      <c r="G579" s="32" t="s">
        <v>78</v>
      </c>
      <c r="H579" s="32" t="s">
        <v>108</v>
      </c>
      <c r="I579" s="32" t="s">
        <v>228</v>
      </c>
      <c r="J579" s="32" t="s">
        <v>48</v>
      </c>
      <c r="K579" s="32" t="s">
        <v>98</v>
      </c>
      <c r="L579" s="32" t="s">
        <v>34</v>
      </c>
      <c r="M579" s="32" t="s">
        <v>81</v>
      </c>
      <c r="N579" s="32" t="s">
        <v>1257</v>
      </c>
      <c r="O579" s="37">
        <v>751.28</v>
      </c>
      <c r="P579" s="38" t="str">
        <f t="shared" si="66"/>
        <v>High</v>
      </c>
      <c r="Q579" s="37">
        <v>1111.8800000000001</v>
      </c>
      <c r="R579" s="37">
        <v>0.13500000000000001</v>
      </c>
      <c r="S579" s="37">
        <v>7</v>
      </c>
      <c r="T579" s="37">
        <f t="shared" si="63"/>
        <v>5827.9980499999992</v>
      </c>
      <c r="U579" s="32">
        <f t="shared" si="64"/>
        <v>5258.96</v>
      </c>
      <c r="V579" s="37">
        <f t="shared" si="67"/>
        <v>569.0380499999992</v>
      </c>
      <c r="W579" s="39">
        <f t="shared" si="68"/>
        <v>9.7638682291597417E-2</v>
      </c>
    </row>
    <row r="580" spans="1:23" x14ac:dyDescent="0.3">
      <c r="A580" s="40" t="s">
        <v>1258</v>
      </c>
      <c r="B580" s="41">
        <v>45607</v>
      </c>
      <c r="C580" s="42">
        <v>45620</v>
      </c>
      <c r="D580" s="43">
        <f t="shared" ref="D580:D632" si="69">DATEDIF(B580,C580, "MD")</f>
        <v>13</v>
      </c>
      <c r="E580" s="43" t="str">
        <f>TEXT(Data!B580,"MMM-YYYY")</f>
        <v>Nov-2024</v>
      </c>
      <c r="F580" s="43" t="str">
        <f t="shared" si="65"/>
        <v>Q4-2024</v>
      </c>
      <c r="G580" s="33" t="s">
        <v>78</v>
      </c>
      <c r="H580" s="33" t="s">
        <v>108</v>
      </c>
      <c r="I580" s="33" t="s">
        <v>152</v>
      </c>
      <c r="J580" s="33" t="s">
        <v>19</v>
      </c>
      <c r="K580" s="33" t="s">
        <v>20</v>
      </c>
      <c r="L580" s="33" t="s">
        <v>63</v>
      </c>
      <c r="M580" s="33" t="s">
        <v>35</v>
      </c>
      <c r="N580" s="33" t="s">
        <v>1259</v>
      </c>
      <c r="O580" s="43">
        <v>164.53</v>
      </c>
      <c r="P580" s="44" t="str">
        <f t="shared" si="66"/>
        <v>High</v>
      </c>
      <c r="Q580" s="43">
        <v>327.72</v>
      </c>
      <c r="R580" s="43">
        <v>6.7000000000000004E-2</v>
      </c>
      <c r="S580" s="43">
        <v>14</v>
      </c>
      <c r="T580" s="43">
        <f t="shared" si="63"/>
        <v>8728.9427399999986</v>
      </c>
      <c r="U580" s="33">
        <f t="shared" si="64"/>
        <v>2303.42</v>
      </c>
      <c r="V580" s="43">
        <f t="shared" si="67"/>
        <v>6425.5227399999985</v>
      </c>
      <c r="W580" s="45">
        <f t="shared" si="68"/>
        <v>0.73611695383855846</v>
      </c>
    </row>
    <row r="581" spans="1:23" x14ac:dyDescent="0.3">
      <c r="A581" s="34" t="s">
        <v>1260</v>
      </c>
      <c r="B581" s="35">
        <v>45849</v>
      </c>
      <c r="C581" s="36">
        <v>45872</v>
      </c>
      <c r="D581" s="37">
        <f t="shared" si="69"/>
        <v>23</v>
      </c>
      <c r="E581" s="37" t="str">
        <f>TEXT(Data!B581,"MMM-YYYY")</f>
        <v>Jul-2025</v>
      </c>
      <c r="F581" s="37" t="str">
        <f t="shared" si="65"/>
        <v>Q3-2025</v>
      </c>
      <c r="G581" s="32" t="s">
        <v>16</v>
      </c>
      <c r="H581" s="32" t="s">
        <v>17</v>
      </c>
      <c r="I581" s="32" t="s">
        <v>135</v>
      </c>
      <c r="J581" s="32" t="s">
        <v>62</v>
      </c>
      <c r="K581" s="32" t="s">
        <v>20</v>
      </c>
      <c r="L581" s="32" t="s">
        <v>21</v>
      </c>
      <c r="M581" s="32" t="s">
        <v>42</v>
      </c>
      <c r="N581" s="32" t="s">
        <v>1261</v>
      </c>
      <c r="O581" s="37">
        <v>389.93</v>
      </c>
      <c r="P581" s="38" t="str">
        <f t="shared" si="66"/>
        <v>High</v>
      </c>
      <c r="Q581" s="37">
        <v>486.13</v>
      </c>
      <c r="R581" s="37">
        <v>0.13200000000000001</v>
      </c>
      <c r="S581" s="37">
        <v>17</v>
      </c>
      <c r="T581" s="37">
        <f t="shared" si="63"/>
        <v>20722.29348</v>
      </c>
      <c r="U581" s="32">
        <f t="shared" si="64"/>
        <v>6628.81</v>
      </c>
      <c r="V581" s="37">
        <f t="shared" si="67"/>
        <v>14093.483479999999</v>
      </c>
      <c r="W581" s="39">
        <f t="shared" si="68"/>
        <v>0.6801121455789747</v>
      </c>
    </row>
    <row r="582" spans="1:23" x14ac:dyDescent="0.3">
      <c r="A582" s="40" t="s">
        <v>1262</v>
      </c>
      <c r="B582" s="41">
        <v>45080</v>
      </c>
      <c r="C582" s="42">
        <v>45108</v>
      </c>
      <c r="D582" s="43">
        <f t="shared" si="69"/>
        <v>28</v>
      </c>
      <c r="E582" s="43" t="str">
        <f>TEXT(Data!B582,"MMM-YYYY")</f>
        <v>Jun-2023</v>
      </c>
      <c r="F582" s="43" t="str">
        <f t="shared" si="65"/>
        <v>Q2-2023</v>
      </c>
      <c r="G582" s="33" t="s">
        <v>52</v>
      </c>
      <c r="H582" s="33" t="s">
        <v>73</v>
      </c>
      <c r="I582" s="33" t="s">
        <v>87</v>
      </c>
      <c r="J582" s="33" t="s">
        <v>62</v>
      </c>
      <c r="K582" s="33" t="s">
        <v>40</v>
      </c>
      <c r="L582" s="33" t="s">
        <v>75</v>
      </c>
      <c r="M582" s="33" t="s">
        <v>22</v>
      </c>
      <c r="N582" s="33" t="s">
        <v>1263</v>
      </c>
      <c r="O582" s="43">
        <v>860.4</v>
      </c>
      <c r="P582" s="44" t="str">
        <f t="shared" si="66"/>
        <v>High</v>
      </c>
      <c r="Q582" s="43">
        <v>2066.6</v>
      </c>
      <c r="R582" s="43">
        <v>0.01</v>
      </c>
      <c r="S582" s="43">
        <v>3</v>
      </c>
      <c r="T582" s="43">
        <f t="shared" si="63"/>
        <v>10661.9733</v>
      </c>
      <c r="U582" s="33">
        <f t="shared" si="64"/>
        <v>2581.1999999999998</v>
      </c>
      <c r="V582" s="43">
        <f t="shared" si="67"/>
        <v>8080.7732999999998</v>
      </c>
      <c r="W582" s="45">
        <f t="shared" si="68"/>
        <v>0.7579059778737206</v>
      </c>
    </row>
    <row r="583" spans="1:23" x14ac:dyDescent="0.3">
      <c r="A583" s="34" t="s">
        <v>1264</v>
      </c>
      <c r="B583" s="35">
        <v>44955</v>
      </c>
      <c r="C583" s="36">
        <v>44963</v>
      </c>
      <c r="D583" s="37">
        <f t="shared" si="69"/>
        <v>8</v>
      </c>
      <c r="E583" s="37" t="str">
        <f>TEXT(Data!B583,"MMM-YYYY")</f>
        <v>Jan-2023</v>
      </c>
      <c r="F583" s="37" t="str">
        <f t="shared" si="65"/>
        <v>Q1-2023</v>
      </c>
      <c r="G583" s="32" t="s">
        <v>52</v>
      </c>
      <c r="H583" s="32" t="s">
        <v>73</v>
      </c>
      <c r="I583" s="32" t="s">
        <v>87</v>
      </c>
      <c r="J583" s="32" t="s">
        <v>19</v>
      </c>
      <c r="K583" s="32" t="s">
        <v>40</v>
      </c>
      <c r="L583" s="32" t="s">
        <v>145</v>
      </c>
      <c r="M583" s="32" t="s">
        <v>64</v>
      </c>
      <c r="N583" s="32" t="s">
        <v>1265</v>
      </c>
      <c r="O583" s="37">
        <v>41.84</v>
      </c>
      <c r="P583" s="38" t="str">
        <f t="shared" si="66"/>
        <v>Medium</v>
      </c>
      <c r="Q583" s="37">
        <v>86.2</v>
      </c>
      <c r="R583" s="37">
        <v>0.22600000000000001</v>
      </c>
      <c r="S583" s="37">
        <v>27</v>
      </c>
      <c r="T583" s="37">
        <f t="shared" si="63"/>
        <v>4879.8919799999994</v>
      </c>
      <c r="U583" s="32">
        <f t="shared" si="64"/>
        <v>1129.68</v>
      </c>
      <c r="V583" s="37">
        <f t="shared" si="67"/>
        <v>3750.2119799999991</v>
      </c>
      <c r="W583" s="39">
        <f t="shared" si="68"/>
        <v>0.76850307247989524</v>
      </c>
    </row>
    <row r="584" spans="1:23" x14ac:dyDescent="0.3">
      <c r="A584" s="40" t="s">
        <v>1266</v>
      </c>
      <c r="B584" s="41">
        <v>45541</v>
      </c>
      <c r="C584" s="42">
        <v>45539</v>
      </c>
      <c r="D584" s="43">
        <f>DATEDIF(C584,B584, "MD")</f>
        <v>2</v>
      </c>
      <c r="E584" s="43" t="str">
        <f>TEXT(Data!B584,"MMM-YYYY")</f>
        <v>Sep-2024</v>
      </c>
      <c r="F584" s="43" t="str">
        <f t="shared" si="65"/>
        <v>Q3-2024</v>
      </c>
      <c r="G584" s="33" t="s">
        <v>45</v>
      </c>
      <c r="H584" s="33" t="s">
        <v>46</v>
      </c>
      <c r="I584" s="33" t="s">
        <v>47</v>
      </c>
      <c r="J584" s="33" t="s">
        <v>19</v>
      </c>
      <c r="K584" s="33" t="s">
        <v>98</v>
      </c>
      <c r="L584" s="33" t="s">
        <v>75</v>
      </c>
      <c r="M584" s="33" t="s">
        <v>57</v>
      </c>
      <c r="N584" s="33" t="s">
        <v>1267</v>
      </c>
      <c r="O584" s="43">
        <v>1368.17</v>
      </c>
      <c r="P584" s="44" t="str">
        <f t="shared" si="66"/>
        <v>High</v>
      </c>
      <c r="Q584" s="43">
        <v>2307.75</v>
      </c>
      <c r="R584" s="43">
        <v>0.16300000000000001</v>
      </c>
      <c r="S584" s="43">
        <v>21</v>
      </c>
      <c r="T584" s="43">
        <f t="shared" si="63"/>
        <v>2183.9422500000001</v>
      </c>
      <c r="U584" s="33">
        <f t="shared" si="64"/>
        <v>28731.57</v>
      </c>
      <c r="V584" s="43">
        <f t="shared" si="67"/>
        <v>-26547.62775</v>
      </c>
      <c r="W584" s="45">
        <f t="shared" si="68"/>
        <v>-12.155828639699607</v>
      </c>
    </row>
    <row r="585" spans="1:23" x14ac:dyDescent="0.3">
      <c r="A585" s="34" t="s">
        <v>1268</v>
      </c>
      <c r="B585" s="35">
        <v>45507</v>
      </c>
      <c r="C585" s="36">
        <v>45513</v>
      </c>
      <c r="D585" s="37">
        <f t="shared" si="69"/>
        <v>6</v>
      </c>
      <c r="E585" s="37" t="str">
        <f>TEXT(Data!B585,"MMM-YYYY")</f>
        <v>Aug-2024</v>
      </c>
      <c r="F585" s="37" t="str">
        <f t="shared" si="65"/>
        <v>Q3-2024</v>
      </c>
      <c r="G585" s="32" t="s">
        <v>16</v>
      </c>
      <c r="H585" s="32" t="s">
        <v>17</v>
      </c>
      <c r="I585" s="32" t="s">
        <v>113</v>
      </c>
      <c r="J585" s="32" t="s">
        <v>48</v>
      </c>
      <c r="K585" s="32" t="s">
        <v>40</v>
      </c>
      <c r="L585" s="32" t="s">
        <v>92</v>
      </c>
      <c r="M585" s="32" t="s">
        <v>57</v>
      </c>
      <c r="N585" s="32" t="s">
        <v>1269</v>
      </c>
      <c r="O585" s="37">
        <v>643.21</v>
      </c>
      <c r="P585" s="38" t="str">
        <f t="shared" si="66"/>
        <v>High</v>
      </c>
      <c r="Q585" s="37">
        <v>1112.81</v>
      </c>
      <c r="R585" s="37">
        <v>0.14099999999999999</v>
      </c>
      <c r="S585" s="37">
        <v>4</v>
      </c>
      <c r="T585" s="37">
        <f t="shared" si="63"/>
        <v>4918.1873199999991</v>
      </c>
      <c r="U585" s="32">
        <f t="shared" si="64"/>
        <v>2572.84</v>
      </c>
      <c r="V585" s="37">
        <f t="shared" si="67"/>
        <v>2345.3473199999989</v>
      </c>
      <c r="W585" s="39">
        <f t="shared" si="68"/>
        <v>0.47687230424562183</v>
      </c>
    </row>
    <row r="586" spans="1:23" x14ac:dyDescent="0.3">
      <c r="A586" s="40" t="s">
        <v>1270</v>
      </c>
      <c r="B586" s="41">
        <v>45764</v>
      </c>
      <c r="C586" s="42">
        <v>45764</v>
      </c>
      <c r="D586" s="43">
        <f t="shared" si="69"/>
        <v>0</v>
      </c>
      <c r="E586" s="43" t="str">
        <f>TEXT(Data!B586,"MMM-YYYY")</f>
        <v>Apr-2025</v>
      </c>
      <c r="F586" s="43" t="str">
        <f t="shared" si="65"/>
        <v>Q2-2025</v>
      </c>
      <c r="G586" s="33" t="s">
        <v>52</v>
      </c>
      <c r="H586" s="33" t="s">
        <v>73</v>
      </c>
      <c r="I586" s="33" t="s">
        <v>74</v>
      </c>
      <c r="J586" s="33" t="s">
        <v>19</v>
      </c>
      <c r="K586" s="33" t="s">
        <v>55</v>
      </c>
      <c r="L586" s="33" t="s">
        <v>49</v>
      </c>
      <c r="M586" s="33" t="s">
        <v>42</v>
      </c>
      <c r="N586" s="33" t="s">
        <v>1271</v>
      </c>
      <c r="O586" s="43">
        <v>719.41</v>
      </c>
      <c r="P586" s="44" t="str">
        <f t="shared" si="66"/>
        <v>High</v>
      </c>
      <c r="Q586" s="43">
        <v>1125.99</v>
      </c>
      <c r="R586" s="43">
        <v>4.1000000000000002E-2</v>
      </c>
      <c r="S586" s="43">
        <v>21</v>
      </c>
      <c r="T586" s="43">
        <f t="shared" si="63"/>
        <v>32132.177279999996</v>
      </c>
      <c r="U586" s="33">
        <f t="shared" si="64"/>
        <v>15107.609999999999</v>
      </c>
      <c r="V586" s="43">
        <f t="shared" si="67"/>
        <v>17024.567279999996</v>
      </c>
      <c r="W586" s="45">
        <f t="shared" si="68"/>
        <v>0.52982924660373332</v>
      </c>
    </row>
    <row r="587" spans="1:23" x14ac:dyDescent="0.3">
      <c r="A587" s="34" t="s">
        <v>1272</v>
      </c>
      <c r="B587" s="35">
        <v>45049</v>
      </c>
      <c r="C587" s="36">
        <v>45062</v>
      </c>
      <c r="D587" s="37">
        <f t="shared" si="69"/>
        <v>13</v>
      </c>
      <c r="E587" s="37" t="str">
        <f>TEXT(Data!B587,"MMM-YYYY")</f>
        <v>May-2023</v>
      </c>
      <c r="F587" s="37" t="str">
        <f t="shared" si="65"/>
        <v>Q2-2023</v>
      </c>
      <c r="G587" s="32" t="s">
        <v>52</v>
      </c>
      <c r="H587" s="32" t="s">
        <v>122</v>
      </c>
      <c r="I587" s="32" t="s">
        <v>387</v>
      </c>
      <c r="J587" s="32" t="s">
        <v>19</v>
      </c>
      <c r="K587" s="32" t="s">
        <v>40</v>
      </c>
      <c r="L587" s="32" t="s">
        <v>49</v>
      </c>
      <c r="M587" s="32" t="s">
        <v>42</v>
      </c>
      <c r="N587" s="32" t="s">
        <v>1273</v>
      </c>
      <c r="O587" s="37">
        <v>64.5</v>
      </c>
      <c r="P587" s="38" t="str">
        <f t="shared" si="66"/>
        <v>Medium</v>
      </c>
      <c r="Q587" s="37">
        <v>123.62</v>
      </c>
      <c r="R587" s="37">
        <v>0</v>
      </c>
      <c r="S587" s="37">
        <v>3</v>
      </c>
      <c r="T587" s="37">
        <f t="shared" si="63"/>
        <v>3085.38</v>
      </c>
      <c r="U587" s="32">
        <f t="shared" si="64"/>
        <v>193.5</v>
      </c>
      <c r="V587" s="37">
        <f t="shared" si="67"/>
        <v>2891.88</v>
      </c>
      <c r="W587" s="39">
        <f t="shared" si="68"/>
        <v>0.93728487252785719</v>
      </c>
    </row>
    <row r="588" spans="1:23" x14ac:dyDescent="0.3">
      <c r="A588" s="40" t="s">
        <v>1274</v>
      </c>
      <c r="B588" s="41">
        <v>45364</v>
      </c>
      <c r="C588" s="42">
        <v>45388</v>
      </c>
      <c r="D588" s="43">
        <f t="shared" si="69"/>
        <v>24</v>
      </c>
      <c r="E588" s="43" t="str">
        <f>TEXT(Data!B588,"MMM-YYYY")</f>
        <v>Mar-2024</v>
      </c>
      <c r="F588" s="43" t="str">
        <f t="shared" si="65"/>
        <v>Q1-2024</v>
      </c>
      <c r="G588" s="33" t="s">
        <v>16</v>
      </c>
      <c r="H588" s="33" t="s">
        <v>25</v>
      </c>
      <c r="I588" s="33" t="s">
        <v>67</v>
      </c>
      <c r="J588" s="33" t="s">
        <v>48</v>
      </c>
      <c r="K588" s="33" t="s">
        <v>55</v>
      </c>
      <c r="L588" s="33" t="s">
        <v>49</v>
      </c>
      <c r="M588" s="33" t="s">
        <v>22</v>
      </c>
      <c r="N588" s="33" t="s">
        <v>1275</v>
      </c>
      <c r="O588" s="43">
        <v>1232.78</v>
      </c>
      <c r="P588" s="44" t="str">
        <f t="shared" si="66"/>
        <v>High</v>
      </c>
      <c r="Q588" s="43">
        <v>1731.75</v>
      </c>
      <c r="R588" s="43">
        <v>9.2999999999999999E-2</v>
      </c>
      <c r="S588" s="43">
        <v>16</v>
      </c>
      <c r="T588" s="43">
        <f t="shared" si="63"/>
        <v>46878.839200000002</v>
      </c>
      <c r="U588" s="33">
        <f t="shared" si="64"/>
        <v>19724.48</v>
      </c>
      <c r="V588" s="43">
        <f t="shared" si="67"/>
        <v>27154.359200000003</v>
      </c>
      <c r="W588" s="45">
        <f t="shared" si="68"/>
        <v>0.5792455543566446</v>
      </c>
    </row>
    <row r="589" spans="1:23" x14ac:dyDescent="0.3">
      <c r="A589" s="34" t="s">
        <v>1276</v>
      </c>
      <c r="B589" s="35">
        <v>45459</v>
      </c>
      <c r="C589" s="36">
        <v>45464</v>
      </c>
      <c r="D589" s="37">
        <f t="shared" si="69"/>
        <v>5</v>
      </c>
      <c r="E589" s="37" t="str">
        <f>TEXT(Data!B589,"MMM-YYYY")</f>
        <v>Jun-2024</v>
      </c>
      <c r="F589" s="37" t="str">
        <f t="shared" si="65"/>
        <v>Q2-2024</v>
      </c>
      <c r="G589" s="32" t="s">
        <v>45</v>
      </c>
      <c r="H589" s="32" t="s">
        <v>46</v>
      </c>
      <c r="I589" s="32" t="s">
        <v>214</v>
      </c>
      <c r="J589" s="32" t="s">
        <v>62</v>
      </c>
      <c r="K589" s="32" t="s">
        <v>55</v>
      </c>
      <c r="L589" s="32" t="s">
        <v>84</v>
      </c>
      <c r="M589" s="32" t="s">
        <v>42</v>
      </c>
      <c r="N589" s="32" t="s">
        <v>1277</v>
      </c>
      <c r="O589" s="37">
        <v>1367.13</v>
      </c>
      <c r="P589" s="38" t="str">
        <f t="shared" si="66"/>
        <v>High</v>
      </c>
      <c r="Q589" s="37">
        <v>3062.01</v>
      </c>
      <c r="R589" s="37">
        <v>0.10299999999999999</v>
      </c>
      <c r="S589" s="37">
        <v>25</v>
      </c>
      <c r="T589" s="37">
        <f t="shared" si="63"/>
        <v>62557.004249999998</v>
      </c>
      <c r="U589" s="32">
        <f t="shared" si="64"/>
        <v>34178.25</v>
      </c>
      <c r="V589" s="37">
        <f t="shared" si="67"/>
        <v>28378.754249999998</v>
      </c>
      <c r="W589" s="39">
        <f t="shared" si="68"/>
        <v>0.45364631171576603</v>
      </c>
    </row>
    <row r="590" spans="1:23" x14ac:dyDescent="0.3">
      <c r="A590" s="40" t="s">
        <v>1278</v>
      </c>
      <c r="B590" s="41">
        <v>45703</v>
      </c>
      <c r="C590" s="42">
        <v>45715</v>
      </c>
      <c r="D590" s="43">
        <f t="shared" si="69"/>
        <v>12</v>
      </c>
      <c r="E590" s="43" t="str">
        <f>TEXT(Data!B590,"MMM-YYYY")</f>
        <v>Feb-2025</v>
      </c>
      <c r="F590" s="43" t="str">
        <f t="shared" si="65"/>
        <v>Q1-2025</v>
      </c>
      <c r="G590" s="33" t="s">
        <v>78</v>
      </c>
      <c r="H590" s="33" t="s">
        <v>90</v>
      </c>
      <c r="I590" s="33" t="s">
        <v>138</v>
      </c>
      <c r="J590" s="33" t="s">
        <v>39</v>
      </c>
      <c r="K590" s="33" t="s">
        <v>98</v>
      </c>
      <c r="L590" s="33" t="s">
        <v>95</v>
      </c>
      <c r="M590" s="33" t="s">
        <v>81</v>
      </c>
      <c r="N590" s="33" t="s">
        <v>1279</v>
      </c>
      <c r="O590" s="43">
        <v>1027.26</v>
      </c>
      <c r="P590" s="44" t="str">
        <f t="shared" si="66"/>
        <v>High</v>
      </c>
      <c r="Q590" s="43">
        <v>2200.41</v>
      </c>
      <c r="R590" s="43">
        <v>8.7999999999999995E-2</v>
      </c>
      <c r="S590" s="43">
        <v>6</v>
      </c>
      <c r="T590" s="43">
        <f t="shared" si="63"/>
        <v>10384.433280000001</v>
      </c>
      <c r="U590" s="33">
        <f t="shared" si="64"/>
        <v>6163.5599999999995</v>
      </c>
      <c r="V590" s="43">
        <f t="shared" si="67"/>
        <v>4220.8732800000016</v>
      </c>
      <c r="W590" s="45">
        <f t="shared" si="68"/>
        <v>0.40646159171047236</v>
      </c>
    </row>
    <row r="591" spans="1:23" x14ac:dyDescent="0.3">
      <c r="A591" s="34" t="s">
        <v>1280</v>
      </c>
      <c r="B591" s="35">
        <v>45019</v>
      </c>
      <c r="C591" s="36">
        <v>45032</v>
      </c>
      <c r="D591" s="37">
        <f t="shared" si="69"/>
        <v>13</v>
      </c>
      <c r="E591" s="37" t="str">
        <f>TEXT(Data!B591,"MMM-YYYY")</f>
        <v>Apr-2023</v>
      </c>
      <c r="F591" s="37" t="str">
        <f t="shared" si="65"/>
        <v>Q2-2023</v>
      </c>
      <c r="G591" s="32" t="s">
        <v>78</v>
      </c>
      <c r="H591" s="32" t="s">
        <v>90</v>
      </c>
      <c r="I591" s="32" t="s">
        <v>91</v>
      </c>
      <c r="J591" s="32" t="s">
        <v>39</v>
      </c>
      <c r="K591" s="32" t="s">
        <v>40</v>
      </c>
      <c r="L591" s="32" t="s">
        <v>110</v>
      </c>
      <c r="M591" s="32" t="s">
        <v>81</v>
      </c>
      <c r="N591" s="32" t="s">
        <v>1281</v>
      </c>
      <c r="O591" s="37">
        <v>790.54</v>
      </c>
      <c r="P591" s="38" t="str">
        <f t="shared" si="66"/>
        <v>High</v>
      </c>
      <c r="Q591" s="37">
        <v>601.49</v>
      </c>
      <c r="R591" s="37">
        <v>0</v>
      </c>
      <c r="S591" s="37">
        <v>15</v>
      </c>
      <c r="T591" s="37">
        <f t="shared" si="63"/>
        <v>13537.050000000001</v>
      </c>
      <c r="U591" s="32">
        <f t="shared" si="64"/>
        <v>11858.099999999999</v>
      </c>
      <c r="V591" s="37">
        <f t="shared" si="67"/>
        <v>1678.9500000000025</v>
      </c>
      <c r="W591" s="39">
        <f t="shared" si="68"/>
        <v>0.12402628342216379</v>
      </c>
    </row>
    <row r="592" spans="1:23" x14ac:dyDescent="0.3">
      <c r="A592" s="40" t="s">
        <v>1282</v>
      </c>
      <c r="B592" s="41">
        <v>45899</v>
      </c>
      <c r="C592" s="42">
        <v>45922</v>
      </c>
      <c r="D592" s="43">
        <f t="shared" si="69"/>
        <v>23</v>
      </c>
      <c r="E592" s="43" t="str">
        <f>TEXT(Data!B592,"MMM-YYYY")</f>
        <v>Aug-2025</v>
      </c>
      <c r="F592" s="43" t="str">
        <f t="shared" si="65"/>
        <v>Q3-2025</v>
      </c>
      <c r="G592" s="33" t="s">
        <v>78</v>
      </c>
      <c r="H592" s="33" t="s">
        <v>90</v>
      </c>
      <c r="I592" s="33" t="s">
        <v>91</v>
      </c>
      <c r="J592" s="33" t="s">
        <v>19</v>
      </c>
      <c r="K592" s="33" t="s">
        <v>98</v>
      </c>
      <c r="L592" s="33" t="s">
        <v>63</v>
      </c>
      <c r="M592" s="33" t="s">
        <v>22</v>
      </c>
      <c r="N592" s="33" t="s">
        <v>1283</v>
      </c>
      <c r="O592" s="43">
        <v>663.9</v>
      </c>
      <c r="P592" s="44" t="str">
        <f t="shared" si="66"/>
        <v>High</v>
      </c>
      <c r="Q592" s="43">
        <v>947.77</v>
      </c>
      <c r="R592" s="43">
        <v>0.17399999999999999</v>
      </c>
      <c r="S592" s="43">
        <v>15</v>
      </c>
      <c r="T592" s="43">
        <f t="shared" si="63"/>
        <v>-417.04740000000004</v>
      </c>
      <c r="U592" s="33">
        <f t="shared" si="64"/>
        <v>9958.5</v>
      </c>
      <c r="V592" s="43">
        <f t="shared" si="67"/>
        <v>-10375.547399999999</v>
      </c>
      <c r="W592" s="45">
        <f t="shared" si="68"/>
        <v>24.878580708092169</v>
      </c>
    </row>
    <row r="593" spans="1:23" x14ac:dyDescent="0.3">
      <c r="A593" s="34" t="s">
        <v>1284</v>
      </c>
      <c r="B593" s="35">
        <v>44984</v>
      </c>
      <c r="C593" s="36">
        <v>44983</v>
      </c>
      <c r="D593" s="37">
        <f>DATEDIF(C593,B593, "MD")</f>
        <v>1</v>
      </c>
      <c r="E593" s="37" t="str">
        <f>TEXT(Data!B593,"MMM-YYYY")</f>
        <v>Feb-2023</v>
      </c>
      <c r="F593" s="37" t="str">
        <f t="shared" si="65"/>
        <v>Q1-2023</v>
      </c>
      <c r="G593" s="32" t="s">
        <v>52</v>
      </c>
      <c r="H593" s="32" t="s">
        <v>122</v>
      </c>
      <c r="I593" s="32" t="s">
        <v>167</v>
      </c>
      <c r="J593" s="32" t="s">
        <v>39</v>
      </c>
      <c r="K593" s="32" t="s">
        <v>28</v>
      </c>
      <c r="L593" s="32" t="s">
        <v>49</v>
      </c>
      <c r="M593" s="32" t="s">
        <v>35</v>
      </c>
      <c r="N593" s="32" t="s">
        <v>1285</v>
      </c>
      <c r="O593" s="37">
        <v>1015.91</v>
      </c>
      <c r="P593" s="38" t="str">
        <f t="shared" si="66"/>
        <v>High</v>
      </c>
      <c r="Q593" s="37">
        <v>2331.48</v>
      </c>
      <c r="R593" s="37">
        <v>0.14599999999999999</v>
      </c>
      <c r="S593" s="37">
        <v>26</v>
      </c>
      <c r="T593" s="37">
        <f t="shared" si="63"/>
        <v>24128.64272</v>
      </c>
      <c r="U593" s="32">
        <f t="shared" si="64"/>
        <v>26413.66</v>
      </c>
      <c r="V593" s="37">
        <f t="shared" si="67"/>
        <v>-2285.01728</v>
      </c>
      <c r="W593" s="39">
        <f t="shared" si="68"/>
        <v>-9.4701442866737429E-2</v>
      </c>
    </row>
    <row r="594" spans="1:23" x14ac:dyDescent="0.3">
      <c r="A594" s="40" t="s">
        <v>1286</v>
      </c>
      <c r="B594" s="41">
        <v>45504</v>
      </c>
      <c r="C594" s="42">
        <v>45519</v>
      </c>
      <c r="D594" s="43">
        <f t="shared" si="69"/>
        <v>15</v>
      </c>
      <c r="E594" s="43" t="str">
        <f>TEXT(Data!B594,"MMM-YYYY")</f>
        <v>Jul-2024</v>
      </c>
      <c r="F594" s="43" t="str">
        <f t="shared" si="65"/>
        <v>Q3-2024</v>
      </c>
      <c r="G594" s="33" t="s">
        <v>45</v>
      </c>
      <c r="H594" s="33" t="s">
        <v>46</v>
      </c>
      <c r="I594" s="33" t="s">
        <v>214</v>
      </c>
      <c r="J594" s="33" t="s">
        <v>19</v>
      </c>
      <c r="K594" s="33" t="s">
        <v>40</v>
      </c>
      <c r="L594" s="33" t="s">
        <v>84</v>
      </c>
      <c r="M594" s="33" t="s">
        <v>64</v>
      </c>
      <c r="N594" s="33" t="s">
        <v>1287</v>
      </c>
      <c r="O594" s="43">
        <v>1252.52</v>
      </c>
      <c r="P594" s="44" t="str">
        <f t="shared" si="66"/>
        <v>High</v>
      </c>
      <c r="Q594" s="43">
        <v>1417.24</v>
      </c>
      <c r="R594" s="43">
        <v>0.192</v>
      </c>
      <c r="S594" s="43">
        <v>5</v>
      </c>
      <c r="T594" s="43">
        <f t="shared" si="63"/>
        <v>4083.4300000000003</v>
      </c>
      <c r="U594" s="33">
        <f t="shared" si="64"/>
        <v>6262.6</v>
      </c>
      <c r="V594" s="43">
        <f t="shared" si="67"/>
        <v>-2179.17</v>
      </c>
      <c r="W594" s="45">
        <f t="shared" si="68"/>
        <v>-0.53366165209150151</v>
      </c>
    </row>
    <row r="595" spans="1:23" x14ac:dyDescent="0.3">
      <c r="A595" s="34" t="s">
        <v>1288</v>
      </c>
      <c r="B595" s="35">
        <v>45823</v>
      </c>
      <c r="C595" s="36">
        <v>45850</v>
      </c>
      <c r="D595" s="37">
        <f t="shared" si="69"/>
        <v>27</v>
      </c>
      <c r="E595" s="37" t="str">
        <f>TEXT(Data!B595,"MMM-YYYY")</f>
        <v>Jun-2025</v>
      </c>
      <c r="F595" s="37" t="str">
        <f t="shared" si="65"/>
        <v>Q2-2025</v>
      </c>
      <c r="G595" s="32" t="s">
        <v>78</v>
      </c>
      <c r="H595" s="32" t="s">
        <v>90</v>
      </c>
      <c r="I595" s="32" t="s">
        <v>91</v>
      </c>
      <c r="J595" s="32" t="s">
        <v>48</v>
      </c>
      <c r="K595" s="32" t="s">
        <v>98</v>
      </c>
      <c r="L595" s="32" t="s">
        <v>21</v>
      </c>
      <c r="M595" s="32" t="s">
        <v>81</v>
      </c>
      <c r="N595" s="32" t="s">
        <v>1289</v>
      </c>
      <c r="O595" s="37">
        <v>318.83</v>
      </c>
      <c r="P595" s="38" t="str">
        <f t="shared" si="66"/>
        <v>High</v>
      </c>
      <c r="Q595" s="37">
        <v>699.5</v>
      </c>
      <c r="R595" s="37">
        <v>0.08</v>
      </c>
      <c r="S595" s="37">
        <v>13</v>
      </c>
      <c r="T595" s="37">
        <f t="shared" si="63"/>
        <v>4921.3008</v>
      </c>
      <c r="U595" s="32">
        <f t="shared" si="64"/>
        <v>4144.79</v>
      </c>
      <c r="V595" s="37">
        <f t="shared" si="67"/>
        <v>776.51080000000002</v>
      </c>
      <c r="W595" s="39">
        <f t="shared" si="68"/>
        <v>0.15778568137919957</v>
      </c>
    </row>
    <row r="596" spans="1:23" x14ac:dyDescent="0.3">
      <c r="A596" s="40" t="s">
        <v>1290</v>
      </c>
      <c r="B596" s="41">
        <v>45473</v>
      </c>
      <c r="C596" s="42">
        <v>45494</v>
      </c>
      <c r="D596" s="43">
        <f t="shared" si="69"/>
        <v>21</v>
      </c>
      <c r="E596" s="43" t="str">
        <f>TEXT(Data!B596,"MMM-YYYY")</f>
        <v>Jun-2024</v>
      </c>
      <c r="F596" s="43" t="str">
        <f t="shared" si="65"/>
        <v>Q2-2024</v>
      </c>
      <c r="G596" s="33" t="s">
        <v>16</v>
      </c>
      <c r="H596" s="33" t="s">
        <v>17</v>
      </c>
      <c r="I596" s="33" t="s">
        <v>18</v>
      </c>
      <c r="J596" s="33" t="s">
        <v>62</v>
      </c>
      <c r="K596" s="33" t="s">
        <v>20</v>
      </c>
      <c r="L596" s="33" t="s">
        <v>95</v>
      </c>
      <c r="M596" s="33" t="s">
        <v>57</v>
      </c>
      <c r="N596" s="33" t="s">
        <v>1291</v>
      </c>
      <c r="O596" s="43">
        <v>753.43</v>
      </c>
      <c r="P596" s="44" t="str">
        <f t="shared" si="66"/>
        <v>High</v>
      </c>
      <c r="Q596" s="43">
        <v>1787.2</v>
      </c>
      <c r="R596" s="43">
        <v>7.2999999999999995E-2</v>
      </c>
      <c r="S596" s="43">
        <v>9</v>
      </c>
      <c r="T596" s="43">
        <f t="shared" si="63"/>
        <v>3448.4956200000001</v>
      </c>
      <c r="U596" s="33">
        <f t="shared" si="64"/>
        <v>6780.87</v>
      </c>
      <c r="V596" s="43">
        <f t="shared" si="67"/>
        <v>-3332.3743799999997</v>
      </c>
      <c r="W596" s="45">
        <f t="shared" si="68"/>
        <v>-0.9663269863744236</v>
      </c>
    </row>
    <row r="597" spans="1:23" x14ac:dyDescent="0.3">
      <c r="A597" s="34" t="s">
        <v>1292</v>
      </c>
      <c r="B597" s="35">
        <v>45705</v>
      </c>
      <c r="C597" s="36">
        <v>45703</v>
      </c>
      <c r="D597" s="37">
        <f>DATEDIF(C597,B597, "MD")</f>
        <v>2</v>
      </c>
      <c r="E597" s="37" t="str">
        <f>TEXT(Data!B597,"MMM-YYYY")</f>
        <v>Feb-2025</v>
      </c>
      <c r="F597" s="37" t="str">
        <f t="shared" si="65"/>
        <v>Q1-2025</v>
      </c>
      <c r="G597" s="32" t="s">
        <v>52</v>
      </c>
      <c r="H597" s="32" t="s">
        <v>53</v>
      </c>
      <c r="I597" s="32" t="s">
        <v>54</v>
      </c>
      <c r="J597" s="32" t="s">
        <v>62</v>
      </c>
      <c r="K597" s="32" t="s">
        <v>20</v>
      </c>
      <c r="L597" s="32" t="s">
        <v>145</v>
      </c>
      <c r="M597" s="32" t="s">
        <v>22</v>
      </c>
      <c r="N597" s="32" t="s">
        <v>1293</v>
      </c>
      <c r="O597" s="37">
        <v>1133.47</v>
      </c>
      <c r="P597" s="38" t="str">
        <f t="shared" si="66"/>
        <v>High</v>
      </c>
      <c r="Q597" s="37">
        <v>1698.75</v>
      </c>
      <c r="R597" s="37">
        <v>4.2999999999999997E-2</v>
      </c>
      <c r="S597" s="37">
        <v>5</v>
      </c>
      <c r="T597" s="37">
        <f t="shared" si="63"/>
        <v>7459.2886500000004</v>
      </c>
      <c r="U597" s="32">
        <f t="shared" si="64"/>
        <v>5667.35</v>
      </c>
      <c r="V597" s="37">
        <f t="shared" si="67"/>
        <v>1791.9386500000001</v>
      </c>
      <c r="W597" s="39">
        <f t="shared" si="68"/>
        <v>0.24022916045754578</v>
      </c>
    </row>
    <row r="598" spans="1:23" x14ac:dyDescent="0.3">
      <c r="A598" s="40" t="s">
        <v>1294</v>
      </c>
      <c r="B598" s="41">
        <v>44933</v>
      </c>
      <c r="C598" s="42">
        <v>44956</v>
      </c>
      <c r="D598" s="43">
        <f t="shared" si="69"/>
        <v>23</v>
      </c>
      <c r="E598" s="43" t="str">
        <f>TEXT(Data!B598,"MMM-YYYY")</f>
        <v>Jan-2023</v>
      </c>
      <c r="F598" s="43" t="str">
        <f t="shared" si="65"/>
        <v>Q1-2023</v>
      </c>
      <c r="G598" s="33" t="s">
        <v>16</v>
      </c>
      <c r="H598" s="33" t="s">
        <v>148</v>
      </c>
      <c r="I598" s="33" t="s">
        <v>258</v>
      </c>
      <c r="J598" s="33" t="s">
        <v>48</v>
      </c>
      <c r="K598" s="33" t="s">
        <v>28</v>
      </c>
      <c r="L598" s="33" t="s">
        <v>75</v>
      </c>
      <c r="M598" s="33" t="s">
        <v>30</v>
      </c>
      <c r="N598" s="33" t="s">
        <v>1295</v>
      </c>
      <c r="O598" s="43">
        <v>299.02</v>
      </c>
      <c r="P598" s="44" t="str">
        <f t="shared" si="66"/>
        <v>High</v>
      </c>
      <c r="Q598" s="43">
        <v>724.7</v>
      </c>
      <c r="R598" s="43">
        <v>0.14000000000000001</v>
      </c>
      <c r="S598" s="43">
        <v>5</v>
      </c>
      <c r="T598" s="43">
        <f t="shared" si="63"/>
        <v>3702.9880000000003</v>
      </c>
      <c r="U598" s="33">
        <f t="shared" si="64"/>
        <v>1495.1</v>
      </c>
      <c r="V598" s="43">
        <f t="shared" si="67"/>
        <v>2207.8880000000004</v>
      </c>
      <c r="W598" s="45">
        <f t="shared" si="68"/>
        <v>0.59624497837962209</v>
      </c>
    </row>
    <row r="599" spans="1:23" x14ac:dyDescent="0.3">
      <c r="A599" s="34" t="s">
        <v>1296</v>
      </c>
      <c r="B599" s="35">
        <v>45726</v>
      </c>
      <c r="C599" s="36">
        <v>45751</v>
      </c>
      <c r="D599" s="37">
        <f t="shared" si="69"/>
        <v>25</v>
      </c>
      <c r="E599" s="37" t="str">
        <f>TEXT(Data!B599,"MMM-YYYY")</f>
        <v>Mar-2025</v>
      </c>
      <c r="F599" s="37" t="str">
        <f t="shared" si="65"/>
        <v>Q1-2025</v>
      </c>
      <c r="G599" s="32" t="s">
        <v>45</v>
      </c>
      <c r="H599" s="32" t="s">
        <v>46</v>
      </c>
      <c r="I599" s="32" t="s">
        <v>47</v>
      </c>
      <c r="J599" s="32" t="s">
        <v>19</v>
      </c>
      <c r="K599" s="32" t="s">
        <v>98</v>
      </c>
      <c r="L599" s="32" t="s">
        <v>92</v>
      </c>
      <c r="M599" s="32" t="s">
        <v>30</v>
      </c>
      <c r="N599" s="32" t="s">
        <v>1297</v>
      </c>
      <c r="O599" s="37">
        <v>783.72</v>
      </c>
      <c r="P599" s="38" t="str">
        <f t="shared" si="66"/>
        <v>High</v>
      </c>
      <c r="Q599" s="37">
        <v>1355.94</v>
      </c>
      <c r="R599" s="37">
        <v>0.187</v>
      </c>
      <c r="S599" s="37">
        <v>4</v>
      </c>
      <c r="T599" s="37">
        <f t="shared" si="63"/>
        <v>7467.4049999999997</v>
      </c>
      <c r="U599" s="32">
        <f t="shared" si="64"/>
        <v>3134.88</v>
      </c>
      <c r="V599" s="37">
        <f t="shared" si="67"/>
        <v>4332.5249999999996</v>
      </c>
      <c r="W599" s="39">
        <f t="shared" si="68"/>
        <v>0.58019151231251009</v>
      </c>
    </row>
    <row r="600" spans="1:23" x14ac:dyDescent="0.3">
      <c r="A600" s="40" t="s">
        <v>1298</v>
      </c>
      <c r="B600" s="41">
        <v>45521</v>
      </c>
      <c r="C600" s="42">
        <v>45519</v>
      </c>
      <c r="D600" s="43">
        <f>DATEDIF(C600,B600, "MD")</f>
        <v>2</v>
      </c>
      <c r="E600" s="43" t="str">
        <f>TEXT(Data!B600,"MMM-YYYY")</f>
        <v>Aug-2024</v>
      </c>
      <c r="F600" s="43" t="str">
        <f t="shared" si="65"/>
        <v>Q3-2024</v>
      </c>
      <c r="G600" s="33" t="s">
        <v>52</v>
      </c>
      <c r="H600" s="33" t="s">
        <v>73</v>
      </c>
      <c r="I600" s="33" t="s">
        <v>225</v>
      </c>
      <c r="J600" s="33" t="s">
        <v>48</v>
      </c>
      <c r="K600" s="33" t="s">
        <v>98</v>
      </c>
      <c r="L600" s="33" t="s">
        <v>110</v>
      </c>
      <c r="M600" s="33" t="s">
        <v>64</v>
      </c>
      <c r="N600" s="33" t="s">
        <v>1299</v>
      </c>
      <c r="O600" s="43">
        <v>165.3</v>
      </c>
      <c r="P600" s="44" t="str">
        <f t="shared" si="66"/>
        <v>High</v>
      </c>
      <c r="Q600" s="43">
        <v>275.07</v>
      </c>
      <c r="R600" s="43">
        <v>0.13300000000000001</v>
      </c>
      <c r="S600" s="43">
        <v>25</v>
      </c>
      <c r="T600" s="43">
        <f t="shared" si="63"/>
        <v>57148.305</v>
      </c>
      <c r="U600" s="33">
        <f t="shared" si="64"/>
        <v>4132.5</v>
      </c>
      <c r="V600" s="43">
        <f t="shared" si="67"/>
        <v>53015.805</v>
      </c>
      <c r="W600" s="45">
        <f t="shared" si="68"/>
        <v>0.92768814403156841</v>
      </c>
    </row>
    <row r="601" spans="1:23" x14ac:dyDescent="0.3">
      <c r="A601" s="34" t="s">
        <v>1300</v>
      </c>
      <c r="B601" s="35">
        <v>45360</v>
      </c>
      <c r="C601" s="36">
        <v>45373</v>
      </c>
      <c r="D601" s="37">
        <f t="shared" si="69"/>
        <v>13</v>
      </c>
      <c r="E601" s="37" t="str">
        <f>TEXT(Data!B601,"MMM-YYYY")</f>
        <v>Mar-2024</v>
      </c>
      <c r="F601" s="37" t="str">
        <f t="shared" si="65"/>
        <v>Q1-2024</v>
      </c>
      <c r="G601" s="32" t="s">
        <v>78</v>
      </c>
      <c r="H601" s="32" t="s">
        <v>108</v>
      </c>
      <c r="I601" s="32" t="s">
        <v>228</v>
      </c>
      <c r="J601" s="32" t="s">
        <v>48</v>
      </c>
      <c r="K601" s="32" t="s">
        <v>28</v>
      </c>
      <c r="L601" s="32" t="s">
        <v>63</v>
      </c>
      <c r="M601" s="32" t="s">
        <v>57</v>
      </c>
      <c r="N601" s="32" t="s">
        <v>1301</v>
      </c>
      <c r="O601" s="37">
        <v>985.45</v>
      </c>
      <c r="P601" s="38" t="str">
        <f t="shared" si="66"/>
        <v>High</v>
      </c>
      <c r="Q601" s="37">
        <v>1802.44</v>
      </c>
      <c r="R601" s="37">
        <v>8.9999999999999993E-3</v>
      </c>
      <c r="S601" s="37">
        <v>19</v>
      </c>
      <c r="T601" s="37">
        <f t="shared" si="63"/>
        <v>18416.456609999997</v>
      </c>
      <c r="U601" s="32">
        <f t="shared" si="64"/>
        <v>18723.55</v>
      </c>
      <c r="V601" s="37">
        <f t="shared" si="67"/>
        <v>-307.09339000000182</v>
      </c>
      <c r="W601" s="39">
        <f t="shared" si="68"/>
        <v>-1.6674944399089911E-2</v>
      </c>
    </row>
    <row r="602" spans="1:23" x14ac:dyDescent="0.3">
      <c r="A602" s="40" t="s">
        <v>1302</v>
      </c>
      <c r="B602" s="41">
        <v>45523</v>
      </c>
      <c r="C602" s="42">
        <v>45537</v>
      </c>
      <c r="D602" s="43">
        <f t="shared" si="69"/>
        <v>14</v>
      </c>
      <c r="E602" s="43" t="str">
        <f>TEXT(Data!B602,"MMM-YYYY")</f>
        <v>Aug-2024</v>
      </c>
      <c r="F602" s="43" t="str">
        <f t="shared" si="65"/>
        <v>Q3-2024</v>
      </c>
      <c r="G602" s="33" t="s">
        <v>52</v>
      </c>
      <c r="H602" s="33" t="s">
        <v>53</v>
      </c>
      <c r="I602" s="33" t="s">
        <v>54</v>
      </c>
      <c r="J602" s="33" t="s">
        <v>48</v>
      </c>
      <c r="K602" s="33" t="s">
        <v>55</v>
      </c>
      <c r="L602" s="33" t="s">
        <v>21</v>
      </c>
      <c r="M602" s="33" t="s">
        <v>30</v>
      </c>
      <c r="N602" s="33" t="s">
        <v>1303</v>
      </c>
      <c r="O602" s="43">
        <v>1337.01</v>
      </c>
      <c r="P602" s="44" t="str">
        <f t="shared" si="66"/>
        <v>High</v>
      </c>
      <c r="Q602" s="43">
        <v>1269.78</v>
      </c>
      <c r="R602" s="43">
        <v>0.16</v>
      </c>
      <c r="S602" s="43">
        <v>7</v>
      </c>
      <c r="T602" s="43">
        <f t="shared" si="63"/>
        <v>3208.8335999999999</v>
      </c>
      <c r="U602" s="33">
        <f t="shared" si="64"/>
        <v>9359.07</v>
      </c>
      <c r="V602" s="43">
        <f t="shared" si="67"/>
        <v>-6150.2363999999998</v>
      </c>
      <c r="W602" s="45">
        <f t="shared" si="68"/>
        <v>-1.916657940754547</v>
      </c>
    </row>
    <row r="603" spans="1:23" x14ac:dyDescent="0.3">
      <c r="A603" s="34" t="s">
        <v>1304</v>
      </c>
      <c r="B603" s="35">
        <v>45880</v>
      </c>
      <c r="C603" s="36">
        <v>45897</v>
      </c>
      <c r="D603" s="37">
        <f t="shared" si="69"/>
        <v>17</v>
      </c>
      <c r="E603" s="37" t="str">
        <f>TEXT(Data!B603,"MMM-YYYY")</f>
        <v>Aug-2025</v>
      </c>
      <c r="F603" s="37" t="str">
        <f t="shared" si="65"/>
        <v>Q3-2025</v>
      </c>
      <c r="G603" s="32" t="s">
        <v>78</v>
      </c>
      <c r="H603" s="32" t="s">
        <v>90</v>
      </c>
      <c r="I603" s="32" t="s">
        <v>217</v>
      </c>
      <c r="J603" s="32" t="s">
        <v>27</v>
      </c>
      <c r="K603" s="32" t="s">
        <v>28</v>
      </c>
      <c r="L603" s="32" t="s">
        <v>84</v>
      </c>
      <c r="M603" s="32" t="s">
        <v>35</v>
      </c>
      <c r="N603" s="32" t="s">
        <v>1305</v>
      </c>
      <c r="O603" s="37">
        <v>416.16</v>
      </c>
      <c r="P603" s="38" t="str">
        <f t="shared" si="66"/>
        <v>High</v>
      </c>
      <c r="Q603" s="37">
        <v>571.9</v>
      </c>
      <c r="R603" s="37">
        <v>7.0999999999999994E-2</v>
      </c>
      <c r="S603" s="37">
        <v>2</v>
      </c>
      <c r="T603" s="37">
        <f t="shared" si="63"/>
        <v>2667.2333200000003</v>
      </c>
      <c r="U603" s="32">
        <f t="shared" si="64"/>
        <v>832.32</v>
      </c>
      <c r="V603" s="37">
        <f t="shared" si="67"/>
        <v>1834.9133200000001</v>
      </c>
      <c r="W603" s="39">
        <f t="shared" si="68"/>
        <v>0.6879463098488886</v>
      </c>
    </row>
    <row r="604" spans="1:23" x14ac:dyDescent="0.3">
      <c r="A604" s="40" t="s">
        <v>1306</v>
      </c>
      <c r="B604" s="41">
        <v>45793</v>
      </c>
      <c r="C604" s="42">
        <v>45795</v>
      </c>
      <c r="D604" s="43">
        <f t="shared" si="69"/>
        <v>2</v>
      </c>
      <c r="E604" s="43" t="str">
        <f>TEXT(Data!B604,"MMM-YYYY")</f>
        <v>May-2025</v>
      </c>
      <c r="F604" s="43" t="str">
        <f t="shared" si="65"/>
        <v>Q2-2025</v>
      </c>
      <c r="G604" s="33" t="s">
        <v>45</v>
      </c>
      <c r="H604" s="33" t="s">
        <v>46</v>
      </c>
      <c r="I604" s="33" t="s">
        <v>214</v>
      </c>
      <c r="J604" s="33" t="s">
        <v>105</v>
      </c>
      <c r="K604" s="33" t="s">
        <v>20</v>
      </c>
      <c r="L604" s="33" t="s">
        <v>29</v>
      </c>
      <c r="M604" s="33" t="s">
        <v>30</v>
      </c>
      <c r="N604" s="33" t="s">
        <v>1307</v>
      </c>
      <c r="O604" s="43">
        <v>1144.3800000000001</v>
      </c>
      <c r="P604" s="44" t="str">
        <f t="shared" si="66"/>
        <v>High</v>
      </c>
      <c r="Q604" s="43">
        <v>2755.04</v>
      </c>
      <c r="R604" s="43">
        <v>0.15</v>
      </c>
      <c r="S604" s="43">
        <v>17</v>
      </c>
      <c r="T604" s="43">
        <f t="shared" si="63"/>
        <v>34640.985000000001</v>
      </c>
      <c r="U604" s="33">
        <f t="shared" si="64"/>
        <v>19454.460000000003</v>
      </c>
      <c r="V604" s="43">
        <f t="shared" si="67"/>
        <v>15186.524999999998</v>
      </c>
      <c r="W604" s="45">
        <f t="shared" si="68"/>
        <v>0.4383976090749151</v>
      </c>
    </row>
    <row r="605" spans="1:23" x14ac:dyDescent="0.3">
      <c r="A605" s="34" t="s">
        <v>1308</v>
      </c>
      <c r="B605" s="35">
        <v>45026</v>
      </c>
      <c r="C605" s="36">
        <v>45041</v>
      </c>
      <c r="D605" s="37">
        <f t="shared" si="69"/>
        <v>15</v>
      </c>
      <c r="E605" s="37" t="str">
        <f>TEXT(Data!B605,"MMM-YYYY")</f>
        <v>Apr-2023</v>
      </c>
      <c r="F605" s="37" t="str">
        <f t="shared" si="65"/>
        <v>Q2-2023</v>
      </c>
      <c r="G605" s="32" t="s">
        <v>78</v>
      </c>
      <c r="H605" s="32" t="s">
        <v>108</v>
      </c>
      <c r="I605" s="32" t="s">
        <v>152</v>
      </c>
      <c r="J605" s="32" t="s">
        <v>62</v>
      </c>
      <c r="K605" s="32" t="s">
        <v>20</v>
      </c>
      <c r="L605" s="32" t="s">
        <v>145</v>
      </c>
      <c r="M605" s="32" t="s">
        <v>30</v>
      </c>
      <c r="N605" s="32" t="s">
        <v>1309</v>
      </c>
      <c r="O605" s="37">
        <v>405.66</v>
      </c>
      <c r="P605" s="38" t="str">
        <f t="shared" si="66"/>
        <v>High</v>
      </c>
      <c r="Q605" s="37">
        <v>962.51</v>
      </c>
      <c r="R605" s="37">
        <v>0.19</v>
      </c>
      <c r="S605" s="37">
        <v>7</v>
      </c>
      <c r="T605" s="37">
        <f t="shared" si="63"/>
        <v>10511.386199999999</v>
      </c>
      <c r="U605" s="32">
        <f t="shared" si="64"/>
        <v>2839.6200000000003</v>
      </c>
      <c r="V605" s="37">
        <f t="shared" si="67"/>
        <v>7671.7661999999982</v>
      </c>
      <c r="W605" s="39">
        <f t="shared" si="68"/>
        <v>0.72985294746377016</v>
      </c>
    </row>
    <row r="606" spans="1:23" x14ac:dyDescent="0.3">
      <c r="A606" s="40" t="s">
        <v>1310</v>
      </c>
      <c r="B606" s="41">
        <v>45186</v>
      </c>
      <c r="C606" s="42">
        <v>45201</v>
      </c>
      <c r="D606" s="43">
        <f t="shared" si="69"/>
        <v>15</v>
      </c>
      <c r="E606" s="43" t="str">
        <f>TEXT(Data!B606,"MMM-YYYY")</f>
        <v>Sep-2023</v>
      </c>
      <c r="F606" s="43" t="str">
        <f t="shared" si="65"/>
        <v>Q3-2023</v>
      </c>
      <c r="G606" s="33" t="s">
        <v>52</v>
      </c>
      <c r="H606" s="33" t="s">
        <v>73</v>
      </c>
      <c r="I606" s="33" t="s">
        <v>225</v>
      </c>
      <c r="J606" s="33" t="s">
        <v>62</v>
      </c>
      <c r="K606" s="33" t="s">
        <v>20</v>
      </c>
      <c r="L606" s="33" t="s">
        <v>56</v>
      </c>
      <c r="M606" s="33" t="s">
        <v>57</v>
      </c>
      <c r="N606" s="33" t="s">
        <v>1311</v>
      </c>
      <c r="O606" s="43">
        <v>689.33</v>
      </c>
      <c r="P606" s="44" t="str">
        <f t="shared" si="66"/>
        <v>High</v>
      </c>
      <c r="Q606" s="43">
        <v>668.27</v>
      </c>
      <c r="R606" s="43">
        <v>0.186</v>
      </c>
      <c r="S606" s="43">
        <v>13</v>
      </c>
      <c r="T606" s="43">
        <f t="shared" si="63"/>
        <v>486.56036000000006</v>
      </c>
      <c r="U606" s="33">
        <f t="shared" si="64"/>
        <v>8961.2900000000009</v>
      </c>
      <c r="V606" s="43">
        <f t="shared" si="67"/>
        <v>-8474.7296400000014</v>
      </c>
      <c r="W606" s="45">
        <f t="shared" si="68"/>
        <v>-17.417632706453933</v>
      </c>
    </row>
    <row r="607" spans="1:23" x14ac:dyDescent="0.3">
      <c r="A607" s="34" t="s">
        <v>1312</v>
      </c>
      <c r="B607" s="35">
        <v>45038</v>
      </c>
      <c r="C607" s="36">
        <v>45060</v>
      </c>
      <c r="D607" s="37">
        <f t="shared" si="69"/>
        <v>22</v>
      </c>
      <c r="E607" s="37" t="str">
        <f>TEXT(Data!B607,"MMM-YYYY")</f>
        <v>Apr-2023</v>
      </c>
      <c r="F607" s="37" t="str">
        <f t="shared" si="65"/>
        <v>Q2-2023</v>
      </c>
      <c r="G607" s="32" t="s">
        <v>45</v>
      </c>
      <c r="H607" s="32" t="s">
        <v>46</v>
      </c>
      <c r="I607" s="32" t="s">
        <v>231</v>
      </c>
      <c r="J607" s="32" t="s">
        <v>105</v>
      </c>
      <c r="K607" s="32" t="s">
        <v>20</v>
      </c>
      <c r="L607" s="32" t="s">
        <v>75</v>
      </c>
      <c r="M607" s="32" t="s">
        <v>81</v>
      </c>
      <c r="N607" s="32" t="s">
        <v>1313</v>
      </c>
      <c r="O607" s="37">
        <v>1209.22</v>
      </c>
      <c r="P607" s="38" t="str">
        <f t="shared" si="66"/>
        <v>High</v>
      </c>
      <c r="Q607" s="37">
        <v>1404.33</v>
      </c>
      <c r="R607" s="37">
        <v>0.10299999999999999</v>
      </c>
      <c r="S607" s="37">
        <v>11</v>
      </c>
      <c r="T607" s="37">
        <f t="shared" si="63"/>
        <v>453.68466000000001</v>
      </c>
      <c r="U607" s="32">
        <f t="shared" si="64"/>
        <v>13301.42</v>
      </c>
      <c r="V607" s="37">
        <f t="shared" si="67"/>
        <v>-12847.735339999999</v>
      </c>
      <c r="W607" s="39">
        <f t="shared" si="68"/>
        <v>-28.318646127466597</v>
      </c>
    </row>
    <row r="608" spans="1:23" x14ac:dyDescent="0.3">
      <c r="A608" s="40" t="s">
        <v>1314</v>
      </c>
      <c r="B608" s="41">
        <v>45827</v>
      </c>
      <c r="C608" s="42">
        <v>45829</v>
      </c>
      <c r="D608" s="43">
        <f t="shared" si="69"/>
        <v>2</v>
      </c>
      <c r="E608" s="43" t="str">
        <f>TEXT(Data!B608,"MMM-YYYY")</f>
        <v>Jun-2025</v>
      </c>
      <c r="F608" s="43" t="str">
        <f t="shared" si="65"/>
        <v>Q2-2025</v>
      </c>
      <c r="G608" s="33" t="s">
        <v>16</v>
      </c>
      <c r="H608" s="33" t="s">
        <v>148</v>
      </c>
      <c r="I608" s="33" t="s">
        <v>149</v>
      </c>
      <c r="J608" s="33" t="s">
        <v>62</v>
      </c>
      <c r="K608" s="33" t="s">
        <v>1364</v>
      </c>
      <c r="L608" s="33" t="s">
        <v>92</v>
      </c>
      <c r="M608" s="33" t="s">
        <v>42</v>
      </c>
      <c r="N608" s="33" t="s">
        <v>1315</v>
      </c>
      <c r="O608" s="43">
        <v>1466.27</v>
      </c>
      <c r="P608" s="44" t="str">
        <f t="shared" si="66"/>
        <v>High</v>
      </c>
      <c r="Q608" s="43">
        <v>3589.89</v>
      </c>
      <c r="R608" s="43">
        <v>9.7000000000000003E-2</v>
      </c>
      <c r="S608" s="43">
        <v>9</v>
      </c>
      <c r="T608" s="43">
        <f t="shared" si="63"/>
        <v>0</v>
      </c>
      <c r="U608" s="33">
        <f t="shared" si="64"/>
        <v>13196.43</v>
      </c>
      <c r="V608" s="43">
        <f t="shared" si="67"/>
        <v>-13196.43</v>
      </c>
      <c r="W608" s="45">
        <f t="shared" si="68"/>
        <v>0</v>
      </c>
    </row>
    <row r="609" spans="1:23" x14ac:dyDescent="0.3">
      <c r="A609" s="34" t="s">
        <v>1316</v>
      </c>
      <c r="B609" s="35">
        <v>45623</v>
      </c>
      <c r="C609" s="36">
        <v>45650</v>
      </c>
      <c r="D609" s="37">
        <f t="shared" si="69"/>
        <v>27</v>
      </c>
      <c r="E609" s="37" t="str">
        <f>TEXT(Data!B609,"MMM-YYYY")</f>
        <v>Nov-2024</v>
      </c>
      <c r="F609" s="37" t="str">
        <f t="shared" si="65"/>
        <v>Q4-2024</v>
      </c>
      <c r="G609" s="32" t="s">
        <v>16</v>
      </c>
      <c r="H609" s="32" t="s">
        <v>17</v>
      </c>
      <c r="I609" s="32" t="s">
        <v>113</v>
      </c>
      <c r="J609" s="32" t="s">
        <v>19</v>
      </c>
      <c r="K609" s="32" t="s">
        <v>55</v>
      </c>
      <c r="L609" s="32" t="s">
        <v>56</v>
      </c>
      <c r="M609" s="32" t="s">
        <v>30</v>
      </c>
      <c r="N609" s="32" t="s">
        <v>1317</v>
      </c>
      <c r="O609" s="37">
        <v>143.33000000000001</v>
      </c>
      <c r="P609" s="38" t="str">
        <f t="shared" si="66"/>
        <v>High</v>
      </c>
      <c r="Q609" s="37">
        <v>233.51</v>
      </c>
      <c r="R609" s="37">
        <v>0.16300000000000001</v>
      </c>
      <c r="S609" s="37">
        <v>14</v>
      </c>
      <c r="T609" s="37">
        <f t="shared" si="63"/>
        <v>0</v>
      </c>
      <c r="U609" s="32">
        <f t="shared" si="64"/>
        <v>2006.6200000000001</v>
      </c>
      <c r="V609" s="37">
        <f t="shared" si="67"/>
        <v>-2006.6200000000001</v>
      </c>
      <c r="W609" s="39">
        <f t="shared" si="68"/>
        <v>0</v>
      </c>
    </row>
    <row r="610" spans="1:23" x14ac:dyDescent="0.3">
      <c r="A610" s="40" t="s">
        <v>1318</v>
      </c>
      <c r="B610" s="41">
        <v>45319</v>
      </c>
      <c r="C610" s="42">
        <v>45318</v>
      </c>
      <c r="D610" s="43">
        <f>DATEDIF(C610,B610, "MD")</f>
        <v>1</v>
      </c>
      <c r="E610" s="43" t="str">
        <f>TEXT(Data!B610,"MMM-YYYY")</f>
        <v>Jan-2024</v>
      </c>
      <c r="F610" s="43" t="str">
        <f t="shared" si="65"/>
        <v>Q1-2024</v>
      </c>
      <c r="G610" s="33" t="s">
        <v>16</v>
      </c>
      <c r="H610" s="33" t="s">
        <v>148</v>
      </c>
      <c r="I610" s="33" t="s">
        <v>258</v>
      </c>
      <c r="J610" s="33" t="s">
        <v>105</v>
      </c>
      <c r="K610" s="33" t="s">
        <v>98</v>
      </c>
      <c r="L610" s="33" t="s">
        <v>68</v>
      </c>
      <c r="M610" s="33" t="s">
        <v>22</v>
      </c>
      <c r="N610" s="33" t="s">
        <v>1319</v>
      </c>
      <c r="O610" s="43">
        <v>109.75</v>
      </c>
      <c r="P610" s="44" t="str">
        <f t="shared" si="66"/>
        <v>Medium</v>
      </c>
      <c r="Q610" s="43">
        <v>124.25</v>
      </c>
      <c r="R610" s="43">
        <v>0.12</v>
      </c>
      <c r="S610" s="43">
        <v>19</v>
      </c>
      <c r="T610" s="43">
        <f t="shared" si="63"/>
        <v>0</v>
      </c>
      <c r="U610" s="33">
        <f t="shared" si="64"/>
        <v>2085.25</v>
      </c>
      <c r="V610" s="43">
        <f t="shared" si="67"/>
        <v>-2085.25</v>
      </c>
      <c r="W610" s="45">
        <f t="shared" si="68"/>
        <v>0</v>
      </c>
    </row>
    <row r="611" spans="1:23" x14ac:dyDescent="0.3">
      <c r="A611" s="34" t="s">
        <v>1320</v>
      </c>
      <c r="B611" s="35">
        <v>45032</v>
      </c>
      <c r="C611" s="36">
        <v>45039</v>
      </c>
      <c r="D611" s="37">
        <f t="shared" si="69"/>
        <v>7</v>
      </c>
      <c r="E611" s="37" t="str">
        <f>TEXT(Data!B611,"MMM-YYYY")</f>
        <v>Apr-2023</v>
      </c>
      <c r="F611" s="37" t="str">
        <f t="shared" si="65"/>
        <v>Q2-2023</v>
      </c>
      <c r="G611" s="32" t="s">
        <v>52</v>
      </c>
      <c r="H611" s="32" t="s">
        <v>122</v>
      </c>
      <c r="I611" s="32" t="s">
        <v>326</v>
      </c>
      <c r="J611" s="32" t="s">
        <v>19</v>
      </c>
      <c r="K611" s="32" t="s">
        <v>55</v>
      </c>
      <c r="L611" s="32" t="s">
        <v>68</v>
      </c>
      <c r="M611" s="32" t="s">
        <v>30</v>
      </c>
      <c r="N611" s="32" t="s">
        <v>1321</v>
      </c>
      <c r="O611" s="37">
        <v>1099.1500000000001</v>
      </c>
      <c r="P611" s="38" t="str">
        <f t="shared" si="66"/>
        <v>High</v>
      </c>
      <c r="Q611" s="37">
        <v>1431.37</v>
      </c>
      <c r="R611" s="37">
        <v>0.104</v>
      </c>
      <c r="S611" s="37">
        <v>8</v>
      </c>
      <c r="T611" s="37">
        <f t="shared" si="63"/>
        <v>0</v>
      </c>
      <c r="U611" s="32">
        <f t="shared" si="64"/>
        <v>8793.2000000000007</v>
      </c>
      <c r="V611" s="37">
        <f t="shared" si="67"/>
        <v>-8793.2000000000007</v>
      </c>
      <c r="W611" s="39">
        <f t="shared" si="68"/>
        <v>0</v>
      </c>
    </row>
    <row r="612" spans="1:23" x14ac:dyDescent="0.3">
      <c r="A612" s="40" t="s">
        <v>1322</v>
      </c>
      <c r="B612" s="41">
        <v>45323</v>
      </c>
      <c r="C612" s="42">
        <v>45323</v>
      </c>
      <c r="D612" s="43">
        <f t="shared" si="69"/>
        <v>0</v>
      </c>
      <c r="E612" s="43" t="str">
        <f>TEXT(Data!B612,"MMM-YYYY")</f>
        <v>Feb-2024</v>
      </c>
      <c r="F612" s="43" t="str">
        <f t="shared" si="65"/>
        <v>Q1-2024</v>
      </c>
      <c r="G612" s="33" t="s">
        <v>52</v>
      </c>
      <c r="H612" s="33" t="s">
        <v>122</v>
      </c>
      <c r="I612" s="33" t="s">
        <v>326</v>
      </c>
      <c r="J612" s="33" t="s">
        <v>48</v>
      </c>
      <c r="K612" s="33" t="s">
        <v>55</v>
      </c>
      <c r="L612" s="33" t="s">
        <v>92</v>
      </c>
      <c r="M612" s="33" t="s">
        <v>30</v>
      </c>
      <c r="N612" s="33" t="s">
        <v>1323</v>
      </c>
      <c r="O612" s="43">
        <v>714.43</v>
      </c>
      <c r="P612" s="44" t="str">
        <f t="shared" si="66"/>
        <v>High</v>
      </c>
      <c r="Q612" s="43">
        <v>1595.52</v>
      </c>
      <c r="R612" s="43">
        <v>0.19400000000000001</v>
      </c>
      <c r="S612" s="43">
        <v>14</v>
      </c>
      <c r="T612" s="43">
        <f t="shared" si="63"/>
        <v>0</v>
      </c>
      <c r="U612" s="33">
        <f t="shared" si="64"/>
        <v>10002.019999999999</v>
      </c>
      <c r="V612" s="43">
        <f t="shared" si="67"/>
        <v>-10002.019999999999</v>
      </c>
      <c r="W612" s="45">
        <f t="shared" si="68"/>
        <v>0</v>
      </c>
    </row>
    <row r="613" spans="1:23" x14ac:dyDescent="0.3">
      <c r="A613" s="34" t="s">
        <v>1324</v>
      </c>
      <c r="B613" s="35">
        <v>45584</v>
      </c>
      <c r="C613" s="36">
        <v>45602</v>
      </c>
      <c r="D613" s="37">
        <f t="shared" si="69"/>
        <v>18</v>
      </c>
      <c r="E613" s="37" t="str">
        <f>TEXT(Data!B613,"MMM-YYYY")</f>
        <v>Oct-2024</v>
      </c>
      <c r="F613" s="37" t="str">
        <f t="shared" si="65"/>
        <v>Q4-2024</v>
      </c>
      <c r="G613" s="32" t="s">
        <v>52</v>
      </c>
      <c r="H613" s="32" t="s">
        <v>122</v>
      </c>
      <c r="I613" s="32" t="s">
        <v>123</v>
      </c>
      <c r="J613" s="32" t="s">
        <v>27</v>
      </c>
      <c r="K613" s="32" t="s">
        <v>1364</v>
      </c>
      <c r="L613" s="32" t="s">
        <v>21</v>
      </c>
      <c r="M613" s="32" t="s">
        <v>64</v>
      </c>
      <c r="N613" s="32" t="s">
        <v>1325</v>
      </c>
      <c r="O613" s="37">
        <v>942.02</v>
      </c>
      <c r="P613" s="38" t="str">
        <f t="shared" si="66"/>
        <v>High</v>
      </c>
      <c r="Q613" s="37">
        <v>1028.46</v>
      </c>
      <c r="R613" s="37">
        <v>0</v>
      </c>
      <c r="S613" s="37">
        <v>9</v>
      </c>
      <c r="T613" s="37">
        <f t="shared" si="63"/>
        <v>0</v>
      </c>
      <c r="U613" s="32">
        <f t="shared" si="64"/>
        <v>8478.18</v>
      </c>
      <c r="V613" s="37">
        <f t="shared" si="67"/>
        <v>-8478.18</v>
      </c>
      <c r="W613" s="39">
        <f t="shared" si="68"/>
        <v>0</v>
      </c>
    </row>
    <row r="614" spans="1:23" x14ac:dyDescent="0.3">
      <c r="A614" s="40" t="s">
        <v>1326</v>
      </c>
      <c r="B614" s="41">
        <v>45468</v>
      </c>
      <c r="C614" s="42">
        <v>45473</v>
      </c>
      <c r="D614" s="43">
        <f t="shared" si="69"/>
        <v>5</v>
      </c>
      <c r="E614" s="43" t="str">
        <f>TEXT(Data!B614,"MMM-YYYY")</f>
        <v>Jun-2024</v>
      </c>
      <c r="F614" s="43" t="str">
        <f t="shared" si="65"/>
        <v>Q2-2024</v>
      </c>
      <c r="G614" s="33" t="s">
        <v>16</v>
      </c>
      <c r="H614" s="33" t="s">
        <v>17</v>
      </c>
      <c r="I614" s="33" t="s">
        <v>18</v>
      </c>
      <c r="J614" s="33" t="s">
        <v>27</v>
      </c>
      <c r="K614" s="33" t="s">
        <v>98</v>
      </c>
      <c r="L614" s="33" t="s">
        <v>110</v>
      </c>
      <c r="M614" s="33" t="s">
        <v>35</v>
      </c>
      <c r="N614" s="33" t="s">
        <v>1327</v>
      </c>
      <c r="O614" s="43">
        <v>1323.55</v>
      </c>
      <c r="P614" s="44" t="str">
        <f t="shared" si="66"/>
        <v>High</v>
      </c>
      <c r="Q614" s="43">
        <v>3230.35</v>
      </c>
      <c r="R614" s="43">
        <v>2.1999999999999999E-2</v>
      </c>
      <c r="S614" s="43">
        <v>26</v>
      </c>
      <c r="T614" s="43">
        <f t="shared" si="63"/>
        <v>0</v>
      </c>
      <c r="U614" s="33">
        <f t="shared" si="64"/>
        <v>34412.299999999996</v>
      </c>
      <c r="V614" s="43">
        <f t="shared" si="67"/>
        <v>-34412.299999999996</v>
      </c>
      <c r="W614" s="45">
        <f t="shared" si="68"/>
        <v>0</v>
      </c>
    </row>
    <row r="615" spans="1:23" x14ac:dyDescent="0.3">
      <c r="A615" s="34" t="s">
        <v>1328</v>
      </c>
      <c r="B615" s="35">
        <v>45137</v>
      </c>
      <c r="C615" s="36">
        <v>45157</v>
      </c>
      <c r="D615" s="37">
        <f t="shared" si="69"/>
        <v>20</v>
      </c>
      <c r="E615" s="37" t="str">
        <f>TEXT(Data!B615,"MMM-YYYY")</f>
        <v>Jul-2023</v>
      </c>
      <c r="F615" s="37" t="str">
        <f t="shared" si="65"/>
        <v>Q3-2023</v>
      </c>
      <c r="G615" s="32" t="s">
        <v>78</v>
      </c>
      <c r="H615" s="32" t="s">
        <v>90</v>
      </c>
      <c r="I615" s="32" t="s">
        <v>217</v>
      </c>
      <c r="J615" s="32" t="s">
        <v>105</v>
      </c>
      <c r="K615" s="32" t="s">
        <v>40</v>
      </c>
      <c r="L615" s="32" t="s">
        <v>41</v>
      </c>
      <c r="M615" s="32" t="s">
        <v>35</v>
      </c>
      <c r="N615" s="32" t="s">
        <v>1329</v>
      </c>
      <c r="O615" s="37">
        <v>1418.51</v>
      </c>
      <c r="P615" s="38" t="str">
        <f t="shared" si="66"/>
        <v>High</v>
      </c>
      <c r="Q615" s="37">
        <v>2789.61</v>
      </c>
      <c r="R615" s="37">
        <v>0.17100000000000001</v>
      </c>
      <c r="S615" s="37">
        <v>8</v>
      </c>
      <c r="T615" s="37">
        <f t="shared" si="63"/>
        <v>0</v>
      </c>
      <c r="U615" s="32">
        <f t="shared" si="64"/>
        <v>11348.08</v>
      </c>
      <c r="V615" s="37">
        <f t="shared" si="67"/>
        <v>-11348.08</v>
      </c>
      <c r="W615" s="39">
        <f t="shared" si="68"/>
        <v>0</v>
      </c>
    </row>
    <row r="616" spans="1:23" x14ac:dyDescent="0.3">
      <c r="A616" s="40" t="s">
        <v>1330</v>
      </c>
      <c r="B616" s="41">
        <v>45727</v>
      </c>
      <c r="C616" s="42">
        <v>45743</v>
      </c>
      <c r="D616" s="43">
        <f t="shared" si="69"/>
        <v>16</v>
      </c>
      <c r="E616" s="43" t="str">
        <f>TEXT(Data!B616,"MMM-YYYY")</f>
        <v>Mar-2025</v>
      </c>
      <c r="F616" s="43" t="str">
        <f t="shared" si="65"/>
        <v>Q1-2025</v>
      </c>
      <c r="G616" s="33" t="s">
        <v>45</v>
      </c>
      <c r="H616" s="33" t="s">
        <v>46</v>
      </c>
      <c r="I616" s="33" t="s">
        <v>214</v>
      </c>
      <c r="J616" s="33" t="s">
        <v>105</v>
      </c>
      <c r="K616" s="33" t="s">
        <v>55</v>
      </c>
      <c r="L616" s="33" t="s">
        <v>56</v>
      </c>
      <c r="M616" s="33" t="s">
        <v>30</v>
      </c>
      <c r="N616" s="33" t="s">
        <v>1331</v>
      </c>
      <c r="O616" s="43">
        <v>1317.58</v>
      </c>
      <c r="P616" s="44" t="str">
        <f t="shared" si="66"/>
        <v>High</v>
      </c>
      <c r="Q616" s="43">
        <v>1897.74</v>
      </c>
      <c r="R616" s="43">
        <v>8.1000000000000003E-2</v>
      </c>
      <c r="S616" s="43">
        <v>6</v>
      </c>
      <c r="T616" s="43">
        <f t="shared" si="63"/>
        <v>0</v>
      </c>
      <c r="U616" s="33">
        <f t="shared" si="64"/>
        <v>7905.48</v>
      </c>
      <c r="V616" s="43">
        <f t="shared" si="67"/>
        <v>-7905.48</v>
      </c>
      <c r="W616" s="45">
        <f t="shared" si="68"/>
        <v>0</v>
      </c>
    </row>
    <row r="617" spans="1:23" x14ac:dyDescent="0.3">
      <c r="A617" s="34" t="s">
        <v>1332</v>
      </c>
      <c r="B617" s="35">
        <v>45208</v>
      </c>
      <c r="C617" s="36">
        <v>45210</v>
      </c>
      <c r="D617" s="37">
        <f t="shared" si="69"/>
        <v>2</v>
      </c>
      <c r="E617" s="37" t="str">
        <f>TEXT(Data!B617,"MMM-YYYY")</f>
        <v>Oct-2023</v>
      </c>
      <c r="F617" s="37" t="str">
        <f t="shared" si="65"/>
        <v>Q4-2023</v>
      </c>
      <c r="G617" s="32" t="s">
        <v>16</v>
      </c>
      <c r="H617" s="32" t="s">
        <v>25</v>
      </c>
      <c r="I617" s="32" t="s">
        <v>26</v>
      </c>
      <c r="J617" s="32" t="s">
        <v>27</v>
      </c>
      <c r="K617" s="32" t="s">
        <v>40</v>
      </c>
      <c r="L617" s="32" t="s">
        <v>95</v>
      </c>
      <c r="M617" s="32" t="s">
        <v>35</v>
      </c>
      <c r="N617" s="32" t="s">
        <v>1333</v>
      </c>
      <c r="O617" s="37">
        <v>391.16</v>
      </c>
      <c r="P617" s="38" t="str">
        <f t="shared" si="66"/>
        <v>High</v>
      </c>
      <c r="Q617" s="37">
        <v>902.47</v>
      </c>
      <c r="R617" s="37">
        <v>4.0000000000000001E-3</v>
      </c>
      <c r="S617" s="37">
        <v>12</v>
      </c>
      <c r="T617" s="37">
        <f t="shared" si="63"/>
        <v>0</v>
      </c>
      <c r="U617" s="32">
        <f t="shared" si="64"/>
        <v>4693.92</v>
      </c>
      <c r="V617" s="37">
        <f t="shared" si="67"/>
        <v>-4693.92</v>
      </c>
      <c r="W617" s="39">
        <f t="shared" si="68"/>
        <v>0</v>
      </c>
    </row>
    <row r="618" spans="1:23" x14ac:dyDescent="0.3">
      <c r="A618" s="40" t="s">
        <v>1334</v>
      </c>
      <c r="B618" s="41">
        <v>45643</v>
      </c>
      <c r="C618" s="42">
        <v>45673</v>
      </c>
      <c r="D618" s="43">
        <f t="shared" si="69"/>
        <v>30</v>
      </c>
      <c r="E618" s="43" t="str">
        <f>TEXT(Data!B618,"MMM-YYYY")</f>
        <v>Dec-2024</v>
      </c>
      <c r="F618" s="43" t="str">
        <f t="shared" si="65"/>
        <v>Q4-2024</v>
      </c>
      <c r="G618" s="33" t="s">
        <v>78</v>
      </c>
      <c r="H618" s="33" t="s">
        <v>108</v>
      </c>
      <c r="I618" s="33" t="s">
        <v>228</v>
      </c>
      <c r="J618" s="33" t="s">
        <v>19</v>
      </c>
      <c r="K618" s="33" t="s">
        <v>20</v>
      </c>
      <c r="L618" s="33" t="s">
        <v>145</v>
      </c>
      <c r="M618" s="33" t="s">
        <v>64</v>
      </c>
      <c r="N618" s="33" t="s">
        <v>1335</v>
      </c>
      <c r="O618" s="43">
        <v>722.87</v>
      </c>
      <c r="P618" s="44" t="str">
        <f t="shared" si="66"/>
        <v>Low</v>
      </c>
      <c r="Q618" s="43">
        <v>-33.659999999999997</v>
      </c>
      <c r="R618" s="43">
        <v>0.10199999999999999</v>
      </c>
      <c r="S618" s="43">
        <v>28</v>
      </c>
      <c r="T618" s="43">
        <f t="shared" si="63"/>
        <v>0</v>
      </c>
      <c r="U618" s="33">
        <f t="shared" si="64"/>
        <v>20240.36</v>
      </c>
      <c r="V618" s="43">
        <f t="shared" si="67"/>
        <v>-20240.36</v>
      </c>
      <c r="W618" s="45">
        <f t="shared" si="68"/>
        <v>0</v>
      </c>
    </row>
    <row r="619" spans="1:23" x14ac:dyDescent="0.3">
      <c r="A619" s="34" t="s">
        <v>1336</v>
      </c>
      <c r="B619" s="35">
        <v>45849</v>
      </c>
      <c r="C619" s="36">
        <v>45854</v>
      </c>
      <c r="D619" s="37">
        <f t="shared" si="69"/>
        <v>5</v>
      </c>
      <c r="E619" s="37" t="str">
        <f>TEXT(Data!B619,"MMM-YYYY")</f>
        <v>Jul-2025</v>
      </c>
      <c r="F619" s="37" t="str">
        <f t="shared" si="65"/>
        <v>Q3-2025</v>
      </c>
      <c r="G619" s="32" t="s">
        <v>78</v>
      </c>
      <c r="H619" s="32" t="s">
        <v>108</v>
      </c>
      <c r="I619" s="32" t="s">
        <v>152</v>
      </c>
      <c r="J619" s="32" t="s">
        <v>105</v>
      </c>
      <c r="K619" s="32" t="s">
        <v>28</v>
      </c>
      <c r="L619" s="32" t="s">
        <v>95</v>
      </c>
      <c r="M619" s="32" t="s">
        <v>30</v>
      </c>
      <c r="N619" s="32" t="s">
        <v>1337</v>
      </c>
      <c r="O619" s="37">
        <v>930.03</v>
      </c>
      <c r="P619" s="38" t="str">
        <f t="shared" si="66"/>
        <v>High</v>
      </c>
      <c r="Q619" s="37">
        <v>1086.68</v>
      </c>
      <c r="R619" s="37">
        <v>0.109</v>
      </c>
      <c r="S619" s="37">
        <v>26</v>
      </c>
      <c r="T619" s="37">
        <f t="shared" si="63"/>
        <v>0</v>
      </c>
      <c r="U619" s="32">
        <f t="shared" si="64"/>
        <v>24180.78</v>
      </c>
      <c r="V619" s="37">
        <f t="shared" si="67"/>
        <v>-24180.78</v>
      </c>
      <c r="W619" s="39">
        <f t="shared" si="68"/>
        <v>0</v>
      </c>
    </row>
    <row r="620" spans="1:23" x14ac:dyDescent="0.3">
      <c r="A620" s="40" t="s">
        <v>1338</v>
      </c>
      <c r="B620" s="41">
        <v>45578</v>
      </c>
      <c r="C620" s="42">
        <v>45589</v>
      </c>
      <c r="D620" s="43">
        <f t="shared" si="69"/>
        <v>11</v>
      </c>
      <c r="E620" s="43" t="str">
        <f>TEXT(Data!B620,"MMM-YYYY")</f>
        <v>Oct-2024</v>
      </c>
      <c r="F620" s="43" t="str">
        <f t="shared" si="65"/>
        <v>Q4-2024</v>
      </c>
      <c r="G620" s="33" t="s">
        <v>78</v>
      </c>
      <c r="H620" s="33" t="s">
        <v>90</v>
      </c>
      <c r="I620" s="33" t="s">
        <v>217</v>
      </c>
      <c r="J620" s="33" t="s">
        <v>27</v>
      </c>
      <c r="K620" s="33" t="s">
        <v>55</v>
      </c>
      <c r="L620" s="33" t="s">
        <v>84</v>
      </c>
      <c r="M620" s="33" t="s">
        <v>22</v>
      </c>
      <c r="N620" s="33" t="s">
        <v>1339</v>
      </c>
      <c r="O620" s="43">
        <v>816.7</v>
      </c>
      <c r="P620" s="44" t="str">
        <f t="shared" si="66"/>
        <v>High</v>
      </c>
      <c r="Q620" s="43">
        <v>1010.75</v>
      </c>
      <c r="R620" s="43">
        <v>4.7E-2</v>
      </c>
      <c r="S620" s="43">
        <v>43</v>
      </c>
      <c r="T620" s="43">
        <f t="shared" si="63"/>
        <v>0</v>
      </c>
      <c r="U620" s="33">
        <f t="shared" si="64"/>
        <v>35118.1</v>
      </c>
      <c r="V620" s="43">
        <f t="shared" si="67"/>
        <v>-35118.1</v>
      </c>
      <c r="W620" s="45">
        <f t="shared" si="68"/>
        <v>0</v>
      </c>
    </row>
    <row r="621" spans="1:23" x14ac:dyDescent="0.3">
      <c r="A621" s="34" t="s">
        <v>1340</v>
      </c>
      <c r="B621" s="35">
        <v>45177</v>
      </c>
      <c r="C621" s="36">
        <v>45183</v>
      </c>
      <c r="D621" s="37">
        <f t="shared" si="69"/>
        <v>6</v>
      </c>
      <c r="E621" s="37" t="str">
        <f>TEXT(Data!B621,"MMM-YYYY")</f>
        <v>Sep-2023</v>
      </c>
      <c r="F621" s="37" t="str">
        <f t="shared" si="65"/>
        <v>Q3-2023</v>
      </c>
      <c r="G621" s="32" t="s">
        <v>16</v>
      </c>
      <c r="H621" s="32" t="s">
        <v>17</v>
      </c>
      <c r="I621" s="32" t="s">
        <v>135</v>
      </c>
      <c r="J621" s="32" t="s">
        <v>27</v>
      </c>
      <c r="K621" s="32" t="s">
        <v>98</v>
      </c>
      <c r="L621" s="32" t="s">
        <v>34</v>
      </c>
      <c r="M621" s="32" t="s">
        <v>81</v>
      </c>
      <c r="N621" s="32" t="s">
        <v>1341</v>
      </c>
      <c r="O621" s="37">
        <v>251.03</v>
      </c>
      <c r="P621" s="38" t="str">
        <f t="shared" si="66"/>
        <v>High</v>
      </c>
      <c r="Q621" s="37">
        <v>411.48</v>
      </c>
      <c r="R621" s="37">
        <v>0.16500000000000001</v>
      </c>
      <c r="S621" s="37">
        <v>3</v>
      </c>
      <c r="T621" s="37">
        <f t="shared" si="63"/>
        <v>0</v>
      </c>
      <c r="U621" s="32">
        <f t="shared" si="64"/>
        <v>753.09</v>
      </c>
      <c r="V621" s="37">
        <f t="shared" si="67"/>
        <v>-753.09</v>
      </c>
      <c r="W621" s="39">
        <f t="shared" si="68"/>
        <v>0</v>
      </c>
    </row>
    <row r="622" spans="1:23" x14ac:dyDescent="0.3">
      <c r="A622" s="40" t="s">
        <v>1342</v>
      </c>
      <c r="B622" s="41">
        <v>45764</v>
      </c>
      <c r="C622" s="42">
        <v>45780</v>
      </c>
      <c r="D622" s="43">
        <f t="shared" si="69"/>
        <v>16</v>
      </c>
      <c r="E622" s="43" t="str">
        <f>TEXT(Data!B622,"MMM-YYYY")</f>
        <v>Apr-2025</v>
      </c>
      <c r="F622" s="43" t="str">
        <f t="shared" si="65"/>
        <v>Q2-2025</v>
      </c>
      <c r="G622" s="33" t="s">
        <v>52</v>
      </c>
      <c r="H622" s="33" t="s">
        <v>73</v>
      </c>
      <c r="I622" s="33" t="s">
        <v>225</v>
      </c>
      <c r="J622" s="33" t="s">
        <v>48</v>
      </c>
      <c r="K622" s="33" t="s">
        <v>40</v>
      </c>
      <c r="L622" s="33" t="s">
        <v>29</v>
      </c>
      <c r="M622" s="33" t="s">
        <v>35</v>
      </c>
      <c r="N622" s="33" t="s">
        <v>1343</v>
      </c>
      <c r="O622" s="43">
        <v>168.68</v>
      </c>
      <c r="P622" s="44" t="str">
        <f t="shared" si="66"/>
        <v>High</v>
      </c>
      <c r="Q622" s="43">
        <v>413.34</v>
      </c>
      <c r="R622" s="43">
        <v>0.186</v>
      </c>
      <c r="S622" s="43">
        <v>7</v>
      </c>
      <c r="T622" s="43">
        <f t="shared" si="63"/>
        <v>0</v>
      </c>
      <c r="U622" s="33">
        <f t="shared" si="64"/>
        <v>1180.76</v>
      </c>
      <c r="V622" s="43">
        <f t="shared" si="67"/>
        <v>-1180.76</v>
      </c>
      <c r="W622" s="45">
        <f t="shared" si="68"/>
        <v>0</v>
      </c>
    </row>
    <row r="623" spans="1:23" x14ac:dyDescent="0.3">
      <c r="A623" s="34" t="s">
        <v>1344</v>
      </c>
      <c r="B623" s="35">
        <v>45501</v>
      </c>
      <c r="C623" s="36">
        <v>45527</v>
      </c>
      <c r="D623" s="37">
        <f t="shared" si="69"/>
        <v>26</v>
      </c>
      <c r="E623" s="37" t="str">
        <f>TEXT(Data!B623,"MMM-YYYY")</f>
        <v>Jul-2024</v>
      </c>
      <c r="F623" s="37" t="str">
        <f t="shared" si="65"/>
        <v>Q3-2024</v>
      </c>
      <c r="G623" s="32" t="s">
        <v>45</v>
      </c>
      <c r="H623" s="32" t="s">
        <v>60</v>
      </c>
      <c r="I623" s="32" t="s">
        <v>281</v>
      </c>
      <c r="J623" s="32" t="s">
        <v>19</v>
      </c>
      <c r="K623" s="32" t="s">
        <v>20</v>
      </c>
      <c r="L623" s="32" t="s">
        <v>29</v>
      </c>
      <c r="M623" s="32" t="s">
        <v>35</v>
      </c>
      <c r="N623" s="32" t="s">
        <v>1345</v>
      </c>
      <c r="O623" s="37">
        <v>1339.24</v>
      </c>
      <c r="P623" s="38" t="str">
        <f t="shared" si="66"/>
        <v>High</v>
      </c>
      <c r="Q623" s="37">
        <v>1558.89</v>
      </c>
      <c r="R623" s="37">
        <v>0.192</v>
      </c>
      <c r="S623" s="37">
        <v>24</v>
      </c>
      <c r="T623" s="37">
        <f t="shared" si="63"/>
        <v>0</v>
      </c>
      <c r="U623" s="32">
        <f t="shared" si="64"/>
        <v>32141.760000000002</v>
      </c>
      <c r="V623" s="37">
        <f t="shared" si="67"/>
        <v>-32141.760000000002</v>
      </c>
      <c r="W623" s="39">
        <f t="shared" si="68"/>
        <v>0</v>
      </c>
    </row>
    <row r="624" spans="1:23" x14ac:dyDescent="0.3">
      <c r="A624" s="40" t="s">
        <v>1346</v>
      </c>
      <c r="B624" s="41">
        <v>45857</v>
      </c>
      <c r="C624" s="42">
        <v>45869</v>
      </c>
      <c r="D624" s="43">
        <f t="shared" si="69"/>
        <v>12</v>
      </c>
      <c r="E624" s="43" t="str">
        <f>TEXT(Data!B624,"MMM-YYYY")</f>
        <v>Jul-2025</v>
      </c>
      <c r="F624" s="43" t="str">
        <f t="shared" si="65"/>
        <v>Q3-2025</v>
      </c>
      <c r="G624" s="33" t="s">
        <v>16</v>
      </c>
      <c r="H624" s="33" t="s">
        <v>17</v>
      </c>
      <c r="I624" s="33" t="s">
        <v>33</v>
      </c>
      <c r="J624" s="33" t="s">
        <v>62</v>
      </c>
      <c r="K624" s="33" t="s">
        <v>40</v>
      </c>
      <c r="L624" s="33" t="s">
        <v>68</v>
      </c>
      <c r="M624" s="33" t="s">
        <v>81</v>
      </c>
      <c r="N624" s="33" t="s">
        <v>1347</v>
      </c>
      <c r="O624" s="43">
        <v>619.64</v>
      </c>
      <c r="P624" s="44" t="str">
        <f t="shared" si="66"/>
        <v>High</v>
      </c>
      <c r="Q624" s="43">
        <v>861.16</v>
      </c>
      <c r="R624" s="43">
        <v>0.113</v>
      </c>
      <c r="S624" s="43">
        <v>14</v>
      </c>
      <c r="T624" s="43">
        <f t="shared" si="63"/>
        <v>0</v>
      </c>
      <c r="U624" s="33">
        <f t="shared" si="64"/>
        <v>8674.9599999999991</v>
      </c>
      <c r="V624" s="43">
        <f t="shared" si="67"/>
        <v>-8674.9599999999991</v>
      </c>
      <c r="W624" s="45">
        <f t="shared" si="68"/>
        <v>0</v>
      </c>
    </row>
    <row r="625" spans="1:23" x14ac:dyDescent="0.3">
      <c r="A625" s="34" t="s">
        <v>1348</v>
      </c>
      <c r="B625" s="35">
        <v>45141</v>
      </c>
      <c r="C625" s="36">
        <v>45140</v>
      </c>
      <c r="D625" s="37">
        <f>DATEDIF(C625,B625, "MD")</f>
        <v>1</v>
      </c>
      <c r="E625" s="37" t="str">
        <f>TEXT(Data!B625,"MMM-YYYY")</f>
        <v>Aug-2023</v>
      </c>
      <c r="F625" s="37" t="str">
        <f t="shared" si="65"/>
        <v>Q3-2023</v>
      </c>
      <c r="G625" s="32" t="s">
        <v>45</v>
      </c>
      <c r="H625" s="32" t="s">
        <v>116</v>
      </c>
      <c r="I625" s="32" t="s">
        <v>162</v>
      </c>
      <c r="J625" s="32" t="s">
        <v>39</v>
      </c>
      <c r="K625" s="32" t="s">
        <v>98</v>
      </c>
      <c r="L625" s="32" t="s">
        <v>29</v>
      </c>
      <c r="M625" s="32" t="s">
        <v>35</v>
      </c>
      <c r="N625" s="32" t="s">
        <v>1349</v>
      </c>
      <c r="O625" s="37">
        <v>1021.97</v>
      </c>
      <c r="P625" s="38" t="str">
        <f t="shared" si="66"/>
        <v>High</v>
      </c>
      <c r="Q625" s="37">
        <v>2296.25</v>
      </c>
      <c r="R625" s="37">
        <v>0.161</v>
      </c>
      <c r="S625" s="37">
        <v>26</v>
      </c>
      <c r="T625" s="37">
        <f t="shared" si="63"/>
        <v>0</v>
      </c>
      <c r="U625" s="32">
        <f t="shared" si="64"/>
        <v>26571.22</v>
      </c>
      <c r="V625" s="37">
        <f t="shared" si="67"/>
        <v>-26571.22</v>
      </c>
      <c r="W625" s="39">
        <f t="shared" si="68"/>
        <v>0</v>
      </c>
    </row>
    <row r="626" spans="1:23" x14ac:dyDescent="0.3">
      <c r="A626" s="40" t="s">
        <v>1350</v>
      </c>
      <c r="B626" s="41">
        <v>45249</v>
      </c>
      <c r="C626" s="42">
        <v>45272</v>
      </c>
      <c r="D626" s="43">
        <f t="shared" si="69"/>
        <v>23</v>
      </c>
      <c r="E626" s="43" t="str">
        <f>TEXT(Data!B626,"MMM-YYYY")</f>
        <v>Nov-2023</v>
      </c>
      <c r="F626" s="43" t="str">
        <f t="shared" si="65"/>
        <v>Q4-2023</v>
      </c>
      <c r="G626" s="33" t="s">
        <v>45</v>
      </c>
      <c r="H626" s="33" t="s">
        <v>60</v>
      </c>
      <c r="I626" s="33" t="s">
        <v>141</v>
      </c>
      <c r="J626" s="33" t="s">
        <v>62</v>
      </c>
      <c r="K626" s="33" t="s">
        <v>98</v>
      </c>
      <c r="L626" s="33" t="s">
        <v>21</v>
      </c>
      <c r="M626" s="33" t="s">
        <v>35</v>
      </c>
      <c r="N626" s="33" t="s">
        <v>1351</v>
      </c>
      <c r="O626" s="43">
        <v>1349.04</v>
      </c>
      <c r="P626" s="44" t="str">
        <f t="shared" si="66"/>
        <v>High</v>
      </c>
      <c r="Q626" s="43">
        <v>2636.6</v>
      </c>
      <c r="R626" s="43">
        <v>0.114</v>
      </c>
      <c r="S626" s="43">
        <v>14</v>
      </c>
      <c r="T626" s="43">
        <f t="shared" si="63"/>
        <v>0</v>
      </c>
      <c r="U626" s="33">
        <f t="shared" si="64"/>
        <v>18886.559999999998</v>
      </c>
      <c r="V626" s="43">
        <f t="shared" si="67"/>
        <v>-18886.559999999998</v>
      </c>
      <c r="W626" s="45">
        <f t="shared" si="68"/>
        <v>0</v>
      </c>
    </row>
    <row r="627" spans="1:23" x14ac:dyDescent="0.3">
      <c r="A627" s="34" t="s">
        <v>1352</v>
      </c>
      <c r="B627" s="35">
        <v>45282</v>
      </c>
      <c r="C627" s="36">
        <v>45307</v>
      </c>
      <c r="D627" s="37">
        <f t="shared" si="69"/>
        <v>25</v>
      </c>
      <c r="E627" s="37" t="str">
        <f>TEXT(Data!B627,"MMM-YYYY")</f>
        <v>Dec-2023</v>
      </c>
      <c r="F627" s="37" t="str">
        <f t="shared" si="65"/>
        <v>Q4-2023</v>
      </c>
      <c r="G627" s="32" t="s">
        <v>45</v>
      </c>
      <c r="H627" s="32" t="s">
        <v>60</v>
      </c>
      <c r="I627" s="32" t="s">
        <v>281</v>
      </c>
      <c r="J627" s="32" t="s">
        <v>62</v>
      </c>
      <c r="K627" s="32" t="s">
        <v>20</v>
      </c>
      <c r="L627" s="32" t="s">
        <v>75</v>
      </c>
      <c r="M627" s="32" t="s">
        <v>22</v>
      </c>
      <c r="N627" s="32" t="s">
        <v>1353</v>
      </c>
      <c r="O627" s="37">
        <v>1346.81</v>
      </c>
      <c r="P627" s="38" t="str">
        <f t="shared" si="66"/>
        <v>High</v>
      </c>
      <c r="Q627" s="37">
        <v>978.09</v>
      </c>
      <c r="R627" s="37">
        <v>0.159</v>
      </c>
      <c r="S627" s="37">
        <v>17</v>
      </c>
      <c r="T627" s="37">
        <f t="shared" si="63"/>
        <v>0</v>
      </c>
      <c r="U627" s="32">
        <f t="shared" si="64"/>
        <v>22895.77</v>
      </c>
      <c r="V627" s="37">
        <f t="shared" si="67"/>
        <v>-22895.77</v>
      </c>
      <c r="W627" s="39">
        <f t="shared" si="68"/>
        <v>0</v>
      </c>
    </row>
    <row r="628" spans="1:23" x14ac:dyDescent="0.3">
      <c r="A628" s="40" t="s">
        <v>1354</v>
      </c>
      <c r="B628" s="41">
        <v>45141</v>
      </c>
      <c r="C628" s="42">
        <v>45168</v>
      </c>
      <c r="D628" s="43">
        <f t="shared" si="69"/>
        <v>27</v>
      </c>
      <c r="E628" s="43" t="str">
        <f>TEXT(Data!B628,"MMM-YYYY")</f>
        <v>Aug-2023</v>
      </c>
      <c r="F628" s="43" t="str">
        <f t="shared" si="65"/>
        <v>Q3-2023</v>
      </c>
      <c r="G628" s="33" t="s">
        <v>45</v>
      </c>
      <c r="H628" s="33" t="s">
        <v>116</v>
      </c>
      <c r="I628" s="33" t="s">
        <v>162</v>
      </c>
      <c r="J628" s="33" t="s">
        <v>48</v>
      </c>
      <c r="K628" s="33" t="s">
        <v>55</v>
      </c>
      <c r="L628" s="33" t="s">
        <v>126</v>
      </c>
      <c r="M628" s="33" t="s">
        <v>64</v>
      </c>
      <c r="N628" s="33" t="s">
        <v>1355</v>
      </c>
      <c r="O628" s="43">
        <v>226.04</v>
      </c>
      <c r="P628" s="44" t="str">
        <f t="shared" si="66"/>
        <v>High</v>
      </c>
      <c r="Q628" s="43">
        <v>545.72</v>
      </c>
      <c r="R628" s="43">
        <v>0.151</v>
      </c>
      <c r="S628" s="43">
        <v>11</v>
      </c>
      <c r="T628" s="43">
        <f t="shared" si="63"/>
        <v>0</v>
      </c>
      <c r="U628" s="33">
        <f t="shared" si="64"/>
        <v>2486.44</v>
      </c>
      <c r="V628" s="43">
        <f t="shared" si="67"/>
        <v>-2486.44</v>
      </c>
      <c r="W628" s="45">
        <f t="shared" si="68"/>
        <v>0</v>
      </c>
    </row>
    <row r="629" spans="1:23" x14ac:dyDescent="0.3">
      <c r="A629" s="34" t="s">
        <v>1356</v>
      </c>
      <c r="B629" s="35">
        <v>45100</v>
      </c>
      <c r="C629" s="36">
        <v>45125</v>
      </c>
      <c r="D629" s="37">
        <f t="shared" si="69"/>
        <v>25</v>
      </c>
      <c r="E629" s="37" t="str">
        <f>TEXT(Data!B629,"MMM-YYYY")</f>
        <v>Jun-2023</v>
      </c>
      <c r="F629" s="37" t="str">
        <f t="shared" si="65"/>
        <v>Q2-2023</v>
      </c>
      <c r="G629" s="32" t="s">
        <v>52</v>
      </c>
      <c r="H629" s="32" t="s">
        <v>53</v>
      </c>
      <c r="I629" s="32" t="s">
        <v>179</v>
      </c>
      <c r="J629" s="32" t="s">
        <v>105</v>
      </c>
      <c r="K629" s="32" t="s">
        <v>28</v>
      </c>
      <c r="L629" s="32" t="s">
        <v>126</v>
      </c>
      <c r="M629" s="32" t="s">
        <v>42</v>
      </c>
      <c r="N629" s="32" t="s">
        <v>1357</v>
      </c>
      <c r="O629" s="37">
        <v>807.02</v>
      </c>
      <c r="P629" s="38" t="str">
        <f t="shared" si="66"/>
        <v>High</v>
      </c>
      <c r="Q629" s="37">
        <v>1435.54</v>
      </c>
      <c r="R629" s="37">
        <v>0</v>
      </c>
      <c r="S629" s="37">
        <v>23</v>
      </c>
      <c r="T629" s="37">
        <f t="shared" si="63"/>
        <v>0</v>
      </c>
      <c r="U629" s="32">
        <f t="shared" si="64"/>
        <v>18561.46</v>
      </c>
      <c r="V629" s="37">
        <f t="shared" si="67"/>
        <v>-18561.46</v>
      </c>
      <c r="W629" s="39">
        <f t="shared" si="68"/>
        <v>0</v>
      </c>
    </row>
    <row r="630" spans="1:23" x14ac:dyDescent="0.3">
      <c r="A630" s="40" t="s">
        <v>1358</v>
      </c>
      <c r="B630" s="41">
        <v>45267</v>
      </c>
      <c r="C630" s="42">
        <v>45293</v>
      </c>
      <c r="D630" s="43">
        <f t="shared" si="69"/>
        <v>26</v>
      </c>
      <c r="E630" s="43" t="str">
        <f>TEXT(Data!B630,"MMM-YYYY")</f>
        <v>Dec-2023</v>
      </c>
      <c r="F630" s="43" t="str">
        <f t="shared" si="65"/>
        <v>Q4-2023</v>
      </c>
      <c r="G630" s="33" t="s">
        <v>78</v>
      </c>
      <c r="H630" s="33" t="s">
        <v>79</v>
      </c>
      <c r="I630" s="33" t="s">
        <v>335</v>
      </c>
      <c r="J630" s="33" t="s">
        <v>105</v>
      </c>
      <c r="K630" s="33" t="s">
        <v>55</v>
      </c>
      <c r="L630" s="33" t="s">
        <v>63</v>
      </c>
      <c r="M630" s="33" t="s">
        <v>22</v>
      </c>
      <c r="N630" s="33" t="s">
        <v>1359</v>
      </c>
      <c r="O630" s="43">
        <v>1071.99</v>
      </c>
      <c r="P630" s="44" t="str">
        <f t="shared" si="66"/>
        <v>High</v>
      </c>
      <c r="Q630" s="43">
        <v>2397.3000000000002</v>
      </c>
      <c r="R630" s="43">
        <v>6.2E-2</v>
      </c>
      <c r="S630" s="43">
        <v>18</v>
      </c>
      <c r="T630" s="43">
        <f t="shared" si="63"/>
        <v>0</v>
      </c>
      <c r="U630" s="33">
        <f t="shared" si="64"/>
        <v>19295.82</v>
      </c>
      <c r="V630" s="43">
        <f t="shared" si="67"/>
        <v>-19295.82</v>
      </c>
      <c r="W630" s="45">
        <f t="shared" si="68"/>
        <v>0</v>
      </c>
    </row>
    <row r="631" spans="1:23" x14ac:dyDescent="0.3">
      <c r="A631" s="34" t="s">
        <v>1360</v>
      </c>
      <c r="B631" s="35">
        <v>45249</v>
      </c>
      <c r="C631" s="36">
        <v>45279</v>
      </c>
      <c r="D631" s="37">
        <f t="shared" si="69"/>
        <v>0</v>
      </c>
      <c r="E631" s="37" t="str">
        <f>TEXT(Data!B631,"MMM-YYYY")</f>
        <v>Nov-2023</v>
      </c>
      <c r="F631" s="37" t="str">
        <f t="shared" si="65"/>
        <v>Q4-2023</v>
      </c>
      <c r="G631" s="32" t="s">
        <v>45</v>
      </c>
      <c r="H631" s="32" t="s">
        <v>46</v>
      </c>
      <c r="I631" s="32" t="s">
        <v>231</v>
      </c>
      <c r="J631" s="32" t="s">
        <v>48</v>
      </c>
      <c r="K631" s="32" t="s">
        <v>20</v>
      </c>
      <c r="L631" s="32" t="s">
        <v>1364</v>
      </c>
      <c r="M631" s="32" t="s">
        <v>42</v>
      </c>
      <c r="N631" s="32" t="s">
        <v>1361</v>
      </c>
      <c r="O631" s="37">
        <v>807.11</v>
      </c>
      <c r="P631" s="38" t="str">
        <f t="shared" si="66"/>
        <v>High</v>
      </c>
      <c r="Q631" s="37">
        <v>1853.86</v>
      </c>
      <c r="R631" s="37">
        <v>0.13900000000000001</v>
      </c>
      <c r="S631" s="37">
        <v>8</v>
      </c>
      <c r="T631" s="37">
        <f t="shared" si="63"/>
        <v>0</v>
      </c>
      <c r="U631" s="32">
        <f t="shared" si="64"/>
        <v>6456.88</v>
      </c>
      <c r="V631" s="37">
        <f t="shared" si="67"/>
        <v>-6456.88</v>
      </c>
      <c r="W631" s="39">
        <f t="shared" si="68"/>
        <v>0</v>
      </c>
    </row>
    <row r="632" spans="1:23" x14ac:dyDescent="0.3">
      <c r="A632" s="40" t="s">
        <v>1362</v>
      </c>
      <c r="B632" s="41">
        <v>45716</v>
      </c>
      <c r="C632" s="42">
        <v>45726</v>
      </c>
      <c r="D632" s="43">
        <f t="shared" si="69"/>
        <v>10</v>
      </c>
      <c r="E632" s="43" t="str">
        <f>TEXT(Data!B632,"MMM-YYYY")</f>
        <v>Feb-2025</v>
      </c>
      <c r="F632" s="43" t="str">
        <f t="shared" si="65"/>
        <v>Q1-2025</v>
      </c>
      <c r="G632" s="33" t="s">
        <v>45</v>
      </c>
      <c r="H632" s="33" t="s">
        <v>46</v>
      </c>
      <c r="I632" s="33" t="s">
        <v>47</v>
      </c>
      <c r="J632" s="33" t="s">
        <v>27</v>
      </c>
      <c r="K632" s="33" t="s">
        <v>55</v>
      </c>
      <c r="L632" s="33" t="s">
        <v>126</v>
      </c>
      <c r="M632" s="33" t="s">
        <v>57</v>
      </c>
      <c r="N632" s="33" t="s">
        <v>1363</v>
      </c>
      <c r="O632" s="43">
        <v>51.86</v>
      </c>
      <c r="P632" s="44" t="str">
        <f t="shared" si="66"/>
        <v>Low</v>
      </c>
      <c r="Q632" s="43">
        <v>45.98</v>
      </c>
      <c r="R632" s="43">
        <v>0.17299999999999999</v>
      </c>
      <c r="S632" s="43">
        <v>7</v>
      </c>
      <c r="T632" s="43">
        <f t="shared" si="63"/>
        <v>0</v>
      </c>
      <c r="U632" s="33">
        <f t="shared" si="64"/>
        <v>363.02</v>
      </c>
      <c r="V632" s="43">
        <f t="shared" si="67"/>
        <v>-363.02</v>
      </c>
      <c r="W632" s="45">
        <f t="shared" si="68"/>
        <v>0</v>
      </c>
    </row>
    <row r="633" spans="1:23" x14ac:dyDescent="0.3">
      <c r="A633" t="s">
        <v>1362</v>
      </c>
      <c r="B633" s="6">
        <v>45716</v>
      </c>
      <c r="C633" s="2">
        <v>45726</v>
      </c>
      <c r="D633" s="4">
        <f t="shared" ref="D633" si="70">DATEDIF(B633,C633, "MD")</f>
        <v>10</v>
      </c>
      <c r="E633" s="4" t="str">
        <f>TEXT(Data!B633,"MMM-YYYY")</f>
        <v>Feb-2025</v>
      </c>
      <c r="F633" s="4" t="str">
        <f t="shared" ref="F633" si="71">"Q"&amp;ROUNDUP(MONTH(B633)/3,0)&amp;"-"&amp;YEAR(B633)</f>
        <v>Q1-2025</v>
      </c>
      <c r="G633" t="s">
        <v>45</v>
      </c>
      <c r="H633" t="s">
        <v>46</v>
      </c>
      <c r="I633" t="s">
        <v>47</v>
      </c>
      <c r="J633" t="s">
        <v>27</v>
      </c>
      <c r="K633" t="s">
        <v>55</v>
      </c>
      <c r="L633" t="s">
        <v>126</v>
      </c>
      <c r="M633" t="s">
        <v>57</v>
      </c>
      <c r="N633" t="s">
        <v>1363</v>
      </c>
      <c r="O633" s="4">
        <v>51.86</v>
      </c>
      <c r="P633" s="7" t="str">
        <f t="shared" ref="P633" si="72">IF(Q633&lt;50, "Low", IF(Q633&lt;200, "Medium", "High"))</f>
        <v>Low</v>
      </c>
      <c r="Q633" s="4">
        <v>45.98</v>
      </c>
      <c r="R633" s="4">
        <v>0.17299999999999999</v>
      </c>
      <c r="S633" s="4">
        <v>7</v>
      </c>
      <c r="T633" s="4">
        <f t="shared" ref="T633" si="73">(Q659*S633)*(1-R633)</f>
        <v>0</v>
      </c>
      <c r="U633">
        <f t="shared" ref="U633" si="74">(O633*S633)</f>
        <v>363.02</v>
      </c>
      <c r="V633" s="4">
        <f t="shared" ref="V633" si="75">(T633-U633)</f>
        <v>-363.02</v>
      </c>
      <c r="W633" s="4">
        <f t="shared" ref="W633" si="76">IF(T633=0, 0, V633/T633)</f>
        <v>0</v>
      </c>
    </row>
  </sheetData>
  <conditionalFormatting sqref="Q1:Q1048576">
    <cfRule type="cellIs" dxfId="29" priority="1" operator="lessThan">
      <formula>0</formula>
    </cfRule>
  </conditionalFormatting>
  <dataValidations count="1">
    <dataValidation type="date" operator="greaterThanOrEqual" allowBlank="1" showInputMessage="1" showErrorMessage="1" error="Invalid Date ;Required date cannot be before the order date" sqref="C1:C633" xr:uid="{D9D6BD48-AF45-4699-B482-766D312AB1F1}">
      <formula1>B1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36E2-35DB-4CCC-86F2-887A5A83A256}">
  <dimension ref="A3:C11"/>
  <sheetViews>
    <sheetView topLeftCell="A10" workbookViewId="0">
      <selection activeCell="B29" sqref="B29:B30"/>
    </sheetView>
  </sheetViews>
  <sheetFormatPr defaultRowHeight="14.4" x14ac:dyDescent="0.3"/>
  <sheetData>
    <row r="3" spans="1:3" x14ac:dyDescent="0.3">
      <c r="A3">
        <v>1</v>
      </c>
      <c r="B3" t="s">
        <v>1371</v>
      </c>
    </row>
    <row r="5" spans="1:3" x14ac:dyDescent="0.3">
      <c r="A5">
        <v>2</v>
      </c>
      <c r="B5" t="s">
        <v>1370</v>
      </c>
      <c r="C5" t="str">
        <f>"Q"&amp;ROUNDUP(MONTH(Data!B2)/3,0)&amp;"-"&amp;YEAR(Data!B2)</f>
        <v>Q4-2024</v>
      </c>
    </row>
    <row r="7" spans="1:3" x14ac:dyDescent="0.3">
      <c r="A7">
        <v>3</v>
      </c>
      <c r="B7" t="s">
        <v>1372</v>
      </c>
    </row>
    <row r="9" spans="1:3" x14ac:dyDescent="0.3">
      <c r="A9">
        <v>4</v>
      </c>
      <c r="B9" t="s">
        <v>1373</v>
      </c>
    </row>
    <row r="11" spans="1:3" x14ac:dyDescent="0.3">
      <c r="A11">
        <v>5</v>
      </c>
      <c r="B11" t="s">
        <v>1374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1383-D4D8-46A0-897B-2322AE1502B1}">
  <dimension ref="A1:I633"/>
  <sheetViews>
    <sheetView topLeftCell="A13" workbookViewId="0">
      <selection activeCell="E29" sqref="E29"/>
    </sheetView>
  </sheetViews>
  <sheetFormatPr defaultRowHeight="14.4" x14ac:dyDescent="0.3"/>
  <cols>
    <col min="1" max="1" width="11.77734375" style="6" bestFit="1" customWidth="1"/>
    <col min="2" max="3" width="14.44140625" style="4" customWidth="1"/>
    <col min="4" max="4" width="8.44140625" bestFit="1" customWidth="1"/>
    <col min="5" max="5" width="14" bestFit="1" customWidth="1"/>
    <col min="6" max="6" width="12.44140625" bestFit="1" customWidth="1"/>
    <col min="7" max="7" width="15.21875" bestFit="1" customWidth="1"/>
    <col min="8" max="8" width="8.21875" style="4" customWidth="1"/>
    <col min="9" max="9" width="8.77734375" style="4" bestFit="1" customWidth="1"/>
  </cols>
  <sheetData>
    <row r="1" spans="1:9" x14ac:dyDescent="0.3">
      <c r="A1" s="5" t="s">
        <v>1</v>
      </c>
      <c r="B1" s="3" t="s">
        <v>1371</v>
      </c>
      <c r="C1" s="3" t="s">
        <v>1370</v>
      </c>
      <c r="D1" s="1" t="s">
        <v>3</v>
      </c>
      <c r="E1" s="1" t="s">
        <v>4</v>
      </c>
      <c r="F1" s="1" t="s">
        <v>5</v>
      </c>
      <c r="G1" s="1" t="s">
        <v>9</v>
      </c>
      <c r="H1" s="3" t="s">
        <v>1375</v>
      </c>
      <c r="I1" s="3" t="s">
        <v>12</v>
      </c>
    </row>
    <row r="2" spans="1:9" x14ac:dyDescent="0.3">
      <c r="A2" s="11">
        <v>45362</v>
      </c>
      <c r="B2" s="4" t="str">
        <f>TEXT(Data!B2,"MMM-YYYY")</f>
        <v>Oct-2024</v>
      </c>
      <c r="C2" s="4" t="str">
        <f t="shared" ref="C2:C65" si="0">"Q"&amp;ROUNDUP(MONTH(A2)/3,0)&amp;"-"&amp;YEAR(A2)</f>
        <v>Q1-2024</v>
      </c>
      <c r="D2" t="s">
        <v>16</v>
      </c>
      <c r="E2" t="s">
        <v>17</v>
      </c>
      <c r="F2" t="s">
        <v>18</v>
      </c>
      <c r="G2" t="s">
        <v>22</v>
      </c>
      <c r="H2" s="7" t="str">
        <f t="shared" ref="H2:H65" si="1">IF(I2&lt;50, "Low", IF(I2&lt;200, "Medium", "High"))</f>
        <v>High</v>
      </c>
      <c r="I2" s="4">
        <v>608.9</v>
      </c>
    </row>
    <row r="3" spans="1:9" x14ac:dyDescent="0.3">
      <c r="A3" s="11">
        <v>45363</v>
      </c>
      <c r="B3" s="4" t="str">
        <f>TEXT(Data!B3,"MMM-YYYY")</f>
        <v>Feb-2023</v>
      </c>
      <c r="C3" s="4" t="str">
        <f t="shared" si="0"/>
        <v>Q1-2024</v>
      </c>
      <c r="D3" t="s">
        <v>16</v>
      </c>
      <c r="E3" t="s">
        <v>25</v>
      </c>
      <c r="F3" t="s">
        <v>26</v>
      </c>
      <c r="G3" t="s">
        <v>30</v>
      </c>
      <c r="H3" s="7" t="str">
        <f t="shared" si="1"/>
        <v>High</v>
      </c>
      <c r="I3" s="4">
        <v>759.33</v>
      </c>
    </row>
    <row r="4" spans="1:9" x14ac:dyDescent="0.3">
      <c r="A4" s="11">
        <v>45364</v>
      </c>
      <c r="B4" s="4" t="str">
        <f>TEXT(Data!B4,"MMM-YYYY")</f>
        <v>Mar-2025</v>
      </c>
      <c r="C4" s="4" t="str">
        <f t="shared" si="0"/>
        <v>Q1-2024</v>
      </c>
      <c r="D4" t="s">
        <v>16</v>
      </c>
      <c r="E4" t="s">
        <v>17</v>
      </c>
      <c r="F4" t="s">
        <v>33</v>
      </c>
      <c r="G4" t="s">
        <v>35</v>
      </c>
      <c r="H4" s="7" t="str">
        <f t="shared" si="1"/>
        <v>Low</v>
      </c>
      <c r="I4" s="4">
        <v>-30.66</v>
      </c>
    </row>
    <row r="5" spans="1:9" x14ac:dyDescent="0.3">
      <c r="A5" s="11">
        <v>45365</v>
      </c>
      <c r="B5" s="4" t="str">
        <f>TEXT(Data!B5,"MMM-YYYY")</f>
        <v>Dec-2023</v>
      </c>
      <c r="C5" s="4" t="str">
        <f t="shared" si="0"/>
        <v>Q1-2024</v>
      </c>
      <c r="D5" t="s">
        <v>16</v>
      </c>
      <c r="E5" t="s">
        <v>25</v>
      </c>
      <c r="F5" t="s">
        <v>38</v>
      </c>
      <c r="G5" t="s">
        <v>42</v>
      </c>
      <c r="H5" s="7" t="str">
        <f t="shared" si="1"/>
        <v>High</v>
      </c>
      <c r="I5" s="4">
        <v>255.94</v>
      </c>
    </row>
    <row r="6" spans="1:9" x14ac:dyDescent="0.3">
      <c r="A6" s="11">
        <v>45366</v>
      </c>
      <c r="B6" s="4" t="str">
        <f>TEXT(Data!B6,"MMM-YYYY")</f>
        <v>Jan-2023</v>
      </c>
      <c r="C6" s="4" t="str">
        <f t="shared" si="0"/>
        <v>Q1-2024</v>
      </c>
      <c r="D6" t="s">
        <v>45</v>
      </c>
      <c r="E6" t="s">
        <v>46</v>
      </c>
      <c r="F6" t="s">
        <v>47</v>
      </c>
      <c r="G6" t="s">
        <v>30</v>
      </c>
      <c r="H6" s="7" t="str">
        <f t="shared" si="1"/>
        <v>High</v>
      </c>
      <c r="I6" s="4">
        <v>813.51</v>
      </c>
    </row>
    <row r="7" spans="1:9" x14ac:dyDescent="0.3">
      <c r="A7" s="11">
        <v>45367</v>
      </c>
      <c r="B7" s="4" t="str">
        <f>TEXT(Data!B7,"MMM-YYYY")</f>
        <v>Dec-2024</v>
      </c>
      <c r="C7" s="4" t="str">
        <f t="shared" si="0"/>
        <v>Q1-2024</v>
      </c>
      <c r="D7" t="s">
        <v>52</v>
      </c>
      <c r="E7" t="s">
        <v>53</v>
      </c>
      <c r="F7" t="s">
        <v>54</v>
      </c>
      <c r="G7" t="s">
        <v>57</v>
      </c>
      <c r="H7" s="7" t="str">
        <f t="shared" si="1"/>
        <v>High</v>
      </c>
      <c r="I7" s="4">
        <v>591.67999999999995</v>
      </c>
    </row>
    <row r="8" spans="1:9" x14ac:dyDescent="0.3">
      <c r="A8" s="11">
        <v>45368</v>
      </c>
      <c r="B8" s="4" t="str">
        <f>TEXT(Data!B8,"MMM-YYYY")</f>
        <v>Jan-2023</v>
      </c>
      <c r="C8" s="4" t="str">
        <f t="shared" si="0"/>
        <v>Q1-2024</v>
      </c>
      <c r="D8" t="s">
        <v>45</v>
      </c>
      <c r="E8" t="s">
        <v>60</v>
      </c>
      <c r="F8" t="s">
        <v>61</v>
      </c>
      <c r="G8" t="s">
        <v>64</v>
      </c>
      <c r="H8" s="7" t="str">
        <f t="shared" si="1"/>
        <v>High</v>
      </c>
      <c r="I8" s="4">
        <v>845.97</v>
      </c>
    </row>
    <row r="9" spans="1:9" x14ac:dyDescent="0.3">
      <c r="A9" s="11">
        <v>45369</v>
      </c>
      <c r="B9" s="4" t="str">
        <f>TEXT(Data!B9,"MMM-YYYY")</f>
        <v>May-2024</v>
      </c>
      <c r="C9" s="4" t="str">
        <f t="shared" si="0"/>
        <v>Q1-2024</v>
      </c>
      <c r="D9" t="s">
        <v>16</v>
      </c>
      <c r="E9" t="s">
        <v>25</v>
      </c>
      <c r="F9" t="s">
        <v>67</v>
      </c>
      <c r="G9" t="s">
        <v>30</v>
      </c>
      <c r="H9" s="7" t="str">
        <f t="shared" si="1"/>
        <v>Low</v>
      </c>
      <c r="I9" s="4">
        <v>47.22</v>
      </c>
    </row>
    <row r="10" spans="1:9" x14ac:dyDescent="0.3">
      <c r="A10" s="11">
        <v>45370</v>
      </c>
      <c r="B10" s="4" t="str">
        <f>TEXT(Data!B10,"MMM-YYYY")</f>
        <v>May-2025</v>
      </c>
      <c r="C10" s="4" t="str">
        <f t="shared" si="0"/>
        <v>Q1-2024</v>
      </c>
      <c r="D10" t="s">
        <v>16</v>
      </c>
      <c r="E10" t="s">
        <v>25</v>
      </c>
      <c r="F10" t="s">
        <v>67</v>
      </c>
      <c r="G10" t="s">
        <v>64</v>
      </c>
      <c r="H10" s="7" t="str">
        <f t="shared" si="1"/>
        <v>High</v>
      </c>
      <c r="I10" s="4">
        <v>2530.81</v>
      </c>
    </row>
    <row r="11" spans="1:9" x14ac:dyDescent="0.3">
      <c r="A11" s="11">
        <v>45371</v>
      </c>
      <c r="B11" s="4" t="str">
        <f>TEXT(Data!B11,"MMM-YYYY")</f>
        <v>Jan-2024</v>
      </c>
      <c r="C11" s="4" t="str">
        <f t="shared" si="0"/>
        <v>Q1-2024</v>
      </c>
      <c r="D11" t="s">
        <v>52</v>
      </c>
      <c r="E11" t="s">
        <v>73</v>
      </c>
      <c r="F11" t="s">
        <v>74</v>
      </c>
      <c r="G11" t="s">
        <v>22</v>
      </c>
      <c r="H11" s="7" t="str">
        <f t="shared" si="1"/>
        <v>High</v>
      </c>
      <c r="I11" s="4">
        <v>2309.56</v>
      </c>
    </row>
    <row r="12" spans="1:9" x14ac:dyDescent="0.3">
      <c r="A12" s="11">
        <v>45372</v>
      </c>
      <c r="B12" s="4" t="str">
        <f>TEXT(Data!B12,"MMM-YYYY")</f>
        <v>Jan-2025</v>
      </c>
      <c r="C12" s="4" t="str">
        <f t="shared" si="0"/>
        <v>Q1-2024</v>
      </c>
      <c r="D12" t="s">
        <v>78</v>
      </c>
      <c r="E12" t="s">
        <v>79</v>
      </c>
      <c r="F12" t="s">
        <v>80</v>
      </c>
      <c r="G12" t="s">
        <v>81</v>
      </c>
      <c r="H12" s="7" t="str">
        <f t="shared" si="1"/>
        <v>High</v>
      </c>
      <c r="I12" s="4">
        <v>700.12</v>
      </c>
    </row>
    <row r="13" spans="1:9" x14ac:dyDescent="0.3">
      <c r="A13" s="11">
        <v>45373</v>
      </c>
      <c r="B13" s="4" t="str">
        <f>TEXT(Data!B13,"MMM-YYYY")</f>
        <v>Mar-2025</v>
      </c>
      <c r="C13" s="4" t="str">
        <f t="shared" si="0"/>
        <v>Q1-2024</v>
      </c>
      <c r="D13" t="s">
        <v>45</v>
      </c>
      <c r="E13" t="s">
        <v>46</v>
      </c>
      <c r="F13" t="s">
        <v>47</v>
      </c>
      <c r="G13" t="s">
        <v>42</v>
      </c>
      <c r="H13" s="7" t="str">
        <f t="shared" si="1"/>
        <v>High</v>
      </c>
      <c r="I13" s="4">
        <v>691.37</v>
      </c>
    </row>
    <row r="14" spans="1:9" x14ac:dyDescent="0.3">
      <c r="A14" s="11">
        <v>45374</v>
      </c>
      <c r="B14" s="4" t="str">
        <f>TEXT(Data!B14,"MMM-YYYY")</f>
        <v>Jan-2024</v>
      </c>
      <c r="C14" s="4" t="str">
        <f t="shared" si="0"/>
        <v>Q1-2024</v>
      </c>
      <c r="D14" t="s">
        <v>52</v>
      </c>
      <c r="E14" t="s">
        <v>73</v>
      </c>
      <c r="F14" t="s">
        <v>87</v>
      </c>
      <c r="G14" t="s">
        <v>22</v>
      </c>
      <c r="H14" s="7" t="str">
        <f t="shared" si="1"/>
        <v>High</v>
      </c>
      <c r="I14" s="4">
        <v>548.4</v>
      </c>
    </row>
    <row r="15" spans="1:9" x14ac:dyDescent="0.3">
      <c r="A15" s="11">
        <v>45375</v>
      </c>
      <c r="B15" s="4" t="str">
        <f>TEXT(Data!B15,"MMM-YYYY")</f>
        <v>Sep-2025</v>
      </c>
      <c r="C15" s="4" t="str">
        <f t="shared" si="0"/>
        <v>Q1-2024</v>
      </c>
      <c r="D15" t="s">
        <v>78</v>
      </c>
      <c r="E15" t="s">
        <v>90</v>
      </c>
      <c r="F15" t="s">
        <v>91</v>
      </c>
      <c r="G15" t="s">
        <v>30</v>
      </c>
      <c r="H15" s="7" t="str">
        <f t="shared" si="1"/>
        <v>High</v>
      </c>
      <c r="I15" s="4">
        <v>1439.01</v>
      </c>
    </row>
    <row r="16" spans="1:9" x14ac:dyDescent="0.3">
      <c r="A16" s="11">
        <v>45376</v>
      </c>
      <c r="B16" s="4" t="str">
        <f>TEXT(Data!B16,"MMM-YYYY")</f>
        <v>Apr-2023</v>
      </c>
      <c r="C16" s="4" t="str">
        <f t="shared" si="0"/>
        <v>Q1-2024</v>
      </c>
      <c r="D16" t="s">
        <v>52</v>
      </c>
      <c r="E16" t="s">
        <v>73</v>
      </c>
      <c r="F16" t="s">
        <v>87</v>
      </c>
      <c r="G16" t="s">
        <v>81</v>
      </c>
      <c r="H16" s="7" t="str">
        <f t="shared" si="1"/>
        <v>High</v>
      </c>
      <c r="I16" s="4">
        <v>631.57000000000005</v>
      </c>
    </row>
    <row r="17" spans="1:9" x14ac:dyDescent="0.3">
      <c r="A17" s="11">
        <v>45377</v>
      </c>
      <c r="B17" s="4" t="str">
        <f>TEXT(Data!B17,"MMM-YYYY")</f>
        <v>Dec-2024</v>
      </c>
      <c r="C17" s="4" t="str">
        <f t="shared" si="0"/>
        <v>Q1-2024</v>
      </c>
      <c r="D17" t="s">
        <v>16</v>
      </c>
      <c r="E17" t="s">
        <v>17</v>
      </c>
      <c r="F17" t="s">
        <v>33</v>
      </c>
      <c r="G17" t="s">
        <v>57</v>
      </c>
      <c r="H17" s="7" t="str">
        <f t="shared" si="1"/>
        <v>High</v>
      </c>
      <c r="I17" s="4">
        <v>850.8</v>
      </c>
    </row>
    <row r="18" spans="1:9" x14ac:dyDescent="0.3">
      <c r="A18" s="11">
        <v>45378</v>
      </c>
      <c r="B18" s="4" t="str">
        <f>TEXT(Data!B18,"MMM-YYYY")</f>
        <v>Sep-2025</v>
      </c>
      <c r="C18" s="4" t="str">
        <f t="shared" si="0"/>
        <v>Q1-2024</v>
      </c>
      <c r="D18" t="s">
        <v>78</v>
      </c>
      <c r="E18" t="s">
        <v>90</v>
      </c>
      <c r="F18" t="s">
        <v>91</v>
      </c>
      <c r="G18" t="s">
        <v>30</v>
      </c>
      <c r="H18" s="7" t="str">
        <f t="shared" si="1"/>
        <v>High</v>
      </c>
      <c r="I18" s="4">
        <v>1040.0999999999999</v>
      </c>
    </row>
    <row r="19" spans="1:9" x14ac:dyDescent="0.3">
      <c r="A19" s="11">
        <v>45379</v>
      </c>
      <c r="B19" s="4" t="str">
        <f>TEXT(Data!B19,"MMM-YYYY")</f>
        <v>Jul-2025</v>
      </c>
      <c r="C19" s="4" t="str">
        <f t="shared" si="0"/>
        <v>Q1-2024</v>
      </c>
      <c r="D19" t="s">
        <v>45</v>
      </c>
      <c r="E19" t="s">
        <v>46</v>
      </c>
      <c r="F19" t="s">
        <v>47</v>
      </c>
      <c r="G19" t="s">
        <v>42</v>
      </c>
      <c r="H19" s="7" t="str">
        <f t="shared" si="1"/>
        <v>High</v>
      </c>
      <c r="I19" s="4">
        <v>2705.57</v>
      </c>
    </row>
    <row r="20" spans="1:9" x14ac:dyDescent="0.3">
      <c r="A20" s="11">
        <v>45380</v>
      </c>
      <c r="B20" s="4" t="str">
        <f>TEXT(Data!B20,"MMM-YYYY")</f>
        <v>May-2025</v>
      </c>
      <c r="C20" s="4" t="str">
        <f t="shared" si="0"/>
        <v>Q1-2024</v>
      </c>
      <c r="D20" t="s">
        <v>52</v>
      </c>
      <c r="E20" t="s">
        <v>73</v>
      </c>
      <c r="F20" t="s">
        <v>87</v>
      </c>
      <c r="G20" t="s">
        <v>81</v>
      </c>
      <c r="H20" s="7" t="str">
        <f t="shared" si="1"/>
        <v>High</v>
      </c>
      <c r="I20" s="4">
        <v>2375.37</v>
      </c>
    </row>
    <row r="21" spans="1:9" x14ac:dyDescent="0.3">
      <c r="A21" s="11">
        <v>45381</v>
      </c>
      <c r="B21" s="4" t="str">
        <f>TEXT(Data!B21,"MMM-YYYY")</f>
        <v>Jul-2024</v>
      </c>
      <c r="C21" s="4" t="str">
        <f t="shared" si="0"/>
        <v>Q1-2024</v>
      </c>
      <c r="D21" t="s">
        <v>78</v>
      </c>
      <c r="E21" t="s">
        <v>108</v>
      </c>
      <c r="F21" t="s">
        <v>109</v>
      </c>
      <c r="G21" t="s">
        <v>57</v>
      </c>
      <c r="H21" s="7" t="str">
        <f t="shared" si="1"/>
        <v>High</v>
      </c>
      <c r="I21" s="4">
        <v>2148.14</v>
      </c>
    </row>
    <row r="22" spans="1:9" x14ac:dyDescent="0.3">
      <c r="A22" s="11">
        <v>45382</v>
      </c>
      <c r="B22" s="4" t="str">
        <f>TEXT(Data!B22,"MMM-YYYY")</f>
        <v>May-2023</v>
      </c>
      <c r="C22" s="4" t="str">
        <f t="shared" si="0"/>
        <v>Q1-2024</v>
      </c>
      <c r="D22" t="s">
        <v>16</v>
      </c>
      <c r="E22" t="s">
        <v>17</v>
      </c>
      <c r="F22" t="s">
        <v>113</v>
      </c>
      <c r="G22" t="s">
        <v>57</v>
      </c>
      <c r="H22" s="7" t="str">
        <f t="shared" si="1"/>
        <v>High</v>
      </c>
      <c r="I22" s="4">
        <v>3661.07</v>
      </c>
    </row>
    <row r="23" spans="1:9" x14ac:dyDescent="0.3">
      <c r="A23" s="11">
        <v>45383</v>
      </c>
      <c r="B23" s="4" t="str">
        <f>TEXT(Data!B23,"MMM-YYYY")</f>
        <v>Jun-2025</v>
      </c>
      <c r="C23" s="4" t="str">
        <f t="shared" si="0"/>
        <v>Q2-2024</v>
      </c>
      <c r="D23" t="s">
        <v>45</v>
      </c>
      <c r="E23" t="s">
        <v>116</v>
      </c>
      <c r="F23" t="s">
        <v>117</v>
      </c>
      <c r="G23" t="s">
        <v>35</v>
      </c>
      <c r="H23" s="7" t="str">
        <f t="shared" si="1"/>
        <v>High</v>
      </c>
      <c r="I23" s="4">
        <v>2903.09</v>
      </c>
    </row>
    <row r="24" spans="1:9" x14ac:dyDescent="0.3">
      <c r="A24" s="11">
        <v>45384</v>
      </c>
      <c r="B24" s="4" t="str">
        <f>TEXT(Data!B24,"MMM-YYYY")</f>
        <v>May-2024</v>
      </c>
      <c r="C24" s="4" t="str">
        <f t="shared" si="0"/>
        <v>Q2-2024</v>
      </c>
      <c r="D24" t="s">
        <v>16</v>
      </c>
      <c r="E24" t="s">
        <v>25</v>
      </c>
      <c r="F24" t="s">
        <v>26</v>
      </c>
      <c r="G24" t="s">
        <v>81</v>
      </c>
      <c r="H24" s="7" t="str">
        <f t="shared" si="1"/>
        <v>High</v>
      </c>
      <c r="I24" s="4">
        <v>1242.8399999999999</v>
      </c>
    </row>
    <row r="25" spans="1:9" x14ac:dyDescent="0.3">
      <c r="A25" s="11">
        <v>45385</v>
      </c>
      <c r="B25" s="4" t="str">
        <f>TEXT(Data!B25,"MMM-YYYY")</f>
        <v>Feb-2023</v>
      </c>
      <c r="C25" s="4" t="str">
        <f t="shared" si="0"/>
        <v>Q2-2024</v>
      </c>
      <c r="D25" t="s">
        <v>52</v>
      </c>
      <c r="E25" t="s">
        <v>122</v>
      </c>
      <c r="F25" t="s">
        <v>123</v>
      </c>
      <c r="G25" t="s">
        <v>57</v>
      </c>
      <c r="H25" s="7" t="str">
        <f t="shared" si="1"/>
        <v>High</v>
      </c>
      <c r="I25" s="4">
        <v>2553.69</v>
      </c>
    </row>
    <row r="26" spans="1:9" x14ac:dyDescent="0.3">
      <c r="A26" s="11">
        <v>45386</v>
      </c>
      <c r="B26" s="4" t="str">
        <f>TEXT(Data!B26,"MMM-YYYY")</f>
        <v>Jun-2024</v>
      </c>
      <c r="C26" s="4" t="str">
        <f t="shared" si="0"/>
        <v>Q2-2024</v>
      </c>
      <c r="D26" t="s">
        <v>52</v>
      </c>
      <c r="E26" t="s">
        <v>73</v>
      </c>
      <c r="F26" t="s">
        <v>74</v>
      </c>
      <c r="G26" t="s">
        <v>22</v>
      </c>
      <c r="H26" s="7" t="str">
        <f t="shared" si="1"/>
        <v>High</v>
      </c>
      <c r="I26" s="4">
        <v>2089.16</v>
      </c>
    </row>
    <row r="27" spans="1:9" x14ac:dyDescent="0.3">
      <c r="A27" s="11">
        <v>45387</v>
      </c>
      <c r="B27" s="4" t="str">
        <f>TEXT(Data!B27,"MMM-YYYY")</f>
        <v>Nov-2024</v>
      </c>
      <c r="C27" s="4" t="str">
        <f t="shared" si="0"/>
        <v>Q2-2024</v>
      </c>
      <c r="D27" t="s">
        <v>52</v>
      </c>
      <c r="E27" t="s">
        <v>73</v>
      </c>
      <c r="F27" t="s">
        <v>87</v>
      </c>
      <c r="G27" t="s">
        <v>81</v>
      </c>
      <c r="H27" s="7" t="str">
        <f t="shared" si="1"/>
        <v>High</v>
      </c>
      <c r="I27" s="4">
        <v>2583.02</v>
      </c>
    </row>
    <row r="28" spans="1:9" x14ac:dyDescent="0.3">
      <c r="A28" s="11">
        <v>45388</v>
      </c>
      <c r="B28" s="4" t="str">
        <f>TEXT(Data!B28,"MMM-YYYY")</f>
        <v>Jul-2024</v>
      </c>
      <c r="C28" s="4" t="str">
        <f t="shared" si="0"/>
        <v>Q2-2024</v>
      </c>
      <c r="D28" t="s">
        <v>78</v>
      </c>
      <c r="E28" t="s">
        <v>90</v>
      </c>
      <c r="F28" t="s">
        <v>91</v>
      </c>
      <c r="G28" t="s">
        <v>30</v>
      </c>
      <c r="H28" s="7" t="str">
        <f t="shared" si="1"/>
        <v>Medium</v>
      </c>
      <c r="I28" s="4">
        <v>175.67</v>
      </c>
    </row>
    <row r="29" spans="1:9" x14ac:dyDescent="0.3">
      <c r="A29" s="11">
        <v>45389</v>
      </c>
      <c r="B29" s="4" t="str">
        <f>TEXT(Data!B29,"MMM-YYYY")</f>
        <v>Apr-2023</v>
      </c>
      <c r="C29" s="4" t="str">
        <f t="shared" si="0"/>
        <v>Q2-2024</v>
      </c>
      <c r="D29" t="s">
        <v>16</v>
      </c>
      <c r="E29" t="s">
        <v>17</v>
      </c>
      <c r="F29" t="s">
        <v>18</v>
      </c>
      <c r="G29" t="s">
        <v>42</v>
      </c>
      <c r="H29" s="7" t="str">
        <f t="shared" si="1"/>
        <v>High</v>
      </c>
      <c r="I29" s="4">
        <v>758.23</v>
      </c>
    </row>
    <row r="30" spans="1:9" x14ac:dyDescent="0.3">
      <c r="A30" s="11">
        <v>45390</v>
      </c>
      <c r="B30" s="4" t="str">
        <f>TEXT(Data!B30,"MMM-YYYY")</f>
        <v>Apr-2025</v>
      </c>
      <c r="C30" s="4" t="str">
        <f t="shared" si="0"/>
        <v>Q2-2024</v>
      </c>
      <c r="D30" t="s">
        <v>16</v>
      </c>
      <c r="E30" t="s">
        <v>17</v>
      </c>
      <c r="F30" t="s">
        <v>135</v>
      </c>
      <c r="G30" t="s">
        <v>42</v>
      </c>
      <c r="H30" s="7" t="str">
        <f t="shared" si="1"/>
        <v>High</v>
      </c>
      <c r="I30" s="4">
        <v>434.8</v>
      </c>
    </row>
    <row r="31" spans="1:9" x14ac:dyDescent="0.3">
      <c r="A31" s="11">
        <v>45391</v>
      </c>
      <c r="B31" s="4" t="str">
        <f>TEXT(Data!B31,"MMM-YYYY")</f>
        <v>Dec-2024</v>
      </c>
      <c r="C31" s="4" t="str">
        <f t="shared" si="0"/>
        <v>Q2-2024</v>
      </c>
      <c r="D31" t="s">
        <v>78</v>
      </c>
      <c r="E31" t="s">
        <v>90</v>
      </c>
      <c r="F31" t="s">
        <v>138</v>
      </c>
      <c r="G31" t="s">
        <v>35</v>
      </c>
      <c r="H31" s="7" t="str">
        <f t="shared" si="1"/>
        <v>High</v>
      </c>
      <c r="I31" s="4">
        <v>1666.18</v>
      </c>
    </row>
    <row r="32" spans="1:9" x14ac:dyDescent="0.3">
      <c r="A32" s="11">
        <v>45392</v>
      </c>
      <c r="B32" s="4" t="str">
        <f>TEXT(Data!B32,"MMM-YYYY")</f>
        <v>Feb-2023</v>
      </c>
      <c r="C32" s="4" t="str">
        <f t="shared" si="0"/>
        <v>Q2-2024</v>
      </c>
      <c r="D32" t="s">
        <v>45</v>
      </c>
      <c r="E32" t="s">
        <v>60</v>
      </c>
      <c r="F32" t="s">
        <v>141</v>
      </c>
      <c r="G32" t="s">
        <v>22</v>
      </c>
      <c r="H32" s="7" t="str">
        <f t="shared" si="1"/>
        <v>High</v>
      </c>
      <c r="I32" s="4">
        <v>631.78</v>
      </c>
    </row>
    <row r="33" spans="1:9" x14ac:dyDescent="0.3">
      <c r="A33" s="11">
        <v>45393</v>
      </c>
      <c r="B33" s="4" t="str">
        <f>TEXT(Data!B33,"MMM-YYYY")</f>
        <v>Jul-2025</v>
      </c>
      <c r="C33" s="4" t="str">
        <f t="shared" si="0"/>
        <v>Q2-2024</v>
      </c>
      <c r="D33" t="s">
        <v>52</v>
      </c>
      <c r="E33" t="s">
        <v>53</v>
      </c>
      <c r="F33" t="s">
        <v>144</v>
      </c>
      <c r="G33" t="s">
        <v>42</v>
      </c>
      <c r="H33" s="7" t="str">
        <f t="shared" si="1"/>
        <v>High</v>
      </c>
      <c r="I33" s="4">
        <v>1794.07</v>
      </c>
    </row>
    <row r="34" spans="1:9" x14ac:dyDescent="0.3">
      <c r="A34" s="11">
        <v>45394</v>
      </c>
      <c r="B34" s="4" t="str">
        <f>TEXT(Data!B34,"MMM-YYYY")</f>
        <v>Apr-2024</v>
      </c>
      <c r="C34" s="4" t="str">
        <f t="shared" si="0"/>
        <v>Q2-2024</v>
      </c>
      <c r="D34" t="s">
        <v>16</v>
      </c>
      <c r="E34" t="s">
        <v>148</v>
      </c>
      <c r="F34" t="s">
        <v>149</v>
      </c>
      <c r="G34" t="s">
        <v>35</v>
      </c>
      <c r="H34" s="7" t="str">
        <f t="shared" si="1"/>
        <v>High</v>
      </c>
      <c r="I34" s="4">
        <v>2633.02</v>
      </c>
    </row>
    <row r="35" spans="1:9" x14ac:dyDescent="0.3">
      <c r="A35" s="11">
        <v>45395</v>
      </c>
      <c r="B35" s="4" t="str">
        <f>TEXT(Data!B35,"MMM-YYYY")</f>
        <v>Aug-2024</v>
      </c>
      <c r="C35" s="4" t="str">
        <f t="shared" si="0"/>
        <v>Q2-2024</v>
      </c>
      <c r="D35" t="s">
        <v>78</v>
      </c>
      <c r="E35" t="s">
        <v>108</v>
      </c>
      <c r="F35" t="s">
        <v>152</v>
      </c>
      <c r="G35" t="s">
        <v>57</v>
      </c>
      <c r="H35" s="7" t="str">
        <f t="shared" si="1"/>
        <v>High</v>
      </c>
      <c r="I35" s="4">
        <v>1321.85</v>
      </c>
    </row>
    <row r="36" spans="1:9" x14ac:dyDescent="0.3">
      <c r="A36" s="11">
        <v>45396</v>
      </c>
      <c r="B36" s="4" t="str">
        <f>TEXT(Data!B36,"MMM-YYYY")</f>
        <v>Mar-2023</v>
      </c>
      <c r="C36" s="4" t="str">
        <f t="shared" si="0"/>
        <v>Q2-2024</v>
      </c>
      <c r="D36" t="s">
        <v>16</v>
      </c>
      <c r="E36" t="s">
        <v>148</v>
      </c>
      <c r="F36" t="s">
        <v>149</v>
      </c>
      <c r="G36" t="s">
        <v>22</v>
      </c>
      <c r="H36" s="7" t="str">
        <f t="shared" si="1"/>
        <v>High</v>
      </c>
      <c r="I36" s="4">
        <v>3036.87</v>
      </c>
    </row>
    <row r="37" spans="1:9" x14ac:dyDescent="0.3">
      <c r="A37" s="11">
        <v>45397</v>
      </c>
      <c r="B37" s="4" t="str">
        <f>TEXT(Data!B37,"MMM-YYYY")</f>
        <v>Mar-2024</v>
      </c>
      <c r="C37" s="4" t="str">
        <f t="shared" si="0"/>
        <v>Q2-2024</v>
      </c>
      <c r="D37" t="s">
        <v>45</v>
      </c>
      <c r="E37" t="s">
        <v>60</v>
      </c>
      <c r="F37" t="s">
        <v>141</v>
      </c>
      <c r="G37" t="s">
        <v>30</v>
      </c>
      <c r="H37" s="7" t="str">
        <f t="shared" si="1"/>
        <v>Medium</v>
      </c>
      <c r="I37" s="4">
        <v>199.37</v>
      </c>
    </row>
    <row r="38" spans="1:9" x14ac:dyDescent="0.3">
      <c r="A38" s="11">
        <v>45398</v>
      </c>
      <c r="B38" s="4" t="str">
        <f>TEXT(Data!B38,"MMM-YYYY")</f>
        <v>Jun-2025</v>
      </c>
      <c r="C38" s="4" t="str">
        <f t="shared" si="0"/>
        <v>Q2-2024</v>
      </c>
      <c r="D38" t="s">
        <v>78</v>
      </c>
      <c r="E38" t="s">
        <v>79</v>
      </c>
      <c r="F38" t="s">
        <v>159</v>
      </c>
      <c r="G38" t="s">
        <v>22</v>
      </c>
      <c r="H38" s="7" t="str">
        <f t="shared" si="1"/>
        <v>High</v>
      </c>
      <c r="I38" s="4">
        <v>927.51</v>
      </c>
    </row>
    <row r="39" spans="1:9" x14ac:dyDescent="0.3">
      <c r="A39" s="11">
        <v>45399</v>
      </c>
      <c r="B39" s="4" t="str">
        <f>TEXT(Data!B39,"MMM-YYYY")</f>
        <v>Apr-2024</v>
      </c>
      <c r="C39" s="4" t="str">
        <f t="shared" si="0"/>
        <v>Q2-2024</v>
      </c>
      <c r="D39" t="s">
        <v>45</v>
      </c>
      <c r="E39" t="s">
        <v>116</v>
      </c>
      <c r="F39" t="s">
        <v>162</v>
      </c>
      <c r="G39" t="s">
        <v>22</v>
      </c>
      <c r="H39" s="7" t="str">
        <f t="shared" si="1"/>
        <v>High</v>
      </c>
      <c r="I39" s="4">
        <v>1735.41</v>
      </c>
    </row>
    <row r="40" spans="1:9" x14ac:dyDescent="0.3">
      <c r="A40" s="11">
        <v>45400</v>
      </c>
      <c r="B40" s="4" t="str">
        <f>TEXT(Data!B40,"MMM-YYYY")</f>
        <v>Jun-2023</v>
      </c>
      <c r="C40" s="4" t="str">
        <f t="shared" si="0"/>
        <v>Q2-2024</v>
      </c>
      <c r="D40" t="s">
        <v>16</v>
      </c>
      <c r="E40" t="s">
        <v>25</v>
      </c>
      <c r="F40" t="s">
        <v>26</v>
      </c>
      <c r="G40" t="s">
        <v>30</v>
      </c>
      <c r="H40" s="7" t="str">
        <f t="shared" si="1"/>
        <v>High</v>
      </c>
      <c r="I40" s="4">
        <v>1395.64</v>
      </c>
    </row>
    <row r="41" spans="1:9" x14ac:dyDescent="0.3">
      <c r="A41" s="11">
        <v>45401</v>
      </c>
      <c r="B41" s="4" t="str">
        <f>TEXT(Data!B41,"MMM-YYYY")</f>
        <v>Aug-2024</v>
      </c>
      <c r="C41" s="4" t="str">
        <f t="shared" si="0"/>
        <v>Q2-2024</v>
      </c>
      <c r="D41" t="s">
        <v>52</v>
      </c>
      <c r="E41" t="s">
        <v>122</v>
      </c>
      <c r="F41" t="s">
        <v>167</v>
      </c>
      <c r="G41" t="s">
        <v>30</v>
      </c>
      <c r="H41" s="7" t="str">
        <f t="shared" si="1"/>
        <v>High</v>
      </c>
      <c r="I41" s="4">
        <v>454.42</v>
      </c>
    </row>
    <row r="42" spans="1:9" x14ac:dyDescent="0.3">
      <c r="A42" s="11">
        <v>45402</v>
      </c>
      <c r="B42" s="4" t="str">
        <f>TEXT(Data!B42,"MMM-YYYY")</f>
        <v>Jan-2024</v>
      </c>
      <c r="C42" s="4" t="str">
        <f t="shared" si="0"/>
        <v>Q2-2024</v>
      </c>
      <c r="D42" t="s">
        <v>78</v>
      </c>
      <c r="E42" t="s">
        <v>79</v>
      </c>
      <c r="F42" t="s">
        <v>80</v>
      </c>
      <c r="G42" t="s">
        <v>64</v>
      </c>
      <c r="H42" s="7" t="str">
        <f t="shared" si="1"/>
        <v>High</v>
      </c>
      <c r="I42" s="4">
        <v>1580.97</v>
      </c>
    </row>
    <row r="43" spans="1:9" x14ac:dyDescent="0.3">
      <c r="A43" s="11">
        <v>45403</v>
      </c>
      <c r="B43" s="4" t="str">
        <f>TEXT(Data!B43,"MMM-YYYY")</f>
        <v>Oct-2024</v>
      </c>
      <c r="C43" s="4" t="str">
        <f t="shared" si="0"/>
        <v>Q2-2024</v>
      </c>
      <c r="D43" t="s">
        <v>16</v>
      </c>
      <c r="E43" t="s">
        <v>148</v>
      </c>
      <c r="F43" t="s">
        <v>172</v>
      </c>
      <c r="G43" t="s">
        <v>35</v>
      </c>
      <c r="H43" s="7" t="str">
        <f t="shared" si="1"/>
        <v>High</v>
      </c>
      <c r="I43" s="4">
        <v>1759.79</v>
      </c>
    </row>
    <row r="44" spans="1:9" x14ac:dyDescent="0.3">
      <c r="A44" s="11">
        <v>45404</v>
      </c>
      <c r="B44" s="4" t="str">
        <f>TEXT(Data!B44,"MMM-YYYY")</f>
        <v>May-2025</v>
      </c>
      <c r="C44" s="4" t="str">
        <f t="shared" si="0"/>
        <v>Q2-2024</v>
      </c>
      <c r="D44" t="s">
        <v>16</v>
      </c>
      <c r="E44" t="s">
        <v>17</v>
      </c>
      <c r="F44" t="s">
        <v>113</v>
      </c>
      <c r="G44" t="s">
        <v>30</v>
      </c>
      <c r="H44" s="7" t="str">
        <f t="shared" si="1"/>
        <v>High</v>
      </c>
      <c r="I44" s="4">
        <v>3204.5</v>
      </c>
    </row>
    <row r="45" spans="1:9" x14ac:dyDescent="0.3">
      <c r="A45" s="11">
        <v>45405</v>
      </c>
      <c r="B45" s="4" t="str">
        <f>TEXT(Data!B45,"MMM-YYYY")</f>
        <v>May-2024</v>
      </c>
      <c r="C45" s="4" t="str">
        <f t="shared" si="0"/>
        <v>Q2-2024</v>
      </c>
      <c r="D45" t="s">
        <v>78</v>
      </c>
      <c r="E45" t="s">
        <v>79</v>
      </c>
      <c r="F45" t="s">
        <v>80</v>
      </c>
      <c r="G45" t="s">
        <v>30</v>
      </c>
      <c r="H45" s="7" t="str">
        <f t="shared" si="1"/>
        <v>High</v>
      </c>
      <c r="I45" s="4">
        <v>1135.43</v>
      </c>
    </row>
    <row r="46" spans="1:9" x14ac:dyDescent="0.3">
      <c r="A46" s="11">
        <v>45406</v>
      </c>
      <c r="B46" s="4" t="str">
        <f>TEXT(Data!B46,"MMM-YYYY")</f>
        <v>Apr-2023</v>
      </c>
      <c r="C46" s="4" t="str">
        <f t="shared" si="0"/>
        <v>Q2-2024</v>
      </c>
      <c r="D46" t="s">
        <v>52</v>
      </c>
      <c r="E46" t="s">
        <v>53</v>
      </c>
      <c r="F46" t="s">
        <v>179</v>
      </c>
      <c r="G46" t="s">
        <v>22</v>
      </c>
      <c r="H46" s="7" t="str">
        <f t="shared" si="1"/>
        <v>High</v>
      </c>
      <c r="I46" s="4">
        <v>996.36</v>
      </c>
    </row>
    <row r="47" spans="1:9" x14ac:dyDescent="0.3">
      <c r="A47" s="11">
        <v>45407</v>
      </c>
      <c r="B47" s="4" t="str">
        <f>TEXT(Data!B47,"MMM-YYYY")</f>
        <v>Jun-2023</v>
      </c>
      <c r="C47" s="4" t="str">
        <f t="shared" si="0"/>
        <v>Q2-2024</v>
      </c>
      <c r="D47" t="s">
        <v>45</v>
      </c>
      <c r="E47" t="s">
        <v>60</v>
      </c>
      <c r="F47" t="s">
        <v>141</v>
      </c>
      <c r="G47" t="s">
        <v>35</v>
      </c>
      <c r="H47" s="7" t="str">
        <f t="shared" si="1"/>
        <v>High</v>
      </c>
      <c r="I47" s="4">
        <v>1397.05</v>
      </c>
    </row>
    <row r="48" spans="1:9" x14ac:dyDescent="0.3">
      <c r="A48" s="11">
        <v>45408</v>
      </c>
      <c r="B48" s="4" t="str">
        <f>TEXT(Data!B48,"MMM-YYYY")</f>
        <v>May-2024</v>
      </c>
      <c r="C48" s="4" t="str">
        <f t="shared" si="0"/>
        <v>Q2-2024</v>
      </c>
      <c r="D48" t="s">
        <v>16</v>
      </c>
      <c r="E48" t="s">
        <v>25</v>
      </c>
      <c r="F48" t="s">
        <v>67</v>
      </c>
      <c r="G48" t="s">
        <v>30</v>
      </c>
      <c r="H48" s="7" t="str">
        <f t="shared" si="1"/>
        <v>High</v>
      </c>
      <c r="I48" s="4">
        <v>548.89</v>
      </c>
    </row>
    <row r="49" spans="1:9" x14ac:dyDescent="0.3">
      <c r="A49" s="11">
        <v>45409</v>
      </c>
      <c r="B49" s="4" t="str">
        <f>TEXT(Data!B49,"MMM-YYYY")</f>
        <v>Oct-2024</v>
      </c>
      <c r="C49" s="4" t="str">
        <f t="shared" si="0"/>
        <v>Q2-2024</v>
      </c>
      <c r="D49" t="s">
        <v>78</v>
      </c>
      <c r="E49" t="s">
        <v>108</v>
      </c>
      <c r="F49" t="s">
        <v>109</v>
      </c>
      <c r="G49" t="s">
        <v>35</v>
      </c>
      <c r="H49" s="7" t="str">
        <f t="shared" si="1"/>
        <v>High</v>
      </c>
      <c r="I49" s="4">
        <v>3524</v>
      </c>
    </row>
    <row r="50" spans="1:9" x14ac:dyDescent="0.3">
      <c r="A50" s="11">
        <v>45410</v>
      </c>
      <c r="B50" s="4" t="str">
        <f>TEXT(Data!B50,"MMM-YYYY")</f>
        <v>Jul-2023</v>
      </c>
      <c r="C50" s="4" t="str">
        <f t="shared" si="0"/>
        <v>Q2-2024</v>
      </c>
      <c r="D50" t="s">
        <v>16</v>
      </c>
      <c r="E50" t="s">
        <v>25</v>
      </c>
      <c r="F50" t="s">
        <v>38</v>
      </c>
      <c r="G50" t="s">
        <v>35</v>
      </c>
      <c r="H50" s="7" t="str">
        <f t="shared" si="1"/>
        <v>High</v>
      </c>
      <c r="I50" s="4">
        <v>1825.61</v>
      </c>
    </row>
    <row r="51" spans="1:9" x14ac:dyDescent="0.3">
      <c r="A51" s="11">
        <v>45411</v>
      </c>
      <c r="B51" s="4" t="str">
        <f>TEXT(Data!B51,"MMM-YYYY")</f>
        <v>Nov-2024</v>
      </c>
      <c r="C51" s="4" t="str">
        <f t="shared" si="0"/>
        <v>Q2-2024</v>
      </c>
      <c r="D51" t="s">
        <v>78</v>
      </c>
      <c r="E51" t="s">
        <v>90</v>
      </c>
      <c r="F51" t="s">
        <v>91</v>
      </c>
      <c r="G51" t="s">
        <v>30</v>
      </c>
      <c r="H51" s="7" t="str">
        <f t="shared" si="1"/>
        <v>High</v>
      </c>
      <c r="I51" s="4">
        <v>1791.37</v>
      </c>
    </row>
    <row r="52" spans="1:9" x14ac:dyDescent="0.3">
      <c r="A52" s="11">
        <v>45412</v>
      </c>
      <c r="B52" s="4" t="str">
        <f>TEXT(Data!B52,"MMM-YYYY")</f>
        <v>Oct-2024</v>
      </c>
      <c r="C52" s="4" t="str">
        <f t="shared" si="0"/>
        <v>Q2-2024</v>
      </c>
      <c r="D52" t="s">
        <v>52</v>
      </c>
      <c r="E52" t="s">
        <v>53</v>
      </c>
      <c r="F52" t="s">
        <v>54</v>
      </c>
      <c r="G52" t="s">
        <v>81</v>
      </c>
      <c r="H52" s="7" t="str">
        <f t="shared" si="1"/>
        <v>High</v>
      </c>
      <c r="I52" s="4">
        <v>2629.75</v>
      </c>
    </row>
    <row r="53" spans="1:9" x14ac:dyDescent="0.3">
      <c r="A53" s="11">
        <v>45413</v>
      </c>
      <c r="B53" s="4" t="str">
        <f>TEXT(Data!B53,"MMM-YYYY")</f>
        <v>Mar-2023</v>
      </c>
      <c r="C53" s="4" t="str">
        <f t="shared" si="0"/>
        <v>Q2-2024</v>
      </c>
      <c r="D53" t="s">
        <v>45</v>
      </c>
      <c r="E53" t="s">
        <v>60</v>
      </c>
      <c r="F53" t="s">
        <v>61</v>
      </c>
      <c r="G53" t="s">
        <v>64</v>
      </c>
      <c r="H53" s="7" t="str">
        <f t="shared" si="1"/>
        <v>Medium</v>
      </c>
      <c r="I53" s="4">
        <v>106.3</v>
      </c>
    </row>
    <row r="54" spans="1:9" x14ac:dyDescent="0.3">
      <c r="A54" s="11">
        <v>45414</v>
      </c>
      <c r="B54" s="4" t="str">
        <f>TEXT(Data!B54,"MMM-YYYY")</f>
        <v>Jan-2025</v>
      </c>
      <c r="C54" s="4" t="str">
        <f t="shared" si="0"/>
        <v>Q2-2024</v>
      </c>
      <c r="D54" t="s">
        <v>16</v>
      </c>
      <c r="E54" t="s">
        <v>17</v>
      </c>
      <c r="F54" t="s">
        <v>135</v>
      </c>
      <c r="G54" t="s">
        <v>57</v>
      </c>
      <c r="H54" s="7" t="str">
        <f t="shared" si="1"/>
        <v>High</v>
      </c>
      <c r="I54" s="4">
        <v>385.72</v>
      </c>
    </row>
    <row r="55" spans="1:9" x14ac:dyDescent="0.3">
      <c r="A55" s="11">
        <v>45415</v>
      </c>
      <c r="B55" s="4" t="str">
        <f>TEXT(Data!B55,"MMM-YYYY")</f>
        <v>Aug-2023</v>
      </c>
      <c r="C55" s="4" t="str">
        <f t="shared" si="0"/>
        <v>Q2-2024</v>
      </c>
      <c r="D55" t="s">
        <v>78</v>
      </c>
      <c r="E55" t="s">
        <v>90</v>
      </c>
      <c r="F55" t="s">
        <v>138</v>
      </c>
      <c r="G55" t="s">
        <v>57</v>
      </c>
      <c r="H55" s="7" t="str">
        <f t="shared" si="1"/>
        <v>High</v>
      </c>
      <c r="I55" s="4">
        <v>236.87</v>
      </c>
    </row>
    <row r="56" spans="1:9" x14ac:dyDescent="0.3">
      <c r="A56" s="11">
        <v>45416</v>
      </c>
      <c r="B56" s="4" t="str">
        <f>TEXT(Data!B56,"MMM-YYYY")</f>
        <v>Apr-2025</v>
      </c>
      <c r="C56" s="4" t="str">
        <f t="shared" si="0"/>
        <v>Q2-2024</v>
      </c>
      <c r="D56" t="s">
        <v>78</v>
      </c>
      <c r="E56" t="s">
        <v>79</v>
      </c>
      <c r="F56" t="s">
        <v>159</v>
      </c>
      <c r="G56" t="s">
        <v>35</v>
      </c>
      <c r="H56" s="7" t="str">
        <f t="shared" si="1"/>
        <v>Low</v>
      </c>
      <c r="I56" s="4">
        <v>41.9</v>
      </c>
    </row>
    <row r="57" spans="1:9" x14ac:dyDescent="0.3">
      <c r="A57" s="11">
        <v>45417</v>
      </c>
      <c r="B57" s="4" t="str">
        <f>TEXT(Data!B57,"MMM-YYYY")</f>
        <v>Feb-2025</v>
      </c>
      <c r="C57" s="4" t="str">
        <f t="shared" si="0"/>
        <v>Q2-2024</v>
      </c>
      <c r="D57" t="s">
        <v>52</v>
      </c>
      <c r="E57" t="s">
        <v>73</v>
      </c>
      <c r="F57" t="s">
        <v>87</v>
      </c>
      <c r="G57" t="s">
        <v>64</v>
      </c>
      <c r="H57" s="7" t="str">
        <f t="shared" si="1"/>
        <v>High</v>
      </c>
      <c r="I57" s="4">
        <v>977.38</v>
      </c>
    </row>
    <row r="58" spans="1:9" x14ac:dyDescent="0.3">
      <c r="A58" s="11">
        <v>45418</v>
      </c>
      <c r="B58" s="4" t="str">
        <f>TEXT(Data!B58,"MMM-YYYY")</f>
        <v>Dec-2024</v>
      </c>
      <c r="C58" s="4" t="str">
        <f t="shared" si="0"/>
        <v>Q2-2024</v>
      </c>
      <c r="D58" t="s">
        <v>52</v>
      </c>
      <c r="E58" t="s">
        <v>73</v>
      </c>
      <c r="F58" t="s">
        <v>74</v>
      </c>
      <c r="G58" t="s">
        <v>57</v>
      </c>
      <c r="H58" s="7" t="str">
        <f t="shared" si="1"/>
        <v>High</v>
      </c>
      <c r="I58" s="4">
        <v>2794.13</v>
      </c>
    </row>
    <row r="59" spans="1:9" x14ac:dyDescent="0.3">
      <c r="A59" s="11">
        <v>45419</v>
      </c>
      <c r="B59" s="4" t="str">
        <f>TEXT(Data!B59,"MMM-YYYY")</f>
        <v>Jun-2025</v>
      </c>
      <c r="C59" s="4" t="str">
        <f t="shared" si="0"/>
        <v>Q2-2024</v>
      </c>
      <c r="D59" t="s">
        <v>78</v>
      </c>
      <c r="E59" t="s">
        <v>79</v>
      </c>
      <c r="F59" t="s">
        <v>159</v>
      </c>
      <c r="G59" t="s">
        <v>81</v>
      </c>
      <c r="H59" s="7" t="str">
        <f t="shared" si="1"/>
        <v>High</v>
      </c>
      <c r="I59" s="4">
        <v>701.95</v>
      </c>
    </row>
    <row r="60" spans="1:9" x14ac:dyDescent="0.3">
      <c r="A60" s="11">
        <v>45420</v>
      </c>
      <c r="B60" s="4" t="str">
        <f>TEXT(Data!B60,"MMM-YYYY")</f>
        <v>May-2025</v>
      </c>
      <c r="C60" s="4" t="str">
        <f t="shared" si="0"/>
        <v>Q2-2024</v>
      </c>
      <c r="D60" t="s">
        <v>78</v>
      </c>
      <c r="E60" t="s">
        <v>90</v>
      </c>
      <c r="F60" t="s">
        <v>91</v>
      </c>
      <c r="G60" t="s">
        <v>81</v>
      </c>
      <c r="H60" s="7" t="str">
        <f t="shared" si="1"/>
        <v>Low</v>
      </c>
      <c r="I60" s="4">
        <v>-5.27</v>
      </c>
    </row>
    <row r="61" spans="1:9" x14ac:dyDescent="0.3">
      <c r="A61" s="11">
        <v>45421</v>
      </c>
      <c r="B61" s="4" t="str">
        <f>TEXT(Data!B61,"MMM-YYYY")</f>
        <v>Mar-2024</v>
      </c>
      <c r="C61" s="4" t="str">
        <f t="shared" si="0"/>
        <v>Q2-2024</v>
      </c>
      <c r="D61" t="s">
        <v>16</v>
      </c>
      <c r="E61" t="s">
        <v>17</v>
      </c>
      <c r="F61" t="s">
        <v>135</v>
      </c>
      <c r="G61" t="s">
        <v>81</v>
      </c>
      <c r="H61" s="7" t="str">
        <f t="shared" si="1"/>
        <v>High</v>
      </c>
      <c r="I61" s="4">
        <v>1437.06</v>
      </c>
    </row>
    <row r="62" spans="1:9" x14ac:dyDescent="0.3">
      <c r="A62" s="11">
        <v>45422</v>
      </c>
      <c r="B62" s="4" t="str">
        <f>TEXT(Data!B62,"MMM-YYYY")</f>
        <v>Sep-2025</v>
      </c>
      <c r="C62" s="4" t="str">
        <f t="shared" si="0"/>
        <v>Q2-2024</v>
      </c>
      <c r="D62" t="s">
        <v>78</v>
      </c>
      <c r="E62" t="s">
        <v>90</v>
      </c>
      <c r="F62" t="s">
        <v>138</v>
      </c>
      <c r="G62" t="s">
        <v>22</v>
      </c>
      <c r="H62" s="7" t="str">
        <f t="shared" si="1"/>
        <v>High</v>
      </c>
      <c r="I62" s="4">
        <v>1911.89</v>
      </c>
    </row>
    <row r="63" spans="1:9" x14ac:dyDescent="0.3">
      <c r="A63" s="11">
        <v>45423</v>
      </c>
      <c r="B63" s="4" t="str">
        <f>TEXT(Data!B63,"MMM-YYYY")</f>
        <v>Apr-2025</v>
      </c>
      <c r="C63" s="4" t="str">
        <f t="shared" si="0"/>
        <v>Q2-2024</v>
      </c>
      <c r="D63" t="s">
        <v>45</v>
      </c>
      <c r="E63" t="s">
        <v>46</v>
      </c>
      <c r="F63" t="s">
        <v>214</v>
      </c>
      <c r="G63" t="s">
        <v>22</v>
      </c>
      <c r="H63" s="7" t="str">
        <f t="shared" si="1"/>
        <v>High</v>
      </c>
      <c r="I63" s="4">
        <v>2593.7800000000002</v>
      </c>
    </row>
    <row r="64" spans="1:9" x14ac:dyDescent="0.3">
      <c r="A64" s="11">
        <v>45424</v>
      </c>
      <c r="B64" s="4" t="str">
        <f>TEXT(Data!B64,"MMM-YYYY")</f>
        <v>Nov-2024</v>
      </c>
      <c r="C64" s="4" t="str">
        <f t="shared" si="0"/>
        <v>Q2-2024</v>
      </c>
      <c r="D64" t="s">
        <v>78</v>
      </c>
      <c r="E64" t="s">
        <v>90</v>
      </c>
      <c r="F64" t="s">
        <v>217</v>
      </c>
      <c r="G64" t="s">
        <v>42</v>
      </c>
      <c r="H64" s="7" t="str">
        <f t="shared" si="1"/>
        <v>High</v>
      </c>
      <c r="I64" s="4">
        <v>1244.08</v>
      </c>
    </row>
    <row r="65" spans="1:9" x14ac:dyDescent="0.3">
      <c r="A65" s="11">
        <v>45425</v>
      </c>
      <c r="B65" s="4" t="str">
        <f>TEXT(Data!B65,"MMM-YYYY")</f>
        <v>Feb-2023</v>
      </c>
      <c r="C65" s="4" t="str">
        <f t="shared" si="0"/>
        <v>Q2-2024</v>
      </c>
      <c r="D65" t="s">
        <v>45</v>
      </c>
      <c r="E65" t="s">
        <v>60</v>
      </c>
      <c r="F65" t="s">
        <v>220</v>
      </c>
      <c r="G65" t="s">
        <v>64</v>
      </c>
      <c r="H65" s="7" t="str">
        <f t="shared" si="1"/>
        <v>High</v>
      </c>
      <c r="I65" s="4">
        <v>1912.51</v>
      </c>
    </row>
    <row r="66" spans="1:9" x14ac:dyDescent="0.3">
      <c r="A66" s="11">
        <v>45426</v>
      </c>
      <c r="B66" s="4" t="str">
        <f>TEXT(Data!B66,"MMM-YYYY")</f>
        <v>Dec-2023</v>
      </c>
      <c r="C66" s="4" t="str">
        <f t="shared" ref="C66:C129" si="2">"Q"&amp;ROUNDUP(MONTH(A66)/3,0)&amp;"-"&amp;YEAR(A66)</f>
        <v>Q2-2024</v>
      </c>
      <c r="D66" t="s">
        <v>16</v>
      </c>
      <c r="E66" t="s">
        <v>148</v>
      </c>
      <c r="F66" t="s">
        <v>149</v>
      </c>
      <c r="G66" t="s">
        <v>57</v>
      </c>
      <c r="H66" s="7" t="str">
        <f t="shared" ref="H66:H129" si="3">IF(I66&lt;50, "Low", IF(I66&lt;200, "Medium", "High"))</f>
        <v>High</v>
      </c>
      <c r="I66" s="4">
        <v>755.87</v>
      </c>
    </row>
    <row r="67" spans="1:9" x14ac:dyDescent="0.3">
      <c r="A67" s="11">
        <v>45427</v>
      </c>
      <c r="B67" s="4" t="str">
        <f>TEXT(Data!B67,"MMM-YYYY")</f>
        <v>Mar-2023</v>
      </c>
      <c r="C67" s="4" t="str">
        <f t="shared" si="2"/>
        <v>Q2-2024</v>
      </c>
      <c r="D67" t="s">
        <v>52</v>
      </c>
      <c r="E67" t="s">
        <v>73</v>
      </c>
      <c r="F67" t="s">
        <v>225</v>
      </c>
      <c r="G67" t="s">
        <v>42</v>
      </c>
      <c r="H67" s="7" t="str">
        <f t="shared" si="3"/>
        <v>High</v>
      </c>
      <c r="I67" s="4">
        <v>1145.67</v>
      </c>
    </row>
    <row r="68" spans="1:9" x14ac:dyDescent="0.3">
      <c r="A68" s="11">
        <v>45428</v>
      </c>
      <c r="B68" s="4" t="str">
        <f>TEXT(Data!B68,"MMM-YYYY")</f>
        <v>May-2024</v>
      </c>
      <c r="C68" s="4" t="str">
        <f t="shared" si="2"/>
        <v>Q2-2024</v>
      </c>
      <c r="D68" t="s">
        <v>78</v>
      </c>
      <c r="E68" t="s">
        <v>108</v>
      </c>
      <c r="F68" t="s">
        <v>228</v>
      </c>
      <c r="G68" t="s">
        <v>81</v>
      </c>
      <c r="H68" s="7" t="str">
        <f t="shared" si="3"/>
        <v>High</v>
      </c>
      <c r="I68" s="4">
        <v>1234.0999999999999</v>
      </c>
    </row>
    <row r="69" spans="1:9" x14ac:dyDescent="0.3">
      <c r="A69" s="11">
        <v>45429</v>
      </c>
      <c r="B69" s="4" t="str">
        <f>TEXT(Data!B69,"MMM-YYYY")</f>
        <v>Aug-2023</v>
      </c>
      <c r="C69" s="4" t="str">
        <f t="shared" si="2"/>
        <v>Q2-2024</v>
      </c>
      <c r="D69" t="s">
        <v>45</v>
      </c>
      <c r="E69" t="s">
        <v>46</v>
      </c>
      <c r="F69" t="s">
        <v>231</v>
      </c>
      <c r="G69" t="s">
        <v>64</v>
      </c>
      <c r="H69" s="7" t="str">
        <f t="shared" si="3"/>
        <v>High</v>
      </c>
      <c r="I69" s="4">
        <v>1228.01</v>
      </c>
    </row>
    <row r="70" spans="1:9" x14ac:dyDescent="0.3">
      <c r="A70" s="11">
        <v>45430</v>
      </c>
      <c r="B70" s="4" t="str">
        <f>TEXT(Data!B70,"MMM-YYYY")</f>
        <v>Apr-2023</v>
      </c>
      <c r="C70" s="4" t="str">
        <f t="shared" si="2"/>
        <v>Q2-2024</v>
      </c>
      <c r="D70" t="s">
        <v>16</v>
      </c>
      <c r="E70" t="s">
        <v>148</v>
      </c>
      <c r="F70" t="s">
        <v>149</v>
      </c>
      <c r="G70" t="s">
        <v>64</v>
      </c>
      <c r="H70" s="7" t="str">
        <f t="shared" si="3"/>
        <v>High</v>
      </c>
      <c r="I70" s="4">
        <v>605.23</v>
      </c>
    </row>
    <row r="71" spans="1:9" x14ac:dyDescent="0.3">
      <c r="A71" s="11">
        <v>45431</v>
      </c>
      <c r="B71" s="4" t="str">
        <f>TEXT(Data!B71,"MMM-YYYY")</f>
        <v>Mar-2024</v>
      </c>
      <c r="C71" s="4" t="str">
        <f t="shared" si="2"/>
        <v>Q2-2024</v>
      </c>
      <c r="D71" t="s">
        <v>45</v>
      </c>
      <c r="E71" t="s">
        <v>116</v>
      </c>
      <c r="F71" t="s">
        <v>162</v>
      </c>
      <c r="G71" t="s">
        <v>22</v>
      </c>
      <c r="H71" s="7" t="str">
        <f t="shared" si="3"/>
        <v>High</v>
      </c>
      <c r="I71" s="4">
        <v>1880.15</v>
      </c>
    </row>
    <row r="72" spans="1:9" x14ac:dyDescent="0.3">
      <c r="A72" s="11">
        <v>45432</v>
      </c>
      <c r="B72" s="4" t="str">
        <f>TEXT(Data!B72,"MMM-YYYY")</f>
        <v>Apr-2025</v>
      </c>
      <c r="C72" s="4" t="str">
        <f t="shared" si="2"/>
        <v>Q2-2024</v>
      </c>
      <c r="D72" t="s">
        <v>78</v>
      </c>
      <c r="E72" t="s">
        <v>79</v>
      </c>
      <c r="F72" t="s">
        <v>159</v>
      </c>
      <c r="G72" t="s">
        <v>81</v>
      </c>
      <c r="H72" s="7" t="str">
        <f t="shared" si="3"/>
        <v>High</v>
      </c>
      <c r="I72" s="4">
        <v>1269.4000000000001</v>
      </c>
    </row>
    <row r="73" spans="1:9" x14ac:dyDescent="0.3">
      <c r="A73" s="11">
        <v>45433</v>
      </c>
      <c r="B73" s="4" t="str">
        <f>TEXT(Data!B73,"MMM-YYYY")</f>
        <v>Apr-2024</v>
      </c>
      <c r="C73" s="4" t="str">
        <f t="shared" si="2"/>
        <v>Q2-2024</v>
      </c>
      <c r="D73" t="s">
        <v>52</v>
      </c>
      <c r="E73" t="s">
        <v>73</v>
      </c>
      <c r="F73" t="s">
        <v>87</v>
      </c>
      <c r="G73" t="s">
        <v>57</v>
      </c>
      <c r="H73" s="7" t="str">
        <f t="shared" si="3"/>
        <v>High</v>
      </c>
      <c r="I73" s="4">
        <v>620.92999999999995</v>
      </c>
    </row>
    <row r="74" spans="1:9" x14ac:dyDescent="0.3">
      <c r="A74" s="11">
        <v>45434</v>
      </c>
      <c r="B74" s="4" t="str">
        <f>TEXT(Data!B74,"MMM-YYYY")</f>
        <v>Dec-2024</v>
      </c>
      <c r="C74" s="4" t="str">
        <f t="shared" si="2"/>
        <v>Q2-2024</v>
      </c>
      <c r="D74" t="s">
        <v>16</v>
      </c>
      <c r="E74" t="s">
        <v>148</v>
      </c>
      <c r="F74" t="s">
        <v>149</v>
      </c>
      <c r="G74" t="s">
        <v>57</v>
      </c>
      <c r="H74" s="7" t="str">
        <f t="shared" si="3"/>
        <v>High</v>
      </c>
      <c r="I74" s="4">
        <v>1455.91</v>
      </c>
    </row>
    <row r="75" spans="1:9" x14ac:dyDescent="0.3">
      <c r="A75" s="11">
        <v>45435</v>
      </c>
      <c r="B75" s="4" t="str">
        <f>TEXT(Data!B75,"MMM-YYYY")</f>
        <v>May-2023</v>
      </c>
      <c r="C75" s="4" t="str">
        <f t="shared" si="2"/>
        <v>Q2-2024</v>
      </c>
      <c r="D75" t="s">
        <v>45</v>
      </c>
      <c r="E75" t="s">
        <v>116</v>
      </c>
      <c r="F75" t="s">
        <v>117</v>
      </c>
      <c r="G75" t="s">
        <v>35</v>
      </c>
      <c r="H75" s="7" t="str">
        <f t="shared" si="3"/>
        <v>High</v>
      </c>
      <c r="I75" s="4">
        <v>546.42999999999995</v>
      </c>
    </row>
    <row r="76" spans="1:9" x14ac:dyDescent="0.3">
      <c r="A76" s="11">
        <v>45436</v>
      </c>
      <c r="B76" s="4" t="str">
        <f>TEXT(Data!B76,"MMM-YYYY")</f>
        <v>Sep-2023</v>
      </c>
      <c r="C76" s="4" t="str">
        <f t="shared" si="2"/>
        <v>Q2-2024</v>
      </c>
      <c r="D76" t="s">
        <v>16</v>
      </c>
      <c r="E76" t="s">
        <v>148</v>
      </c>
      <c r="F76" t="s">
        <v>172</v>
      </c>
      <c r="G76" t="s">
        <v>22</v>
      </c>
      <c r="H76" s="7" t="str">
        <f t="shared" si="3"/>
        <v>High</v>
      </c>
      <c r="I76" s="4">
        <v>1347.92</v>
      </c>
    </row>
    <row r="77" spans="1:9" x14ac:dyDescent="0.3">
      <c r="A77" s="11">
        <v>45437</v>
      </c>
      <c r="B77" s="4" t="str">
        <f>TEXT(Data!B77,"MMM-YYYY")</f>
        <v>Aug-2024</v>
      </c>
      <c r="C77" s="4" t="str">
        <f t="shared" si="2"/>
        <v>Q2-2024</v>
      </c>
      <c r="D77" t="s">
        <v>45</v>
      </c>
      <c r="E77" t="s">
        <v>60</v>
      </c>
      <c r="F77" t="s">
        <v>141</v>
      </c>
      <c r="G77" t="s">
        <v>22</v>
      </c>
      <c r="H77" s="7" t="str">
        <f t="shared" si="3"/>
        <v>High</v>
      </c>
      <c r="I77" s="4">
        <v>1108.43</v>
      </c>
    </row>
    <row r="78" spans="1:9" x14ac:dyDescent="0.3">
      <c r="A78" s="11">
        <v>45438</v>
      </c>
      <c r="B78" s="4" t="str">
        <f>TEXT(Data!B78,"MMM-YYYY")</f>
        <v>Jun-2024</v>
      </c>
      <c r="C78" s="4" t="str">
        <f t="shared" si="2"/>
        <v>Q2-2024</v>
      </c>
      <c r="D78" t="s">
        <v>52</v>
      </c>
      <c r="E78" t="s">
        <v>73</v>
      </c>
      <c r="F78" t="s">
        <v>225</v>
      </c>
      <c r="G78" t="s">
        <v>81</v>
      </c>
      <c r="H78" s="7" t="str">
        <f t="shared" si="3"/>
        <v>High</v>
      </c>
      <c r="I78" s="4">
        <v>3144.1</v>
      </c>
    </row>
    <row r="79" spans="1:9" x14ac:dyDescent="0.3">
      <c r="A79" s="11">
        <v>45439</v>
      </c>
      <c r="B79" s="4" t="str">
        <f>TEXT(Data!B79,"MMM-YYYY")</f>
        <v>Jun-2023</v>
      </c>
      <c r="C79" s="4" t="str">
        <f t="shared" si="2"/>
        <v>Q2-2024</v>
      </c>
      <c r="D79" t="s">
        <v>52</v>
      </c>
      <c r="E79" t="s">
        <v>73</v>
      </c>
      <c r="F79" t="s">
        <v>225</v>
      </c>
      <c r="G79" t="s">
        <v>81</v>
      </c>
      <c r="H79" s="7" t="str">
        <f t="shared" si="3"/>
        <v>High</v>
      </c>
      <c r="I79" s="4">
        <v>2095.73</v>
      </c>
    </row>
    <row r="80" spans="1:9" x14ac:dyDescent="0.3">
      <c r="A80" s="11">
        <v>45440</v>
      </c>
      <c r="B80" s="4" t="str">
        <f>TEXT(Data!B80,"MMM-YYYY")</f>
        <v>Nov-2024</v>
      </c>
      <c r="C80" s="4" t="str">
        <f t="shared" si="2"/>
        <v>Q2-2024</v>
      </c>
      <c r="D80" t="s">
        <v>78</v>
      </c>
      <c r="E80" t="s">
        <v>108</v>
      </c>
      <c r="F80" t="s">
        <v>228</v>
      </c>
      <c r="G80" t="s">
        <v>22</v>
      </c>
      <c r="H80" s="7" t="str">
        <f t="shared" si="3"/>
        <v>High</v>
      </c>
      <c r="I80" s="4">
        <v>703.62</v>
      </c>
    </row>
    <row r="81" spans="1:9" x14ac:dyDescent="0.3">
      <c r="A81" s="11">
        <v>45441</v>
      </c>
      <c r="B81" s="4" t="str">
        <f>TEXT(Data!B81,"MMM-YYYY")</f>
        <v>Feb-2023</v>
      </c>
      <c r="C81" s="4" t="str">
        <f t="shared" si="2"/>
        <v>Q2-2024</v>
      </c>
      <c r="D81" t="s">
        <v>78</v>
      </c>
      <c r="E81" t="s">
        <v>90</v>
      </c>
      <c r="F81" t="s">
        <v>91</v>
      </c>
      <c r="G81" t="s">
        <v>64</v>
      </c>
      <c r="H81" s="7" t="str">
        <f t="shared" si="3"/>
        <v>High</v>
      </c>
      <c r="I81" s="4">
        <v>1997.19</v>
      </c>
    </row>
    <row r="82" spans="1:9" x14ac:dyDescent="0.3">
      <c r="A82" s="11">
        <v>45442</v>
      </c>
      <c r="B82" s="4" t="str">
        <f>TEXT(Data!B82,"MMM-YYYY")</f>
        <v>Aug-2023</v>
      </c>
      <c r="C82" s="4" t="str">
        <f t="shared" si="2"/>
        <v>Q2-2024</v>
      </c>
      <c r="D82" t="s">
        <v>16</v>
      </c>
      <c r="E82" t="s">
        <v>148</v>
      </c>
      <c r="F82" t="s">
        <v>258</v>
      </c>
      <c r="G82" t="s">
        <v>35</v>
      </c>
      <c r="H82" s="7" t="str">
        <f t="shared" si="3"/>
        <v>High</v>
      </c>
      <c r="I82" s="4">
        <v>2763.95</v>
      </c>
    </row>
    <row r="83" spans="1:9" x14ac:dyDescent="0.3">
      <c r="A83" s="11">
        <v>45443</v>
      </c>
      <c r="B83" s="4" t="str">
        <f>TEXT(Data!B83,"MMM-YYYY")</f>
        <v>May-2025</v>
      </c>
      <c r="C83" s="4" t="str">
        <f t="shared" si="2"/>
        <v>Q2-2024</v>
      </c>
      <c r="D83" t="s">
        <v>52</v>
      </c>
      <c r="E83" t="s">
        <v>53</v>
      </c>
      <c r="F83" t="s">
        <v>179</v>
      </c>
      <c r="G83" t="s">
        <v>30</v>
      </c>
      <c r="H83" s="7" t="str">
        <f t="shared" si="3"/>
        <v>High</v>
      </c>
      <c r="I83" s="4">
        <v>1503.53</v>
      </c>
    </row>
    <row r="84" spans="1:9" x14ac:dyDescent="0.3">
      <c r="A84" s="11">
        <v>45444</v>
      </c>
      <c r="B84" s="4" t="str">
        <f>TEXT(Data!B84,"MMM-YYYY")</f>
        <v>Apr-2025</v>
      </c>
      <c r="C84" s="4" t="str">
        <f t="shared" si="2"/>
        <v>Q2-2024</v>
      </c>
      <c r="D84" t="s">
        <v>78</v>
      </c>
      <c r="E84" t="s">
        <v>90</v>
      </c>
      <c r="F84" t="s">
        <v>217</v>
      </c>
      <c r="G84" t="s">
        <v>22</v>
      </c>
      <c r="H84" s="7" t="str">
        <f t="shared" si="3"/>
        <v>High</v>
      </c>
      <c r="I84" s="4">
        <v>388.04</v>
      </c>
    </row>
    <row r="85" spans="1:9" x14ac:dyDescent="0.3">
      <c r="A85" s="11">
        <v>45445</v>
      </c>
      <c r="B85" s="4" t="str">
        <f>TEXT(Data!B85,"MMM-YYYY")</f>
        <v>Mar-2025</v>
      </c>
      <c r="C85" s="4" t="str">
        <f t="shared" si="2"/>
        <v>Q2-2024</v>
      </c>
      <c r="D85" t="s">
        <v>52</v>
      </c>
      <c r="E85" t="s">
        <v>122</v>
      </c>
      <c r="F85" t="s">
        <v>167</v>
      </c>
      <c r="G85" t="s">
        <v>64</v>
      </c>
      <c r="H85" s="7" t="str">
        <f t="shared" si="3"/>
        <v>Low</v>
      </c>
      <c r="I85" s="4">
        <v>44.57</v>
      </c>
    </row>
    <row r="86" spans="1:9" x14ac:dyDescent="0.3">
      <c r="A86" s="11">
        <v>45446</v>
      </c>
      <c r="B86" s="4" t="str">
        <f>TEXT(Data!B86,"MMM-YYYY")</f>
        <v>Dec-2023</v>
      </c>
      <c r="C86" s="4" t="str">
        <f t="shared" si="2"/>
        <v>Q2-2024</v>
      </c>
      <c r="D86" t="s">
        <v>78</v>
      </c>
      <c r="E86" t="s">
        <v>108</v>
      </c>
      <c r="F86" t="s">
        <v>152</v>
      </c>
      <c r="G86" t="s">
        <v>35</v>
      </c>
      <c r="H86" s="7" t="str">
        <f t="shared" si="3"/>
        <v>High</v>
      </c>
      <c r="I86" s="4">
        <v>1808.26</v>
      </c>
    </row>
    <row r="87" spans="1:9" x14ac:dyDescent="0.3">
      <c r="A87" s="11">
        <v>45447</v>
      </c>
      <c r="B87" s="4" t="str">
        <f>TEXT(Data!B87,"MMM-YYYY")</f>
        <v>Apr-2024</v>
      </c>
      <c r="C87" s="4" t="str">
        <f t="shared" si="2"/>
        <v>Q2-2024</v>
      </c>
      <c r="D87" t="s">
        <v>16</v>
      </c>
      <c r="E87" t="s">
        <v>148</v>
      </c>
      <c r="F87" t="s">
        <v>258</v>
      </c>
      <c r="G87" t="s">
        <v>22</v>
      </c>
      <c r="H87" s="7" t="str">
        <f t="shared" si="3"/>
        <v>High</v>
      </c>
      <c r="I87" s="4">
        <v>1285.0899999999999</v>
      </c>
    </row>
    <row r="88" spans="1:9" x14ac:dyDescent="0.3">
      <c r="A88" s="11">
        <v>45448</v>
      </c>
      <c r="B88" s="4" t="str">
        <f>TEXT(Data!B88,"MMM-YYYY")</f>
        <v>Aug-2025</v>
      </c>
      <c r="C88" s="4" t="str">
        <f t="shared" si="2"/>
        <v>Q2-2024</v>
      </c>
      <c r="D88" t="s">
        <v>45</v>
      </c>
      <c r="E88" t="s">
        <v>116</v>
      </c>
      <c r="F88" t="s">
        <v>162</v>
      </c>
      <c r="G88" t="s">
        <v>22</v>
      </c>
      <c r="H88" s="7" t="str">
        <f t="shared" si="3"/>
        <v>High</v>
      </c>
      <c r="I88" s="4">
        <v>1678.14</v>
      </c>
    </row>
    <row r="89" spans="1:9" x14ac:dyDescent="0.3">
      <c r="A89" s="11">
        <v>45449</v>
      </c>
      <c r="B89" s="4" t="str">
        <f>TEXT(Data!B89,"MMM-YYYY")</f>
        <v>Jan-2024</v>
      </c>
      <c r="C89" s="4" t="str">
        <f t="shared" si="2"/>
        <v>Q2-2024</v>
      </c>
      <c r="D89" t="s">
        <v>16</v>
      </c>
      <c r="E89" t="s">
        <v>17</v>
      </c>
      <c r="F89" t="s">
        <v>135</v>
      </c>
      <c r="G89" t="s">
        <v>22</v>
      </c>
      <c r="H89" s="7" t="str">
        <f t="shared" si="3"/>
        <v>High</v>
      </c>
      <c r="I89" s="4">
        <v>679.35</v>
      </c>
    </row>
    <row r="90" spans="1:9" x14ac:dyDescent="0.3">
      <c r="A90" s="11">
        <v>45450</v>
      </c>
      <c r="B90" s="4" t="str">
        <f>TEXT(Data!B90,"MMM-YYYY")</f>
        <v>Jun-2023</v>
      </c>
      <c r="C90" s="4" t="str">
        <f t="shared" si="2"/>
        <v>Q2-2024</v>
      </c>
      <c r="D90" t="s">
        <v>45</v>
      </c>
      <c r="E90" t="s">
        <v>60</v>
      </c>
      <c r="F90" t="s">
        <v>141</v>
      </c>
      <c r="G90" t="s">
        <v>64</v>
      </c>
      <c r="H90" s="7" t="str">
        <f t="shared" si="3"/>
        <v>High</v>
      </c>
      <c r="I90" s="4">
        <v>1109.92</v>
      </c>
    </row>
    <row r="91" spans="1:9" x14ac:dyDescent="0.3">
      <c r="A91" s="11">
        <v>45451</v>
      </c>
      <c r="B91" s="4" t="str">
        <f>TEXT(Data!B91,"MMM-YYYY")</f>
        <v>Apr-2025</v>
      </c>
      <c r="C91" s="4" t="str">
        <f t="shared" si="2"/>
        <v>Q2-2024</v>
      </c>
      <c r="D91" t="s">
        <v>45</v>
      </c>
      <c r="E91" t="s">
        <v>46</v>
      </c>
      <c r="F91" t="s">
        <v>231</v>
      </c>
      <c r="G91" t="s">
        <v>64</v>
      </c>
      <c r="H91" s="7" t="str">
        <f t="shared" si="3"/>
        <v>Medium</v>
      </c>
      <c r="I91" s="4">
        <v>83.57</v>
      </c>
    </row>
    <row r="92" spans="1:9" x14ac:dyDescent="0.3">
      <c r="A92" s="11">
        <v>45452</v>
      </c>
      <c r="B92" s="4" t="str">
        <f>TEXT(Data!B92,"MMM-YYYY")</f>
        <v>Jun-2025</v>
      </c>
      <c r="C92" s="4" t="str">
        <f t="shared" si="2"/>
        <v>Q2-2024</v>
      </c>
      <c r="D92" t="s">
        <v>45</v>
      </c>
      <c r="E92" t="s">
        <v>46</v>
      </c>
      <c r="F92" t="s">
        <v>231</v>
      </c>
      <c r="G92" t="s">
        <v>35</v>
      </c>
      <c r="H92" s="7" t="str">
        <f t="shared" si="3"/>
        <v>High</v>
      </c>
      <c r="I92" s="4">
        <v>1284.3</v>
      </c>
    </row>
    <row r="93" spans="1:9" x14ac:dyDescent="0.3">
      <c r="A93" s="11">
        <v>45453</v>
      </c>
      <c r="B93" s="4" t="str">
        <f>TEXT(Data!B93,"MMM-YYYY")</f>
        <v>Jun-2023</v>
      </c>
      <c r="C93" s="4" t="str">
        <f t="shared" si="2"/>
        <v>Q2-2024</v>
      </c>
      <c r="D93" t="s">
        <v>45</v>
      </c>
      <c r="E93" t="s">
        <v>60</v>
      </c>
      <c r="F93" t="s">
        <v>281</v>
      </c>
      <c r="G93" t="s">
        <v>42</v>
      </c>
      <c r="H93" s="7" t="str">
        <f t="shared" si="3"/>
        <v>High</v>
      </c>
      <c r="I93" s="4">
        <v>911.72</v>
      </c>
    </row>
    <row r="94" spans="1:9" x14ac:dyDescent="0.3">
      <c r="A94" s="11">
        <v>45454</v>
      </c>
      <c r="B94" s="4" t="str">
        <f>TEXT(Data!B94,"MMM-YYYY")</f>
        <v>Oct-2024</v>
      </c>
      <c r="C94" s="4" t="str">
        <f t="shared" si="2"/>
        <v>Q2-2024</v>
      </c>
      <c r="D94" t="s">
        <v>52</v>
      </c>
      <c r="E94" t="s">
        <v>73</v>
      </c>
      <c r="F94" t="s">
        <v>225</v>
      </c>
      <c r="G94" t="s">
        <v>30</v>
      </c>
      <c r="H94" s="7" t="str">
        <f t="shared" si="3"/>
        <v>High</v>
      </c>
      <c r="I94" s="4">
        <v>1405.07</v>
      </c>
    </row>
    <row r="95" spans="1:9" x14ac:dyDescent="0.3">
      <c r="A95" s="11">
        <v>45455</v>
      </c>
      <c r="B95" s="4" t="str">
        <f>TEXT(Data!B95,"MMM-YYYY")</f>
        <v>Sep-2025</v>
      </c>
      <c r="C95" s="4" t="str">
        <f t="shared" si="2"/>
        <v>Q2-2024</v>
      </c>
      <c r="D95" t="s">
        <v>16</v>
      </c>
      <c r="E95" t="s">
        <v>25</v>
      </c>
      <c r="F95" t="s">
        <v>67</v>
      </c>
      <c r="G95" t="s">
        <v>81</v>
      </c>
      <c r="H95" s="7" t="str">
        <f t="shared" si="3"/>
        <v>High</v>
      </c>
      <c r="I95" s="4">
        <v>968.94</v>
      </c>
    </row>
    <row r="96" spans="1:9" x14ac:dyDescent="0.3">
      <c r="A96" s="11">
        <v>45456</v>
      </c>
      <c r="B96" s="4" t="str">
        <f>TEXT(Data!B96,"MMM-YYYY")</f>
        <v>Apr-2023</v>
      </c>
      <c r="C96" s="4" t="str">
        <f t="shared" si="2"/>
        <v>Q2-2024</v>
      </c>
      <c r="D96" t="s">
        <v>16</v>
      </c>
      <c r="E96" t="s">
        <v>17</v>
      </c>
      <c r="F96" t="s">
        <v>113</v>
      </c>
      <c r="G96" t="s">
        <v>42</v>
      </c>
      <c r="H96" s="7" t="str">
        <f t="shared" si="3"/>
        <v>High</v>
      </c>
      <c r="I96" s="4">
        <v>1088.81</v>
      </c>
    </row>
    <row r="97" spans="1:9" x14ac:dyDescent="0.3">
      <c r="A97" s="11">
        <v>45457</v>
      </c>
      <c r="B97" s="4" t="str">
        <f>TEXT(Data!B97,"MMM-YYYY")</f>
        <v>Aug-2025</v>
      </c>
      <c r="C97" s="4" t="str">
        <f t="shared" si="2"/>
        <v>Q2-2024</v>
      </c>
      <c r="D97" t="s">
        <v>78</v>
      </c>
      <c r="E97" t="s">
        <v>108</v>
      </c>
      <c r="F97" t="s">
        <v>228</v>
      </c>
      <c r="G97" t="s">
        <v>30</v>
      </c>
      <c r="H97" s="7" t="str">
        <f t="shared" si="3"/>
        <v>High</v>
      </c>
      <c r="I97" s="4">
        <v>2484.9899999999998</v>
      </c>
    </row>
    <row r="98" spans="1:9" x14ac:dyDescent="0.3">
      <c r="A98" s="11">
        <v>45458</v>
      </c>
      <c r="B98" s="4" t="str">
        <f>TEXT(Data!B98,"MMM-YYYY")</f>
        <v>May-2024</v>
      </c>
      <c r="C98" s="4" t="str">
        <f t="shared" si="2"/>
        <v>Q2-2024</v>
      </c>
      <c r="D98" t="s">
        <v>45</v>
      </c>
      <c r="E98" t="s">
        <v>60</v>
      </c>
      <c r="F98" t="s">
        <v>1364</v>
      </c>
      <c r="G98" t="s">
        <v>64</v>
      </c>
      <c r="H98" s="7" t="str">
        <f t="shared" si="3"/>
        <v>Low</v>
      </c>
      <c r="I98" s="4">
        <v>28.69</v>
      </c>
    </row>
    <row r="99" spans="1:9" x14ac:dyDescent="0.3">
      <c r="A99" s="11">
        <v>45459</v>
      </c>
      <c r="B99" s="4" t="str">
        <f>TEXT(Data!B99,"MMM-YYYY")</f>
        <v>Jul-2025</v>
      </c>
      <c r="C99" s="4" t="str">
        <f t="shared" si="2"/>
        <v>Q2-2024</v>
      </c>
      <c r="D99" t="s">
        <v>16</v>
      </c>
      <c r="E99" t="s">
        <v>25</v>
      </c>
      <c r="F99" t="s">
        <v>67</v>
      </c>
      <c r="G99" t="s">
        <v>81</v>
      </c>
      <c r="H99" s="7" t="str">
        <f t="shared" si="3"/>
        <v>High</v>
      </c>
      <c r="I99" s="4">
        <v>1896.62</v>
      </c>
    </row>
    <row r="100" spans="1:9" x14ac:dyDescent="0.3">
      <c r="A100" s="11">
        <v>45460</v>
      </c>
      <c r="B100" s="4" t="str">
        <f>TEXT(Data!B100,"MMM-YYYY")</f>
        <v>Feb-2023</v>
      </c>
      <c r="C100" s="4" t="str">
        <f t="shared" si="2"/>
        <v>Q2-2024</v>
      </c>
      <c r="D100" t="s">
        <v>45</v>
      </c>
      <c r="E100" t="s">
        <v>116</v>
      </c>
      <c r="F100" t="s">
        <v>117</v>
      </c>
      <c r="G100" t="s">
        <v>35</v>
      </c>
      <c r="H100" s="7" t="str">
        <f t="shared" si="3"/>
        <v>High</v>
      </c>
      <c r="I100" s="4">
        <v>419.17</v>
      </c>
    </row>
    <row r="101" spans="1:9" x14ac:dyDescent="0.3">
      <c r="A101" s="11">
        <v>45461</v>
      </c>
      <c r="B101" s="4" t="str">
        <f>TEXT(Data!B101,"MMM-YYYY")</f>
        <v>Jan-2025</v>
      </c>
      <c r="C101" s="4" t="str">
        <f t="shared" si="2"/>
        <v>Q2-2024</v>
      </c>
      <c r="D101" t="s">
        <v>78</v>
      </c>
      <c r="E101" t="s">
        <v>79</v>
      </c>
      <c r="F101" t="s">
        <v>80</v>
      </c>
      <c r="G101" t="s">
        <v>57</v>
      </c>
      <c r="H101" s="7" t="str">
        <f t="shared" si="3"/>
        <v>High</v>
      </c>
      <c r="I101" s="4">
        <v>2001.17</v>
      </c>
    </row>
    <row r="102" spans="1:9" x14ac:dyDescent="0.3">
      <c r="A102" s="11">
        <v>45462</v>
      </c>
      <c r="B102" s="4" t="str">
        <f>TEXT(Data!B102,"MMM-YYYY")</f>
        <v>Jan-2024</v>
      </c>
      <c r="C102" s="4" t="str">
        <f t="shared" si="2"/>
        <v>Q2-2024</v>
      </c>
      <c r="D102" t="s">
        <v>45</v>
      </c>
      <c r="E102" t="s">
        <v>116</v>
      </c>
      <c r="F102" t="s">
        <v>117</v>
      </c>
      <c r="G102" t="s">
        <v>42</v>
      </c>
      <c r="H102" s="7" t="str">
        <f t="shared" si="3"/>
        <v>High</v>
      </c>
      <c r="I102" s="4">
        <v>3104.71</v>
      </c>
    </row>
    <row r="103" spans="1:9" x14ac:dyDescent="0.3">
      <c r="A103" s="11">
        <v>45463</v>
      </c>
      <c r="B103" s="4" t="str">
        <f>TEXT(Data!B103,"MMM-YYYY")</f>
        <v>Mar-2025</v>
      </c>
      <c r="C103" s="4" t="str">
        <f t="shared" si="2"/>
        <v>Q2-2024</v>
      </c>
      <c r="D103" t="s">
        <v>45</v>
      </c>
      <c r="E103" t="s">
        <v>60</v>
      </c>
      <c r="F103" t="s">
        <v>220</v>
      </c>
      <c r="G103" t="s">
        <v>22</v>
      </c>
      <c r="H103" s="7" t="str">
        <f t="shared" si="3"/>
        <v>High</v>
      </c>
      <c r="I103" s="4">
        <v>334.28</v>
      </c>
    </row>
    <row r="104" spans="1:9" x14ac:dyDescent="0.3">
      <c r="A104" s="11">
        <v>45464</v>
      </c>
      <c r="B104" s="4" t="str">
        <f>TEXT(Data!B104,"MMM-YYYY")</f>
        <v>Dec-2024</v>
      </c>
      <c r="C104" s="4" t="str">
        <f t="shared" si="2"/>
        <v>Q2-2024</v>
      </c>
      <c r="D104" t="s">
        <v>16</v>
      </c>
      <c r="E104" t="s">
        <v>17</v>
      </c>
      <c r="F104" t="s">
        <v>135</v>
      </c>
      <c r="G104" t="s">
        <v>57</v>
      </c>
      <c r="H104" s="7" t="str">
        <f t="shared" si="3"/>
        <v>High</v>
      </c>
      <c r="I104" s="4">
        <v>1952.83</v>
      </c>
    </row>
    <row r="105" spans="1:9" x14ac:dyDescent="0.3">
      <c r="A105" s="11">
        <v>45465</v>
      </c>
      <c r="B105" s="4" t="str">
        <f>TEXT(Data!B105,"MMM-YYYY")</f>
        <v>Sep-2024</v>
      </c>
      <c r="C105" s="4" t="str">
        <f t="shared" si="2"/>
        <v>Q2-2024</v>
      </c>
      <c r="D105" t="s">
        <v>52</v>
      </c>
      <c r="E105" t="s">
        <v>53</v>
      </c>
      <c r="F105" t="s">
        <v>179</v>
      </c>
      <c r="G105" t="s">
        <v>81</v>
      </c>
      <c r="H105" s="7" t="str">
        <f t="shared" si="3"/>
        <v>High</v>
      </c>
      <c r="I105" s="4">
        <v>242.29</v>
      </c>
    </row>
    <row r="106" spans="1:9" x14ac:dyDescent="0.3">
      <c r="A106" s="11">
        <v>45466</v>
      </c>
      <c r="B106" s="4" t="str">
        <f>TEXT(Data!B106,"MMM-YYYY")</f>
        <v>May-2024</v>
      </c>
      <c r="C106" s="4" t="str">
        <f t="shared" si="2"/>
        <v>Q2-2024</v>
      </c>
      <c r="D106" t="s">
        <v>45</v>
      </c>
      <c r="E106" t="s">
        <v>116</v>
      </c>
      <c r="F106" t="s">
        <v>162</v>
      </c>
      <c r="G106" t="s">
        <v>57</v>
      </c>
      <c r="H106" s="7" t="str">
        <f t="shared" si="3"/>
        <v>High</v>
      </c>
      <c r="I106" s="4">
        <v>2968.87</v>
      </c>
    </row>
    <row r="107" spans="1:9" x14ac:dyDescent="0.3">
      <c r="A107" s="11">
        <v>45467</v>
      </c>
      <c r="B107" s="4" t="str">
        <f>TEXT(Data!B107,"MMM-YYYY")</f>
        <v>May-2023</v>
      </c>
      <c r="C107" s="4" t="str">
        <f t="shared" si="2"/>
        <v>Q2-2024</v>
      </c>
      <c r="D107" t="s">
        <v>16</v>
      </c>
      <c r="E107" t="s">
        <v>148</v>
      </c>
      <c r="F107" t="s">
        <v>149</v>
      </c>
      <c r="G107" t="s">
        <v>22</v>
      </c>
      <c r="H107" s="7" t="str">
        <f t="shared" si="3"/>
        <v>High</v>
      </c>
      <c r="I107" s="4">
        <v>1394.3</v>
      </c>
    </row>
    <row r="108" spans="1:9" x14ac:dyDescent="0.3">
      <c r="A108" s="11">
        <v>45468</v>
      </c>
      <c r="B108" s="4" t="str">
        <f>TEXT(Data!B108,"MMM-YYYY")</f>
        <v>Aug-2024</v>
      </c>
      <c r="C108" s="4" t="str">
        <f t="shared" si="2"/>
        <v>Q2-2024</v>
      </c>
      <c r="D108" t="s">
        <v>16</v>
      </c>
      <c r="E108" t="s">
        <v>17</v>
      </c>
      <c r="F108" t="s">
        <v>113</v>
      </c>
      <c r="G108" t="s">
        <v>42</v>
      </c>
      <c r="H108" s="7" t="str">
        <f t="shared" si="3"/>
        <v>Low</v>
      </c>
      <c r="I108" s="4">
        <v>15.41</v>
      </c>
    </row>
    <row r="109" spans="1:9" x14ac:dyDescent="0.3">
      <c r="A109" s="11">
        <v>45469</v>
      </c>
      <c r="B109" s="4" t="str">
        <f>TEXT(Data!B109,"MMM-YYYY")</f>
        <v>Oct-2024</v>
      </c>
      <c r="C109" s="4" t="str">
        <f t="shared" si="2"/>
        <v>Q2-2024</v>
      </c>
      <c r="D109" t="s">
        <v>78</v>
      </c>
      <c r="E109" t="s">
        <v>108</v>
      </c>
      <c r="F109" t="s">
        <v>228</v>
      </c>
      <c r="G109" t="s">
        <v>42</v>
      </c>
      <c r="H109" s="7" t="str">
        <f t="shared" si="3"/>
        <v>High</v>
      </c>
      <c r="I109" s="4">
        <v>2250.81</v>
      </c>
    </row>
    <row r="110" spans="1:9" x14ac:dyDescent="0.3">
      <c r="A110" s="11">
        <v>45470</v>
      </c>
      <c r="B110" s="4" t="str">
        <f>TEXT(Data!B110,"MMM-YYYY")</f>
        <v>Jun-2024</v>
      </c>
      <c r="C110" s="4" t="str">
        <f t="shared" si="2"/>
        <v>Q2-2024</v>
      </c>
      <c r="D110" t="s">
        <v>45</v>
      </c>
      <c r="E110" t="s">
        <v>46</v>
      </c>
      <c r="F110" t="s">
        <v>47</v>
      </c>
      <c r="G110" t="s">
        <v>35</v>
      </c>
      <c r="H110" s="7" t="str">
        <f t="shared" si="3"/>
        <v>Medium</v>
      </c>
      <c r="I110" s="4">
        <v>166.04</v>
      </c>
    </row>
    <row r="111" spans="1:9" x14ac:dyDescent="0.3">
      <c r="A111" s="11">
        <v>45471</v>
      </c>
      <c r="B111" s="4" t="str">
        <f>TEXT(Data!B111,"MMM-YYYY")</f>
        <v>Jun-2024</v>
      </c>
      <c r="C111" s="4" t="str">
        <f t="shared" si="2"/>
        <v>Q2-2024</v>
      </c>
      <c r="D111" t="s">
        <v>16</v>
      </c>
      <c r="E111" t="s">
        <v>17</v>
      </c>
      <c r="F111" t="s">
        <v>18</v>
      </c>
      <c r="G111" t="s">
        <v>81</v>
      </c>
      <c r="H111" s="7" t="str">
        <f t="shared" si="3"/>
        <v>High</v>
      </c>
      <c r="I111" s="4">
        <v>356.55</v>
      </c>
    </row>
    <row r="112" spans="1:9" x14ac:dyDescent="0.3">
      <c r="A112" s="11">
        <v>45472</v>
      </c>
      <c r="B112" s="4" t="str">
        <f>TEXT(Data!B112,"MMM-YYYY")</f>
        <v>Jun-2024</v>
      </c>
      <c r="C112" s="4" t="str">
        <f t="shared" si="2"/>
        <v>Q2-2024</v>
      </c>
      <c r="D112" t="s">
        <v>45</v>
      </c>
      <c r="E112" t="s">
        <v>116</v>
      </c>
      <c r="F112" t="s">
        <v>117</v>
      </c>
      <c r="G112" t="s">
        <v>22</v>
      </c>
      <c r="H112" s="7" t="str">
        <f t="shared" si="3"/>
        <v>High</v>
      </c>
      <c r="I112" s="4">
        <v>1025.05</v>
      </c>
    </row>
    <row r="113" spans="1:9" x14ac:dyDescent="0.3">
      <c r="A113" s="11">
        <v>45473</v>
      </c>
      <c r="B113" s="4" t="str">
        <f>TEXT(Data!B113,"MMM-YYYY")</f>
        <v>Jun-2024</v>
      </c>
      <c r="C113" s="4" t="str">
        <f t="shared" si="2"/>
        <v>Q2-2024</v>
      </c>
      <c r="D113" t="s">
        <v>78</v>
      </c>
      <c r="E113" t="s">
        <v>108</v>
      </c>
      <c r="F113" t="s">
        <v>109</v>
      </c>
      <c r="G113" t="s">
        <v>57</v>
      </c>
      <c r="H113" s="7" t="str">
        <f t="shared" si="3"/>
        <v>High</v>
      </c>
      <c r="I113" s="4">
        <v>1795.17</v>
      </c>
    </row>
    <row r="114" spans="1:9" x14ac:dyDescent="0.3">
      <c r="A114" s="11">
        <v>45474</v>
      </c>
      <c r="B114" s="4" t="str">
        <f>TEXT(Data!B114,"MMM-YYYY")</f>
        <v>Jan-2025</v>
      </c>
      <c r="C114" s="4" t="str">
        <f t="shared" si="2"/>
        <v>Q3-2024</v>
      </c>
      <c r="D114" t="s">
        <v>16</v>
      </c>
      <c r="E114" t="s">
        <v>148</v>
      </c>
      <c r="F114" t="s">
        <v>172</v>
      </c>
      <c r="G114" t="s">
        <v>35</v>
      </c>
      <c r="H114" s="7" t="str">
        <f t="shared" si="3"/>
        <v>Low</v>
      </c>
      <c r="I114" s="4">
        <v>4.37</v>
      </c>
    </row>
    <row r="115" spans="1:9" x14ac:dyDescent="0.3">
      <c r="A115" s="11">
        <v>45475</v>
      </c>
      <c r="B115" s="4" t="str">
        <f>TEXT(Data!B115,"MMM-YYYY")</f>
        <v>Nov-2023</v>
      </c>
      <c r="C115" s="4" t="str">
        <f t="shared" si="2"/>
        <v>Q3-2024</v>
      </c>
      <c r="D115" t="s">
        <v>52</v>
      </c>
      <c r="E115" t="s">
        <v>122</v>
      </c>
      <c r="F115" t="s">
        <v>326</v>
      </c>
      <c r="G115" t="s">
        <v>81</v>
      </c>
      <c r="H115" s="7" t="str">
        <f t="shared" si="3"/>
        <v>High</v>
      </c>
      <c r="I115" s="4">
        <v>218.5</v>
      </c>
    </row>
    <row r="116" spans="1:9" x14ac:dyDescent="0.3">
      <c r="A116" s="11">
        <v>45476</v>
      </c>
      <c r="B116" s="4" t="str">
        <f>TEXT(Data!B116,"MMM-YYYY")</f>
        <v>Mar-2023</v>
      </c>
      <c r="C116" s="4" t="str">
        <f t="shared" si="2"/>
        <v>Q3-2024</v>
      </c>
      <c r="D116" t="s">
        <v>45</v>
      </c>
      <c r="E116" t="s">
        <v>46</v>
      </c>
      <c r="F116" t="s">
        <v>214</v>
      </c>
      <c r="G116" t="s">
        <v>35</v>
      </c>
      <c r="H116" s="7" t="str">
        <f t="shared" si="3"/>
        <v>High</v>
      </c>
      <c r="I116" s="4">
        <v>249.87</v>
      </c>
    </row>
    <row r="117" spans="1:9" x14ac:dyDescent="0.3">
      <c r="A117" s="11">
        <v>45477</v>
      </c>
      <c r="B117" s="4" t="str">
        <f>TEXT(Data!B117,"MMM-YYYY")</f>
        <v>Jun-2025</v>
      </c>
      <c r="C117" s="4" t="str">
        <f t="shared" si="2"/>
        <v>Q3-2024</v>
      </c>
      <c r="D117" t="s">
        <v>52</v>
      </c>
      <c r="E117" t="s">
        <v>73</v>
      </c>
      <c r="F117" t="s">
        <v>87</v>
      </c>
      <c r="G117" t="s">
        <v>64</v>
      </c>
      <c r="H117" s="7" t="str">
        <f t="shared" si="3"/>
        <v>High</v>
      </c>
      <c r="I117" s="4">
        <v>3436.52</v>
      </c>
    </row>
    <row r="118" spans="1:9" x14ac:dyDescent="0.3">
      <c r="A118" s="11">
        <v>45478</v>
      </c>
      <c r="B118" s="4" t="str">
        <f>TEXT(Data!B118,"MMM-YYYY")</f>
        <v>Dec-2024</v>
      </c>
      <c r="C118" s="4" t="str">
        <f t="shared" si="2"/>
        <v>Q3-2024</v>
      </c>
      <c r="D118" t="s">
        <v>52</v>
      </c>
      <c r="E118" t="s">
        <v>53</v>
      </c>
      <c r="F118" t="s">
        <v>54</v>
      </c>
      <c r="G118" t="s">
        <v>30</v>
      </c>
      <c r="H118" s="7" t="str">
        <f t="shared" si="3"/>
        <v>Medium</v>
      </c>
      <c r="I118" s="4">
        <v>53.45</v>
      </c>
    </row>
    <row r="119" spans="1:9" x14ac:dyDescent="0.3">
      <c r="A119" s="11">
        <v>45479</v>
      </c>
      <c r="B119" s="4" t="str">
        <f>TEXT(Data!B119,"MMM-YYYY")</f>
        <v>Jun-2023</v>
      </c>
      <c r="C119" s="4" t="str">
        <f t="shared" si="2"/>
        <v>Q3-2024</v>
      </c>
      <c r="D119" t="s">
        <v>78</v>
      </c>
      <c r="E119" t="s">
        <v>79</v>
      </c>
      <c r="F119" t="s">
        <v>335</v>
      </c>
      <c r="G119" t="s">
        <v>57</v>
      </c>
      <c r="H119" s="7" t="str">
        <f t="shared" si="3"/>
        <v>High</v>
      </c>
      <c r="I119" s="4">
        <v>3469.7</v>
      </c>
    </row>
    <row r="120" spans="1:9" x14ac:dyDescent="0.3">
      <c r="A120" s="11">
        <v>45480</v>
      </c>
      <c r="B120" s="4" t="str">
        <f>TEXT(Data!B120,"MMM-YYYY")</f>
        <v>Jul-2025</v>
      </c>
      <c r="C120" s="4" t="str">
        <f t="shared" si="2"/>
        <v>Q3-2024</v>
      </c>
      <c r="D120" t="s">
        <v>45</v>
      </c>
      <c r="E120" t="s">
        <v>116</v>
      </c>
      <c r="F120" t="s">
        <v>338</v>
      </c>
      <c r="G120" t="s">
        <v>64</v>
      </c>
      <c r="H120" s="7" t="str">
        <f t="shared" si="3"/>
        <v>High</v>
      </c>
      <c r="I120" s="4">
        <v>621.02</v>
      </c>
    </row>
    <row r="121" spans="1:9" x14ac:dyDescent="0.3">
      <c r="A121" s="11">
        <v>45481</v>
      </c>
      <c r="B121" s="4" t="str">
        <f>TEXT(Data!B121,"MMM-YYYY")</f>
        <v>Jun-2025</v>
      </c>
      <c r="C121" s="4" t="str">
        <f t="shared" si="2"/>
        <v>Q3-2024</v>
      </c>
      <c r="D121" t="s">
        <v>52</v>
      </c>
      <c r="E121" t="s">
        <v>53</v>
      </c>
      <c r="F121" t="s">
        <v>179</v>
      </c>
      <c r="G121" t="s">
        <v>57</v>
      </c>
      <c r="H121" s="7" t="str">
        <f t="shared" si="3"/>
        <v>Medium</v>
      </c>
      <c r="I121" s="4">
        <v>88.51</v>
      </c>
    </row>
    <row r="122" spans="1:9" x14ac:dyDescent="0.3">
      <c r="A122" s="11">
        <v>45482</v>
      </c>
      <c r="B122" s="4" t="str">
        <f>TEXT(Data!B122,"MMM-YYYY")</f>
        <v>Nov-2023</v>
      </c>
      <c r="C122" s="4" t="str">
        <f t="shared" si="2"/>
        <v>Q3-2024</v>
      </c>
      <c r="D122" t="s">
        <v>78</v>
      </c>
      <c r="E122" t="s">
        <v>108</v>
      </c>
      <c r="F122" t="s">
        <v>1364</v>
      </c>
      <c r="G122" t="s">
        <v>35</v>
      </c>
      <c r="H122" s="7" t="str">
        <f t="shared" si="3"/>
        <v>High</v>
      </c>
      <c r="I122" s="4">
        <v>1959.09</v>
      </c>
    </row>
    <row r="123" spans="1:9" x14ac:dyDescent="0.3">
      <c r="A123" s="11">
        <v>45483</v>
      </c>
      <c r="B123" s="4" t="str">
        <f>TEXT(Data!B123,"MMM-YYYY")</f>
        <v>Dec-2023</v>
      </c>
      <c r="C123" s="4" t="str">
        <f t="shared" si="2"/>
        <v>Q3-2024</v>
      </c>
      <c r="D123" t="s">
        <v>78</v>
      </c>
      <c r="E123" t="s">
        <v>90</v>
      </c>
      <c r="F123" t="s">
        <v>138</v>
      </c>
      <c r="G123" t="s">
        <v>64</v>
      </c>
      <c r="H123" s="7" t="str">
        <f t="shared" si="3"/>
        <v>High</v>
      </c>
      <c r="I123" s="4">
        <v>2742.97</v>
      </c>
    </row>
    <row r="124" spans="1:9" x14ac:dyDescent="0.3">
      <c r="A124" s="11">
        <v>45484</v>
      </c>
      <c r="B124" s="4" t="str">
        <f>TEXT(Data!B124,"MMM-YYYY")</f>
        <v>Nov-2024</v>
      </c>
      <c r="C124" s="4" t="str">
        <f t="shared" si="2"/>
        <v>Q3-2024</v>
      </c>
      <c r="D124" t="s">
        <v>16</v>
      </c>
      <c r="E124" t="s">
        <v>17</v>
      </c>
      <c r="F124" t="s">
        <v>18</v>
      </c>
      <c r="G124" t="s">
        <v>42</v>
      </c>
      <c r="H124" s="7" t="str">
        <f t="shared" si="3"/>
        <v>High</v>
      </c>
      <c r="I124" s="4">
        <v>1679.42</v>
      </c>
    </row>
    <row r="125" spans="1:9" x14ac:dyDescent="0.3">
      <c r="A125" s="11">
        <v>45485</v>
      </c>
      <c r="B125" s="4" t="str">
        <f>TEXT(Data!B125,"MMM-YYYY")</f>
        <v>Aug-2023</v>
      </c>
      <c r="C125" s="4" t="str">
        <f t="shared" si="2"/>
        <v>Q3-2024</v>
      </c>
      <c r="D125" t="s">
        <v>52</v>
      </c>
      <c r="E125" t="s">
        <v>73</v>
      </c>
      <c r="F125" t="s">
        <v>87</v>
      </c>
      <c r="G125" t="s">
        <v>35</v>
      </c>
      <c r="H125" s="7" t="str">
        <f t="shared" si="3"/>
        <v>High</v>
      </c>
      <c r="I125" s="4">
        <v>1433.9</v>
      </c>
    </row>
    <row r="126" spans="1:9" x14ac:dyDescent="0.3">
      <c r="A126" s="11">
        <v>45486</v>
      </c>
      <c r="B126" s="4" t="str">
        <f>TEXT(Data!B126,"MMM-YYYY")</f>
        <v>Aug-2023</v>
      </c>
      <c r="C126" s="4" t="str">
        <f t="shared" si="2"/>
        <v>Q3-2024</v>
      </c>
      <c r="D126" t="s">
        <v>52</v>
      </c>
      <c r="E126" t="s">
        <v>53</v>
      </c>
      <c r="F126" t="s">
        <v>144</v>
      </c>
      <c r="G126" t="s">
        <v>22</v>
      </c>
      <c r="H126" s="7" t="str">
        <f t="shared" si="3"/>
        <v>High</v>
      </c>
      <c r="I126" s="4">
        <v>284.43</v>
      </c>
    </row>
    <row r="127" spans="1:9" x14ac:dyDescent="0.3">
      <c r="A127" s="11">
        <v>45487</v>
      </c>
      <c r="B127" s="4" t="str">
        <f>TEXT(Data!B127,"MMM-YYYY")</f>
        <v>Jun-2024</v>
      </c>
      <c r="C127" s="4" t="str">
        <f t="shared" si="2"/>
        <v>Q3-2024</v>
      </c>
      <c r="D127" t="s">
        <v>45</v>
      </c>
      <c r="E127" t="s">
        <v>116</v>
      </c>
      <c r="F127" t="s">
        <v>162</v>
      </c>
      <c r="G127" t="s">
        <v>22</v>
      </c>
      <c r="H127" s="7" t="str">
        <f t="shared" si="3"/>
        <v>High</v>
      </c>
      <c r="I127" s="4">
        <v>694.78</v>
      </c>
    </row>
    <row r="128" spans="1:9" x14ac:dyDescent="0.3">
      <c r="A128" s="11">
        <v>45488</v>
      </c>
      <c r="B128" s="4" t="str">
        <f>TEXT(Data!B128,"MMM-YYYY")</f>
        <v>Aug-2025</v>
      </c>
      <c r="C128" s="4" t="str">
        <f t="shared" si="2"/>
        <v>Q3-2024</v>
      </c>
      <c r="D128" t="s">
        <v>78</v>
      </c>
      <c r="E128" t="s">
        <v>79</v>
      </c>
      <c r="F128" t="s">
        <v>80</v>
      </c>
      <c r="G128" t="s">
        <v>22</v>
      </c>
      <c r="H128" s="7" t="str">
        <f t="shared" si="3"/>
        <v>High</v>
      </c>
      <c r="I128" s="4">
        <v>1848.39</v>
      </c>
    </row>
    <row r="129" spans="1:9" x14ac:dyDescent="0.3">
      <c r="A129" s="11">
        <v>45489</v>
      </c>
      <c r="B129" s="4" t="str">
        <f>TEXT(Data!B129,"MMM-YYYY")</f>
        <v>May-2024</v>
      </c>
      <c r="C129" s="4" t="str">
        <f t="shared" si="2"/>
        <v>Q3-2024</v>
      </c>
      <c r="D129" t="s">
        <v>78</v>
      </c>
      <c r="E129" t="s">
        <v>108</v>
      </c>
      <c r="F129" t="s">
        <v>152</v>
      </c>
      <c r="G129" t="s">
        <v>22</v>
      </c>
      <c r="H129" s="7" t="str">
        <f t="shared" si="3"/>
        <v>Low</v>
      </c>
      <c r="I129" s="4">
        <v>45.19</v>
      </c>
    </row>
    <row r="130" spans="1:9" x14ac:dyDescent="0.3">
      <c r="A130" s="11">
        <v>45490</v>
      </c>
      <c r="B130" s="4" t="str">
        <f>TEXT(Data!B130,"MMM-YYYY")</f>
        <v>Jan-2023</v>
      </c>
      <c r="C130" s="4" t="str">
        <f t="shared" ref="C130:C193" si="4">"Q"&amp;ROUNDUP(MONTH(A130)/3,0)&amp;"-"&amp;YEAR(A130)</f>
        <v>Q3-2024</v>
      </c>
      <c r="D130" t="s">
        <v>52</v>
      </c>
      <c r="E130" t="s">
        <v>122</v>
      </c>
      <c r="F130" t="s">
        <v>167</v>
      </c>
      <c r="G130" t="s">
        <v>42</v>
      </c>
      <c r="H130" s="7" t="str">
        <f t="shared" ref="H130:H193" si="5">IF(I130&lt;50, "Low", IF(I130&lt;200, "Medium", "High"))</f>
        <v>High</v>
      </c>
      <c r="I130" s="4">
        <v>361.1</v>
      </c>
    </row>
    <row r="131" spans="1:9" x14ac:dyDescent="0.3">
      <c r="A131" s="11">
        <v>45491</v>
      </c>
      <c r="B131" s="4" t="str">
        <f>TEXT(Data!B131,"MMM-YYYY")</f>
        <v>Feb-2025</v>
      </c>
      <c r="C131" s="4" t="str">
        <f t="shared" si="4"/>
        <v>Q3-2024</v>
      </c>
      <c r="D131" t="s">
        <v>52</v>
      </c>
      <c r="E131" t="s">
        <v>122</v>
      </c>
      <c r="F131" t="s">
        <v>167</v>
      </c>
      <c r="G131" t="s">
        <v>35</v>
      </c>
      <c r="H131" s="7" t="str">
        <f t="shared" si="5"/>
        <v>High</v>
      </c>
      <c r="I131" s="4">
        <v>1004.34</v>
      </c>
    </row>
    <row r="132" spans="1:9" x14ac:dyDescent="0.3">
      <c r="A132" s="11">
        <v>45492</v>
      </c>
      <c r="B132" s="4" t="str">
        <f>TEXT(Data!B132,"MMM-YYYY")</f>
        <v>Mar-2025</v>
      </c>
      <c r="C132" s="4" t="str">
        <f t="shared" si="4"/>
        <v>Q3-2024</v>
      </c>
      <c r="D132" t="s">
        <v>52</v>
      </c>
      <c r="E132" t="s">
        <v>73</v>
      </c>
      <c r="F132" t="s">
        <v>74</v>
      </c>
      <c r="G132" t="s">
        <v>64</v>
      </c>
      <c r="H132" s="7" t="str">
        <f t="shared" si="5"/>
        <v>High</v>
      </c>
      <c r="I132" s="4">
        <v>1027.73</v>
      </c>
    </row>
    <row r="133" spans="1:9" x14ac:dyDescent="0.3">
      <c r="A133" s="11">
        <v>45493</v>
      </c>
      <c r="B133" s="4" t="str">
        <f>TEXT(Data!B133,"MMM-YYYY")</f>
        <v>Jan-2023</v>
      </c>
      <c r="C133" s="4" t="str">
        <f t="shared" si="4"/>
        <v>Q3-2024</v>
      </c>
      <c r="D133" t="s">
        <v>16</v>
      </c>
      <c r="E133" t="s">
        <v>25</v>
      </c>
      <c r="F133" t="s">
        <v>67</v>
      </c>
      <c r="G133" t="s">
        <v>81</v>
      </c>
      <c r="H133" s="7" t="str">
        <f t="shared" si="5"/>
        <v>High</v>
      </c>
      <c r="I133" s="4">
        <v>468.09</v>
      </c>
    </row>
    <row r="134" spans="1:9" x14ac:dyDescent="0.3">
      <c r="A134" s="11">
        <v>45494</v>
      </c>
      <c r="B134" s="4" t="str">
        <f>TEXT(Data!B134,"MMM-YYYY")</f>
        <v>Jan-2025</v>
      </c>
      <c r="C134" s="4" t="str">
        <f t="shared" si="4"/>
        <v>Q3-2024</v>
      </c>
      <c r="D134" t="s">
        <v>78</v>
      </c>
      <c r="E134" t="s">
        <v>108</v>
      </c>
      <c r="F134" t="s">
        <v>228</v>
      </c>
      <c r="G134" t="s">
        <v>57</v>
      </c>
      <c r="H134" s="7" t="str">
        <f t="shared" si="5"/>
        <v>High</v>
      </c>
      <c r="I134" s="4">
        <v>668.02</v>
      </c>
    </row>
    <row r="135" spans="1:9" x14ac:dyDescent="0.3">
      <c r="A135" s="11">
        <v>45495</v>
      </c>
      <c r="B135" s="4" t="str">
        <f>TEXT(Data!B135,"MMM-YYYY")</f>
        <v>Dec-2024</v>
      </c>
      <c r="C135" s="4" t="str">
        <f t="shared" si="4"/>
        <v>Q3-2024</v>
      </c>
      <c r="D135" t="s">
        <v>45</v>
      </c>
      <c r="E135" t="s">
        <v>116</v>
      </c>
      <c r="F135" t="s">
        <v>338</v>
      </c>
      <c r="G135" t="s">
        <v>42</v>
      </c>
      <c r="H135" s="7" t="str">
        <f t="shared" si="5"/>
        <v>High</v>
      </c>
      <c r="I135" s="4">
        <v>537.27</v>
      </c>
    </row>
    <row r="136" spans="1:9" x14ac:dyDescent="0.3">
      <c r="A136" s="11">
        <v>45496</v>
      </c>
      <c r="B136" s="4" t="str">
        <f>TEXT(Data!B136,"MMM-YYYY")</f>
        <v>Apr-2023</v>
      </c>
      <c r="C136" s="4" t="str">
        <f t="shared" si="4"/>
        <v>Q3-2024</v>
      </c>
      <c r="D136" t="s">
        <v>52</v>
      </c>
      <c r="E136" t="s">
        <v>122</v>
      </c>
      <c r="F136" t="s">
        <v>167</v>
      </c>
      <c r="G136" t="s">
        <v>30</v>
      </c>
      <c r="H136" s="7" t="str">
        <f t="shared" si="5"/>
        <v>High</v>
      </c>
      <c r="I136" s="4">
        <v>572.71</v>
      </c>
    </row>
    <row r="137" spans="1:9" x14ac:dyDescent="0.3">
      <c r="A137" s="11">
        <v>45497</v>
      </c>
      <c r="B137" s="4" t="str">
        <f>TEXT(Data!B137,"MMM-YYYY")</f>
        <v>Dec-2024</v>
      </c>
      <c r="C137" s="4" t="str">
        <f t="shared" si="4"/>
        <v>Q3-2024</v>
      </c>
      <c r="D137" t="s">
        <v>78</v>
      </c>
      <c r="E137" t="s">
        <v>90</v>
      </c>
      <c r="F137" t="s">
        <v>138</v>
      </c>
      <c r="G137" t="s">
        <v>64</v>
      </c>
      <c r="H137" s="7" t="str">
        <f t="shared" si="5"/>
        <v>High</v>
      </c>
      <c r="I137" s="4">
        <v>2323.87</v>
      </c>
    </row>
    <row r="138" spans="1:9" x14ac:dyDescent="0.3">
      <c r="A138" s="11">
        <v>45498</v>
      </c>
      <c r="B138" s="4" t="str">
        <f>TEXT(Data!B138,"MMM-YYYY")</f>
        <v>Mar-2023</v>
      </c>
      <c r="C138" s="4" t="str">
        <f t="shared" si="4"/>
        <v>Q3-2024</v>
      </c>
      <c r="D138" t="s">
        <v>45</v>
      </c>
      <c r="E138" t="s">
        <v>116</v>
      </c>
      <c r="F138" t="s">
        <v>117</v>
      </c>
      <c r="G138" t="s">
        <v>22</v>
      </c>
      <c r="H138" s="7" t="str">
        <f t="shared" si="5"/>
        <v>High</v>
      </c>
      <c r="I138" s="4">
        <v>1631.04</v>
      </c>
    </row>
    <row r="139" spans="1:9" x14ac:dyDescent="0.3">
      <c r="A139" s="11">
        <v>45499</v>
      </c>
      <c r="B139" s="4" t="str">
        <f>TEXT(Data!B139,"MMM-YYYY")</f>
        <v>Nov-2024</v>
      </c>
      <c r="C139" s="4" t="str">
        <f t="shared" si="4"/>
        <v>Q3-2024</v>
      </c>
      <c r="D139" t="s">
        <v>16</v>
      </c>
      <c r="E139" t="s">
        <v>17</v>
      </c>
      <c r="F139" t="s">
        <v>113</v>
      </c>
      <c r="G139" t="s">
        <v>42</v>
      </c>
      <c r="H139" s="7" t="str">
        <f t="shared" si="5"/>
        <v>High</v>
      </c>
      <c r="I139" s="4">
        <v>393.31</v>
      </c>
    </row>
    <row r="140" spans="1:9" x14ac:dyDescent="0.3">
      <c r="A140" s="11">
        <v>45500</v>
      </c>
      <c r="B140" s="4" t="str">
        <f>TEXT(Data!B140,"MMM-YYYY")</f>
        <v>Feb-2024</v>
      </c>
      <c r="C140" s="4" t="str">
        <f t="shared" si="4"/>
        <v>Q3-2024</v>
      </c>
      <c r="D140" t="s">
        <v>78</v>
      </c>
      <c r="E140" t="s">
        <v>90</v>
      </c>
      <c r="F140" t="s">
        <v>217</v>
      </c>
      <c r="G140" t="s">
        <v>30</v>
      </c>
      <c r="H140" s="7" t="str">
        <f t="shared" si="5"/>
        <v>High</v>
      </c>
      <c r="I140" s="4">
        <v>1856.16</v>
      </c>
    </row>
    <row r="141" spans="1:9" x14ac:dyDescent="0.3">
      <c r="A141" s="11">
        <v>45501</v>
      </c>
      <c r="B141" s="4" t="str">
        <f>TEXT(Data!B141,"MMM-YYYY")</f>
        <v>May-2023</v>
      </c>
      <c r="C141" s="4" t="str">
        <f t="shared" si="4"/>
        <v>Q3-2024</v>
      </c>
      <c r="D141" t="s">
        <v>45</v>
      </c>
      <c r="E141" t="s">
        <v>116</v>
      </c>
      <c r="F141" t="s">
        <v>338</v>
      </c>
      <c r="G141" t="s">
        <v>81</v>
      </c>
      <c r="H141" s="7" t="str">
        <f t="shared" si="5"/>
        <v>Medium</v>
      </c>
      <c r="I141" s="4">
        <v>84.9</v>
      </c>
    </row>
    <row r="142" spans="1:9" x14ac:dyDescent="0.3">
      <c r="A142" s="11">
        <v>45502</v>
      </c>
      <c r="B142" s="4" t="str">
        <f>TEXT(Data!B142,"MMM-YYYY")</f>
        <v>Dec-2024</v>
      </c>
      <c r="C142" s="4" t="str">
        <f t="shared" si="4"/>
        <v>Q3-2024</v>
      </c>
      <c r="D142" t="s">
        <v>45</v>
      </c>
      <c r="E142" t="s">
        <v>60</v>
      </c>
      <c r="F142" t="s">
        <v>141</v>
      </c>
      <c r="G142" t="s">
        <v>64</v>
      </c>
      <c r="H142" s="7" t="str">
        <f t="shared" si="5"/>
        <v>High</v>
      </c>
      <c r="I142" s="4">
        <v>2252.2399999999998</v>
      </c>
    </row>
    <row r="143" spans="1:9" x14ac:dyDescent="0.3">
      <c r="A143" s="11">
        <v>45503</v>
      </c>
      <c r="B143" s="4" t="str">
        <f>TEXT(Data!B143,"MMM-YYYY")</f>
        <v>Jul-2023</v>
      </c>
      <c r="C143" s="4" t="str">
        <f t="shared" si="4"/>
        <v>Q3-2024</v>
      </c>
      <c r="D143" t="s">
        <v>78</v>
      </c>
      <c r="E143" t="s">
        <v>79</v>
      </c>
      <c r="F143" t="s">
        <v>80</v>
      </c>
      <c r="G143" t="s">
        <v>42</v>
      </c>
      <c r="H143" s="7" t="str">
        <f t="shared" si="5"/>
        <v>High</v>
      </c>
      <c r="I143" s="4">
        <v>921.62</v>
      </c>
    </row>
    <row r="144" spans="1:9" x14ac:dyDescent="0.3">
      <c r="A144" s="11">
        <v>45504</v>
      </c>
      <c r="B144" s="4" t="str">
        <f>TEXT(Data!B144,"MMM-YYYY")</f>
        <v>Jun-2024</v>
      </c>
      <c r="C144" s="4" t="str">
        <f t="shared" si="4"/>
        <v>Q3-2024</v>
      </c>
      <c r="D144" t="s">
        <v>52</v>
      </c>
      <c r="E144" t="s">
        <v>122</v>
      </c>
      <c r="F144" t="s">
        <v>387</v>
      </c>
      <c r="G144" t="s">
        <v>81</v>
      </c>
      <c r="H144" s="7" t="str">
        <f t="shared" si="5"/>
        <v>High</v>
      </c>
      <c r="I144" s="4">
        <v>1643.18</v>
      </c>
    </row>
    <row r="145" spans="1:9" x14ac:dyDescent="0.3">
      <c r="A145" s="11">
        <v>45505</v>
      </c>
      <c r="B145" s="4" t="str">
        <f>TEXT(Data!B145,"MMM-YYYY")</f>
        <v>Jul-2023</v>
      </c>
      <c r="C145" s="4" t="str">
        <f t="shared" si="4"/>
        <v>Q3-2024</v>
      </c>
      <c r="D145" t="s">
        <v>52</v>
      </c>
      <c r="E145" t="s">
        <v>53</v>
      </c>
      <c r="F145" t="s">
        <v>54</v>
      </c>
      <c r="G145" t="s">
        <v>30</v>
      </c>
      <c r="H145" s="7" t="str">
        <f t="shared" si="5"/>
        <v>High</v>
      </c>
      <c r="I145" s="4">
        <v>1467.17</v>
      </c>
    </row>
    <row r="146" spans="1:9" x14ac:dyDescent="0.3">
      <c r="A146" s="11">
        <v>45506</v>
      </c>
      <c r="B146" s="4" t="str">
        <f>TEXT(Data!B146,"MMM-YYYY")</f>
        <v>Nov-2023</v>
      </c>
      <c r="C146" s="4" t="str">
        <f t="shared" si="4"/>
        <v>Q3-2024</v>
      </c>
      <c r="D146" t="s">
        <v>52</v>
      </c>
      <c r="E146" t="s">
        <v>73</v>
      </c>
      <c r="F146" t="s">
        <v>87</v>
      </c>
      <c r="G146" t="s">
        <v>35</v>
      </c>
      <c r="H146" s="7" t="str">
        <f t="shared" si="5"/>
        <v>High</v>
      </c>
      <c r="I146" s="4">
        <v>998.76</v>
      </c>
    </row>
    <row r="147" spans="1:9" x14ac:dyDescent="0.3">
      <c r="A147" s="11">
        <v>45507</v>
      </c>
      <c r="B147" s="4" t="str">
        <f>TEXT(Data!B147,"MMM-YYYY")</f>
        <v>Sep-2025</v>
      </c>
      <c r="C147" s="4" t="str">
        <f t="shared" si="4"/>
        <v>Q3-2024</v>
      </c>
      <c r="D147" t="s">
        <v>16</v>
      </c>
      <c r="E147" t="s">
        <v>148</v>
      </c>
      <c r="F147" t="s">
        <v>172</v>
      </c>
      <c r="G147" t="s">
        <v>57</v>
      </c>
      <c r="H147" s="7" t="str">
        <f t="shared" si="5"/>
        <v>High</v>
      </c>
      <c r="I147" s="4">
        <v>630.72</v>
      </c>
    </row>
    <row r="148" spans="1:9" x14ac:dyDescent="0.3">
      <c r="A148" s="11">
        <v>45508</v>
      </c>
      <c r="B148" s="4" t="str">
        <f>TEXT(Data!B148,"MMM-YYYY")</f>
        <v>Apr-2024</v>
      </c>
      <c r="C148" s="4" t="str">
        <f t="shared" si="4"/>
        <v>Q3-2024</v>
      </c>
      <c r="D148" t="s">
        <v>16</v>
      </c>
      <c r="E148" t="s">
        <v>17</v>
      </c>
      <c r="F148" t="s">
        <v>33</v>
      </c>
      <c r="G148" t="s">
        <v>57</v>
      </c>
      <c r="H148" s="7" t="str">
        <f t="shared" si="5"/>
        <v>High</v>
      </c>
      <c r="I148" s="4">
        <v>728.61</v>
      </c>
    </row>
    <row r="149" spans="1:9" x14ac:dyDescent="0.3">
      <c r="A149" s="11">
        <v>45509</v>
      </c>
      <c r="B149" s="4" t="str">
        <f>TEXT(Data!B149,"MMM-YYYY")</f>
        <v>Sep-2023</v>
      </c>
      <c r="C149" s="4" t="str">
        <f t="shared" si="4"/>
        <v>Q3-2024</v>
      </c>
      <c r="D149" t="s">
        <v>78</v>
      </c>
      <c r="E149" t="s">
        <v>79</v>
      </c>
      <c r="F149" t="s">
        <v>335</v>
      </c>
      <c r="G149" t="s">
        <v>81</v>
      </c>
      <c r="H149" s="7" t="str">
        <f t="shared" si="5"/>
        <v>High</v>
      </c>
      <c r="I149" s="4">
        <v>951.51</v>
      </c>
    </row>
    <row r="150" spans="1:9" x14ac:dyDescent="0.3">
      <c r="A150" s="11">
        <v>45510</v>
      </c>
      <c r="B150" s="4" t="str">
        <f>TEXT(Data!B150,"MMM-YYYY")</f>
        <v>Sep-2024</v>
      </c>
      <c r="C150" s="4" t="str">
        <f t="shared" si="4"/>
        <v>Q3-2024</v>
      </c>
      <c r="D150" t="s">
        <v>78</v>
      </c>
      <c r="E150" t="s">
        <v>90</v>
      </c>
      <c r="F150" t="s">
        <v>138</v>
      </c>
      <c r="G150" t="s">
        <v>30</v>
      </c>
      <c r="H150" s="7" t="str">
        <f t="shared" si="5"/>
        <v>High</v>
      </c>
      <c r="I150" s="4">
        <v>732.88</v>
      </c>
    </row>
    <row r="151" spans="1:9" x14ac:dyDescent="0.3">
      <c r="A151" s="11">
        <v>45511</v>
      </c>
      <c r="B151" s="4" t="str">
        <f>TEXT(Data!B151,"MMM-YYYY")</f>
        <v>Apr-2025</v>
      </c>
      <c r="C151" s="4" t="str">
        <f t="shared" si="4"/>
        <v>Q3-2024</v>
      </c>
      <c r="D151" t="s">
        <v>52</v>
      </c>
      <c r="E151" t="s">
        <v>53</v>
      </c>
      <c r="F151" t="s">
        <v>179</v>
      </c>
      <c r="G151" t="s">
        <v>42</v>
      </c>
      <c r="H151" s="7" t="str">
        <f t="shared" si="5"/>
        <v>High</v>
      </c>
      <c r="I151" s="4">
        <v>2411.52</v>
      </c>
    </row>
    <row r="152" spans="1:9" x14ac:dyDescent="0.3">
      <c r="A152" s="11">
        <v>45512</v>
      </c>
      <c r="B152" s="4" t="str">
        <f>TEXT(Data!B152,"MMM-YYYY")</f>
        <v>Jul-2023</v>
      </c>
      <c r="C152" s="4" t="str">
        <f t="shared" si="4"/>
        <v>Q3-2024</v>
      </c>
      <c r="D152" t="s">
        <v>52</v>
      </c>
      <c r="E152" t="s">
        <v>53</v>
      </c>
      <c r="F152" t="s">
        <v>144</v>
      </c>
      <c r="G152" t="s">
        <v>30</v>
      </c>
      <c r="H152" s="7" t="str">
        <f t="shared" si="5"/>
        <v>High</v>
      </c>
      <c r="I152" s="4">
        <v>568.29</v>
      </c>
    </row>
    <row r="153" spans="1:9" x14ac:dyDescent="0.3">
      <c r="A153" s="11">
        <v>45513</v>
      </c>
      <c r="B153" s="4" t="str">
        <f>TEXT(Data!B153,"MMM-YYYY")</f>
        <v>Dec-2023</v>
      </c>
      <c r="C153" s="4" t="str">
        <f t="shared" si="4"/>
        <v>Q3-2024</v>
      </c>
      <c r="D153" t="s">
        <v>16</v>
      </c>
      <c r="E153" t="s">
        <v>148</v>
      </c>
      <c r="F153" t="s">
        <v>149</v>
      </c>
      <c r="G153" t="s">
        <v>57</v>
      </c>
      <c r="H153" s="7" t="str">
        <f t="shared" si="5"/>
        <v>High</v>
      </c>
      <c r="I153" s="4">
        <v>1254.95</v>
      </c>
    </row>
    <row r="154" spans="1:9" x14ac:dyDescent="0.3">
      <c r="A154" s="11">
        <v>45514</v>
      </c>
      <c r="B154" s="4" t="str">
        <f>TEXT(Data!B154,"MMM-YYYY")</f>
        <v>Feb-2024</v>
      </c>
      <c r="C154" s="4" t="str">
        <f t="shared" si="4"/>
        <v>Q3-2024</v>
      </c>
      <c r="D154" t="s">
        <v>45</v>
      </c>
      <c r="E154" t="s">
        <v>46</v>
      </c>
      <c r="F154" t="s">
        <v>214</v>
      </c>
      <c r="G154" t="s">
        <v>30</v>
      </c>
      <c r="H154" s="7" t="str">
        <f t="shared" si="5"/>
        <v>High</v>
      </c>
      <c r="I154" s="4">
        <v>845.55</v>
      </c>
    </row>
    <row r="155" spans="1:9" x14ac:dyDescent="0.3">
      <c r="A155" s="11">
        <v>45515</v>
      </c>
      <c r="B155" s="4" t="str">
        <f>TEXT(Data!B155,"MMM-YYYY")</f>
        <v>Oct-2023</v>
      </c>
      <c r="C155" s="4" t="str">
        <f t="shared" si="4"/>
        <v>Q3-2024</v>
      </c>
      <c r="D155" t="s">
        <v>16</v>
      </c>
      <c r="E155" t="s">
        <v>17</v>
      </c>
      <c r="F155" t="s">
        <v>18</v>
      </c>
      <c r="G155" t="s">
        <v>30</v>
      </c>
      <c r="H155" s="7" t="str">
        <f t="shared" si="5"/>
        <v>High</v>
      </c>
      <c r="I155" s="4">
        <v>2145.17</v>
      </c>
    </row>
    <row r="156" spans="1:9" x14ac:dyDescent="0.3">
      <c r="A156" s="11">
        <v>45516</v>
      </c>
      <c r="B156" s="4" t="str">
        <f>TEXT(Data!B156,"MMM-YYYY")</f>
        <v>Aug-2024</v>
      </c>
      <c r="C156" s="4" t="str">
        <f t="shared" si="4"/>
        <v>Q3-2024</v>
      </c>
      <c r="D156" t="s">
        <v>16</v>
      </c>
      <c r="E156" t="s">
        <v>17</v>
      </c>
      <c r="F156" t="s">
        <v>18</v>
      </c>
      <c r="G156" t="s">
        <v>81</v>
      </c>
      <c r="H156" s="7" t="str">
        <f t="shared" si="5"/>
        <v>High</v>
      </c>
      <c r="I156" s="4">
        <v>1349.94</v>
      </c>
    </row>
    <row r="157" spans="1:9" x14ac:dyDescent="0.3">
      <c r="A157" s="11">
        <v>45517</v>
      </c>
      <c r="B157" s="4" t="str">
        <f>TEXT(Data!B157,"MMM-YYYY")</f>
        <v>Feb-2024</v>
      </c>
      <c r="C157" s="4" t="str">
        <f t="shared" si="4"/>
        <v>Q3-2024</v>
      </c>
      <c r="D157" t="s">
        <v>45</v>
      </c>
      <c r="E157" t="s">
        <v>46</v>
      </c>
      <c r="F157" t="s">
        <v>47</v>
      </c>
      <c r="G157" t="s">
        <v>35</v>
      </c>
      <c r="H157" s="7" t="str">
        <f t="shared" si="5"/>
        <v>High</v>
      </c>
      <c r="I157" s="4">
        <v>527.48</v>
      </c>
    </row>
    <row r="158" spans="1:9" x14ac:dyDescent="0.3">
      <c r="A158" s="11">
        <v>45518</v>
      </c>
      <c r="B158" s="4" t="str">
        <f>TEXT(Data!B158,"MMM-YYYY")</f>
        <v>Aug-2024</v>
      </c>
      <c r="C158" s="4" t="str">
        <f t="shared" si="4"/>
        <v>Q3-2024</v>
      </c>
      <c r="D158" t="s">
        <v>78</v>
      </c>
      <c r="E158" t="s">
        <v>90</v>
      </c>
      <c r="F158" t="s">
        <v>217</v>
      </c>
      <c r="G158" t="s">
        <v>35</v>
      </c>
      <c r="H158" s="7" t="str">
        <f t="shared" si="5"/>
        <v>High</v>
      </c>
      <c r="I158" s="4">
        <v>1467.17</v>
      </c>
    </row>
    <row r="159" spans="1:9" x14ac:dyDescent="0.3">
      <c r="A159" s="11">
        <v>45519</v>
      </c>
      <c r="B159" s="4" t="str">
        <f>TEXT(Data!B159,"MMM-YYYY")</f>
        <v>Feb-2025</v>
      </c>
      <c r="C159" s="4" t="str">
        <f t="shared" si="4"/>
        <v>Q3-2024</v>
      </c>
      <c r="D159" t="s">
        <v>45</v>
      </c>
      <c r="E159" t="s">
        <v>60</v>
      </c>
      <c r="F159" t="s">
        <v>141</v>
      </c>
      <c r="G159" t="s">
        <v>22</v>
      </c>
      <c r="H159" s="7" t="str">
        <f t="shared" si="5"/>
        <v>High</v>
      </c>
      <c r="I159" s="4">
        <v>1651.14</v>
      </c>
    </row>
    <row r="160" spans="1:9" x14ac:dyDescent="0.3">
      <c r="A160" s="11">
        <v>45520</v>
      </c>
      <c r="B160" s="4" t="str">
        <f>TEXT(Data!B160,"MMM-YYYY")</f>
        <v>Aug-2025</v>
      </c>
      <c r="C160" s="4" t="str">
        <f t="shared" si="4"/>
        <v>Q3-2024</v>
      </c>
      <c r="D160" t="s">
        <v>78</v>
      </c>
      <c r="E160" t="s">
        <v>79</v>
      </c>
      <c r="F160" t="s">
        <v>335</v>
      </c>
      <c r="G160" t="s">
        <v>81</v>
      </c>
      <c r="H160" s="7" t="str">
        <f t="shared" si="5"/>
        <v>High</v>
      </c>
      <c r="I160" s="4">
        <v>1982.18</v>
      </c>
    </row>
    <row r="161" spans="1:9" x14ac:dyDescent="0.3">
      <c r="A161" s="11">
        <v>45521</v>
      </c>
      <c r="B161" s="4" t="str">
        <f>TEXT(Data!B161,"MMM-YYYY")</f>
        <v>Feb-2023</v>
      </c>
      <c r="C161" s="4" t="str">
        <f t="shared" si="4"/>
        <v>Q3-2024</v>
      </c>
      <c r="D161" t="s">
        <v>45</v>
      </c>
      <c r="E161" t="s">
        <v>116</v>
      </c>
      <c r="F161" t="s">
        <v>162</v>
      </c>
      <c r="G161" t="s">
        <v>42</v>
      </c>
      <c r="H161" s="7" t="str">
        <f t="shared" si="5"/>
        <v>High</v>
      </c>
      <c r="I161" s="4">
        <v>2552.2199999999998</v>
      </c>
    </row>
    <row r="162" spans="1:9" x14ac:dyDescent="0.3">
      <c r="A162" s="11">
        <v>45522</v>
      </c>
      <c r="B162" s="4" t="str">
        <f>TEXT(Data!B162,"MMM-YYYY")</f>
        <v>Oct-2024</v>
      </c>
      <c r="C162" s="4" t="str">
        <f t="shared" si="4"/>
        <v>Q3-2024</v>
      </c>
      <c r="D162" t="s">
        <v>45</v>
      </c>
      <c r="E162" t="s">
        <v>60</v>
      </c>
      <c r="F162" t="s">
        <v>141</v>
      </c>
      <c r="G162" t="s">
        <v>64</v>
      </c>
      <c r="H162" s="7" t="str">
        <f t="shared" si="5"/>
        <v>High</v>
      </c>
      <c r="I162" s="4">
        <v>523.01</v>
      </c>
    </row>
    <row r="163" spans="1:9" x14ac:dyDescent="0.3">
      <c r="A163" s="11">
        <v>45523</v>
      </c>
      <c r="B163" s="4" t="str">
        <f>TEXT(Data!B163,"MMM-YYYY")</f>
        <v>Apr-2024</v>
      </c>
      <c r="C163" s="4" t="str">
        <f t="shared" si="4"/>
        <v>Q3-2024</v>
      </c>
      <c r="D163" t="s">
        <v>45</v>
      </c>
      <c r="E163" t="s">
        <v>116</v>
      </c>
      <c r="F163" t="s">
        <v>117</v>
      </c>
      <c r="G163" t="s">
        <v>22</v>
      </c>
      <c r="H163" s="7" t="str">
        <f t="shared" si="5"/>
        <v>High</v>
      </c>
      <c r="I163" s="4">
        <v>1217.71</v>
      </c>
    </row>
    <row r="164" spans="1:9" x14ac:dyDescent="0.3">
      <c r="A164" s="11">
        <v>45524</v>
      </c>
      <c r="B164" s="4" t="str">
        <f>TEXT(Data!B164,"MMM-YYYY")</f>
        <v>Mar-2023</v>
      </c>
      <c r="C164" s="4" t="str">
        <f t="shared" si="4"/>
        <v>Q3-2024</v>
      </c>
      <c r="D164" t="s">
        <v>52</v>
      </c>
      <c r="E164" t="s">
        <v>73</v>
      </c>
      <c r="F164" t="s">
        <v>87</v>
      </c>
      <c r="G164" t="s">
        <v>42</v>
      </c>
      <c r="H164" s="7" t="str">
        <f t="shared" si="5"/>
        <v>High</v>
      </c>
      <c r="I164" s="4">
        <v>1343.64</v>
      </c>
    </row>
    <row r="165" spans="1:9" x14ac:dyDescent="0.3">
      <c r="A165" s="11">
        <v>45525</v>
      </c>
      <c r="B165" s="4" t="str">
        <f>TEXT(Data!B165,"MMM-YYYY")</f>
        <v>Jun-2024</v>
      </c>
      <c r="C165" s="4" t="str">
        <f t="shared" si="4"/>
        <v>Q3-2024</v>
      </c>
      <c r="D165" t="s">
        <v>45</v>
      </c>
      <c r="E165" t="s">
        <v>46</v>
      </c>
      <c r="F165" t="s">
        <v>47</v>
      </c>
      <c r="G165" t="s">
        <v>64</v>
      </c>
      <c r="H165" s="7" t="str">
        <f t="shared" si="5"/>
        <v>High</v>
      </c>
      <c r="I165" s="4">
        <v>301.7</v>
      </c>
    </row>
    <row r="166" spans="1:9" x14ac:dyDescent="0.3">
      <c r="A166" s="11">
        <v>45526</v>
      </c>
      <c r="B166" s="4" t="str">
        <f>TEXT(Data!B166,"MMM-YYYY")</f>
        <v>Feb-2023</v>
      </c>
      <c r="C166" s="4" t="str">
        <f t="shared" si="4"/>
        <v>Q3-2024</v>
      </c>
      <c r="D166" t="s">
        <v>45</v>
      </c>
      <c r="E166" t="s">
        <v>116</v>
      </c>
      <c r="F166" t="s">
        <v>162</v>
      </c>
      <c r="G166" t="s">
        <v>30</v>
      </c>
      <c r="H166" s="7" t="str">
        <f t="shared" si="5"/>
        <v>High</v>
      </c>
      <c r="I166" s="4">
        <v>1511.71</v>
      </c>
    </row>
    <row r="167" spans="1:9" x14ac:dyDescent="0.3">
      <c r="A167" s="11">
        <v>45527</v>
      </c>
      <c r="B167" s="4" t="str">
        <f>TEXT(Data!B167,"MMM-YYYY")</f>
        <v>Apr-2023</v>
      </c>
      <c r="C167" s="4" t="str">
        <f t="shared" si="4"/>
        <v>Q3-2024</v>
      </c>
      <c r="D167" t="s">
        <v>78</v>
      </c>
      <c r="E167" t="s">
        <v>79</v>
      </c>
      <c r="F167" t="s">
        <v>80</v>
      </c>
      <c r="G167" t="s">
        <v>64</v>
      </c>
      <c r="H167" s="7" t="str">
        <f t="shared" si="5"/>
        <v>High</v>
      </c>
      <c r="I167" s="4">
        <v>2055.2399999999998</v>
      </c>
    </row>
    <row r="168" spans="1:9" x14ac:dyDescent="0.3">
      <c r="A168" s="11">
        <v>45528</v>
      </c>
      <c r="B168" s="4" t="str">
        <f>TEXT(Data!B168,"MMM-YYYY")</f>
        <v>May-2024</v>
      </c>
      <c r="C168" s="4" t="str">
        <f t="shared" si="4"/>
        <v>Q3-2024</v>
      </c>
      <c r="D168" t="s">
        <v>45</v>
      </c>
      <c r="E168" t="s">
        <v>116</v>
      </c>
      <c r="F168" t="s">
        <v>117</v>
      </c>
      <c r="G168" t="s">
        <v>57</v>
      </c>
      <c r="H168" s="7" t="str">
        <f t="shared" si="5"/>
        <v>High</v>
      </c>
      <c r="I168" s="4">
        <v>391.15</v>
      </c>
    </row>
    <row r="169" spans="1:9" x14ac:dyDescent="0.3">
      <c r="A169" s="11">
        <v>45529</v>
      </c>
      <c r="B169" s="4" t="str">
        <f>TEXT(Data!B169,"MMM-YYYY")</f>
        <v>Oct-2023</v>
      </c>
      <c r="C169" s="4" t="str">
        <f t="shared" si="4"/>
        <v>Q3-2024</v>
      </c>
      <c r="D169" t="s">
        <v>78</v>
      </c>
      <c r="E169" t="s">
        <v>90</v>
      </c>
      <c r="F169" t="s">
        <v>91</v>
      </c>
      <c r="G169" t="s">
        <v>64</v>
      </c>
      <c r="H169" s="7" t="str">
        <f t="shared" si="5"/>
        <v>High</v>
      </c>
      <c r="I169" s="4">
        <v>1848.97</v>
      </c>
    </row>
    <row r="170" spans="1:9" x14ac:dyDescent="0.3">
      <c r="A170" s="11">
        <v>45530</v>
      </c>
      <c r="B170" s="4" t="str">
        <f>TEXT(Data!B170,"MMM-YYYY")</f>
        <v>Oct-2024</v>
      </c>
      <c r="C170" s="4" t="str">
        <f t="shared" si="4"/>
        <v>Q3-2024</v>
      </c>
      <c r="D170" t="s">
        <v>45</v>
      </c>
      <c r="E170" t="s">
        <v>60</v>
      </c>
      <c r="F170" t="s">
        <v>281</v>
      </c>
      <c r="G170" t="s">
        <v>64</v>
      </c>
      <c r="H170" s="7" t="str">
        <f t="shared" si="5"/>
        <v>High</v>
      </c>
      <c r="I170" s="4">
        <v>1395.56</v>
      </c>
    </row>
    <row r="171" spans="1:9" x14ac:dyDescent="0.3">
      <c r="A171" s="11">
        <v>45531</v>
      </c>
      <c r="B171" s="4" t="str">
        <f>TEXT(Data!B171,"MMM-YYYY")</f>
        <v>Jul-2024</v>
      </c>
      <c r="C171" s="4" t="str">
        <f t="shared" si="4"/>
        <v>Q3-2024</v>
      </c>
      <c r="D171" t="s">
        <v>78</v>
      </c>
      <c r="E171" t="s">
        <v>108</v>
      </c>
      <c r="F171" t="s">
        <v>228</v>
      </c>
      <c r="G171" t="s">
        <v>22</v>
      </c>
      <c r="H171" s="7" t="str">
        <f t="shared" si="5"/>
        <v>High</v>
      </c>
      <c r="I171" s="4">
        <v>538.04</v>
      </c>
    </row>
    <row r="172" spans="1:9" x14ac:dyDescent="0.3">
      <c r="A172" s="11">
        <v>45532</v>
      </c>
      <c r="B172" s="4" t="str">
        <f>TEXT(Data!B172,"MMM-YYYY")</f>
        <v>Sep-2023</v>
      </c>
      <c r="C172" s="4" t="str">
        <f t="shared" si="4"/>
        <v>Q3-2024</v>
      </c>
      <c r="D172" t="s">
        <v>45</v>
      </c>
      <c r="E172" t="s">
        <v>46</v>
      </c>
      <c r="F172" t="s">
        <v>214</v>
      </c>
      <c r="G172" t="s">
        <v>81</v>
      </c>
      <c r="H172" s="7" t="str">
        <f t="shared" si="5"/>
        <v>High</v>
      </c>
      <c r="I172" s="4">
        <v>1218.92</v>
      </c>
    </row>
    <row r="173" spans="1:9" x14ac:dyDescent="0.3">
      <c r="A173" s="11">
        <v>45533</v>
      </c>
      <c r="B173" s="4" t="str">
        <f>TEXT(Data!B173,"MMM-YYYY")</f>
        <v>Feb-2023</v>
      </c>
      <c r="C173" s="4" t="str">
        <f t="shared" si="4"/>
        <v>Q3-2024</v>
      </c>
      <c r="D173" t="s">
        <v>45</v>
      </c>
      <c r="E173" t="s">
        <v>46</v>
      </c>
      <c r="F173" t="s">
        <v>214</v>
      </c>
      <c r="G173" t="s">
        <v>22</v>
      </c>
      <c r="H173" s="7" t="str">
        <f t="shared" si="5"/>
        <v>High</v>
      </c>
      <c r="I173" s="4">
        <v>2062.12</v>
      </c>
    </row>
    <row r="174" spans="1:9" x14ac:dyDescent="0.3">
      <c r="A174" s="11">
        <v>45534</v>
      </c>
      <c r="B174" s="4" t="str">
        <f>TEXT(Data!B174,"MMM-YYYY")</f>
        <v>May-2025</v>
      </c>
      <c r="C174" s="4" t="str">
        <f t="shared" si="4"/>
        <v>Q3-2024</v>
      </c>
      <c r="D174" t="s">
        <v>52</v>
      </c>
      <c r="E174" t="s">
        <v>122</v>
      </c>
      <c r="F174" t="s">
        <v>387</v>
      </c>
      <c r="G174" t="s">
        <v>22</v>
      </c>
      <c r="H174" s="7" t="str">
        <f t="shared" si="5"/>
        <v>Low</v>
      </c>
      <c r="I174" s="4">
        <v>10.18</v>
      </c>
    </row>
    <row r="175" spans="1:9" x14ac:dyDescent="0.3">
      <c r="A175" s="11">
        <v>45535</v>
      </c>
      <c r="B175" s="4" t="str">
        <f>TEXT(Data!B175,"MMM-YYYY")</f>
        <v>May-2024</v>
      </c>
      <c r="C175" s="4" t="str">
        <f t="shared" si="4"/>
        <v>Q3-2024</v>
      </c>
      <c r="D175" t="s">
        <v>16</v>
      </c>
      <c r="E175" t="s">
        <v>148</v>
      </c>
      <c r="F175" t="s">
        <v>149</v>
      </c>
      <c r="G175" t="s">
        <v>57</v>
      </c>
      <c r="H175" s="7" t="str">
        <f t="shared" si="5"/>
        <v>High</v>
      </c>
      <c r="I175" s="4">
        <v>2281.7199999999998</v>
      </c>
    </row>
    <row r="176" spans="1:9" x14ac:dyDescent="0.3">
      <c r="A176" s="11">
        <v>45536</v>
      </c>
      <c r="B176" s="4" t="str">
        <f>TEXT(Data!B176,"MMM-YYYY")</f>
        <v>Apr-2025</v>
      </c>
      <c r="C176" s="4" t="str">
        <f t="shared" si="4"/>
        <v>Q3-2024</v>
      </c>
      <c r="D176" t="s">
        <v>16</v>
      </c>
      <c r="E176" t="s">
        <v>148</v>
      </c>
      <c r="F176" t="s">
        <v>149</v>
      </c>
      <c r="G176" t="s">
        <v>30</v>
      </c>
      <c r="H176" s="7" t="str">
        <f t="shared" si="5"/>
        <v>High</v>
      </c>
      <c r="I176" s="4">
        <v>249.57</v>
      </c>
    </row>
    <row r="177" spans="1:9" x14ac:dyDescent="0.3">
      <c r="A177" s="11">
        <v>45537</v>
      </c>
      <c r="B177" s="4" t="str">
        <f>TEXT(Data!B177,"MMM-YYYY")</f>
        <v>Aug-2023</v>
      </c>
      <c r="C177" s="4" t="str">
        <f t="shared" si="4"/>
        <v>Q3-2024</v>
      </c>
      <c r="D177" t="s">
        <v>78</v>
      </c>
      <c r="E177" t="s">
        <v>108</v>
      </c>
      <c r="F177" t="s">
        <v>109</v>
      </c>
      <c r="G177" t="s">
        <v>64</v>
      </c>
      <c r="H177" s="7" t="str">
        <f t="shared" si="5"/>
        <v>High</v>
      </c>
      <c r="I177" s="4">
        <v>3275</v>
      </c>
    </row>
    <row r="178" spans="1:9" x14ac:dyDescent="0.3">
      <c r="A178" s="11">
        <v>45538</v>
      </c>
      <c r="B178" s="4" t="str">
        <f>TEXT(Data!B178,"MMM-YYYY")</f>
        <v>Feb-2024</v>
      </c>
      <c r="C178" s="4" t="str">
        <f t="shared" si="4"/>
        <v>Q3-2024</v>
      </c>
      <c r="D178" t="s">
        <v>78</v>
      </c>
      <c r="E178" t="s">
        <v>108</v>
      </c>
      <c r="F178" t="s">
        <v>152</v>
      </c>
      <c r="G178" t="s">
        <v>30</v>
      </c>
      <c r="H178" s="7" t="str">
        <f t="shared" si="5"/>
        <v>High</v>
      </c>
      <c r="I178" s="4">
        <v>1913.76</v>
      </c>
    </row>
    <row r="179" spans="1:9" x14ac:dyDescent="0.3">
      <c r="A179" s="11">
        <v>45539</v>
      </c>
      <c r="B179" s="4" t="str">
        <f>TEXT(Data!B179,"MMM-YYYY")</f>
        <v>Apr-2023</v>
      </c>
      <c r="C179" s="4" t="str">
        <f t="shared" si="4"/>
        <v>Q3-2024</v>
      </c>
      <c r="D179" t="s">
        <v>78</v>
      </c>
      <c r="E179" t="s">
        <v>79</v>
      </c>
      <c r="F179" t="s">
        <v>335</v>
      </c>
      <c r="G179" t="s">
        <v>22</v>
      </c>
      <c r="H179" s="7" t="str">
        <f t="shared" si="5"/>
        <v>Low</v>
      </c>
      <c r="I179" s="4">
        <v>30.09</v>
      </c>
    </row>
    <row r="180" spans="1:9" x14ac:dyDescent="0.3">
      <c r="A180" s="11">
        <v>45540</v>
      </c>
      <c r="B180" s="4" t="str">
        <f>TEXT(Data!B180,"MMM-YYYY")</f>
        <v>Aug-2025</v>
      </c>
      <c r="C180" s="4" t="str">
        <f t="shared" si="4"/>
        <v>Q3-2024</v>
      </c>
      <c r="D180" t="s">
        <v>52</v>
      </c>
      <c r="E180" t="s">
        <v>53</v>
      </c>
      <c r="F180" t="s">
        <v>179</v>
      </c>
      <c r="G180" t="s">
        <v>64</v>
      </c>
      <c r="H180" s="7" t="str">
        <f t="shared" si="5"/>
        <v>High</v>
      </c>
      <c r="I180" s="4">
        <v>501.31</v>
      </c>
    </row>
    <row r="181" spans="1:9" x14ac:dyDescent="0.3">
      <c r="A181" s="11">
        <v>45541</v>
      </c>
      <c r="B181" s="4" t="str">
        <f>TEXT(Data!B181,"MMM-YYYY")</f>
        <v>Sep-2025</v>
      </c>
      <c r="C181" s="4" t="str">
        <f t="shared" si="4"/>
        <v>Q3-2024</v>
      </c>
      <c r="D181" t="s">
        <v>45</v>
      </c>
      <c r="E181" t="s">
        <v>116</v>
      </c>
      <c r="F181" t="s">
        <v>117</v>
      </c>
      <c r="G181" t="s">
        <v>30</v>
      </c>
      <c r="H181" s="7" t="str">
        <f t="shared" si="5"/>
        <v>High</v>
      </c>
      <c r="I181" s="4">
        <v>411.18</v>
      </c>
    </row>
    <row r="182" spans="1:9" x14ac:dyDescent="0.3">
      <c r="A182" s="11">
        <v>45542</v>
      </c>
      <c r="B182" s="4" t="str">
        <f>TEXT(Data!B182,"MMM-YYYY")</f>
        <v>Oct-2024</v>
      </c>
      <c r="C182" s="4" t="str">
        <f t="shared" si="4"/>
        <v>Q3-2024</v>
      </c>
      <c r="D182" t="s">
        <v>52</v>
      </c>
      <c r="E182" t="s">
        <v>73</v>
      </c>
      <c r="F182" t="s">
        <v>225</v>
      </c>
      <c r="G182" t="s">
        <v>81</v>
      </c>
      <c r="H182" s="7" t="str">
        <f t="shared" si="5"/>
        <v>Low</v>
      </c>
      <c r="I182" s="4">
        <v>5.92</v>
      </c>
    </row>
    <row r="183" spans="1:9" x14ac:dyDescent="0.3">
      <c r="A183" s="11">
        <v>45543</v>
      </c>
      <c r="B183" s="4" t="str">
        <f>TEXT(Data!B183,"MMM-YYYY")</f>
        <v>Feb-2025</v>
      </c>
      <c r="C183" s="4" t="str">
        <f t="shared" si="4"/>
        <v>Q3-2024</v>
      </c>
      <c r="D183" t="s">
        <v>45</v>
      </c>
      <c r="E183" t="s">
        <v>116</v>
      </c>
      <c r="F183" t="s">
        <v>338</v>
      </c>
      <c r="G183" t="s">
        <v>42</v>
      </c>
      <c r="H183" s="7" t="str">
        <f t="shared" si="5"/>
        <v>High</v>
      </c>
      <c r="I183" s="4">
        <v>2206.63</v>
      </c>
    </row>
    <row r="184" spans="1:9" x14ac:dyDescent="0.3">
      <c r="A184" s="11">
        <v>45544</v>
      </c>
      <c r="B184" s="4" t="str">
        <f>TEXT(Data!B184,"MMM-YYYY")</f>
        <v>Aug-2023</v>
      </c>
      <c r="C184" s="4" t="str">
        <f t="shared" si="4"/>
        <v>Q3-2024</v>
      </c>
      <c r="D184" t="s">
        <v>45</v>
      </c>
      <c r="E184" t="s">
        <v>46</v>
      </c>
      <c r="F184" t="s">
        <v>47</v>
      </c>
      <c r="G184" t="s">
        <v>81</v>
      </c>
      <c r="H184" s="7" t="str">
        <f t="shared" si="5"/>
        <v>High</v>
      </c>
      <c r="I184" s="4">
        <v>1912.8</v>
      </c>
    </row>
    <row r="185" spans="1:9" x14ac:dyDescent="0.3">
      <c r="A185" s="11">
        <v>45545</v>
      </c>
      <c r="B185" s="4" t="str">
        <f>TEXT(Data!B185,"MMM-YYYY")</f>
        <v>Oct-2024</v>
      </c>
      <c r="C185" s="4" t="str">
        <f t="shared" si="4"/>
        <v>Q3-2024</v>
      </c>
      <c r="D185" t="s">
        <v>16</v>
      </c>
      <c r="E185" t="s">
        <v>25</v>
      </c>
      <c r="F185" t="s">
        <v>67</v>
      </c>
      <c r="G185" t="s">
        <v>64</v>
      </c>
      <c r="H185" s="7" t="str">
        <f t="shared" si="5"/>
        <v>High</v>
      </c>
      <c r="I185" s="4">
        <v>1382.31</v>
      </c>
    </row>
    <row r="186" spans="1:9" x14ac:dyDescent="0.3">
      <c r="A186" s="11">
        <v>45546</v>
      </c>
      <c r="B186" s="4" t="str">
        <f>TEXT(Data!B186,"MMM-YYYY")</f>
        <v>Jun-2023</v>
      </c>
      <c r="C186" s="4" t="str">
        <f t="shared" si="4"/>
        <v>Q3-2024</v>
      </c>
      <c r="D186" t="s">
        <v>16</v>
      </c>
      <c r="E186" t="s">
        <v>25</v>
      </c>
      <c r="F186" t="s">
        <v>26</v>
      </c>
      <c r="G186" t="s">
        <v>64</v>
      </c>
      <c r="H186" s="7" t="str">
        <f t="shared" si="5"/>
        <v>High</v>
      </c>
      <c r="I186" s="4">
        <v>1355.61</v>
      </c>
    </row>
    <row r="187" spans="1:9" x14ac:dyDescent="0.3">
      <c r="A187" s="11">
        <v>45547</v>
      </c>
      <c r="B187" s="4" t="str">
        <f>TEXT(Data!B187,"MMM-YYYY")</f>
        <v>Jan-2025</v>
      </c>
      <c r="C187" s="4" t="str">
        <f t="shared" si="4"/>
        <v>Q3-2024</v>
      </c>
      <c r="D187" t="s">
        <v>78</v>
      </c>
      <c r="E187" t="s">
        <v>90</v>
      </c>
      <c r="F187" t="s">
        <v>138</v>
      </c>
      <c r="G187" t="s">
        <v>81</v>
      </c>
      <c r="H187" s="7" t="str">
        <f t="shared" si="5"/>
        <v>High</v>
      </c>
      <c r="I187" s="4">
        <v>887.9</v>
      </c>
    </row>
    <row r="188" spans="1:9" x14ac:dyDescent="0.3">
      <c r="A188" s="11">
        <v>45548</v>
      </c>
      <c r="B188" s="4" t="str">
        <f>TEXT(Data!B188,"MMM-YYYY")</f>
        <v>Jan-2023</v>
      </c>
      <c r="C188" s="4" t="str">
        <f t="shared" si="4"/>
        <v>Q3-2024</v>
      </c>
      <c r="D188" t="s">
        <v>78</v>
      </c>
      <c r="E188" t="s">
        <v>90</v>
      </c>
      <c r="F188" t="s">
        <v>217</v>
      </c>
      <c r="G188" t="s">
        <v>64</v>
      </c>
      <c r="H188" s="7" t="str">
        <f t="shared" si="5"/>
        <v>High</v>
      </c>
      <c r="I188" s="4">
        <v>1020.69</v>
      </c>
    </row>
    <row r="189" spans="1:9" x14ac:dyDescent="0.3">
      <c r="A189" s="11">
        <v>45549</v>
      </c>
      <c r="B189" s="4" t="str">
        <f>TEXT(Data!B189,"MMM-YYYY")</f>
        <v>Jul-2023</v>
      </c>
      <c r="C189" s="4" t="str">
        <f t="shared" si="4"/>
        <v>Q3-2024</v>
      </c>
      <c r="D189" t="s">
        <v>45</v>
      </c>
      <c r="E189" t="s">
        <v>60</v>
      </c>
      <c r="F189" t="s">
        <v>61</v>
      </c>
      <c r="G189" t="s">
        <v>81</v>
      </c>
      <c r="H189" s="7" t="str">
        <f t="shared" si="5"/>
        <v>High</v>
      </c>
      <c r="I189" s="4">
        <v>1395.53</v>
      </c>
    </row>
    <row r="190" spans="1:9" x14ac:dyDescent="0.3">
      <c r="A190" s="11">
        <v>45550</v>
      </c>
      <c r="B190" s="4" t="str">
        <f>TEXT(Data!B190,"MMM-YYYY")</f>
        <v>May-2024</v>
      </c>
      <c r="C190" s="4" t="str">
        <f t="shared" si="4"/>
        <v>Q3-2024</v>
      </c>
      <c r="D190" t="s">
        <v>52</v>
      </c>
      <c r="E190" t="s">
        <v>73</v>
      </c>
      <c r="F190" t="s">
        <v>225</v>
      </c>
      <c r="G190" t="s">
        <v>64</v>
      </c>
      <c r="H190" s="7" t="str">
        <f t="shared" si="5"/>
        <v>High</v>
      </c>
      <c r="I190" s="4">
        <v>2273.42</v>
      </c>
    </row>
    <row r="191" spans="1:9" x14ac:dyDescent="0.3">
      <c r="A191" s="11">
        <v>45551</v>
      </c>
      <c r="B191" s="4" t="str">
        <f>TEXT(Data!B191,"MMM-YYYY")</f>
        <v>Feb-2024</v>
      </c>
      <c r="C191" s="4" t="str">
        <f t="shared" si="4"/>
        <v>Q3-2024</v>
      </c>
      <c r="D191" t="s">
        <v>52</v>
      </c>
      <c r="E191" t="s">
        <v>73</v>
      </c>
      <c r="F191" t="s">
        <v>87</v>
      </c>
      <c r="G191" t="s">
        <v>64</v>
      </c>
      <c r="H191" s="7" t="str">
        <f t="shared" si="5"/>
        <v>High</v>
      </c>
      <c r="I191" s="4">
        <v>1242.1500000000001</v>
      </c>
    </row>
    <row r="192" spans="1:9" x14ac:dyDescent="0.3">
      <c r="A192" s="11">
        <v>45552</v>
      </c>
      <c r="B192" s="4" t="str">
        <f>TEXT(Data!B192,"MMM-YYYY")</f>
        <v>Aug-2023</v>
      </c>
      <c r="C192" s="4" t="str">
        <f t="shared" si="4"/>
        <v>Q3-2024</v>
      </c>
      <c r="D192" t="s">
        <v>45</v>
      </c>
      <c r="E192" t="s">
        <v>116</v>
      </c>
      <c r="F192" t="s">
        <v>117</v>
      </c>
      <c r="G192" t="s">
        <v>57</v>
      </c>
      <c r="H192" s="7" t="str">
        <f t="shared" si="5"/>
        <v>High</v>
      </c>
      <c r="I192" s="4">
        <v>1310.29</v>
      </c>
    </row>
    <row r="193" spans="1:9" x14ac:dyDescent="0.3">
      <c r="A193" s="11">
        <v>45553</v>
      </c>
      <c r="B193" s="4" t="str">
        <f>TEXT(Data!B193,"MMM-YYYY")</f>
        <v>Aug-2024</v>
      </c>
      <c r="C193" s="4" t="str">
        <f t="shared" si="4"/>
        <v>Q3-2024</v>
      </c>
      <c r="D193" t="s">
        <v>78</v>
      </c>
      <c r="E193" t="s">
        <v>108</v>
      </c>
      <c r="F193" t="s">
        <v>109</v>
      </c>
      <c r="G193" t="s">
        <v>64</v>
      </c>
      <c r="H193" s="7" t="str">
        <f t="shared" si="5"/>
        <v>High</v>
      </c>
      <c r="I193" s="4">
        <v>967.25</v>
      </c>
    </row>
    <row r="194" spans="1:9" x14ac:dyDescent="0.3">
      <c r="A194" s="11">
        <v>45554</v>
      </c>
      <c r="B194" s="4" t="str">
        <f>TEXT(Data!B194,"MMM-YYYY")</f>
        <v>Oct-2023</v>
      </c>
      <c r="C194" s="4" t="str">
        <f t="shared" ref="C194:C257" si="6">"Q"&amp;ROUNDUP(MONTH(A194)/3,0)&amp;"-"&amp;YEAR(A194)</f>
        <v>Q3-2024</v>
      </c>
      <c r="D194" t="s">
        <v>52</v>
      </c>
      <c r="E194" t="s">
        <v>122</v>
      </c>
      <c r="F194" t="s">
        <v>326</v>
      </c>
      <c r="G194" t="s">
        <v>57</v>
      </c>
      <c r="H194" s="7" t="str">
        <f t="shared" ref="H194:H257" si="7">IF(I194&lt;50, "Low", IF(I194&lt;200, "Medium", "High"))</f>
        <v>High</v>
      </c>
      <c r="I194" s="4">
        <v>886.22</v>
      </c>
    </row>
    <row r="195" spans="1:9" x14ac:dyDescent="0.3">
      <c r="A195" s="11">
        <v>45555</v>
      </c>
      <c r="B195" s="4" t="str">
        <f>TEXT(Data!B195,"MMM-YYYY")</f>
        <v>May-2023</v>
      </c>
      <c r="C195" s="4" t="str">
        <f t="shared" si="6"/>
        <v>Q3-2024</v>
      </c>
      <c r="D195" t="s">
        <v>45</v>
      </c>
      <c r="E195" t="s">
        <v>116</v>
      </c>
      <c r="F195" t="s">
        <v>117</v>
      </c>
      <c r="G195" t="s">
        <v>30</v>
      </c>
      <c r="H195" s="7" t="str">
        <f t="shared" si="7"/>
        <v>High</v>
      </c>
      <c r="I195" s="4">
        <v>790.61</v>
      </c>
    </row>
    <row r="196" spans="1:9" x14ac:dyDescent="0.3">
      <c r="A196" s="11">
        <v>45556</v>
      </c>
      <c r="B196" s="4" t="str">
        <f>TEXT(Data!B196,"MMM-YYYY")</f>
        <v>Sep-2024</v>
      </c>
      <c r="C196" s="4" t="str">
        <f t="shared" si="6"/>
        <v>Q3-2024</v>
      </c>
      <c r="D196" t="s">
        <v>52</v>
      </c>
      <c r="E196" t="s">
        <v>122</v>
      </c>
      <c r="F196" t="s">
        <v>167</v>
      </c>
      <c r="G196" t="s">
        <v>35</v>
      </c>
      <c r="H196" s="7" t="str">
        <f t="shared" si="7"/>
        <v>High</v>
      </c>
      <c r="I196" s="4">
        <v>361.33</v>
      </c>
    </row>
    <row r="197" spans="1:9" x14ac:dyDescent="0.3">
      <c r="A197" s="11">
        <v>45557</v>
      </c>
      <c r="B197" s="4" t="str">
        <f>TEXT(Data!B197,"MMM-YYYY")</f>
        <v>Oct-2024</v>
      </c>
      <c r="C197" s="4" t="str">
        <f t="shared" si="6"/>
        <v>Q3-2024</v>
      </c>
      <c r="D197" t="s">
        <v>52</v>
      </c>
      <c r="E197" t="s">
        <v>73</v>
      </c>
      <c r="F197" t="s">
        <v>74</v>
      </c>
      <c r="G197" t="s">
        <v>64</v>
      </c>
      <c r="H197" s="7" t="str">
        <f t="shared" si="7"/>
        <v>High</v>
      </c>
      <c r="I197" s="4">
        <v>1952.04</v>
      </c>
    </row>
    <row r="198" spans="1:9" x14ac:dyDescent="0.3">
      <c r="A198" s="11">
        <v>45558</v>
      </c>
      <c r="B198" s="4" t="str">
        <f>TEXT(Data!B198,"MMM-YYYY")</f>
        <v>Feb-2024</v>
      </c>
      <c r="C198" s="4" t="str">
        <f t="shared" si="6"/>
        <v>Q3-2024</v>
      </c>
      <c r="D198" t="s">
        <v>45</v>
      </c>
      <c r="E198" t="s">
        <v>46</v>
      </c>
      <c r="F198" t="s">
        <v>47</v>
      </c>
      <c r="G198" t="s">
        <v>42</v>
      </c>
      <c r="H198" s="7" t="str">
        <f t="shared" si="7"/>
        <v>High</v>
      </c>
      <c r="I198" s="4">
        <v>1564.76</v>
      </c>
    </row>
    <row r="199" spans="1:9" x14ac:dyDescent="0.3">
      <c r="A199" s="11">
        <v>45559</v>
      </c>
      <c r="B199" s="4" t="str">
        <f>TEXT(Data!B199,"MMM-YYYY")</f>
        <v>Jan-2023</v>
      </c>
      <c r="C199" s="4" t="str">
        <f t="shared" si="6"/>
        <v>Q3-2024</v>
      </c>
      <c r="D199" t="s">
        <v>16</v>
      </c>
      <c r="E199" t="s">
        <v>17</v>
      </c>
      <c r="F199" t="s">
        <v>18</v>
      </c>
      <c r="G199" t="s">
        <v>42</v>
      </c>
      <c r="H199" s="7" t="str">
        <f t="shared" si="7"/>
        <v>High</v>
      </c>
      <c r="I199" s="4">
        <v>852.54</v>
      </c>
    </row>
    <row r="200" spans="1:9" x14ac:dyDescent="0.3">
      <c r="A200" s="11">
        <v>45560</v>
      </c>
      <c r="B200" s="4" t="str">
        <f>TEXT(Data!B200,"MMM-YYYY")</f>
        <v>Apr-2023</v>
      </c>
      <c r="C200" s="4" t="str">
        <f t="shared" si="6"/>
        <v>Q3-2024</v>
      </c>
      <c r="D200" t="s">
        <v>78</v>
      </c>
      <c r="E200" t="s">
        <v>79</v>
      </c>
      <c r="F200" t="s">
        <v>159</v>
      </c>
      <c r="G200" t="s">
        <v>35</v>
      </c>
      <c r="H200" s="7" t="str">
        <f t="shared" si="7"/>
        <v>High</v>
      </c>
      <c r="I200" s="4">
        <v>1465.29</v>
      </c>
    </row>
    <row r="201" spans="1:9" x14ac:dyDescent="0.3">
      <c r="A201" s="11">
        <v>45561</v>
      </c>
      <c r="B201" s="4" t="str">
        <f>TEXT(Data!B201,"MMM-YYYY")</f>
        <v>Jan-2023</v>
      </c>
      <c r="C201" s="4" t="str">
        <f t="shared" si="6"/>
        <v>Q3-2024</v>
      </c>
      <c r="D201" t="s">
        <v>78</v>
      </c>
      <c r="E201" t="s">
        <v>79</v>
      </c>
      <c r="F201" t="s">
        <v>335</v>
      </c>
      <c r="G201" t="s">
        <v>30</v>
      </c>
      <c r="H201" s="7" t="str">
        <f t="shared" si="7"/>
        <v>High</v>
      </c>
      <c r="I201" s="4">
        <v>2645.23</v>
      </c>
    </row>
    <row r="202" spans="1:9" x14ac:dyDescent="0.3">
      <c r="A202" s="11">
        <v>45562</v>
      </c>
      <c r="B202" s="4" t="str">
        <f>TEXT(Data!B202,"MMM-YYYY")</f>
        <v>Jan-2024</v>
      </c>
      <c r="C202" s="4" t="str">
        <f t="shared" si="6"/>
        <v>Q3-2024</v>
      </c>
      <c r="D202" t="s">
        <v>52</v>
      </c>
      <c r="E202" t="s">
        <v>122</v>
      </c>
      <c r="F202" t="s">
        <v>123</v>
      </c>
      <c r="G202" t="s">
        <v>42</v>
      </c>
      <c r="H202" s="7" t="str">
        <f t="shared" si="7"/>
        <v>High</v>
      </c>
      <c r="I202" s="4">
        <v>881.57</v>
      </c>
    </row>
    <row r="203" spans="1:9" x14ac:dyDescent="0.3">
      <c r="A203" s="11">
        <v>45563</v>
      </c>
      <c r="B203" s="4" t="str">
        <f>TEXT(Data!B203,"MMM-YYYY")</f>
        <v>Aug-2023</v>
      </c>
      <c r="C203" s="4" t="str">
        <f t="shared" si="6"/>
        <v>Q3-2024</v>
      </c>
      <c r="D203" t="s">
        <v>52</v>
      </c>
      <c r="E203" t="s">
        <v>122</v>
      </c>
      <c r="F203" t="s">
        <v>123</v>
      </c>
      <c r="G203" t="s">
        <v>30</v>
      </c>
      <c r="H203" s="7" t="str">
        <f t="shared" si="7"/>
        <v>High</v>
      </c>
      <c r="I203" s="4">
        <v>625.04</v>
      </c>
    </row>
    <row r="204" spans="1:9" x14ac:dyDescent="0.3">
      <c r="A204" s="11">
        <v>45564</v>
      </c>
      <c r="B204" s="4" t="str">
        <f>TEXT(Data!B204,"MMM-YYYY")</f>
        <v>Jan-2023</v>
      </c>
      <c r="C204" s="4" t="str">
        <f t="shared" si="6"/>
        <v>Q3-2024</v>
      </c>
      <c r="D204" t="s">
        <v>52</v>
      </c>
      <c r="E204" t="s">
        <v>122</v>
      </c>
      <c r="F204" t="s">
        <v>387</v>
      </c>
      <c r="G204" t="s">
        <v>42</v>
      </c>
      <c r="H204" s="7" t="str">
        <f t="shared" si="7"/>
        <v>High</v>
      </c>
      <c r="I204" s="4">
        <v>973.04</v>
      </c>
    </row>
    <row r="205" spans="1:9" x14ac:dyDescent="0.3">
      <c r="A205" s="11">
        <v>45565</v>
      </c>
      <c r="B205" s="4" t="str">
        <f>TEXT(Data!B205,"MMM-YYYY")</f>
        <v>Feb-2025</v>
      </c>
      <c r="C205" s="4" t="str">
        <f t="shared" si="6"/>
        <v>Q3-2024</v>
      </c>
      <c r="D205" t="s">
        <v>16</v>
      </c>
      <c r="E205" t="s">
        <v>17</v>
      </c>
      <c r="F205" t="s">
        <v>18</v>
      </c>
      <c r="G205" t="s">
        <v>35</v>
      </c>
      <c r="H205" s="7" t="str">
        <f t="shared" si="7"/>
        <v>High</v>
      </c>
      <c r="I205" s="4">
        <v>1545.34</v>
      </c>
    </row>
    <row r="206" spans="1:9" x14ac:dyDescent="0.3">
      <c r="A206" s="11">
        <v>45566</v>
      </c>
      <c r="B206" s="4" t="str">
        <f>TEXT(Data!B206,"MMM-YYYY")</f>
        <v>Apr-2023</v>
      </c>
      <c r="C206" s="4" t="str">
        <f t="shared" si="6"/>
        <v>Q4-2024</v>
      </c>
      <c r="D206" t="s">
        <v>78</v>
      </c>
      <c r="E206" t="s">
        <v>108</v>
      </c>
      <c r="F206" t="s">
        <v>109</v>
      </c>
      <c r="G206" t="s">
        <v>64</v>
      </c>
      <c r="H206" s="7" t="str">
        <f t="shared" si="7"/>
        <v>High</v>
      </c>
      <c r="I206" s="4">
        <v>2253.42</v>
      </c>
    </row>
    <row r="207" spans="1:9" x14ac:dyDescent="0.3">
      <c r="A207" s="11">
        <v>45567</v>
      </c>
      <c r="B207" s="4" t="str">
        <f>TEXT(Data!B207,"MMM-YYYY")</f>
        <v>Jul-2023</v>
      </c>
      <c r="C207" s="4" t="str">
        <f t="shared" si="6"/>
        <v>Q4-2024</v>
      </c>
      <c r="D207" t="s">
        <v>78</v>
      </c>
      <c r="E207" t="s">
        <v>79</v>
      </c>
      <c r="F207" t="s">
        <v>80</v>
      </c>
      <c r="G207" t="s">
        <v>64</v>
      </c>
      <c r="H207" s="7" t="str">
        <f t="shared" si="7"/>
        <v>High</v>
      </c>
      <c r="I207" s="4">
        <v>2446.56</v>
      </c>
    </row>
    <row r="208" spans="1:9" x14ac:dyDescent="0.3">
      <c r="A208" s="11">
        <v>45568</v>
      </c>
      <c r="B208" s="4" t="str">
        <f>TEXT(Data!B208,"MMM-YYYY")</f>
        <v>Jan-2025</v>
      </c>
      <c r="C208" s="4" t="str">
        <f t="shared" si="6"/>
        <v>Q4-2024</v>
      </c>
      <c r="D208" t="s">
        <v>78</v>
      </c>
      <c r="E208" t="s">
        <v>108</v>
      </c>
      <c r="F208" t="s">
        <v>109</v>
      </c>
      <c r="G208" t="s">
        <v>22</v>
      </c>
      <c r="H208" s="7" t="str">
        <f t="shared" si="7"/>
        <v>Medium</v>
      </c>
      <c r="I208" s="4">
        <v>188.3</v>
      </c>
    </row>
    <row r="209" spans="1:9" x14ac:dyDescent="0.3">
      <c r="A209" s="11">
        <v>45569</v>
      </c>
      <c r="B209" s="4" t="str">
        <f>TEXT(Data!B209,"MMM-YYYY")</f>
        <v>Sep-2024</v>
      </c>
      <c r="C209" s="4" t="str">
        <f t="shared" si="6"/>
        <v>Q4-2024</v>
      </c>
      <c r="D209" t="s">
        <v>16</v>
      </c>
      <c r="E209" t="s">
        <v>17</v>
      </c>
      <c r="F209" t="s">
        <v>33</v>
      </c>
      <c r="G209" t="s">
        <v>81</v>
      </c>
      <c r="H209" s="7" t="str">
        <f t="shared" si="7"/>
        <v>High</v>
      </c>
      <c r="I209" s="4">
        <v>2562.84</v>
      </c>
    </row>
    <row r="210" spans="1:9" x14ac:dyDescent="0.3">
      <c r="A210" s="11">
        <v>45570</v>
      </c>
      <c r="B210" s="4" t="str">
        <f>TEXT(Data!B210,"MMM-YYYY")</f>
        <v>Jul-2025</v>
      </c>
      <c r="C210" s="4" t="str">
        <f t="shared" si="6"/>
        <v>Q4-2024</v>
      </c>
      <c r="D210" t="s">
        <v>16</v>
      </c>
      <c r="E210" t="s">
        <v>17</v>
      </c>
      <c r="F210" t="s">
        <v>18</v>
      </c>
      <c r="G210" t="s">
        <v>30</v>
      </c>
      <c r="H210" s="7" t="str">
        <f t="shared" si="7"/>
        <v>High</v>
      </c>
      <c r="I210" s="4">
        <v>1805.11</v>
      </c>
    </row>
    <row r="211" spans="1:9" x14ac:dyDescent="0.3">
      <c r="A211" s="11">
        <v>45571</v>
      </c>
      <c r="B211" s="4" t="str">
        <f>TEXT(Data!B211,"MMM-YYYY")</f>
        <v>Oct-2024</v>
      </c>
      <c r="C211" s="4" t="str">
        <f t="shared" si="6"/>
        <v>Q4-2024</v>
      </c>
      <c r="D211" t="s">
        <v>16</v>
      </c>
      <c r="E211" t="s">
        <v>25</v>
      </c>
      <c r="F211" t="s">
        <v>38</v>
      </c>
      <c r="G211" t="s">
        <v>81</v>
      </c>
      <c r="H211" s="7" t="str">
        <f t="shared" si="7"/>
        <v>High</v>
      </c>
      <c r="I211" s="4">
        <v>2065.73</v>
      </c>
    </row>
    <row r="212" spans="1:9" x14ac:dyDescent="0.3">
      <c r="A212" s="11">
        <v>45572</v>
      </c>
      <c r="B212" s="4" t="str">
        <f>TEXT(Data!B212,"MMM-YYYY")</f>
        <v>Jul-2025</v>
      </c>
      <c r="C212" s="4" t="str">
        <f t="shared" si="6"/>
        <v>Q4-2024</v>
      </c>
      <c r="D212" t="s">
        <v>16</v>
      </c>
      <c r="E212" t="s">
        <v>148</v>
      </c>
      <c r="F212" t="s">
        <v>172</v>
      </c>
      <c r="G212" t="s">
        <v>22</v>
      </c>
      <c r="H212" s="7" t="str">
        <f t="shared" si="7"/>
        <v>High</v>
      </c>
      <c r="I212" s="4">
        <v>2366.5100000000002</v>
      </c>
    </row>
    <row r="213" spans="1:9" x14ac:dyDescent="0.3">
      <c r="A213" s="11">
        <v>45573</v>
      </c>
      <c r="B213" s="4" t="str">
        <f>TEXT(Data!B213,"MMM-YYYY")</f>
        <v>Sep-2024</v>
      </c>
      <c r="C213" s="4" t="str">
        <f t="shared" si="6"/>
        <v>Q4-2024</v>
      </c>
      <c r="D213" t="s">
        <v>52</v>
      </c>
      <c r="E213" t="s">
        <v>53</v>
      </c>
      <c r="F213" t="s">
        <v>144</v>
      </c>
      <c r="G213" t="s">
        <v>64</v>
      </c>
      <c r="H213" s="7" t="str">
        <f t="shared" si="7"/>
        <v>Medium</v>
      </c>
      <c r="I213" s="4">
        <v>131.76</v>
      </c>
    </row>
    <row r="214" spans="1:9" x14ac:dyDescent="0.3">
      <c r="A214" s="11">
        <v>45574</v>
      </c>
      <c r="B214" s="4" t="str">
        <f>TEXT(Data!B214,"MMM-YYYY")</f>
        <v>Jan-2025</v>
      </c>
      <c r="C214" s="4" t="str">
        <f t="shared" si="6"/>
        <v>Q4-2024</v>
      </c>
      <c r="D214" t="s">
        <v>45</v>
      </c>
      <c r="E214" t="s">
        <v>116</v>
      </c>
      <c r="F214" t="s">
        <v>117</v>
      </c>
      <c r="G214" t="s">
        <v>30</v>
      </c>
      <c r="H214" s="7" t="str">
        <f t="shared" si="7"/>
        <v>High</v>
      </c>
      <c r="I214" s="4">
        <v>1335.02</v>
      </c>
    </row>
    <row r="215" spans="1:9" x14ac:dyDescent="0.3">
      <c r="A215" s="11">
        <v>45575</v>
      </c>
      <c r="B215" s="4" t="str">
        <f>TEXT(Data!B215,"MMM-YYYY")</f>
        <v>Nov-2023</v>
      </c>
      <c r="C215" s="4" t="str">
        <f t="shared" si="6"/>
        <v>Q4-2024</v>
      </c>
      <c r="D215" t="s">
        <v>16</v>
      </c>
      <c r="E215" t="s">
        <v>17</v>
      </c>
      <c r="F215" t="s">
        <v>18</v>
      </c>
      <c r="G215" t="s">
        <v>42</v>
      </c>
      <c r="H215" s="7" t="str">
        <f t="shared" si="7"/>
        <v>High</v>
      </c>
      <c r="I215" s="4">
        <v>2691.45</v>
      </c>
    </row>
    <row r="216" spans="1:9" x14ac:dyDescent="0.3">
      <c r="A216" s="11">
        <v>45576</v>
      </c>
      <c r="B216" s="4" t="str">
        <f>TEXT(Data!B216,"MMM-YYYY")</f>
        <v>Feb-2024</v>
      </c>
      <c r="C216" s="4" t="str">
        <f t="shared" si="6"/>
        <v>Q4-2024</v>
      </c>
      <c r="D216" t="s">
        <v>52</v>
      </c>
      <c r="E216" t="s">
        <v>73</v>
      </c>
      <c r="F216" t="s">
        <v>87</v>
      </c>
      <c r="G216" t="s">
        <v>81</v>
      </c>
      <c r="H216" s="7" t="str">
        <f t="shared" si="7"/>
        <v>High</v>
      </c>
      <c r="I216" s="4">
        <v>776.46</v>
      </c>
    </row>
    <row r="217" spans="1:9" x14ac:dyDescent="0.3">
      <c r="A217" s="11">
        <v>45577</v>
      </c>
      <c r="B217" s="4" t="str">
        <f>TEXT(Data!B217,"MMM-YYYY")</f>
        <v>Dec-2023</v>
      </c>
      <c r="C217" s="4" t="str">
        <f t="shared" si="6"/>
        <v>Q4-2024</v>
      </c>
      <c r="D217" t="s">
        <v>45</v>
      </c>
      <c r="E217" t="s">
        <v>46</v>
      </c>
      <c r="F217" t="s">
        <v>231</v>
      </c>
      <c r="G217" t="s">
        <v>35</v>
      </c>
      <c r="H217" s="7" t="str">
        <f t="shared" si="7"/>
        <v>High</v>
      </c>
      <c r="I217" s="4">
        <v>318.17</v>
      </c>
    </row>
    <row r="218" spans="1:9" x14ac:dyDescent="0.3">
      <c r="A218" s="11">
        <v>45578</v>
      </c>
      <c r="B218" s="4" t="str">
        <f>TEXT(Data!B218,"MMM-YYYY")</f>
        <v>Jan-2023</v>
      </c>
      <c r="C218" s="4" t="str">
        <f t="shared" si="6"/>
        <v>Q4-2024</v>
      </c>
      <c r="D218" t="s">
        <v>45</v>
      </c>
      <c r="E218" t="s">
        <v>60</v>
      </c>
      <c r="F218" t="s">
        <v>220</v>
      </c>
      <c r="G218" t="s">
        <v>64</v>
      </c>
      <c r="H218" s="7" t="str">
        <f t="shared" si="7"/>
        <v>High</v>
      </c>
      <c r="I218" s="4">
        <v>1246.4100000000001</v>
      </c>
    </row>
    <row r="219" spans="1:9" x14ac:dyDescent="0.3">
      <c r="A219" s="11">
        <v>45579</v>
      </c>
      <c r="B219" s="4" t="str">
        <f>TEXT(Data!B219,"MMM-YYYY")</f>
        <v>Oct-2024</v>
      </c>
      <c r="C219" s="4" t="str">
        <f t="shared" si="6"/>
        <v>Q4-2024</v>
      </c>
      <c r="D219" t="s">
        <v>78</v>
      </c>
      <c r="E219" t="s">
        <v>79</v>
      </c>
      <c r="F219" t="s">
        <v>159</v>
      </c>
      <c r="G219" t="s">
        <v>64</v>
      </c>
      <c r="H219" s="7" t="str">
        <f t="shared" si="7"/>
        <v>High</v>
      </c>
      <c r="I219" s="4">
        <v>346.96</v>
      </c>
    </row>
    <row r="220" spans="1:9" x14ac:dyDescent="0.3">
      <c r="A220" s="11">
        <v>45580</v>
      </c>
      <c r="B220" s="4" t="str">
        <f>TEXT(Data!B220,"MMM-YYYY")</f>
        <v>Sep-2024</v>
      </c>
      <c r="C220" s="4" t="str">
        <f t="shared" si="6"/>
        <v>Q4-2024</v>
      </c>
      <c r="D220" t="s">
        <v>45</v>
      </c>
      <c r="E220" t="s">
        <v>116</v>
      </c>
      <c r="F220" t="s">
        <v>162</v>
      </c>
      <c r="G220" t="s">
        <v>30</v>
      </c>
      <c r="H220" s="7" t="str">
        <f t="shared" si="7"/>
        <v>High</v>
      </c>
      <c r="I220" s="4">
        <v>504.76</v>
      </c>
    </row>
    <row r="221" spans="1:9" x14ac:dyDescent="0.3">
      <c r="A221" s="11">
        <v>45581</v>
      </c>
      <c r="B221" s="4" t="str">
        <f>TEXT(Data!B221,"MMM-YYYY")</f>
        <v>Aug-2025</v>
      </c>
      <c r="C221" s="4" t="str">
        <f t="shared" si="6"/>
        <v>Q4-2024</v>
      </c>
      <c r="D221" t="s">
        <v>52</v>
      </c>
      <c r="E221" t="s">
        <v>73</v>
      </c>
      <c r="F221" t="s">
        <v>225</v>
      </c>
      <c r="G221" t="s">
        <v>30</v>
      </c>
      <c r="H221" s="7" t="str">
        <f t="shared" si="7"/>
        <v>High</v>
      </c>
      <c r="I221" s="4">
        <v>937.46</v>
      </c>
    </row>
    <row r="222" spans="1:9" x14ac:dyDescent="0.3">
      <c r="A222" s="11">
        <v>45582</v>
      </c>
      <c r="B222" s="4" t="str">
        <f>TEXT(Data!B222,"MMM-YYYY")</f>
        <v>Sep-2023</v>
      </c>
      <c r="C222" s="4" t="str">
        <f t="shared" si="6"/>
        <v>Q4-2024</v>
      </c>
      <c r="D222" t="s">
        <v>16</v>
      </c>
      <c r="E222" t="s">
        <v>17</v>
      </c>
      <c r="F222" t="s">
        <v>33</v>
      </c>
      <c r="G222" t="s">
        <v>22</v>
      </c>
      <c r="H222" s="7" t="str">
        <f t="shared" si="7"/>
        <v>High</v>
      </c>
      <c r="I222" s="4">
        <v>1300.58</v>
      </c>
    </row>
    <row r="223" spans="1:9" x14ac:dyDescent="0.3">
      <c r="A223" s="11">
        <v>45583</v>
      </c>
      <c r="B223" s="4" t="str">
        <f>TEXT(Data!B223,"MMM-YYYY")</f>
        <v>Aug-2023</v>
      </c>
      <c r="C223" s="4" t="str">
        <f t="shared" si="6"/>
        <v>Q4-2024</v>
      </c>
      <c r="D223" t="s">
        <v>52</v>
      </c>
      <c r="E223" t="s">
        <v>122</v>
      </c>
      <c r="F223" t="s">
        <v>387</v>
      </c>
      <c r="G223" t="s">
        <v>81</v>
      </c>
      <c r="H223" s="7" t="str">
        <f t="shared" si="7"/>
        <v>High</v>
      </c>
      <c r="I223" s="4">
        <v>228.15</v>
      </c>
    </row>
    <row r="224" spans="1:9" x14ac:dyDescent="0.3">
      <c r="A224" s="11">
        <v>45584</v>
      </c>
      <c r="B224" s="4" t="str">
        <f>TEXT(Data!B224,"MMM-YYYY")</f>
        <v>Jul-2025</v>
      </c>
      <c r="C224" s="4" t="str">
        <f t="shared" si="6"/>
        <v>Q4-2024</v>
      </c>
      <c r="D224" t="s">
        <v>16</v>
      </c>
      <c r="E224" t="s">
        <v>148</v>
      </c>
      <c r="F224" t="s">
        <v>258</v>
      </c>
      <c r="G224" t="s">
        <v>22</v>
      </c>
      <c r="H224" s="7" t="str">
        <f t="shared" si="7"/>
        <v>High</v>
      </c>
      <c r="I224" s="4">
        <v>496.52</v>
      </c>
    </row>
    <row r="225" spans="1:9" x14ac:dyDescent="0.3">
      <c r="A225" s="11">
        <v>45585</v>
      </c>
      <c r="B225" s="4" t="str">
        <f>TEXT(Data!B225,"MMM-YYYY")</f>
        <v>Apr-2023</v>
      </c>
      <c r="C225" s="4" t="str">
        <f t="shared" si="6"/>
        <v>Q4-2024</v>
      </c>
      <c r="D225" t="s">
        <v>16</v>
      </c>
      <c r="E225" t="s">
        <v>148</v>
      </c>
      <c r="F225" t="s">
        <v>172</v>
      </c>
      <c r="G225" t="s">
        <v>35</v>
      </c>
      <c r="H225" s="7" t="str">
        <f t="shared" si="7"/>
        <v>High</v>
      </c>
      <c r="I225" s="4">
        <v>2941.2</v>
      </c>
    </row>
    <row r="226" spans="1:9" x14ac:dyDescent="0.3">
      <c r="A226" s="11">
        <v>45586</v>
      </c>
      <c r="B226" s="4" t="str">
        <f>TEXT(Data!B226,"MMM-YYYY")</f>
        <v>Dec-2023</v>
      </c>
      <c r="C226" s="4" t="str">
        <f t="shared" si="6"/>
        <v>Q4-2024</v>
      </c>
      <c r="D226" t="s">
        <v>78</v>
      </c>
      <c r="E226" t="s">
        <v>108</v>
      </c>
      <c r="F226" t="s">
        <v>109</v>
      </c>
      <c r="G226" t="s">
        <v>57</v>
      </c>
      <c r="H226" s="7" t="str">
        <f t="shared" si="7"/>
        <v>High</v>
      </c>
      <c r="I226" s="4">
        <v>1088.2</v>
      </c>
    </row>
    <row r="227" spans="1:9" x14ac:dyDescent="0.3">
      <c r="A227" s="11">
        <v>45587</v>
      </c>
      <c r="B227" s="4" t="str">
        <f>TEXT(Data!B227,"MMM-YYYY")</f>
        <v>Jul-2023</v>
      </c>
      <c r="C227" s="4" t="str">
        <f t="shared" si="6"/>
        <v>Q4-2024</v>
      </c>
      <c r="D227" t="s">
        <v>52</v>
      </c>
      <c r="E227" t="s">
        <v>73</v>
      </c>
      <c r="F227" t="s">
        <v>225</v>
      </c>
      <c r="G227" t="s">
        <v>42</v>
      </c>
      <c r="H227" s="7" t="str">
        <f t="shared" si="7"/>
        <v>High</v>
      </c>
      <c r="I227" s="4">
        <v>2529.15</v>
      </c>
    </row>
    <row r="228" spans="1:9" x14ac:dyDescent="0.3">
      <c r="A228" s="11">
        <v>45588</v>
      </c>
      <c r="B228" s="4" t="str">
        <f>TEXT(Data!B228,"MMM-YYYY")</f>
        <v>Oct-2023</v>
      </c>
      <c r="C228" s="4" t="str">
        <f t="shared" si="6"/>
        <v>Q4-2024</v>
      </c>
      <c r="D228" t="s">
        <v>45</v>
      </c>
      <c r="E228" t="s">
        <v>46</v>
      </c>
      <c r="F228" t="s">
        <v>231</v>
      </c>
      <c r="G228" t="s">
        <v>35</v>
      </c>
      <c r="H228" s="7" t="str">
        <f t="shared" si="7"/>
        <v>High</v>
      </c>
      <c r="I228" s="4">
        <v>2698.01</v>
      </c>
    </row>
    <row r="229" spans="1:9" x14ac:dyDescent="0.3">
      <c r="A229" s="11">
        <v>45589</v>
      </c>
      <c r="B229" s="4" t="str">
        <f>TEXT(Data!B229,"MMM-YYYY")</f>
        <v>Aug-2025</v>
      </c>
      <c r="C229" s="4" t="str">
        <f t="shared" si="6"/>
        <v>Q4-2024</v>
      </c>
      <c r="D229" t="s">
        <v>52</v>
      </c>
      <c r="E229" t="s">
        <v>122</v>
      </c>
      <c r="F229" t="s">
        <v>167</v>
      </c>
      <c r="G229" t="s">
        <v>81</v>
      </c>
      <c r="H229" s="7" t="str">
        <f t="shared" si="7"/>
        <v>High</v>
      </c>
      <c r="I229" s="4">
        <v>1482.75</v>
      </c>
    </row>
    <row r="230" spans="1:9" x14ac:dyDescent="0.3">
      <c r="A230" s="11">
        <v>45590</v>
      </c>
      <c r="B230" s="4" t="str">
        <f>TEXT(Data!B230,"MMM-YYYY")</f>
        <v>Mar-2023</v>
      </c>
      <c r="C230" s="4" t="str">
        <f t="shared" si="6"/>
        <v>Q4-2024</v>
      </c>
      <c r="D230" t="s">
        <v>52</v>
      </c>
      <c r="E230" t="s">
        <v>122</v>
      </c>
      <c r="F230" t="s">
        <v>167</v>
      </c>
      <c r="G230" t="s">
        <v>30</v>
      </c>
      <c r="H230" s="7" t="str">
        <f t="shared" si="7"/>
        <v>High</v>
      </c>
      <c r="I230" s="4">
        <v>1456.81</v>
      </c>
    </row>
    <row r="231" spans="1:9" x14ac:dyDescent="0.3">
      <c r="A231" s="11">
        <v>45591</v>
      </c>
      <c r="B231" s="4" t="str">
        <f>TEXT(Data!B231,"MMM-YYYY")</f>
        <v>May-2023</v>
      </c>
      <c r="C231" s="4" t="str">
        <f t="shared" si="6"/>
        <v>Q4-2024</v>
      </c>
      <c r="D231" t="s">
        <v>16</v>
      </c>
      <c r="E231" t="s">
        <v>17</v>
      </c>
      <c r="F231" t="s">
        <v>33</v>
      </c>
      <c r="G231" t="s">
        <v>30</v>
      </c>
      <c r="H231" s="7" t="str">
        <f t="shared" si="7"/>
        <v>High</v>
      </c>
      <c r="I231" s="4">
        <v>918.19</v>
      </c>
    </row>
    <row r="232" spans="1:9" x14ac:dyDescent="0.3">
      <c r="A232" s="11">
        <v>45592</v>
      </c>
      <c r="B232" s="4" t="str">
        <f>TEXT(Data!B232,"MMM-YYYY")</f>
        <v>Apr-2025</v>
      </c>
      <c r="C232" s="4" t="str">
        <f t="shared" si="6"/>
        <v>Q4-2024</v>
      </c>
      <c r="D232" t="s">
        <v>45</v>
      </c>
      <c r="E232" t="s">
        <v>116</v>
      </c>
      <c r="F232" t="s">
        <v>162</v>
      </c>
      <c r="G232" t="s">
        <v>22</v>
      </c>
      <c r="H232" s="7" t="str">
        <f t="shared" si="7"/>
        <v>Low</v>
      </c>
      <c r="I232" s="4">
        <v>48.94</v>
      </c>
    </row>
    <row r="233" spans="1:9" x14ac:dyDescent="0.3">
      <c r="A233" s="11">
        <v>45593</v>
      </c>
      <c r="B233" s="4" t="str">
        <f>TEXT(Data!B233,"MMM-YYYY")</f>
        <v>Sep-2024</v>
      </c>
      <c r="C233" s="4" t="str">
        <f t="shared" si="6"/>
        <v>Q4-2024</v>
      </c>
      <c r="D233" t="s">
        <v>52</v>
      </c>
      <c r="E233" t="s">
        <v>73</v>
      </c>
      <c r="F233" t="s">
        <v>87</v>
      </c>
      <c r="G233" t="s">
        <v>42</v>
      </c>
      <c r="H233" s="7" t="str">
        <f t="shared" si="7"/>
        <v>High</v>
      </c>
      <c r="I233" s="4">
        <v>932.29</v>
      </c>
    </row>
    <row r="234" spans="1:9" x14ac:dyDescent="0.3">
      <c r="A234" s="11">
        <v>45594</v>
      </c>
      <c r="B234" s="4" t="str">
        <f>TEXT(Data!B234,"MMM-YYYY")</f>
        <v>Sep-2024</v>
      </c>
      <c r="C234" s="4" t="str">
        <f t="shared" si="6"/>
        <v>Q4-2024</v>
      </c>
      <c r="D234" t="s">
        <v>16</v>
      </c>
      <c r="E234" t="s">
        <v>25</v>
      </c>
      <c r="F234" t="s">
        <v>38</v>
      </c>
      <c r="G234" t="s">
        <v>30</v>
      </c>
      <c r="H234" s="7" t="str">
        <f t="shared" si="7"/>
        <v>High</v>
      </c>
      <c r="I234" s="4">
        <v>325.79000000000002</v>
      </c>
    </row>
    <row r="235" spans="1:9" x14ac:dyDescent="0.3">
      <c r="A235" s="11">
        <v>45595</v>
      </c>
      <c r="B235" s="4" t="str">
        <f>TEXT(Data!B235,"MMM-YYYY")</f>
        <v>Mar-2023</v>
      </c>
      <c r="C235" s="4" t="str">
        <f t="shared" si="6"/>
        <v>Q4-2024</v>
      </c>
      <c r="D235" t="s">
        <v>45</v>
      </c>
      <c r="E235" t="s">
        <v>46</v>
      </c>
      <c r="F235" t="s">
        <v>47</v>
      </c>
      <c r="G235" t="s">
        <v>64</v>
      </c>
      <c r="H235" s="7" t="str">
        <f t="shared" si="7"/>
        <v>High</v>
      </c>
      <c r="I235" s="4">
        <v>405.97</v>
      </c>
    </row>
    <row r="236" spans="1:9" x14ac:dyDescent="0.3">
      <c r="A236" s="11">
        <v>45596</v>
      </c>
      <c r="B236" s="4" t="str">
        <f>TEXT(Data!B236,"MMM-YYYY")</f>
        <v>Jan-2024</v>
      </c>
      <c r="C236" s="4" t="str">
        <f t="shared" si="6"/>
        <v>Q4-2024</v>
      </c>
      <c r="D236" t="s">
        <v>16</v>
      </c>
      <c r="E236" t="s">
        <v>148</v>
      </c>
      <c r="F236" t="s">
        <v>258</v>
      </c>
      <c r="G236" t="s">
        <v>22</v>
      </c>
      <c r="H236" s="7" t="str">
        <f t="shared" si="7"/>
        <v>High</v>
      </c>
      <c r="I236" s="4">
        <v>1589.07</v>
      </c>
    </row>
    <row r="237" spans="1:9" x14ac:dyDescent="0.3">
      <c r="A237" s="11">
        <v>45597</v>
      </c>
      <c r="B237" s="4" t="str">
        <f>TEXT(Data!B237,"MMM-YYYY")</f>
        <v>Sep-2024</v>
      </c>
      <c r="C237" s="4" t="str">
        <f t="shared" si="6"/>
        <v>Q4-2024</v>
      </c>
      <c r="D237" t="s">
        <v>45</v>
      </c>
      <c r="E237" t="s">
        <v>46</v>
      </c>
      <c r="F237" t="s">
        <v>231</v>
      </c>
      <c r="G237" t="s">
        <v>30</v>
      </c>
      <c r="H237" s="7" t="str">
        <f t="shared" si="7"/>
        <v>High</v>
      </c>
      <c r="I237" s="4">
        <v>1432.8</v>
      </c>
    </row>
    <row r="238" spans="1:9" x14ac:dyDescent="0.3">
      <c r="A238" s="11">
        <v>45598</v>
      </c>
      <c r="B238" s="4" t="str">
        <f>TEXT(Data!B238,"MMM-YYYY")</f>
        <v>Jul-2025</v>
      </c>
      <c r="C238" s="4" t="str">
        <f t="shared" si="6"/>
        <v>Q4-2024</v>
      </c>
      <c r="D238" t="s">
        <v>16</v>
      </c>
      <c r="E238" t="s">
        <v>17</v>
      </c>
      <c r="F238" t="s">
        <v>113</v>
      </c>
      <c r="G238" t="s">
        <v>42</v>
      </c>
      <c r="H238" s="7" t="str">
        <f t="shared" si="7"/>
        <v>High</v>
      </c>
      <c r="I238" s="4">
        <v>1765.76</v>
      </c>
    </row>
    <row r="239" spans="1:9" x14ac:dyDescent="0.3">
      <c r="A239" s="11">
        <v>45599</v>
      </c>
      <c r="B239" s="4" t="str">
        <f>TEXT(Data!B239,"MMM-YYYY")</f>
        <v>Nov-2023</v>
      </c>
      <c r="C239" s="4" t="str">
        <f t="shared" si="6"/>
        <v>Q4-2024</v>
      </c>
      <c r="D239" t="s">
        <v>52</v>
      </c>
      <c r="E239" t="s">
        <v>53</v>
      </c>
      <c r="F239" t="s">
        <v>179</v>
      </c>
      <c r="G239" t="s">
        <v>22</v>
      </c>
      <c r="H239" s="7" t="str">
        <f t="shared" si="7"/>
        <v>High</v>
      </c>
      <c r="I239" s="4">
        <v>2757.54</v>
      </c>
    </row>
    <row r="240" spans="1:9" x14ac:dyDescent="0.3">
      <c r="A240" s="11">
        <v>45600</v>
      </c>
      <c r="B240" s="4" t="str">
        <f>TEXT(Data!B240,"MMM-YYYY")</f>
        <v>Mar-2024</v>
      </c>
      <c r="C240" s="4" t="str">
        <f t="shared" si="6"/>
        <v>Q4-2024</v>
      </c>
      <c r="D240" t="s">
        <v>45</v>
      </c>
      <c r="E240" t="s">
        <v>60</v>
      </c>
      <c r="F240" t="s">
        <v>141</v>
      </c>
      <c r="G240" t="s">
        <v>42</v>
      </c>
      <c r="H240" s="7" t="str">
        <f t="shared" si="7"/>
        <v>High</v>
      </c>
      <c r="I240" s="4">
        <v>873.75</v>
      </c>
    </row>
    <row r="241" spans="1:9" x14ac:dyDescent="0.3">
      <c r="A241" s="11">
        <v>45601</v>
      </c>
      <c r="B241" s="4" t="str">
        <f>TEXT(Data!B241,"MMM-YYYY")</f>
        <v>Sep-2023</v>
      </c>
      <c r="C241" s="4" t="str">
        <f t="shared" si="6"/>
        <v>Q4-2024</v>
      </c>
      <c r="D241" t="s">
        <v>52</v>
      </c>
      <c r="E241" t="s">
        <v>122</v>
      </c>
      <c r="F241" t="s">
        <v>326</v>
      </c>
      <c r="G241" t="s">
        <v>57</v>
      </c>
      <c r="H241" s="7" t="str">
        <f t="shared" si="7"/>
        <v>High</v>
      </c>
      <c r="I241" s="4">
        <v>258.52</v>
      </c>
    </row>
    <row r="242" spans="1:9" x14ac:dyDescent="0.3">
      <c r="A242" s="11">
        <v>45602</v>
      </c>
      <c r="B242" s="4" t="str">
        <f>TEXT(Data!B242,"MMM-YYYY")</f>
        <v>May-2025</v>
      </c>
      <c r="C242" s="4" t="str">
        <f t="shared" si="6"/>
        <v>Q4-2024</v>
      </c>
      <c r="D242" t="s">
        <v>45</v>
      </c>
      <c r="E242" t="s">
        <v>60</v>
      </c>
      <c r="F242" t="s">
        <v>61</v>
      </c>
      <c r="G242" t="s">
        <v>30</v>
      </c>
      <c r="H242" s="7" t="str">
        <f t="shared" si="7"/>
        <v>High</v>
      </c>
      <c r="I242" s="4">
        <v>606.76</v>
      </c>
    </row>
    <row r="243" spans="1:9" x14ac:dyDescent="0.3">
      <c r="A243" s="11">
        <v>45603</v>
      </c>
      <c r="B243" s="4" t="str">
        <f>TEXT(Data!B243,"MMM-YYYY")</f>
        <v>Aug-2025</v>
      </c>
      <c r="C243" s="4" t="str">
        <f t="shared" si="6"/>
        <v>Q4-2024</v>
      </c>
      <c r="D243" t="s">
        <v>45</v>
      </c>
      <c r="E243" t="s">
        <v>116</v>
      </c>
      <c r="F243" t="s">
        <v>338</v>
      </c>
      <c r="G243" t="s">
        <v>42</v>
      </c>
      <c r="H243" s="7" t="str">
        <f t="shared" si="7"/>
        <v>High</v>
      </c>
      <c r="I243" s="4">
        <v>1337.69</v>
      </c>
    </row>
    <row r="244" spans="1:9" x14ac:dyDescent="0.3">
      <c r="A244" s="11">
        <v>45604</v>
      </c>
      <c r="B244" s="4" t="str">
        <f>TEXT(Data!B244,"MMM-YYYY")</f>
        <v>Dec-2024</v>
      </c>
      <c r="C244" s="4" t="str">
        <f t="shared" si="6"/>
        <v>Q4-2024</v>
      </c>
      <c r="D244" t="s">
        <v>45</v>
      </c>
      <c r="E244" t="s">
        <v>46</v>
      </c>
      <c r="F244" t="s">
        <v>47</v>
      </c>
      <c r="G244" t="s">
        <v>57</v>
      </c>
      <c r="H244" s="7" t="str">
        <f t="shared" si="7"/>
        <v>High</v>
      </c>
      <c r="I244" s="4">
        <v>1793.08</v>
      </c>
    </row>
    <row r="245" spans="1:9" x14ac:dyDescent="0.3">
      <c r="A245" s="11">
        <v>45605</v>
      </c>
      <c r="B245" s="4" t="str">
        <f>TEXT(Data!B245,"MMM-YYYY")</f>
        <v>Apr-2023</v>
      </c>
      <c r="C245" s="4" t="str">
        <f t="shared" si="6"/>
        <v>Q4-2024</v>
      </c>
      <c r="D245" t="s">
        <v>78</v>
      </c>
      <c r="E245" t="s">
        <v>79</v>
      </c>
      <c r="F245" t="s">
        <v>335</v>
      </c>
      <c r="G245" t="s">
        <v>30</v>
      </c>
      <c r="H245" s="7" t="str">
        <f t="shared" si="7"/>
        <v>Medium</v>
      </c>
      <c r="I245" s="4">
        <v>122.74</v>
      </c>
    </row>
    <row r="246" spans="1:9" x14ac:dyDescent="0.3">
      <c r="A246" s="11">
        <v>45606</v>
      </c>
      <c r="B246" s="4" t="str">
        <f>TEXT(Data!B246,"MMM-YYYY")</f>
        <v>Mar-2024</v>
      </c>
      <c r="C246" s="4" t="str">
        <f t="shared" si="6"/>
        <v>Q4-2024</v>
      </c>
      <c r="D246" t="s">
        <v>52</v>
      </c>
      <c r="E246" t="s">
        <v>73</v>
      </c>
      <c r="F246" t="s">
        <v>225</v>
      </c>
      <c r="G246" t="s">
        <v>42</v>
      </c>
      <c r="H246" s="7" t="str">
        <f t="shared" si="7"/>
        <v>High</v>
      </c>
      <c r="I246" s="4">
        <v>927.93</v>
      </c>
    </row>
    <row r="247" spans="1:9" x14ac:dyDescent="0.3">
      <c r="A247" s="11">
        <v>45607</v>
      </c>
      <c r="B247" s="4" t="str">
        <f>TEXT(Data!B247,"MMM-YYYY")</f>
        <v>Feb-2024</v>
      </c>
      <c r="C247" s="4" t="str">
        <f t="shared" si="6"/>
        <v>Q4-2024</v>
      </c>
      <c r="D247" t="s">
        <v>16</v>
      </c>
      <c r="E247" t="s">
        <v>25</v>
      </c>
      <c r="F247" t="s">
        <v>26</v>
      </c>
      <c r="G247" t="s">
        <v>42</v>
      </c>
      <c r="H247" s="7" t="str">
        <f t="shared" si="7"/>
        <v>Medium</v>
      </c>
      <c r="I247" s="4">
        <v>151.88</v>
      </c>
    </row>
    <row r="248" spans="1:9" x14ac:dyDescent="0.3">
      <c r="A248" s="11">
        <v>45608</v>
      </c>
      <c r="B248" s="4" t="str">
        <f>TEXT(Data!B248,"MMM-YYYY")</f>
        <v>Apr-2025</v>
      </c>
      <c r="C248" s="4" t="str">
        <f t="shared" si="6"/>
        <v>Q4-2024</v>
      </c>
      <c r="D248" t="s">
        <v>52</v>
      </c>
      <c r="E248" t="s">
        <v>53</v>
      </c>
      <c r="F248" t="s">
        <v>144</v>
      </c>
      <c r="G248" t="s">
        <v>57</v>
      </c>
      <c r="H248" s="7" t="str">
        <f t="shared" si="7"/>
        <v>High</v>
      </c>
      <c r="I248" s="4">
        <v>2210.4</v>
      </c>
    </row>
    <row r="249" spans="1:9" x14ac:dyDescent="0.3">
      <c r="A249" s="11">
        <v>45609</v>
      </c>
      <c r="B249" s="4" t="str">
        <f>TEXT(Data!B249,"MMM-YYYY")</f>
        <v>Nov-2024</v>
      </c>
      <c r="C249" s="4" t="str">
        <f t="shared" si="6"/>
        <v>Q4-2024</v>
      </c>
      <c r="D249" t="s">
        <v>78</v>
      </c>
      <c r="E249" t="s">
        <v>79</v>
      </c>
      <c r="F249" t="s">
        <v>80</v>
      </c>
      <c r="G249" t="s">
        <v>64</v>
      </c>
      <c r="H249" s="7" t="str">
        <f t="shared" si="7"/>
        <v>Low</v>
      </c>
      <c r="I249" s="4">
        <v>39.74</v>
      </c>
    </row>
    <row r="250" spans="1:9" x14ac:dyDescent="0.3">
      <c r="A250" s="11">
        <v>45610</v>
      </c>
      <c r="B250" s="4" t="str">
        <f>TEXT(Data!B250,"MMM-YYYY")</f>
        <v>Sep-2025</v>
      </c>
      <c r="C250" s="4" t="str">
        <f t="shared" si="6"/>
        <v>Q4-2024</v>
      </c>
      <c r="D250" t="s">
        <v>16</v>
      </c>
      <c r="E250" t="s">
        <v>17</v>
      </c>
      <c r="F250" t="s">
        <v>135</v>
      </c>
      <c r="G250" t="s">
        <v>35</v>
      </c>
      <c r="H250" s="7" t="str">
        <f t="shared" si="7"/>
        <v>High</v>
      </c>
      <c r="I250" s="4">
        <v>1009</v>
      </c>
    </row>
    <row r="251" spans="1:9" x14ac:dyDescent="0.3">
      <c r="A251" s="11">
        <v>45611</v>
      </c>
      <c r="B251" s="4" t="str">
        <f>TEXT(Data!B251,"MMM-YYYY")</f>
        <v>Sep-2024</v>
      </c>
      <c r="C251" s="4" t="str">
        <f t="shared" si="6"/>
        <v>Q4-2024</v>
      </c>
      <c r="D251" t="s">
        <v>45</v>
      </c>
      <c r="E251" t="s">
        <v>46</v>
      </c>
      <c r="F251" t="s">
        <v>231</v>
      </c>
      <c r="G251" t="s">
        <v>64</v>
      </c>
      <c r="H251" s="7" t="str">
        <f t="shared" si="7"/>
        <v>High</v>
      </c>
      <c r="I251" s="4">
        <v>1653.64</v>
      </c>
    </row>
    <row r="252" spans="1:9" x14ac:dyDescent="0.3">
      <c r="A252" s="11">
        <v>45612</v>
      </c>
      <c r="B252" s="4" t="str">
        <f>TEXT(Data!B252,"MMM-YYYY")</f>
        <v>Mar-2023</v>
      </c>
      <c r="C252" s="4" t="str">
        <f t="shared" si="6"/>
        <v>Q4-2024</v>
      </c>
      <c r="D252" t="s">
        <v>52</v>
      </c>
      <c r="E252" t="s">
        <v>122</v>
      </c>
      <c r="F252" t="s">
        <v>326</v>
      </c>
      <c r="G252" t="s">
        <v>22</v>
      </c>
      <c r="H252" s="7" t="str">
        <f t="shared" si="7"/>
        <v>High</v>
      </c>
      <c r="I252" s="4">
        <v>1015.7</v>
      </c>
    </row>
    <row r="253" spans="1:9" x14ac:dyDescent="0.3">
      <c r="A253" s="11">
        <v>45613</v>
      </c>
      <c r="B253" s="4" t="str">
        <f>TEXT(Data!B253,"MMM-YYYY")</f>
        <v>Mar-2024</v>
      </c>
      <c r="C253" s="4" t="str">
        <f t="shared" si="6"/>
        <v>Q4-2024</v>
      </c>
      <c r="D253" t="s">
        <v>52</v>
      </c>
      <c r="E253" t="s">
        <v>53</v>
      </c>
      <c r="F253" t="s">
        <v>144</v>
      </c>
      <c r="G253" t="s">
        <v>57</v>
      </c>
      <c r="H253" s="7" t="str">
        <f t="shared" si="7"/>
        <v>High</v>
      </c>
      <c r="I253" s="4">
        <v>912.45</v>
      </c>
    </row>
    <row r="254" spans="1:9" x14ac:dyDescent="0.3">
      <c r="A254" s="11">
        <v>45614</v>
      </c>
      <c r="B254" s="4" t="str">
        <f>TEXT(Data!B254,"MMM-YYYY")</f>
        <v>Jul-2024</v>
      </c>
      <c r="C254" s="4" t="str">
        <f t="shared" si="6"/>
        <v>Q4-2024</v>
      </c>
      <c r="D254" t="s">
        <v>52</v>
      </c>
      <c r="E254" t="s">
        <v>53</v>
      </c>
      <c r="F254" t="s">
        <v>179</v>
      </c>
      <c r="G254" t="s">
        <v>64</v>
      </c>
      <c r="H254" s="7" t="str">
        <f t="shared" si="7"/>
        <v>High</v>
      </c>
      <c r="I254" s="4">
        <v>815.19</v>
      </c>
    </row>
    <row r="255" spans="1:9" x14ac:dyDescent="0.3">
      <c r="A255" s="11">
        <v>45615</v>
      </c>
      <c r="B255" s="4" t="str">
        <f>TEXT(Data!B255,"MMM-YYYY")</f>
        <v>Oct-2024</v>
      </c>
      <c r="C255" s="4" t="str">
        <f t="shared" si="6"/>
        <v>Q4-2024</v>
      </c>
      <c r="D255" t="s">
        <v>52</v>
      </c>
      <c r="E255" t="s">
        <v>122</v>
      </c>
      <c r="F255" t="s">
        <v>387</v>
      </c>
      <c r="G255" t="s">
        <v>30</v>
      </c>
      <c r="H255" s="7" t="str">
        <f t="shared" si="7"/>
        <v>High</v>
      </c>
      <c r="I255" s="4">
        <v>1814.06</v>
      </c>
    </row>
    <row r="256" spans="1:9" x14ac:dyDescent="0.3">
      <c r="A256" s="11">
        <v>45616</v>
      </c>
      <c r="B256" s="4" t="str">
        <f>TEXT(Data!B256,"MMM-YYYY")</f>
        <v>Apr-2024</v>
      </c>
      <c r="C256" s="4" t="str">
        <f t="shared" si="6"/>
        <v>Q4-2024</v>
      </c>
      <c r="D256" t="s">
        <v>45</v>
      </c>
      <c r="E256" t="s">
        <v>46</v>
      </c>
      <c r="F256" t="s">
        <v>231</v>
      </c>
      <c r="G256" t="s">
        <v>64</v>
      </c>
      <c r="H256" s="7" t="str">
        <f t="shared" si="7"/>
        <v>High</v>
      </c>
      <c r="I256" s="4">
        <v>758.92</v>
      </c>
    </row>
    <row r="257" spans="1:9" x14ac:dyDescent="0.3">
      <c r="A257" s="11">
        <v>45617</v>
      </c>
      <c r="B257" s="4" t="str">
        <f>TEXT(Data!B257,"MMM-YYYY")</f>
        <v>Oct-2023</v>
      </c>
      <c r="C257" s="4" t="str">
        <f t="shared" si="6"/>
        <v>Q4-2024</v>
      </c>
      <c r="D257" t="s">
        <v>78</v>
      </c>
      <c r="E257" t="s">
        <v>79</v>
      </c>
      <c r="F257" t="s">
        <v>335</v>
      </c>
      <c r="G257" t="s">
        <v>57</v>
      </c>
      <c r="H257" s="7" t="str">
        <f t="shared" si="7"/>
        <v>High</v>
      </c>
      <c r="I257" s="4">
        <v>1667.44</v>
      </c>
    </row>
    <row r="258" spans="1:9" x14ac:dyDescent="0.3">
      <c r="A258" s="11">
        <v>45618</v>
      </c>
      <c r="B258" s="4" t="str">
        <f>TEXT(Data!B258,"MMM-YYYY")</f>
        <v>Apr-2023</v>
      </c>
      <c r="C258" s="4" t="str">
        <f t="shared" ref="C258:C321" si="8">"Q"&amp;ROUNDUP(MONTH(A258)/3,0)&amp;"-"&amp;YEAR(A258)</f>
        <v>Q4-2024</v>
      </c>
      <c r="D258" t="s">
        <v>45</v>
      </c>
      <c r="E258" t="s">
        <v>60</v>
      </c>
      <c r="F258" t="s">
        <v>61</v>
      </c>
      <c r="G258" t="s">
        <v>22</v>
      </c>
      <c r="H258" s="7" t="str">
        <f t="shared" ref="H258:H321" si="9">IF(I258&lt;50, "Low", IF(I258&lt;200, "Medium", "High"))</f>
        <v>High</v>
      </c>
      <c r="I258" s="4">
        <v>2562.5500000000002</v>
      </c>
    </row>
    <row r="259" spans="1:9" x14ac:dyDescent="0.3">
      <c r="A259" s="11">
        <v>45619</v>
      </c>
      <c r="B259" s="4" t="str">
        <f>TEXT(Data!B259,"MMM-YYYY")</f>
        <v>Jun-2025</v>
      </c>
      <c r="C259" s="4" t="str">
        <f t="shared" si="8"/>
        <v>Q4-2024</v>
      </c>
      <c r="D259" t="s">
        <v>78</v>
      </c>
      <c r="E259" t="s">
        <v>108</v>
      </c>
      <c r="F259" t="s">
        <v>152</v>
      </c>
      <c r="G259" t="s">
        <v>35</v>
      </c>
      <c r="H259" s="7" t="str">
        <f t="shared" si="9"/>
        <v>High</v>
      </c>
      <c r="I259" s="4">
        <v>745.38</v>
      </c>
    </row>
    <row r="260" spans="1:9" x14ac:dyDescent="0.3">
      <c r="A260" s="11">
        <v>45620</v>
      </c>
      <c r="B260" s="4" t="str">
        <f>TEXT(Data!B260,"MMM-YYYY")</f>
        <v>Oct-2023</v>
      </c>
      <c r="C260" s="4" t="str">
        <f t="shared" si="8"/>
        <v>Q4-2024</v>
      </c>
      <c r="D260" t="s">
        <v>78</v>
      </c>
      <c r="E260" t="s">
        <v>79</v>
      </c>
      <c r="F260" t="s">
        <v>159</v>
      </c>
      <c r="G260" t="s">
        <v>64</v>
      </c>
      <c r="H260" s="7" t="str">
        <f t="shared" si="9"/>
        <v>High</v>
      </c>
      <c r="I260" s="4">
        <v>687.95</v>
      </c>
    </row>
    <row r="261" spans="1:9" x14ac:dyDescent="0.3">
      <c r="A261" s="11">
        <v>45621</v>
      </c>
      <c r="B261" s="4" t="str">
        <f>TEXT(Data!B261,"MMM-YYYY")</f>
        <v>May-2023</v>
      </c>
      <c r="C261" s="4" t="str">
        <f t="shared" si="8"/>
        <v>Q4-2024</v>
      </c>
      <c r="D261" t="s">
        <v>52</v>
      </c>
      <c r="E261" t="s">
        <v>73</v>
      </c>
      <c r="F261" t="s">
        <v>87</v>
      </c>
      <c r="G261" t="s">
        <v>81</v>
      </c>
      <c r="H261" s="7" t="str">
        <f t="shared" si="9"/>
        <v>High</v>
      </c>
      <c r="I261" s="4">
        <v>550.07000000000005</v>
      </c>
    </row>
    <row r="262" spans="1:9" x14ac:dyDescent="0.3">
      <c r="A262" s="11">
        <v>45622</v>
      </c>
      <c r="B262" s="4" t="str">
        <f>TEXT(Data!B262,"MMM-YYYY")</f>
        <v>May-2023</v>
      </c>
      <c r="C262" s="4" t="str">
        <f t="shared" si="8"/>
        <v>Q4-2024</v>
      </c>
      <c r="D262" t="s">
        <v>16</v>
      </c>
      <c r="E262" t="s">
        <v>25</v>
      </c>
      <c r="F262" t="s">
        <v>26</v>
      </c>
      <c r="G262" t="s">
        <v>22</v>
      </c>
      <c r="H262" s="7" t="str">
        <f t="shared" si="9"/>
        <v>High</v>
      </c>
      <c r="I262" s="4">
        <v>2068.21</v>
      </c>
    </row>
    <row r="263" spans="1:9" x14ac:dyDescent="0.3">
      <c r="A263" s="11">
        <v>45623</v>
      </c>
      <c r="B263" s="4" t="str">
        <f>TEXT(Data!B263,"MMM-YYYY")</f>
        <v>Aug-2023</v>
      </c>
      <c r="C263" s="4" t="str">
        <f t="shared" si="8"/>
        <v>Q4-2024</v>
      </c>
      <c r="D263" t="s">
        <v>78</v>
      </c>
      <c r="E263" t="s">
        <v>79</v>
      </c>
      <c r="F263" t="s">
        <v>80</v>
      </c>
      <c r="G263" t="s">
        <v>81</v>
      </c>
      <c r="H263" s="7" t="str">
        <f t="shared" si="9"/>
        <v>High</v>
      </c>
      <c r="I263" s="4">
        <v>2576.65</v>
      </c>
    </row>
    <row r="264" spans="1:9" x14ac:dyDescent="0.3">
      <c r="A264" s="11">
        <v>45624</v>
      </c>
      <c r="B264" s="4" t="str">
        <f>TEXT(Data!B264,"MMM-YYYY")</f>
        <v>Jun-2025</v>
      </c>
      <c r="C264" s="4" t="str">
        <f t="shared" si="8"/>
        <v>Q4-2024</v>
      </c>
      <c r="D264" t="s">
        <v>52</v>
      </c>
      <c r="E264" t="s">
        <v>73</v>
      </c>
      <c r="F264" t="s">
        <v>87</v>
      </c>
      <c r="G264" t="s">
        <v>35</v>
      </c>
      <c r="H264" s="7" t="str">
        <f t="shared" si="9"/>
        <v>High</v>
      </c>
      <c r="I264" s="4">
        <v>1044.1400000000001</v>
      </c>
    </row>
    <row r="265" spans="1:9" x14ac:dyDescent="0.3">
      <c r="A265" s="11">
        <v>45625</v>
      </c>
      <c r="B265" s="4" t="str">
        <f>TEXT(Data!B265,"MMM-YYYY")</f>
        <v>Apr-2025</v>
      </c>
      <c r="C265" s="4" t="str">
        <f t="shared" si="8"/>
        <v>Q4-2024</v>
      </c>
      <c r="D265" t="s">
        <v>16</v>
      </c>
      <c r="E265" t="s">
        <v>148</v>
      </c>
      <c r="F265" t="s">
        <v>172</v>
      </c>
      <c r="G265" t="s">
        <v>42</v>
      </c>
      <c r="H265" s="7" t="str">
        <f t="shared" si="9"/>
        <v>Medium</v>
      </c>
      <c r="I265" s="4">
        <v>99.04</v>
      </c>
    </row>
    <row r="266" spans="1:9" x14ac:dyDescent="0.3">
      <c r="A266" s="11">
        <v>45626</v>
      </c>
      <c r="B266" s="4" t="str">
        <f>TEXT(Data!B266,"MMM-YYYY")</f>
        <v>Sep-2025</v>
      </c>
      <c r="C266" s="4" t="str">
        <f t="shared" si="8"/>
        <v>Q4-2024</v>
      </c>
      <c r="D266" t="s">
        <v>16</v>
      </c>
      <c r="E266" t="s">
        <v>25</v>
      </c>
      <c r="F266" t="s">
        <v>26</v>
      </c>
      <c r="G266" t="s">
        <v>57</v>
      </c>
      <c r="H266" s="7" t="str">
        <f t="shared" si="9"/>
        <v>High</v>
      </c>
      <c r="I266" s="4">
        <v>1996.81</v>
      </c>
    </row>
    <row r="267" spans="1:9" x14ac:dyDescent="0.3">
      <c r="A267" s="11">
        <v>45627</v>
      </c>
      <c r="B267" s="4" t="str">
        <f>TEXT(Data!B267,"MMM-YYYY")</f>
        <v>Oct-2024</v>
      </c>
      <c r="C267" s="4" t="str">
        <f t="shared" si="8"/>
        <v>Q4-2024</v>
      </c>
      <c r="D267" t="s">
        <v>52</v>
      </c>
      <c r="E267" t="s">
        <v>53</v>
      </c>
      <c r="F267" t="s">
        <v>54</v>
      </c>
      <c r="G267" t="s">
        <v>30</v>
      </c>
      <c r="H267" s="7" t="str">
        <f t="shared" si="9"/>
        <v>High</v>
      </c>
      <c r="I267" s="4">
        <v>921.68</v>
      </c>
    </row>
    <row r="268" spans="1:9" x14ac:dyDescent="0.3">
      <c r="A268" s="11">
        <v>45628</v>
      </c>
      <c r="B268" s="4" t="str">
        <f>TEXT(Data!B268,"MMM-YYYY")</f>
        <v>May-2023</v>
      </c>
      <c r="C268" s="4" t="str">
        <f t="shared" si="8"/>
        <v>Q4-2024</v>
      </c>
      <c r="D268" t="s">
        <v>78</v>
      </c>
      <c r="E268" t="s">
        <v>108</v>
      </c>
      <c r="F268" t="s">
        <v>152</v>
      </c>
      <c r="G268" t="s">
        <v>64</v>
      </c>
      <c r="H268" s="7" t="str">
        <f t="shared" si="9"/>
        <v>High</v>
      </c>
      <c r="I268" s="4">
        <v>2503.79</v>
      </c>
    </row>
    <row r="269" spans="1:9" x14ac:dyDescent="0.3">
      <c r="A269" s="11">
        <v>45629</v>
      </c>
      <c r="B269" s="4" t="str">
        <f>TEXT(Data!B269,"MMM-YYYY")</f>
        <v>Dec-2023</v>
      </c>
      <c r="C269" s="4" t="str">
        <f t="shared" si="8"/>
        <v>Q4-2024</v>
      </c>
      <c r="D269" t="s">
        <v>16</v>
      </c>
      <c r="E269" t="s">
        <v>25</v>
      </c>
      <c r="F269" t="s">
        <v>26</v>
      </c>
      <c r="G269" t="s">
        <v>22</v>
      </c>
      <c r="H269" s="7" t="str">
        <f t="shared" si="9"/>
        <v>High</v>
      </c>
      <c r="I269" s="4">
        <v>2462.77</v>
      </c>
    </row>
    <row r="270" spans="1:9" x14ac:dyDescent="0.3">
      <c r="A270" s="11">
        <v>45630</v>
      </c>
      <c r="B270" s="4" t="str">
        <f>TEXT(Data!B270,"MMM-YYYY")</f>
        <v>Jan-2024</v>
      </c>
      <c r="C270" s="4" t="str">
        <f t="shared" si="8"/>
        <v>Q4-2024</v>
      </c>
      <c r="D270" t="s">
        <v>52</v>
      </c>
      <c r="E270" t="s">
        <v>73</v>
      </c>
      <c r="F270" t="s">
        <v>74</v>
      </c>
      <c r="G270" t="s">
        <v>42</v>
      </c>
      <c r="H270" s="7" t="str">
        <f t="shared" si="9"/>
        <v>High</v>
      </c>
      <c r="I270" s="4">
        <v>496.2</v>
      </c>
    </row>
    <row r="271" spans="1:9" x14ac:dyDescent="0.3">
      <c r="A271" s="11">
        <v>45631</v>
      </c>
      <c r="B271" s="4" t="str">
        <f>TEXT(Data!B271,"MMM-YYYY")</f>
        <v>Aug-2023</v>
      </c>
      <c r="C271" s="4" t="str">
        <f t="shared" si="8"/>
        <v>Q4-2024</v>
      </c>
      <c r="D271" t="s">
        <v>78</v>
      </c>
      <c r="E271" t="s">
        <v>90</v>
      </c>
      <c r="F271" t="s">
        <v>91</v>
      </c>
      <c r="G271" t="s">
        <v>30</v>
      </c>
      <c r="H271" s="7" t="str">
        <f t="shared" si="9"/>
        <v>High</v>
      </c>
      <c r="I271" s="4">
        <v>907.59</v>
      </c>
    </row>
    <row r="272" spans="1:9" x14ac:dyDescent="0.3">
      <c r="A272" s="11">
        <v>45632</v>
      </c>
      <c r="B272" s="4" t="str">
        <f>TEXT(Data!B272,"MMM-YYYY")</f>
        <v>Feb-2025</v>
      </c>
      <c r="C272" s="4" t="str">
        <f t="shared" si="8"/>
        <v>Q4-2024</v>
      </c>
      <c r="D272" t="s">
        <v>52</v>
      </c>
      <c r="E272" t="s">
        <v>73</v>
      </c>
      <c r="F272" t="s">
        <v>87</v>
      </c>
      <c r="G272" t="s">
        <v>81</v>
      </c>
      <c r="H272" s="7" t="str">
        <f t="shared" si="9"/>
        <v>High</v>
      </c>
      <c r="I272" s="4">
        <v>334.19</v>
      </c>
    </row>
    <row r="273" spans="1:9" x14ac:dyDescent="0.3">
      <c r="A273" s="11">
        <v>45633</v>
      </c>
      <c r="B273" s="4" t="str">
        <f>TEXT(Data!B273,"MMM-YYYY")</f>
        <v>Mar-2024</v>
      </c>
      <c r="C273" s="4" t="str">
        <f t="shared" si="8"/>
        <v>Q4-2024</v>
      </c>
      <c r="D273" t="s">
        <v>45</v>
      </c>
      <c r="E273" t="s">
        <v>60</v>
      </c>
      <c r="F273" t="s">
        <v>141</v>
      </c>
      <c r="G273" t="s">
        <v>64</v>
      </c>
      <c r="H273" s="7" t="str">
        <f t="shared" si="9"/>
        <v>High</v>
      </c>
      <c r="I273" s="4">
        <v>538.79</v>
      </c>
    </row>
    <row r="274" spans="1:9" x14ac:dyDescent="0.3">
      <c r="A274" s="11">
        <v>45634</v>
      </c>
      <c r="B274" s="4" t="str">
        <f>TEXT(Data!B274,"MMM-YYYY")</f>
        <v>Jul-2023</v>
      </c>
      <c r="C274" s="4" t="str">
        <f t="shared" si="8"/>
        <v>Q4-2024</v>
      </c>
      <c r="D274" t="s">
        <v>78</v>
      </c>
      <c r="E274" t="s">
        <v>79</v>
      </c>
      <c r="F274" t="s">
        <v>335</v>
      </c>
      <c r="G274" t="s">
        <v>64</v>
      </c>
      <c r="H274" s="7" t="str">
        <f t="shared" si="9"/>
        <v>High</v>
      </c>
      <c r="I274" s="4">
        <v>1436.54</v>
      </c>
    </row>
    <row r="275" spans="1:9" x14ac:dyDescent="0.3">
      <c r="A275" s="11">
        <v>45635</v>
      </c>
      <c r="B275" s="4" t="str">
        <f>TEXT(Data!B275,"MMM-YYYY")</f>
        <v>Mar-2024</v>
      </c>
      <c r="C275" s="4" t="str">
        <f t="shared" si="8"/>
        <v>Q4-2024</v>
      </c>
      <c r="D275" t="s">
        <v>52</v>
      </c>
      <c r="E275" t="s">
        <v>53</v>
      </c>
      <c r="F275" t="s">
        <v>144</v>
      </c>
      <c r="G275" t="s">
        <v>64</v>
      </c>
      <c r="H275" s="7" t="str">
        <f t="shared" si="9"/>
        <v>High</v>
      </c>
      <c r="I275" s="4">
        <v>1766.55</v>
      </c>
    </row>
    <row r="276" spans="1:9" x14ac:dyDescent="0.3">
      <c r="A276" s="11">
        <v>45636</v>
      </c>
      <c r="B276" s="4" t="str">
        <f>TEXT(Data!B276,"MMM-YYYY")</f>
        <v>Jan-2024</v>
      </c>
      <c r="C276" s="4" t="str">
        <f t="shared" si="8"/>
        <v>Q4-2024</v>
      </c>
      <c r="D276" t="s">
        <v>78</v>
      </c>
      <c r="E276" t="s">
        <v>90</v>
      </c>
      <c r="F276" t="s">
        <v>217</v>
      </c>
      <c r="G276" t="s">
        <v>30</v>
      </c>
      <c r="H276" s="7" t="str">
        <f t="shared" si="9"/>
        <v>High</v>
      </c>
      <c r="I276" s="4">
        <v>628.54</v>
      </c>
    </row>
    <row r="277" spans="1:9" x14ac:dyDescent="0.3">
      <c r="A277" s="11">
        <v>45637</v>
      </c>
      <c r="B277" s="4" t="str">
        <f>TEXT(Data!B277,"MMM-YYYY")</f>
        <v>Mar-2024</v>
      </c>
      <c r="C277" s="4" t="str">
        <f t="shared" si="8"/>
        <v>Q4-2024</v>
      </c>
      <c r="D277" t="s">
        <v>52</v>
      </c>
      <c r="E277" t="s">
        <v>73</v>
      </c>
      <c r="F277" t="s">
        <v>74</v>
      </c>
      <c r="G277" t="s">
        <v>57</v>
      </c>
      <c r="H277" s="7" t="str">
        <f t="shared" si="9"/>
        <v>High</v>
      </c>
      <c r="I277" s="4">
        <v>1650.75</v>
      </c>
    </row>
    <row r="278" spans="1:9" x14ac:dyDescent="0.3">
      <c r="A278" s="11">
        <v>45638</v>
      </c>
      <c r="B278" s="4" t="str">
        <f>TEXT(Data!B278,"MMM-YYYY")</f>
        <v>Jun-2025</v>
      </c>
      <c r="C278" s="4" t="str">
        <f t="shared" si="8"/>
        <v>Q4-2024</v>
      </c>
      <c r="D278" t="s">
        <v>52</v>
      </c>
      <c r="E278" t="s">
        <v>122</v>
      </c>
      <c r="F278" t="s">
        <v>167</v>
      </c>
      <c r="G278" t="s">
        <v>35</v>
      </c>
      <c r="H278" s="7" t="str">
        <f t="shared" si="9"/>
        <v>High</v>
      </c>
      <c r="I278" s="4">
        <v>2247.14</v>
      </c>
    </row>
    <row r="279" spans="1:9" x14ac:dyDescent="0.3">
      <c r="A279" s="11">
        <v>45639</v>
      </c>
      <c r="B279" s="4" t="str">
        <f>TEXT(Data!B279,"MMM-YYYY")</f>
        <v>Jun-2024</v>
      </c>
      <c r="C279" s="4" t="str">
        <f t="shared" si="8"/>
        <v>Q4-2024</v>
      </c>
      <c r="D279" t="s">
        <v>78</v>
      </c>
      <c r="E279" t="s">
        <v>79</v>
      </c>
      <c r="F279" t="s">
        <v>80</v>
      </c>
      <c r="G279" t="s">
        <v>81</v>
      </c>
      <c r="H279" s="7" t="str">
        <f t="shared" si="9"/>
        <v>High</v>
      </c>
      <c r="I279" s="4">
        <v>893.19</v>
      </c>
    </row>
    <row r="280" spans="1:9" x14ac:dyDescent="0.3">
      <c r="A280" s="11">
        <v>45640</v>
      </c>
      <c r="B280" s="4" t="str">
        <f>TEXT(Data!B280,"MMM-YYYY")</f>
        <v>Oct-2023</v>
      </c>
      <c r="C280" s="4" t="str">
        <f t="shared" si="8"/>
        <v>Q4-2024</v>
      </c>
      <c r="D280" t="s">
        <v>16</v>
      </c>
      <c r="E280" t="s">
        <v>148</v>
      </c>
      <c r="F280" t="s">
        <v>149</v>
      </c>
      <c r="G280" t="s">
        <v>42</v>
      </c>
      <c r="H280" s="7" t="str">
        <f t="shared" si="9"/>
        <v>High</v>
      </c>
      <c r="I280" s="4">
        <v>2328.9</v>
      </c>
    </row>
    <row r="281" spans="1:9" x14ac:dyDescent="0.3">
      <c r="A281" s="11">
        <v>45641</v>
      </c>
      <c r="B281" s="4" t="str">
        <f>TEXT(Data!B281,"MMM-YYYY")</f>
        <v>Jun-2023</v>
      </c>
      <c r="C281" s="4" t="str">
        <f t="shared" si="8"/>
        <v>Q4-2024</v>
      </c>
      <c r="D281" t="s">
        <v>45</v>
      </c>
      <c r="E281" t="s">
        <v>60</v>
      </c>
      <c r="F281" t="s">
        <v>61</v>
      </c>
      <c r="G281" t="s">
        <v>57</v>
      </c>
      <c r="H281" s="7" t="str">
        <f t="shared" si="9"/>
        <v>High</v>
      </c>
      <c r="I281" s="4">
        <v>2066.75</v>
      </c>
    </row>
    <row r="282" spans="1:9" x14ac:dyDescent="0.3">
      <c r="A282" s="11">
        <v>45642</v>
      </c>
      <c r="B282" s="4" t="str">
        <f>TEXT(Data!B282,"MMM-YYYY")</f>
        <v>Mar-2025</v>
      </c>
      <c r="C282" s="4" t="str">
        <f t="shared" si="8"/>
        <v>Q4-2024</v>
      </c>
      <c r="D282" t="s">
        <v>52</v>
      </c>
      <c r="E282" t="s">
        <v>122</v>
      </c>
      <c r="F282" t="s">
        <v>167</v>
      </c>
      <c r="G282" t="s">
        <v>64</v>
      </c>
      <c r="H282" s="7" t="str">
        <f t="shared" si="9"/>
        <v>High</v>
      </c>
      <c r="I282" s="4">
        <v>2182.31</v>
      </c>
    </row>
    <row r="283" spans="1:9" x14ac:dyDescent="0.3">
      <c r="A283" s="11">
        <v>45643</v>
      </c>
      <c r="B283" s="4" t="str">
        <f>TEXT(Data!B283,"MMM-YYYY")</f>
        <v>Aug-2023</v>
      </c>
      <c r="C283" s="4" t="str">
        <f t="shared" si="8"/>
        <v>Q4-2024</v>
      </c>
      <c r="D283" t="s">
        <v>45</v>
      </c>
      <c r="E283" t="s">
        <v>46</v>
      </c>
      <c r="F283" t="s">
        <v>214</v>
      </c>
      <c r="G283" t="s">
        <v>35</v>
      </c>
      <c r="H283" s="7" t="str">
        <f t="shared" si="9"/>
        <v>High</v>
      </c>
      <c r="I283" s="4">
        <v>2726.62</v>
      </c>
    </row>
    <row r="284" spans="1:9" x14ac:dyDescent="0.3">
      <c r="A284" s="11">
        <v>45644</v>
      </c>
      <c r="B284" s="4" t="str">
        <f>TEXT(Data!B284,"MMM-YYYY")</f>
        <v>May-2025</v>
      </c>
      <c r="C284" s="4" t="str">
        <f t="shared" si="8"/>
        <v>Q4-2024</v>
      </c>
      <c r="D284" t="s">
        <v>16</v>
      </c>
      <c r="E284" t="s">
        <v>17</v>
      </c>
      <c r="F284" t="s">
        <v>33</v>
      </c>
      <c r="G284" t="s">
        <v>42</v>
      </c>
      <c r="H284" s="7" t="str">
        <f t="shared" si="9"/>
        <v>Medium</v>
      </c>
      <c r="I284" s="4">
        <v>111.29</v>
      </c>
    </row>
    <row r="285" spans="1:9" x14ac:dyDescent="0.3">
      <c r="A285" s="11">
        <v>45645</v>
      </c>
      <c r="B285" s="4" t="str">
        <f>TEXT(Data!B285,"MMM-YYYY")</f>
        <v>Jan-2024</v>
      </c>
      <c r="C285" s="4" t="str">
        <f t="shared" si="8"/>
        <v>Q4-2024</v>
      </c>
      <c r="D285" t="s">
        <v>45</v>
      </c>
      <c r="E285" t="s">
        <v>60</v>
      </c>
      <c r="F285" t="s">
        <v>61</v>
      </c>
      <c r="G285" t="s">
        <v>57</v>
      </c>
      <c r="H285" s="7" t="str">
        <f t="shared" si="9"/>
        <v>High</v>
      </c>
      <c r="I285" s="4">
        <v>1100.0899999999999</v>
      </c>
    </row>
    <row r="286" spans="1:9" x14ac:dyDescent="0.3">
      <c r="A286" s="11">
        <v>45646</v>
      </c>
      <c r="B286" s="4" t="str">
        <f>TEXT(Data!B286,"MMM-YYYY")</f>
        <v>Jun-2023</v>
      </c>
      <c r="C286" s="4" t="str">
        <f t="shared" si="8"/>
        <v>Q4-2024</v>
      </c>
      <c r="D286" t="s">
        <v>78</v>
      </c>
      <c r="E286" t="s">
        <v>79</v>
      </c>
      <c r="F286" t="s">
        <v>335</v>
      </c>
      <c r="G286" t="s">
        <v>57</v>
      </c>
      <c r="H286" s="7" t="str">
        <f t="shared" si="9"/>
        <v>High</v>
      </c>
      <c r="I286" s="4">
        <v>1529.14</v>
      </c>
    </row>
    <row r="287" spans="1:9" x14ac:dyDescent="0.3">
      <c r="A287" s="11">
        <v>45647</v>
      </c>
      <c r="B287" s="4" t="str">
        <f>TEXT(Data!B287,"MMM-YYYY")</f>
        <v>Apr-2025</v>
      </c>
      <c r="C287" s="4" t="str">
        <f t="shared" si="8"/>
        <v>Q4-2024</v>
      </c>
      <c r="D287" t="s">
        <v>45</v>
      </c>
      <c r="E287" t="s">
        <v>46</v>
      </c>
      <c r="F287" t="s">
        <v>231</v>
      </c>
      <c r="G287" t="s">
        <v>42</v>
      </c>
      <c r="H287" s="7" t="str">
        <f t="shared" si="9"/>
        <v>High</v>
      </c>
      <c r="I287" s="4">
        <v>728.69</v>
      </c>
    </row>
    <row r="288" spans="1:9" x14ac:dyDescent="0.3">
      <c r="A288" s="11">
        <v>45648</v>
      </c>
      <c r="B288" s="4" t="str">
        <f>TEXT(Data!B288,"MMM-YYYY")</f>
        <v>Sep-2024</v>
      </c>
      <c r="C288" s="4" t="str">
        <f t="shared" si="8"/>
        <v>Q4-2024</v>
      </c>
      <c r="D288" t="s">
        <v>78</v>
      </c>
      <c r="E288" t="s">
        <v>79</v>
      </c>
      <c r="F288" t="s">
        <v>159</v>
      </c>
      <c r="G288" t="s">
        <v>42</v>
      </c>
      <c r="H288" s="7" t="str">
        <f t="shared" si="9"/>
        <v>Low</v>
      </c>
      <c r="I288" s="4">
        <v>6.28</v>
      </c>
    </row>
    <row r="289" spans="1:9" x14ac:dyDescent="0.3">
      <c r="A289" s="11">
        <v>45649</v>
      </c>
      <c r="B289" s="4" t="str">
        <f>TEXT(Data!B289,"MMM-YYYY")</f>
        <v>Jan-2024</v>
      </c>
      <c r="C289" s="4" t="str">
        <f t="shared" si="8"/>
        <v>Q4-2024</v>
      </c>
      <c r="D289" t="s">
        <v>45</v>
      </c>
      <c r="E289" t="s">
        <v>60</v>
      </c>
      <c r="F289" t="s">
        <v>220</v>
      </c>
      <c r="G289" t="s">
        <v>35</v>
      </c>
      <c r="H289" s="7" t="str">
        <f t="shared" si="9"/>
        <v>High</v>
      </c>
      <c r="I289" s="4">
        <v>2569.77</v>
      </c>
    </row>
    <row r="290" spans="1:9" x14ac:dyDescent="0.3">
      <c r="A290" s="11">
        <v>45650</v>
      </c>
      <c r="B290" s="4" t="str">
        <f>TEXT(Data!B290,"MMM-YYYY")</f>
        <v>Jul-2023</v>
      </c>
      <c r="C290" s="4" t="str">
        <f t="shared" si="8"/>
        <v>Q4-2024</v>
      </c>
      <c r="D290" t="s">
        <v>16</v>
      </c>
      <c r="E290" t="s">
        <v>148</v>
      </c>
      <c r="F290" t="s">
        <v>258</v>
      </c>
      <c r="G290" t="s">
        <v>81</v>
      </c>
      <c r="H290" s="7" t="str">
        <f t="shared" si="9"/>
        <v>High</v>
      </c>
      <c r="I290" s="4">
        <v>1592.02</v>
      </c>
    </row>
    <row r="291" spans="1:9" x14ac:dyDescent="0.3">
      <c r="A291" s="11">
        <v>45651</v>
      </c>
      <c r="B291" s="4" t="str">
        <f>TEXT(Data!B291,"MMM-YYYY")</f>
        <v>Aug-2025</v>
      </c>
      <c r="C291" s="4" t="str">
        <f t="shared" si="8"/>
        <v>Q4-2024</v>
      </c>
      <c r="D291" t="s">
        <v>16</v>
      </c>
      <c r="E291" t="s">
        <v>148</v>
      </c>
      <c r="F291" t="s">
        <v>149</v>
      </c>
      <c r="G291" t="s">
        <v>22</v>
      </c>
      <c r="H291" s="7" t="str">
        <f t="shared" si="9"/>
        <v>High</v>
      </c>
      <c r="I291" s="4">
        <v>995.47</v>
      </c>
    </row>
    <row r="292" spans="1:9" x14ac:dyDescent="0.3">
      <c r="A292" s="11">
        <v>45652</v>
      </c>
      <c r="B292" s="4" t="str">
        <f>TEXT(Data!B292,"MMM-YYYY")</f>
        <v>Mar-2025</v>
      </c>
      <c r="C292" s="4" t="str">
        <f t="shared" si="8"/>
        <v>Q4-2024</v>
      </c>
      <c r="D292" t="s">
        <v>16</v>
      </c>
      <c r="E292" t="s">
        <v>25</v>
      </c>
      <c r="F292" t="s">
        <v>26</v>
      </c>
      <c r="G292" t="s">
        <v>81</v>
      </c>
      <c r="H292" s="7" t="str">
        <f t="shared" si="9"/>
        <v>High</v>
      </c>
      <c r="I292" s="4">
        <v>1240.31</v>
      </c>
    </row>
    <row r="293" spans="1:9" x14ac:dyDescent="0.3">
      <c r="A293" s="11">
        <v>45653</v>
      </c>
      <c r="B293" s="4" t="str">
        <f>TEXT(Data!B293,"MMM-YYYY")</f>
        <v>Oct-2023</v>
      </c>
      <c r="C293" s="4" t="str">
        <f t="shared" si="8"/>
        <v>Q4-2024</v>
      </c>
      <c r="D293" t="s">
        <v>52</v>
      </c>
      <c r="E293" t="s">
        <v>73</v>
      </c>
      <c r="F293" t="s">
        <v>74</v>
      </c>
      <c r="G293" t="s">
        <v>30</v>
      </c>
      <c r="H293" s="7" t="str">
        <f t="shared" si="9"/>
        <v>Medium</v>
      </c>
      <c r="I293" s="4">
        <v>118.37</v>
      </c>
    </row>
    <row r="294" spans="1:9" x14ac:dyDescent="0.3">
      <c r="A294" s="11">
        <v>45654</v>
      </c>
      <c r="B294" s="4" t="str">
        <f>TEXT(Data!B294,"MMM-YYYY")</f>
        <v>Aug-2023</v>
      </c>
      <c r="C294" s="4" t="str">
        <f t="shared" si="8"/>
        <v>Q4-2024</v>
      </c>
      <c r="D294" t="s">
        <v>78</v>
      </c>
      <c r="E294" t="s">
        <v>108</v>
      </c>
      <c r="F294" t="s">
        <v>152</v>
      </c>
      <c r="G294" t="s">
        <v>81</v>
      </c>
      <c r="H294" s="7" t="str">
        <f t="shared" si="9"/>
        <v>High</v>
      </c>
      <c r="I294" s="4">
        <v>2105.5300000000002</v>
      </c>
    </row>
    <row r="295" spans="1:9" x14ac:dyDescent="0.3">
      <c r="A295" s="11">
        <v>45655</v>
      </c>
      <c r="B295" s="4" t="str">
        <f>TEXT(Data!B295,"MMM-YYYY")</f>
        <v>Apr-2025</v>
      </c>
      <c r="C295" s="4" t="str">
        <f t="shared" si="8"/>
        <v>Q4-2024</v>
      </c>
      <c r="D295" t="s">
        <v>78</v>
      </c>
      <c r="E295" t="s">
        <v>108</v>
      </c>
      <c r="F295" t="s">
        <v>152</v>
      </c>
      <c r="G295" t="s">
        <v>81</v>
      </c>
      <c r="H295" s="7" t="str">
        <f t="shared" si="9"/>
        <v>High</v>
      </c>
      <c r="I295" s="4">
        <v>523</v>
      </c>
    </row>
    <row r="296" spans="1:9" x14ac:dyDescent="0.3">
      <c r="A296" s="11">
        <v>45656</v>
      </c>
      <c r="B296" s="4" t="str">
        <f>TEXT(Data!B296,"MMM-YYYY")</f>
        <v>Jun-2025</v>
      </c>
      <c r="C296" s="4" t="str">
        <f t="shared" si="8"/>
        <v>Q4-2024</v>
      </c>
      <c r="D296" t="s">
        <v>45</v>
      </c>
      <c r="E296" t="s">
        <v>46</v>
      </c>
      <c r="F296" t="s">
        <v>47</v>
      </c>
      <c r="G296" t="s">
        <v>22</v>
      </c>
      <c r="H296" s="7" t="str">
        <f t="shared" si="9"/>
        <v>High</v>
      </c>
      <c r="I296" s="4">
        <v>1075.3</v>
      </c>
    </row>
    <row r="297" spans="1:9" x14ac:dyDescent="0.3">
      <c r="A297" s="11">
        <v>45657</v>
      </c>
      <c r="B297" s="4" t="str">
        <f>TEXT(Data!B297,"MMM-YYYY")</f>
        <v>Mar-2024</v>
      </c>
      <c r="C297" s="4" t="str">
        <f t="shared" si="8"/>
        <v>Q4-2024</v>
      </c>
      <c r="D297" t="s">
        <v>78</v>
      </c>
      <c r="E297" t="s">
        <v>79</v>
      </c>
      <c r="F297" t="s">
        <v>159</v>
      </c>
      <c r="G297" t="s">
        <v>57</v>
      </c>
      <c r="H297" s="7" t="str">
        <f t="shared" si="9"/>
        <v>High</v>
      </c>
      <c r="I297" s="4">
        <v>3294.57</v>
      </c>
    </row>
    <row r="298" spans="1:9" x14ac:dyDescent="0.3">
      <c r="A298" s="11">
        <v>45658</v>
      </c>
      <c r="B298" s="4" t="str">
        <f>TEXT(Data!B298,"MMM-YYYY")</f>
        <v>Jun-2023</v>
      </c>
      <c r="C298" s="4" t="str">
        <f t="shared" si="8"/>
        <v>Q1-2025</v>
      </c>
      <c r="D298" t="s">
        <v>52</v>
      </c>
      <c r="E298" t="s">
        <v>53</v>
      </c>
      <c r="F298" t="s">
        <v>179</v>
      </c>
      <c r="G298" t="s">
        <v>30</v>
      </c>
      <c r="H298" s="7" t="str">
        <f t="shared" si="9"/>
        <v>High</v>
      </c>
      <c r="I298" s="4">
        <v>464.05</v>
      </c>
    </row>
    <row r="299" spans="1:9" x14ac:dyDescent="0.3">
      <c r="A299" s="11">
        <v>45659</v>
      </c>
      <c r="B299" s="4" t="str">
        <f>TEXT(Data!B299,"MMM-YYYY")</f>
        <v>Mar-2024</v>
      </c>
      <c r="C299" s="4" t="str">
        <f t="shared" si="8"/>
        <v>Q1-2025</v>
      </c>
      <c r="D299" t="s">
        <v>52</v>
      </c>
      <c r="E299" t="s">
        <v>122</v>
      </c>
      <c r="F299" t="s">
        <v>326</v>
      </c>
      <c r="G299" t="s">
        <v>64</v>
      </c>
      <c r="H299" s="7" t="str">
        <f t="shared" si="9"/>
        <v>High</v>
      </c>
      <c r="I299" s="4">
        <v>511.03</v>
      </c>
    </row>
    <row r="300" spans="1:9" x14ac:dyDescent="0.3">
      <c r="A300" s="11">
        <v>45660</v>
      </c>
      <c r="B300" s="4" t="str">
        <f>TEXT(Data!B300,"MMM-YYYY")</f>
        <v>Jan-2025</v>
      </c>
      <c r="C300" s="4" t="str">
        <f t="shared" si="8"/>
        <v>Q1-2025</v>
      </c>
      <c r="D300" t="s">
        <v>52</v>
      </c>
      <c r="E300" t="s">
        <v>122</v>
      </c>
      <c r="F300" t="s">
        <v>326</v>
      </c>
      <c r="G300" t="s">
        <v>64</v>
      </c>
      <c r="H300" s="7" t="str">
        <f t="shared" si="9"/>
        <v>Low</v>
      </c>
      <c r="I300" s="4">
        <v>4.22</v>
      </c>
    </row>
    <row r="301" spans="1:9" x14ac:dyDescent="0.3">
      <c r="A301" s="11">
        <v>45661</v>
      </c>
      <c r="B301" s="4" t="str">
        <f>TEXT(Data!B301,"MMM-YYYY")</f>
        <v>May-2025</v>
      </c>
      <c r="C301" s="4" t="str">
        <f t="shared" si="8"/>
        <v>Q1-2025</v>
      </c>
      <c r="D301" t="s">
        <v>78</v>
      </c>
      <c r="E301" t="s">
        <v>90</v>
      </c>
      <c r="F301" t="s">
        <v>138</v>
      </c>
      <c r="G301" t="s">
        <v>81</v>
      </c>
      <c r="H301" s="7" t="str">
        <f t="shared" si="9"/>
        <v>High</v>
      </c>
      <c r="I301" s="4">
        <v>577.24</v>
      </c>
    </row>
    <row r="302" spans="1:9" x14ac:dyDescent="0.3">
      <c r="A302" s="11">
        <v>45662</v>
      </c>
      <c r="B302" s="4" t="str">
        <f>TEXT(Data!B302,"MMM-YYYY")</f>
        <v>Oct-2023</v>
      </c>
      <c r="C302" s="4" t="str">
        <f t="shared" si="8"/>
        <v>Q1-2025</v>
      </c>
      <c r="D302" t="s">
        <v>52</v>
      </c>
      <c r="E302" t="s">
        <v>53</v>
      </c>
      <c r="F302" t="s">
        <v>179</v>
      </c>
      <c r="G302" t="s">
        <v>22</v>
      </c>
      <c r="H302" s="7" t="str">
        <f t="shared" si="9"/>
        <v>High</v>
      </c>
      <c r="I302" s="4">
        <v>1426.03</v>
      </c>
    </row>
    <row r="303" spans="1:9" x14ac:dyDescent="0.3">
      <c r="A303" s="11">
        <v>45663</v>
      </c>
      <c r="B303" s="4" t="str">
        <f>TEXT(Data!B303,"MMM-YYYY")</f>
        <v>Jul-2023</v>
      </c>
      <c r="C303" s="4" t="str">
        <f t="shared" si="8"/>
        <v>Q1-2025</v>
      </c>
      <c r="D303" t="s">
        <v>45</v>
      </c>
      <c r="E303" t="s">
        <v>116</v>
      </c>
      <c r="F303" t="s">
        <v>162</v>
      </c>
      <c r="G303" t="s">
        <v>30</v>
      </c>
      <c r="H303" s="7" t="str">
        <f t="shared" si="9"/>
        <v>High</v>
      </c>
      <c r="I303" s="4">
        <v>1360.12</v>
      </c>
    </row>
    <row r="304" spans="1:9" x14ac:dyDescent="0.3">
      <c r="A304" s="11">
        <v>45664</v>
      </c>
      <c r="B304" s="4" t="str">
        <f>TEXT(Data!B304,"MMM-YYYY")</f>
        <v>Jun-2025</v>
      </c>
      <c r="C304" s="4" t="str">
        <f t="shared" si="8"/>
        <v>Q1-2025</v>
      </c>
      <c r="D304" t="s">
        <v>52</v>
      </c>
      <c r="E304" t="s">
        <v>73</v>
      </c>
      <c r="F304" t="s">
        <v>74</v>
      </c>
      <c r="G304" t="s">
        <v>35</v>
      </c>
      <c r="H304" s="7" t="str">
        <f t="shared" si="9"/>
        <v>High</v>
      </c>
      <c r="I304" s="4">
        <v>2071.1</v>
      </c>
    </row>
    <row r="305" spans="1:9" x14ac:dyDescent="0.3">
      <c r="A305" s="11">
        <v>45665</v>
      </c>
      <c r="B305" s="4" t="str">
        <f>TEXT(Data!B305,"MMM-YYYY")</f>
        <v>Jun-2024</v>
      </c>
      <c r="C305" s="4" t="str">
        <f t="shared" si="8"/>
        <v>Q1-2025</v>
      </c>
      <c r="D305" t="s">
        <v>78</v>
      </c>
      <c r="E305" t="s">
        <v>108</v>
      </c>
      <c r="F305" t="s">
        <v>152</v>
      </c>
      <c r="G305" t="s">
        <v>42</v>
      </c>
      <c r="H305" s="7" t="str">
        <f t="shared" si="9"/>
        <v>High</v>
      </c>
      <c r="I305" s="4">
        <v>979.84</v>
      </c>
    </row>
    <row r="306" spans="1:9" x14ac:dyDescent="0.3">
      <c r="A306" s="11">
        <v>45666</v>
      </c>
      <c r="B306" s="4" t="str">
        <f>TEXT(Data!B306,"MMM-YYYY")</f>
        <v>Apr-2025</v>
      </c>
      <c r="C306" s="4" t="str">
        <f t="shared" si="8"/>
        <v>Q1-2025</v>
      </c>
      <c r="D306" t="s">
        <v>16</v>
      </c>
      <c r="E306" t="s">
        <v>17</v>
      </c>
      <c r="F306" t="s">
        <v>18</v>
      </c>
      <c r="G306" t="s">
        <v>57</v>
      </c>
      <c r="H306" s="7" t="str">
        <f t="shared" si="9"/>
        <v>High</v>
      </c>
      <c r="I306" s="4">
        <v>537.39</v>
      </c>
    </row>
    <row r="307" spans="1:9" x14ac:dyDescent="0.3">
      <c r="A307" s="11">
        <v>45667</v>
      </c>
      <c r="B307" s="4" t="str">
        <f>TEXT(Data!B307,"MMM-YYYY")</f>
        <v>Mar-2025</v>
      </c>
      <c r="C307" s="4" t="str">
        <f t="shared" si="8"/>
        <v>Q1-2025</v>
      </c>
      <c r="D307" t="s">
        <v>78</v>
      </c>
      <c r="E307" t="s">
        <v>90</v>
      </c>
      <c r="F307" t="s">
        <v>138</v>
      </c>
      <c r="G307" t="s">
        <v>64</v>
      </c>
      <c r="H307" s="7" t="str">
        <f t="shared" si="9"/>
        <v>High</v>
      </c>
      <c r="I307" s="4">
        <v>213.32</v>
      </c>
    </row>
    <row r="308" spans="1:9" x14ac:dyDescent="0.3">
      <c r="A308" s="11">
        <v>45668</v>
      </c>
      <c r="B308" s="4" t="str">
        <f>TEXT(Data!B308,"MMM-YYYY")</f>
        <v>May-2025</v>
      </c>
      <c r="C308" s="4" t="str">
        <f t="shared" si="8"/>
        <v>Q1-2025</v>
      </c>
      <c r="D308" t="s">
        <v>16</v>
      </c>
      <c r="E308" t="s">
        <v>25</v>
      </c>
      <c r="F308" t="s">
        <v>38</v>
      </c>
      <c r="G308" t="s">
        <v>81</v>
      </c>
      <c r="H308" s="7" t="str">
        <f t="shared" si="9"/>
        <v>High</v>
      </c>
      <c r="I308" s="4">
        <v>1994.67</v>
      </c>
    </row>
    <row r="309" spans="1:9" x14ac:dyDescent="0.3">
      <c r="A309" s="11">
        <v>45669</v>
      </c>
      <c r="B309" s="4" t="str">
        <f>TEXT(Data!B309,"MMM-YYYY")</f>
        <v>Jan-2025</v>
      </c>
      <c r="C309" s="4" t="str">
        <f t="shared" si="8"/>
        <v>Q1-2025</v>
      </c>
      <c r="D309" t="s">
        <v>52</v>
      </c>
      <c r="E309" t="s">
        <v>122</v>
      </c>
      <c r="F309" t="s">
        <v>387</v>
      </c>
      <c r="G309" t="s">
        <v>35</v>
      </c>
      <c r="H309" s="7" t="str">
        <f t="shared" si="9"/>
        <v>High</v>
      </c>
      <c r="I309" s="4">
        <v>552.84</v>
      </c>
    </row>
    <row r="310" spans="1:9" x14ac:dyDescent="0.3">
      <c r="A310" s="11">
        <v>45670</v>
      </c>
      <c r="B310" s="4" t="str">
        <f>TEXT(Data!B310,"MMM-YYYY")</f>
        <v>Jan-2023</v>
      </c>
      <c r="C310" s="4" t="str">
        <f t="shared" si="8"/>
        <v>Q1-2025</v>
      </c>
      <c r="D310" t="s">
        <v>45</v>
      </c>
      <c r="E310" t="s">
        <v>46</v>
      </c>
      <c r="F310" t="s">
        <v>214</v>
      </c>
      <c r="G310" t="s">
        <v>30</v>
      </c>
      <c r="H310" s="7" t="str">
        <f t="shared" si="9"/>
        <v>High</v>
      </c>
      <c r="I310" s="4">
        <v>224.95</v>
      </c>
    </row>
    <row r="311" spans="1:9" x14ac:dyDescent="0.3">
      <c r="A311" s="11">
        <v>45671</v>
      </c>
      <c r="B311" s="4" t="str">
        <f>TEXT(Data!B311,"MMM-YYYY")</f>
        <v>Dec-2024</v>
      </c>
      <c r="C311" s="4" t="str">
        <f t="shared" si="8"/>
        <v>Q1-2025</v>
      </c>
      <c r="D311" t="s">
        <v>78</v>
      </c>
      <c r="E311" t="s">
        <v>90</v>
      </c>
      <c r="F311" t="s">
        <v>138</v>
      </c>
      <c r="G311" t="s">
        <v>57</v>
      </c>
      <c r="H311" s="7" t="str">
        <f t="shared" si="9"/>
        <v>High</v>
      </c>
      <c r="I311" s="4">
        <v>772.09</v>
      </c>
    </row>
    <row r="312" spans="1:9" x14ac:dyDescent="0.3">
      <c r="A312" s="11">
        <v>45672</v>
      </c>
      <c r="B312" s="4" t="str">
        <f>TEXT(Data!B312,"MMM-YYYY")</f>
        <v>May-2024</v>
      </c>
      <c r="C312" s="4" t="str">
        <f t="shared" si="8"/>
        <v>Q1-2025</v>
      </c>
      <c r="D312" t="s">
        <v>78</v>
      </c>
      <c r="E312" t="s">
        <v>108</v>
      </c>
      <c r="F312" t="s">
        <v>228</v>
      </c>
      <c r="G312" t="s">
        <v>64</v>
      </c>
      <c r="H312" s="7" t="str">
        <f t="shared" si="9"/>
        <v>High</v>
      </c>
      <c r="I312" s="4">
        <v>3149.21</v>
      </c>
    </row>
    <row r="313" spans="1:9" x14ac:dyDescent="0.3">
      <c r="A313" s="11">
        <v>45673</v>
      </c>
      <c r="B313" s="4" t="str">
        <f>TEXT(Data!B313,"MMM-YYYY")</f>
        <v>Jun-2023</v>
      </c>
      <c r="C313" s="4" t="str">
        <f t="shared" si="8"/>
        <v>Q1-2025</v>
      </c>
      <c r="D313" t="s">
        <v>52</v>
      </c>
      <c r="E313" t="s">
        <v>73</v>
      </c>
      <c r="F313" t="s">
        <v>225</v>
      </c>
      <c r="G313" t="s">
        <v>35</v>
      </c>
      <c r="H313" s="7" t="str">
        <f t="shared" si="9"/>
        <v>Medium</v>
      </c>
      <c r="I313" s="4">
        <v>57.53</v>
      </c>
    </row>
    <row r="314" spans="1:9" x14ac:dyDescent="0.3">
      <c r="A314" s="11">
        <v>45674</v>
      </c>
      <c r="B314" s="4" t="str">
        <f>TEXT(Data!B314,"MMM-YYYY")</f>
        <v>Nov-2024</v>
      </c>
      <c r="C314" s="4" t="str">
        <f t="shared" si="8"/>
        <v>Q1-2025</v>
      </c>
      <c r="D314" t="s">
        <v>52</v>
      </c>
      <c r="E314" t="s">
        <v>53</v>
      </c>
      <c r="F314" t="s">
        <v>54</v>
      </c>
      <c r="G314" t="s">
        <v>81</v>
      </c>
      <c r="H314" s="7" t="str">
        <f t="shared" si="9"/>
        <v>High</v>
      </c>
      <c r="I314" s="4">
        <v>824.81</v>
      </c>
    </row>
    <row r="315" spans="1:9" x14ac:dyDescent="0.3">
      <c r="A315" s="11">
        <v>45675</v>
      </c>
      <c r="B315" s="4" t="str">
        <f>TEXT(Data!B315,"MMM-YYYY")</f>
        <v>Jun-2024</v>
      </c>
      <c r="C315" s="4" t="str">
        <f t="shared" si="8"/>
        <v>Q1-2025</v>
      </c>
      <c r="D315" t="s">
        <v>78</v>
      </c>
      <c r="E315" t="s">
        <v>108</v>
      </c>
      <c r="F315" t="s">
        <v>152</v>
      </c>
      <c r="G315" t="s">
        <v>30</v>
      </c>
      <c r="H315" s="7" t="str">
        <f t="shared" si="9"/>
        <v>High</v>
      </c>
      <c r="I315" s="4">
        <v>1493.53</v>
      </c>
    </row>
    <row r="316" spans="1:9" x14ac:dyDescent="0.3">
      <c r="A316" s="11">
        <v>45676</v>
      </c>
      <c r="B316" s="4" t="str">
        <f>TEXT(Data!B316,"MMM-YYYY")</f>
        <v>Jun-2025</v>
      </c>
      <c r="C316" s="4" t="str">
        <f t="shared" si="8"/>
        <v>Q1-2025</v>
      </c>
      <c r="D316" t="s">
        <v>16</v>
      </c>
      <c r="E316" t="s">
        <v>148</v>
      </c>
      <c r="F316" t="s">
        <v>172</v>
      </c>
      <c r="G316" t="s">
        <v>64</v>
      </c>
      <c r="H316" s="7" t="str">
        <f t="shared" si="9"/>
        <v>High</v>
      </c>
      <c r="I316" s="4">
        <v>741.92</v>
      </c>
    </row>
    <row r="317" spans="1:9" x14ac:dyDescent="0.3">
      <c r="A317" s="11">
        <v>45677</v>
      </c>
      <c r="B317" s="4" t="str">
        <f>TEXT(Data!B317,"MMM-YYYY")</f>
        <v>May-2023</v>
      </c>
      <c r="C317" s="4" t="str">
        <f t="shared" si="8"/>
        <v>Q1-2025</v>
      </c>
      <c r="D317" t="s">
        <v>78</v>
      </c>
      <c r="E317" t="s">
        <v>90</v>
      </c>
      <c r="F317" t="s">
        <v>217</v>
      </c>
      <c r="G317" t="s">
        <v>22</v>
      </c>
      <c r="H317" s="7" t="str">
        <f t="shared" si="9"/>
        <v>High</v>
      </c>
      <c r="I317" s="4">
        <v>742.23</v>
      </c>
    </row>
    <row r="318" spans="1:9" x14ac:dyDescent="0.3">
      <c r="A318" s="11">
        <v>45678</v>
      </c>
      <c r="B318" s="4" t="str">
        <f>TEXT(Data!B318,"MMM-YYYY")</f>
        <v>Nov-2023</v>
      </c>
      <c r="C318" s="4" t="str">
        <f t="shared" si="8"/>
        <v>Q1-2025</v>
      </c>
      <c r="D318" t="s">
        <v>45</v>
      </c>
      <c r="E318" t="s">
        <v>46</v>
      </c>
      <c r="F318" t="s">
        <v>47</v>
      </c>
      <c r="G318" t="s">
        <v>42</v>
      </c>
      <c r="H318" s="7" t="str">
        <f t="shared" si="9"/>
        <v>High</v>
      </c>
      <c r="I318" s="4">
        <v>479.54</v>
      </c>
    </row>
    <row r="319" spans="1:9" x14ac:dyDescent="0.3">
      <c r="A319" s="11">
        <v>45679</v>
      </c>
      <c r="B319" s="4" t="str">
        <f>TEXT(Data!B319,"MMM-YYYY")</f>
        <v>Apr-2025</v>
      </c>
      <c r="C319" s="4" t="str">
        <f t="shared" si="8"/>
        <v>Q1-2025</v>
      </c>
      <c r="D319" t="s">
        <v>52</v>
      </c>
      <c r="E319" t="s">
        <v>73</v>
      </c>
      <c r="F319" t="s">
        <v>74</v>
      </c>
      <c r="G319" t="s">
        <v>35</v>
      </c>
      <c r="H319" s="7" t="str">
        <f t="shared" si="9"/>
        <v>High</v>
      </c>
      <c r="I319" s="4">
        <v>1175.25</v>
      </c>
    </row>
    <row r="320" spans="1:9" x14ac:dyDescent="0.3">
      <c r="A320" s="11">
        <v>45680</v>
      </c>
      <c r="B320" s="4" t="str">
        <f>TEXT(Data!B320,"MMM-YYYY")</f>
        <v>Mar-2023</v>
      </c>
      <c r="C320" s="4" t="str">
        <f t="shared" si="8"/>
        <v>Q1-2025</v>
      </c>
      <c r="D320" t="s">
        <v>52</v>
      </c>
      <c r="E320" t="s">
        <v>122</v>
      </c>
      <c r="F320" t="s">
        <v>167</v>
      </c>
      <c r="G320" t="s">
        <v>64</v>
      </c>
      <c r="H320" s="7" t="str">
        <f t="shared" si="9"/>
        <v>High</v>
      </c>
      <c r="I320" s="4">
        <v>227.45</v>
      </c>
    </row>
    <row r="321" spans="1:9" x14ac:dyDescent="0.3">
      <c r="A321" s="11">
        <v>45681</v>
      </c>
      <c r="B321" s="4" t="str">
        <f>TEXT(Data!B321,"MMM-YYYY")</f>
        <v>May-2024</v>
      </c>
      <c r="C321" s="4" t="str">
        <f t="shared" si="8"/>
        <v>Q1-2025</v>
      </c>
      <c r="D321" t="s">
        <v>16</v>
      </c>
      <c r="E321" t="s">
        <v>17</v>
      </c>
      <c r="F321" t="s">
        <v>113</v>
      </c>
      <c r="G321" t="s">
        <v>81</v>
      </c>
      <c r="H321" s="7" t="str">
        <f t="shared" si="9"/>
        <v>High</v>
      </c>
      <c r="I321" s="4">
        <v>1178.6199999999999</v>
      </c>
    </row>
    <row r="322" spans="1:9" x14ac:dyDescent="0.3">
      <c r="A322" s="11">
        <v>45682</v>
      </c>
      <c r="B322" s="4" t="str">
        <f>TEXT(Data!B322,"MMM-YYYY")</f>
        <v>Jan-2024</v>
      </c>
      <c r="C322" s="4" t="str">
        <f t="shared" ref="C322:C385" si="10">"Q"&amp;ROUNDUP(MONTH(A322)/3,0)&amp;"-"&amp;YEAR(A322)</f>
        <v>Q1-2025</v>
      </c>
      <c r="D322" t="s">
        <v>78</v>
      </c>
      <c r="E322" t="s">
        <v>79</v>
      </c>
      <c r="F322" t="s">
        <v>335</v>
      </c>
      <c r="G322" t="s">
        <v>42</v>
      </c>
      <c r="H322" s="7" t="str">
        <f t="shared" ref="H322:H385" si="11">IF(I322&lt;50, "Low", IF(I322&lt;200, "Medium", "High"))</f>
        <v>High</v>
      </c>
      <c r="I322" s="4">
        <v>2422.1</v>
      </c>
    </row>
    <row r="323" spans="1:9" x14ac:dyDescent="0.3">
      <c r="A323" s="11">
        <v>45683</v>
      </c>
      <c r="B323" s="4" t="str">
        <f>TEXT(Data!B323,"MMM-YYYY")</f>
        <v>Feb-2023</v>
      </c>
      <c r="C323" s="4" t="str">
        <f t="shared" si="10"/>
        <v>Q1-2025</v>
      </c>
      <c r="D323" t="s">
        <v>52</v>
      </c>
      <c r="E323" t="s">
        <v>122</v>
      </c>
      <c r="F323" t="s">
        <v>123</v>
      </c>
      <c r="G323" t="s">
        <v>35</v>
      </c>
      <c r="H323" s="7" t="str">
        <f t="shared" si="11"/>
        <v>High</v>
      </c>
      <c r="I323" s="4">
        <v>433.88</v>
      </c>
    </row>
    <row r="324" spans="1:9" x14ac:dyDescent="0.3">
      <c r="A324" s="11">
        <v>45684</v>
      </c>
      <c r="B324" s="4" t="str">
        <f>TEXT(Data!B324,"MMM-YYYY")</f>
        <v>Feb-2024</v>
      </c>
      <c r="C324" s="4" t="str">
        <f t="shared" si="10"/>
        <v>Q1-2025</v>
      </c>
      <c r="D324" t="s">
        <v>78</v>
      </c>
      <c r="E324" t="s">
        <v>90</v>
      </c>
      <c r="F324" t="s">
        <v>91</v>
      </c>
      <c r="G324" t="s">
        <v>35</v>
      </c>
      <c r="H324" s="7" t="str">
        <f t="shared" si="11"/>
        <v>High</v>
      </c>
      <c r="I324" s="4">
        <v>3149.13</v>
      </c>
    </row>
    <row r="325" spans="1:9" x14ac:dyDescent="0.3">
      <c r="A325" s="11">
        <v>45685</v>
      </c>
      <c r="B325" s="4" t="str">
        <f>TEXT(Data!B325,"MMM-YYYY")</f>
        <v>Sep-2024</v>
      </c>
      <c r="C325" s="4" t="str">
        <f t="shared" si="10"/>
        <v>Q1-2025</v>
      </c>
      <c r="D325" t="s">
        <v>52</v>
      </c>
      <c r="E325" t="s">
        <v>73</v>
      </c>
      <c r="F325" t="s">
        <v>74</v>
      </c>
      <c r="G325" t="s">
        <v>22</v>
      </c>
      <c r="H325" s="7" t="str">
        <f t="shared" si="11"/>
        <v>Medium</v>
      </c>
      <c r="I325" s="4">
        <v>65.650000000000006</v>
      </c>
    </row>
    <row r="326" spans="1:9" x14ac:dyDescent="0.3">
      <c r="A326" s="11">
        <v>45686</v>
      </c>
      <c r="B326" s="4" t="str">
        <f>TEXT(Data!B326,"MMM-YYYY")</f>
        <v>May-2023</v>
      </c>
      <c r="C326" s="4" t="str">
        <f t="shared" si="10"/>
        <v>Q1-2025</v>
      </c>
      <c r="D326" t="s">
        <v>52</v>
      </c>
      <c r="E326" t="s">
        <v>73</v>
      </c>
      <c r="F326" t="s">
        <v>74</v>
      </c>
      <c r="G326" t="s">
        <v>22</v>
      </c>
      <c r="H326" s="7" t="str">
        <f t="shared" si="11"/>
        <v>High</v>
      </c>
      <c r="I326" s="4">
        <v>2492.14</v>
      </c>
    </row>
    <row r="327" spans="1:9" x14ac:dyDescent="0.3">
      <c r="A327" s="11">
        <v>45687</v>
      </c>
      <c r="B327" s="4" t="str">
        <f>TEXT(Data!B327,"MMM-YYYY")</f>
        <v>Jan-2024</v>
      </c>
      <c r="C327" s="4" t="str">
        <f t="shared" si="10"/>
        <v>Q1-2025</v>
      </c>
      <c r="D327" t="s">
        <v>16</v>
      </c>
      <c r="E327" t="s">
        <v>148</v>
      </c>
      <c r="F327" t="s">
        <v>172</v>
      </c>
      <c r="G327" t="s">
        <v>81</v>
      </c>
      <c r="H327" s="7" t="str">
        <f t="shared" si="11"/>
        <v>High</v>
      </c>
      <c r="I327" s="4">
        <v>931.84</v>
      </c>
    </row>
    <row r="328" spans="1:9" x14ac:dyDescent="0.3">
      <c r="A328" s="11">
        <v>45688</v>
      </c>
      <c r="B328" s="4" t="str">
        <f>TEXT(Data!B328,"MMM-YYYY")</f>
        <v>Jun-2023</v>
      </c>
      <c r="C328" s="4" t="str">
        <f t="shared" si="10"/>
        <v>Q1-2025</v>
      </c>
      <c r="D328" t="s">
        <v>45</v>
      </c>
      <c r="E328" t="s">
        <v>60</v>
      </c>
      <c r="F328" t="s">
        <v>281</v>
      </c>
      <c r="G328" t="s">
        <v>22</v>
      </c>
      <c r="H328" s="7" t="str">
        <f t="shared" si="11"/>
        <v>High</v>
      </c>
      <c r="I328" s="4">
        <v>619.51</v>
      </c>
    </row>
    <row r="329" spans="1:9" x14ac:dyDescent="0.3">
      <c r="A329" s="11">
        <v>45689</v>
      </c>
      <c r="B329" s="4" t="str">
        <f>TEXT(Data!B329,"MMM-YYYY")</f>
        <v>May-2025</v>
      </c>
      <c r="C329" s="4" t="str">
        <f t="shared" si="10"/>
        <v>Q1-2025</v>
      </c>
      <c r="D329" t="s">
        <v>16</v>
      </c>
      <c r="E329" t="s">
        <v>17</v>
      </c>
      <c r="F329" t="s">
        <v>135</v>
      </c>
      <c r="G329" t="s">
        <v>42</v>
      </c>
      <c r="H329" s="7" t="str">
        <f t="shared" si="11"/>
        <v>High</v>
      </c>
      <c r="I329" s="4">
        <v>1421.55</v>
      </c>
    </row>
    <row r="330" spans="1:9" x14ac:dyDescent="0.3">
      <c r="A330" s="11">
        <v>45690</v>
      </c>
      <c r="B330" s="4" t="str">
        <f>TEXT(Data!B330,"MMM-YYYY")</f>
        <v>Oct-2023</v>
      </c>
      <c r="C330" s="4" t="str">
        <f t="shared" si="10"/>
        <v>Q1-2025</v>
      </c>
      <c r="D330" t="s">
        <v>52</v>
      </c>
      <c r="E330" t="s">
        <v>73</v>
      </c>
      <c r="F330" t="s">
        <v>74</v>
      </c>
      <c r="G330" t="s">
        <v>64</v>
      </c>
      <c r="H330" s="7" t="str">
        <f t="shared" si="11"/>
        <v>High</v>
      </c>
      <c r="I330" s="4">
        <v>952.56</v>
      </c>
    </row>
    <row r="331" spans="1:9" x14ac:dyDescent="0.3">
      <c r="A331" s="11">
        <v>45691</v>
      </c>
      <c r="B331" s="4" t="str">
        <f>TEXT(Data!B331,"MMM-YYYY")</f>
        <v>Jan-2025</v>
      </c>
      <c r="C331" s="4" t="str">
        <f t="shared" si="10"/>
        <v>Q1-2025</v>
      </c>
      <c r="D331" t="s">
        <v>52</v>
      </c>
      <c r="E331" t="s">
        <v>53</v>
      </c>
      <c r="F331" t="s">
        <v>54</v>
      </c>
      <c r="G331" t="s">
        <v>57</v>
      </c>
      <c r="H331" s="7" t="str">
        <f t="shared" si="11"/>
        <v>High</v>
      </c>
      <c r="I331" s="4">
        <v>3154.14</v>
      </c>
    </row>
    <row r="332" spans="1:9" x14ac:dyDescent="0.3">
      <c r="A332" s="11">
        <v>45692</v>
      </c>
      <c r="B332" s="4" t="str">
        <f>TEXT(Data!B332,"MMM-YYYY")</f>
        <v>Sep-2025</v>
      </c>
      <c r="C332" s="4" t="str">
        <f t="shared" si="10"/>
        <v>Q1-2025</v>
      </c>
      <c r="D332" t="s">
        <v>52</v>
      </c>
      <c r="E332" t="s">
        <v>122</v>
      </c>
      <c r="F332" t="s">
        <v>326</v>
      </c>
      <c r="G332" t="s">
        <v>42</v>
      </c>
      <c r="H332" s="7" t="str">
        <f t="shared" si="11"/>
        <v>High</v>
      </c>
      <c r="I332" s="4">
        <v>226.14</v>
      </c>
    </row>
    <row r="333" spans="1:9" x14ac:dyDescent="0.3">
      <c r="A333" s="11">
        <v>45693</v>
      </c>
      <c r="B333" s="4" t="str">
        <f>TEXT(Data!B333,"MMM-YYYY")</f>
        <v>Aug-2023</v>
      </c>
      <c r="C333" s="4" t="str">
        <f t="shared" si="10"/>
        <v>Q1-2025</v>
      </c>
      <c r="D333" t="s">
        <v>78</v>
      </c>
      <c r="E333" t="s">
        <v>108</v>
      </c>
      <c r="F333" t="s">
        <v>152</v>
      </c>
      <c r="G333" t="s">
        <v>35</v>
      </c>
      <c r="H333" s="7" t="str">
        <f t="shared" si="11"/>
        <v>High</v>
      </c>
      <c r="I333" s="4">
        <v>885.92</v>
      </c>
    </row>
    <row r="334" spans="1:9" x14ac:dyDescent="0.3">
      <c r="A334" s="11">
        <v>45694</v>
      </c>
      <c r="B334" s="4" t="str">
        <f>TEXT(Data!B334,"MMM-YYYY")</f>
        <v>Nov-2023</v>
      </c>
      <c r="C334" s="4" t="str">
        <f t="shared" si="10"/>
        <v>Q1-2025</v>
      </c>
      <c r="D334" t="s">
        <v>45</v>
      </c>
      <c r="E334" t="s">
        <v>60</v>
      </c>
      <c r="F334" t="s">
        <v>141</v>
      </c>
      <c r="G334" t="s">
        <v>81</v>
      </c>
      <c r="H334" s="7" t="str">
        <f t="shared" si="11"/>
        <v>High</v>
      </c>
      <c r="I334" s="4">
        <v>2433.34</v>
      </c>
    </row>
    <row r="335" spans="1:9" x14ac:dyDescent="0.3">
      <c r="A335" s="11">
        <v>45695</v>
      </c>
      <c r="B335" s="4" t="str">
        <f>TEXT(Data!B335,"MMM-YYYY")</f>
        <v>Apr-2025</v>
      </c>
      <c r="C335" s="4" t="str">
        <f t="shared" si="10"/>
        <v>Q1-2025</v>
      </c>
      <c r="D335" t="s">
        <v>78</v>
      </c>
      <c r="E335" t="s">
        <v>108</v>
      </c>
      <c r="F335" t="s">
        <v>228</v>
      </c>
      <c r="G335" t="s">
        <v>81</v>
      </c>
      <c r="H335" s="7" t="str">
        <f t="shared" si="11"/>
        <v>High</v>
      </c>
      <c r="I335" s="4">
        <v>1154.3399999999999</v>
      </c>
    </row>
    <row r="336" spans="1:9" x14ac:dyDescent="0.3">
      <c r="A336" s="11">
        <v>45696</v>
      </c>
      <c r="B336" s="4" t="str">
        <f>TEXT(Data!B336,"MMM-YYYY")</f>
        <v>Apr-2024</v>
      </c>
      <c r="C336" s="4" t="str">
        <f t="shared" si="10"/>
        <v>Q1-2025</v>
      </c>
      <c r="D336" t="s">
        <v>45</v>
      </c>
      <c r="E336" t="s">
        <v>60</v>
      </c>
      <c r="F336" t="s">
        <v>1364</v>
      </c>
      <c r="G336" t="s">
        <v>42</v>
      </c>
      <c r="H336" s="7" t="str">
        <f t="shared" si="11"/>
        <v>High</v>
      </c>
      <c r="I336" s="4">
        <v>1135.99</v>
      </c>
    </row>
    <row r="337" spans="1:9" x14ac:dyDescent="0.3">
      <c r="A337" s="11">
        <v>45697</v>
      </c>
      <c r="B337" s="4" t="str">
        <f>TEXT(Data!B337,"MMM-YYYY")</f>
        <v>Jul-2024</v>
      </c>
      <c r="C337" s="4" t="str">
        <f t="shared" si="10"/>
        <v>Q1-2025</v>
      </c>
      <c r="D337" t="s">
        <v>78</v>
      </c>
      <c r="E337" t="s">
        <v>90</v>
      </c>
      <c r="F337" t="s">
        <v>138</v>
      </c>
      <c r="G337" t="s">
        <v>30</v>
      </c>
      <c r="H337" s="7" t="str">
        <f t="shared" si="11"/>
        <v>High</v>
      </c>
      <c r="I337" s="4">
        <v>2751.84</v>
      </c>
    </row>
    <row r="338" spans="1:9" x14ac:dyDescent="0.3">
      <c r="A338" s="11">
        <v>45698</v>
      </c>
      <c r="B338" s="4" t="str">
        <f>TEXT(Data!B338,"MMM-YYYY")</f>
        <v>Feb-2024</v>
      </c>
      <c r="C338" s="4" t="str">
        <f t="shared" si="10"/>
        <v>Q1-2025</v>
      </c>
      <c r="D338" t="s">
        <v>45</v>
      </c>
      <c r="E338" t="s">
        <v>116</v>
      </c>
      <c r="F338" t="s">
        <v>117</v>
      </c>
      <c r="G338" t="s">
        <v>42</v>
      </c>
      <c r="H338" s="7" t="str">
        <f t="shared" si="11"/>
        <v>High</v>
      </c>
      <c r="I338" s="4">
        <v>1374.72</v>
      </c>
    </row>
    <row r="339" spans="1:9" x14ac:dyDescent="0.3">
      <c r="A339" s="11">
        <v>45699</v>
      </c>
      <c r="B339" s="4" t="str">
        <f>TEXT(Data!B339,"MMM-YYYY")</f>
        <v>Jul-2023</v>
      </c>
      <c r="C339" s="4" t="str">
        <f t="shared" si="10"/>
        <v>Q1-2025</v>
      </c>
      <c r="D339" t="s">
        <v>52</v>
      </c>
      <c r="E339" t="s">
        <v>73</v>
      </c>
      <c r="F339" t="s">
        <v>1364</v>
      </c>
      <c r="G339" t="s">
        <v>30</v>
      </c>
      <c r="H339" s="7" t="str">
        <f t="shared" si="11"/>
        <v>High</v>
      </c>
      <c r="I339" s="4">
        <v>1318.37</v>
      </c>
    </row>
    <row r="340" spans="1:9" x14ac:dyDescent="0.3">
      <c r="A340" s="11">
        <v>45700</v>
      </c>
      <c r="B340" s="4" t="str">
        <f>TEXT(Data!B340,"MMM-YYYY")</f>
        <v>Jul-2023</v>
      </c>
      <c r="C340" s="4" t="str">
        <f t="shared" si="10"/>
        <v>Q1-2025</v>
      </c>
      <c r="D340" t="s">
        <v>16</v>
      </c>
      <c r="E340" t="s">
        <v>25</v>
      </c>
      <c r="F340" t="s">
        <v>26</v>
      </c>
      <c r="G340" t="s">
        <v>81</v>
      </c>
      <c r="H340" s="7" t="str">
        <f t="shared" si="11"/>
        <v>High</v>
      </c>
      <c r="I340" s="4">
        <v>441.74</v>
      </c>
    </row>
    <row r="341" spans="1:9" x14ac:dyDescent="0.3">
      <c r="A341" s="11">
        <v>45701</v>
      </c>
      <c r="B341" s="4" t="str">
        <f>TEXT(Data!B341,"MMM-YYYY")</f>
        <v>Jul-2023</v>
      </c>
      <c r="C341" s="4" t="str">
        <f t="shared" si="10"/>
        <v>Q1-2025</v>
      </c>
      <c r="D341" t="s">
        <v>16</v>
      </c>
      <c r="E341" t="s">
        <v>148</v>
      </c>
      <c r="F341" t="s">
        <v>172</v>
      </c>
      <c r="G341" t="s">
        <v>64</v>
      </c>
      <c r="H341" s="7" t="str">
        <f t="shared" si="11"/>
        <v>High</v>
      </c>
      <c r="I341" s="4">
        <v>1330.07</v>
      </c>
    </row>
    <row r="342" spans="1:9" x14ac:dyDescent="0.3">
      <c r="A342" s="11">
        <v>45702</v>
      </c>
      <c r="B342" s="4" t="str">
        <f>TEXT(Data!B342,"MMM-YYYY")</f>
        <v>Apr-2023</v>
      </c>
      <c r="C342" s="4" t="str">
        <f t="shared" si="10"/>
        <v>Q1-2025</v>
      </c>
      <c r="D342" t="s">
        <v>16</v>
      </c>
      <c r="E342" t="s">
        <v>17</v>
      </c>
      <c r="F342" t="s">
        <v>33</v>
      </c>
      <c r="G342" t="s">
        <v>81</v>
      </c>
      <c r="H342" s="7" t="str">
        <f t="shared" si="11"/>
        <v>High</v>
      </c>
      <c r="I342" s="4">
        <v>1634.86</v>
      </c>
    </row>
    <row r="343" spans="1:9" x14ac:dyDescent="0.3">
      <c r="A343" s="11">
        <v>45703</v>
      </c>
      <c r="B343" s="4" t="str">
        <f>TEXT(Data!B343,"MMM-YYYY")</f>
        <v>Oct-2024</v>
      </c>
      <c r="C343" s="4" t="str">
        <f t="shared" si="10"/>
        <v>Q1-2025</v>
      </c>
      <c r="D343" t="s">
        <v>52</v>
      </c>
      <c r="E343" t="s">
        <v>122</v>
      </c>
      <c r="F343" t="s">
        <v>167</v>
      </c>
      <c r="G343" t="s">
        <v>35</v>
      </c>
      <c r="H343" s="7" t="str">
        <f t="shared" si="11"/>
        <v>Medium</v>
      </c>
      <c r="I343" s="4">
        <v>70.599999999999994</v>
      </c>
    </row>
    <row r="344" spans="1:9" x14ac:dyDescent="0.3">
      <c r="A344" s="11">
        <v>45704</v>
      </c>
      <c r="B344" s="4" t="str">
        <f>TEXT(Data!B344,"MMM-YYYY")</f>
        <v>Feb-2024</v>
      </c>
      <c r="C344" s="4" t="str">
        <f t="shared" si="10"/>
        <v>Q1-2025</v>
      </c>
      <c r="D344" t="s">
        <v>16</v>
      </c>
      <c r="E344" t="s">
        <v>17</v>
      </c>
      <c r="F344" t="s">
        <v>33</v>
      </c>
      <c r="G344" t="s">
        <v>30</v>
      </c>
      <c r="H344" s="7" t="str">
        <f t="shared" si="11"/>
        <v>High</v>
      </c>
      <c r="I344" s="4">
        <v>1823.04</v>
      </c>
    </row>
    <row r="345" spans="1:9" x14ac:dyDescent="0.3">
      <c r="A345" s="11">
        <v>45705</v>
      </c>
      <c r="B345" s="4" t="str">
        <f>TEXT(Data!B345,"MMM-YYYY")</f>
        <v>Jul-2024</v>
      </c>
      <c r="C345" s="4" t="str">
        <f t="shared" si="10"/>
        <v>Q1-2025</v>
      </c>
      <c r="D345" t="s">
        <v>45</v>
      </c>
      <c r="E345" t="s">
        <v>60</v>
      </c>
      <c r="F345" t="s">
        <v>141</v>
      </c>
      <c r="G345" t="s">
        <v>42</v>
      </c>
      <c r="H345" s="7" t="str">
        <f t="shared" si="11"/>
        <v>High</v>
      </c>
      <c r="I345" s="4">
        <v>2015.99</v>
      </c>
    </row>
    <row r="346" spans="1:9" x14ac:dyDescent="0.3">
      <c r="A346" s="11">
        <v>45706</v>
      </c>
      <c r="B346" s="4" t="str">
        <f>TEXT(Data!B346,"MMM-YYYY")</f>
        <v>Dec-2023</v>
      </c>
      <c r="C346" s="4" t="str">
        <f t="shared" si="10"/>
        <v>Q1-2025</v>
      </c>
      <c r="D346" t="s">
        <v>45</v>
      </c>
      <c r="E346" t="s">
        <v>46</v>
      </c>
      <c r="F346" t="s">
        <v>231</v>
      </c>
      <c r="G346" t="s">
        <v>35</v>
      </c>
      <c r="H346" s="7" t="str">
        <f t="shared" si="11"/>
        <v>High</v>
      </c>
      <c r="I346" s="4">
        <v>244.13</v>
      </c>
    </row>
    <row r="347" spans="1:9" x14ac:dyDescent="0.3">
      <c r="A347" s="11">
        <v>45707</v>
      </c>
      <c r="B347" s="4" t="str">
        <f>TEXT(Data!B347,"MMM-YYYY")</f>
        <v>Jul-2024</v>
      </c>
      <c r="C347" s="4" t="str">
        <f t="shared" si="10"/>
        <v>Q1-2025</v>
      </c>
      <c r="D347" t="s">
        <v>45</v>
      </c>
      <c r="E347" t="s">
        <v>46</v>
      </c>
      <c r="F347" t="s">
        <v>231</v>
      </c>
      <c r="G347" t="s">
        <v>57</v>
      </c>
      <c r="H347" s="7" t="str">
        <f t="shared" si="11"/>
        <v>High</v>
      </c>
      <c r="I347" s="4">
        <v>2783.12</v>
      </c>
    </row>
    <row r="348" spans="1:9" x14ac:dyDescent="0.3">
      <c r="A348" s="11">
        <v>45708</v>
      </c>
      <c r="B348" s="4" t="str">
        <f>TEXT(Data!B348,"MMM-YYYY")</f>
        <v>May-2023</v>
      </c>
      <c r="C348" s="4" t="str">
        <f t="shared" si="10"/>
        <v>Q1-2025</v>
      </c>
      <c r="D348" t="s">
        <v>52</v>
      </c>
      <c r="E348" t="s">
        <v>53</v>
      </c>
      <c r="F348" t="s">
        <v>144</v>
      </c>
      <c r="G348" t="s">
        <v>81</v>
      </c>
      <c r="H348" s="7" t="str">
        <f t="shared" si="11"/>
        <v>High</v>
      </c>
      <c r="I348" s="4">
        <v>2050.31</v>
      </c>
    </row>
    <row r="349" spans="1:9" x14ac:dyDescent="0.3">
      <c r="A349" s="11">
        <v>45709</v>
      </c>
      <c r="B349" s="4" t="str">
        <f>TEXT(Data!B349,"MMM-YYYY")</f>
        <v>Dec-2023</v>
      </c>
      <c r="C349" s="4" t="str">
        <f t="shared" si="10"/>
        <v>Q1-2025</v>
      </c>
      <c r="D349" t="s">
        <v>16</v>
      </c>
      <c r="E349" t="s">
        <v>25</v>
      </c>
      <c r="F349" t="s">
        <v>67</v>
      </c>
      <c r="G349" t="s">
        <v>42</v>
      </c>
      <c r="H349" s="7" t="str">
        <f t="shared" si="11"/>
        <v>Medium</v>
      </c>
      <c r="I349" s="4">
        <v>147.12</v>
      </c>
    </row>
    <row r="350" spans="1:9" x14ac:dyDescent="0.3">
      <c r="A350" s="11">
        <v>45710</v>
      </c>
      <c r="B350" s="4" t="str">
        <f>TEXT(Data!B350,"MMM-YYYY")</f>
        <v>Jun-2025</v>
      </c>
      <c r="C350" s="4" t="str">
        <f t="shared" si="10"/>
        <v>Q1-2025</v>
      </c>
      <c r="D350" t="s">
        <v>16</v>
      </c>
      <c r="E350" t="s">
        <v>25</v>
      </c>
      <c r="F350" t="s">
        <v>1364</v>
      </c>
      <c r="G350" t="s">
        <v>22</v>
      </c>
      <c r="H350" s="7" t="str">
        <f t="shared" si="11"/>
        <v>High</v>
      </c>
      <c r="I350" s="4">
        <v>1982.98</v>
      </c>
    </row>
    <row r="351" spans="1:9" x14ac:dyDescent="0.3">
      <c r="A351" s="11">
        <v>45711</v>
      </c>
      <c r="B351" s="4" t="str">
        <f>TEXT(Data!B351,"MMM-YYYY")</f>
        <v>Feb-2023</v>
      </c>
      <c r="C351" s="4" t="str">
        <f t="shared" si="10"/>
        <v>Q1-2025</v>
      </c>
      <c r="D351" t="s">
        <v>45</v>
      </c>
      <c r="E351" t="s">
        <v>60</v>
      </c>
      <c r="F351" t="s">
        <v>141</v>
      </c>
      <c r="G351" t="s">
        <v>57</v>
      </c>
      <c r="H351" s="7" t="str">
        <f t="shared" si="11"/>
        <v>High</v>
      </c>
      <c r="I351" s="4">
        <v>2299.3000000000002</v>
      </c>
    </row>
    <row r="352" spans="1:9" x14ac:dyDescent="0.3">
      <c r="A352" s="11">
        <v>45712</v>
      </c>
      <c r="B352" s="4" t="str">
        <f>TEXT(Data!B352,"MMM-YYYY")</f>
        <v>Dec-2023</v>
      </c>
      <c r="C352" s="4" t="str">
        <f t="shared" si="10"/>
        <v>Q1-2025</v>
      </c>
      <c r="D352" t="s">
        <v>78</v>
      </c>
      <c r="E352" t="s">
        <v>108</v>
      </c>
      <c r="F352" t="s">
        <v>228</v>
      </c>
      <c r="G352" t="s">
        <v>30</v>
      </c>
      <c r="H352" s="7" t="str">
        <f t="shared" si="11"/>
        <v>High</v>
      </c>
      <c r="I352" s="4">
        <v>462.61</v>
      </c>
    </row>
    <row r="353" spans="1:9" x14ac:dyDescent="0.3">
      <c r="A353" s="11">
        <v>45713</v>
      </c>
      <c r="B353" s="4" t="str">
        <f>TEXT(Data!B353,"MMM-YYYY")</f>
        <v>Jul-2023</v>
      </c>
      <c r="C353" s="4" t="str">
        <f t="shared" si="10"/>
        <v>Q1-2025</v>
      </c>
      <c r="D353" t="s">
        <v>78</v>
      </c>
      <c r="E353" t="s">
        <v>79</v>
      </c>
      <c r="F353" t="s">
        <v>335</v>
      </c>
      <c r="G353" t="s">
        <v>64</v>
      </c>
      <c r="H353" s="7" t="str">
        <f t="shared" si="11"/>
        <v>High</v>
      </c>
      <c r="I353" s="4">
        <v>1093.3900000000001</v>
      </c>
    </row>
    <row r="354" spans="1:9" x14ac:dyDescent="0.3">
      <c r="A354" s="11">
        <v>45714</v>
      </c>
      <c r="B354" s="4" t="str">
        <f>TEXT(Data!B354,"MMM-YYYY")</f>
        <v>Aug-2024</v>
      </c>
      <c r="C354" s="4" t="str">
        <f t="shared" si="10"/>
        <v>Q1-2025</v>
      </c>
      <c r="D354" t="s">
        <v>16</v>
      </c>
      <c r="E354" t="s">
        <v>25</v>
      </c>
      <c r="F354" t="s">
        <v>38</v>
      </c>
      <c r="G354" t="s">
        <v>81</v>
      </c>
      <c r="H354" s="7" t="str">
        <f t="shared" si="11"/>
        <v>High</v>
      </c>
      <c r="I354" s="4">
        <v>1454.22</v>
      </c>
    </row>
    <row r="355" spans="1:9" x14ac:dyDescent="0.3">
      <c r="A355" s="11">
        <v>45715</v>
      </c>
      <c r="B355" s="4" t="str">
        <f>TEXT(Data!B355,"MMM-YYYY")</f>
        <v>Nov-2024</v>
      </c>
      <c r="C355" s="4" t="str">
        <f t="shared" si="10"/>
        <v>Q1-2025</v>
      </c>
      <c r="D355" t="s">
        <v>45</v>
      </c>
      <c r="E355" t="s">
        <v>46</v>
      </c>
      <c r="F355" t="s">
        <v>47</v>
      </c>
      <c r="G355" t="s">
        <v>35</v>
      </c>
      <c r="H355" s="7" t="str">
        <f t="shared" si="11"/>
        <v>High</v>
      </c>
      <c r="I355" s="4">
        <v>2120.4</v>
      </c>
    </row>
    <row r="356" spans="1:9" x14ac:dyDescent="0.3">
      <c r="A356" s="11">
        <v>45716</v>
      </c>
      <c r="B356" s="4" t="str">
        <f>TEXT(Data!B356,"MMM-YYYY")</f>
        <v>Jan-2024</v>
      </c>
      <c r="C356" s="4" t="str">
        <f t="shared" si="10"/>
        <v>Q1-2025</v>
      </c>
      <c r="D356" t="s">
        <v>52</v>
      </c>
      <c r="E356" t="s">
        <v>73</v>
      </c>
      <c r="F356" t="s">
        <v>225</v>
      </c>
      <c r="G356" t="s">
        <v>30</v>
      </c>
      <c r="H356" s="7" t="str">
        <f t="shared" si="11"/>
        <v>Medium</v>
      </c>
      <c r="I356" s="4">
        <v>128.68</v>
      </c>
    </row>
    <row r="357" spans="1:9" x14ac:dyDescent="0.3">
      <c r="A357" s="11">
        <v>45717</v>
      </c>
      <c r="B357" s="4" t="str">
        <f>TEXT(Data!B357,"MMM-YYYY")</f>
        <v>Aug-2025</v>
      </c>
      <c r="C357" s="4" t="str">
        <f t="shared" si="10"/>
        <v>Q1-2025</v>
      </c>
      <c r="D357" t="s">
        <v>78</v>
      </c>
      <c r="E357" t="s">
        <v>108</v>
      </c>
      <c r="F357" t="s">
        <v>228</v>
      </c>
      <c r="G357" t="s">
        <v>81</v>
      </c>
      <c r="H357" s="7" t="str">
        <f t="shared" si="11"/>
        <v>High</v>
      </c>
      <c r="I357" s="4">
        <v>1325.96</v>
      </c>
    </row>
    <row r="358" spans="1:9" x14ac:dyDescent="0.3">
      <c r="A358" s="11">
        <v>45718</v>
      </c>
      <c r="B358" s="4" t="str">
        <f>TEXT(Data!B358,"MMM-YYYY")</f>
        <v>Apr-2024</v>
      </c>
      <c r="C358" s="4" t="str">
        <f t="shared" si="10"/>
        <v>Q1-2025</v>
      </c>
      <c r="D358" t="s">
        <v>52</v>
      </c>
      <c r="E358" t="s">
        <v>73</v>
      </c>
      <c r="F358" t="s">
        <v>74</v>
      </c>
      <c r="G358" t="s">
        <v>30</v>
      </c>
      <c r="H358" s="7" t="str">
        <f t="shared" si="11"/>
        <v>High</v>
      </c>
      <c r="I358" s="4">
        <v>2439.33</v>
      </c>
    </row>
    <row r="359" spans="1:9" x14ac:dyDescent="0.3">
      <c r="A359" s="11">
        <v>45719</v>
      </c>
      <c r="B359" s="4" t="str">
        <f>TEXT(Data!B359,"MMM-YYYY")</f>
        <v>Nov-2024</v>
      </c>
      <c r="C359" s="4" t="str">
        <f t="shared" si="10"/>
        <v>Q1-2025</v>
      </c>
      <c r="D359" t="s">
        <v>52</v>
      </c>
      <c r="E359" t="s">
        <v>73</v>
      </c>
      <c r="F359" t="s">
        <v>87</v>
      </c>
      <c r="G359" t="s">
        <v>35</v>
      </c>
      <c r="H359" s="7" t="str">
        <f t="shared" si="11"/>
        <v>High</v>
      </c>
      <c r="I359" s="4">
        <v>2201.54</v>
      </c>
    </row>
    <row r="360" spans="1:9" x14ac:dyDescent="0.3">
      <c r="A360" s="11">
        <v>45720</v>
      </c>
      <c r="B360" s="4" t="str">
        <f>TEXT(Data!B360,"MMM-YYYY")</f>
        <v>Jan-2024</v>
      </c>
      <c r="C360" s="4" t="str">
        <f t="shared" si="10"/>
        <v>Q1-2025</v>
      </c>
      <c r="D360" t="s">
        <v>45</v>
      </c>
      <c r="E360" t="s">
        <v>116</v>
      </c>
      <c r="F360" t="s">
        <v>162</v>
      </c>
      <c r="G360" t="s">
        <v>81</v>
      </c>
      <c r="H360" s="7" t="str">
        <f t="shared" si="11"/>
        <v>High</v>
      </c>
      <c r="I360" s="4">
        <v>814.36</v>
      </c>
    </row>
    <row r="361" spans="1:9" x14ac:dyDescent="0.3">
      <c r="A361" s="11">
        <v>45721</v>
      </c>
      <c r="B361" s="4" t="str">
        <f>TEXT(Data!B361,"MMM-YYYY")</f>
        <v>Jun-2024</v>
      </c>
      <c r="C361" s="4" t="str">
        <f t="shared" si="10"/>
        <v>Q1-2025</v>
      </c>
      <c r="D361" t="s">
        <v>16</v>
      </c>
      <c r="E361" t="s">
        <v>148</v>
      </c>
      <c r="F361" t="s">
        <v>258</v>
      </c>
      <c r="G361" t="s">
        <v>30</v>
      </c>
      <c r="H361" s="7" t="str">
        <f t="shared" si="11"/>
        <v>High</v>
      </c>
      <c r="I361" s="4">
        <v>1382.91</v>
      </c>
    </row>
    <row r="362" spans="1:9" x14ac:dyDescent="0.3">
      <c r="A362" s="11">
        <v>45722</v>
      </c>
      <c r="B362" s="4" t="str">
        <f>TEXT(Data!B362,"MMM-YYYY")</f>
        <v>Jun-2025</v>
      </c>
      <c r="C362" s="4" t="str">
        <f t="shared" si="10"/>
        <v>Q1-2025</v>
      </c>
      <c r="D362" t="s">
        <v>78</v>
      </c>
      <c r="E362" t="s">
        <v>108</v>
      </c>
      <c r="F362" t="s">
        <v>109</v>
      </c>
      <c r="G362" t="s">
        <v>81</v>
      </c>
      <c r="H362" s="7" t="str">
        <f t="shared" si="11"/>
        <v>High</v>
      </c>
      <c r="I362" s="4">
        <v>1646.43</v>
      </c>
    </row>
    <row r="363" spans="1:9" x14ac:dyDescent="0.3">
      <c r="A363" s="11">
        <v>45723</v>
      </c>
      <c r="B363" s="4" t="str">
        <f>TEXT(Data!B363,"MMM-YYYY")</f>
        <v>Jul-2023</v>
      </c>
      <c r="C363" s="4" t="str">
        <f t="shared" si="10"/>
        <v>Q1-2025</v>
      </c>
      <c r="D363" t="s">
        <v>78</v>
      </c>
      <c r="E363" t="s">
        <v>108</v>
      </c>
      <c r="F363" t="s">
        <v>109</v>
      </c>
      <c r="G363" t="s">
        <v>42</v>
      </c>
      <c r="H363" s="7" t="str">
        <f t="shared" si="11"/>
        <v>High</v>
      </c>
      <c r="I363" s="4">
        <v>400.84</v>
      </c>
    </row>
    <row r="364" spans="1:9" x14ac:dyDescent="0.3">
      <c r="A364" s="11">
        <v>45724</v>
      </c>
      <c r="B364" s="4" t="str">
        <f>TEXT(Data!B364,"MMM-YYYY")</f>
        <v>Mar-2024</v>
      </c>
      <c r="C364" s="4" t="str">
        <f t="shared" si="10"/>
        <v>Q1-2025</v>
      </c>
      <c r="D364" t="s">
        <v>16</v>
      </c>
      <c r="E364" t="s">
        <v>25</v>
      </c>
      <c r="F364" t="s">
        <v>26</v>
      </c>
      <c r="G364" t="s">
        <v>57</v>
      </c>
      <c r="H364" s="7" t="str">
        <f t="shared" si="11"/>
        <v>High</v>
      </c>
      <c r="I364" s="4">
        <v>1780.56</v>
      </c>
    </row>
    <row r="365" spans="1:9" x14ac:dyDescent="0.3">
      <c r="A365" s="11">
        <v>45725</v>
      </c>
      <c r="B365" s="4" t="str">
        <f>TEXT(Data!B365,"MMM-YYYY")</f>
        <v>Jun-2023</v>
      </c>
      <c r="C365" s="4" t="str">
        <f t="shared" si="10"/>
        <v>Q1-2025</v>
      </c>
      <c r="D365" t="s">
        <v>45</v>
      </c>
      <c r="E365" t="s">
        <v>116</v>
      </c>
      <c r="F365" t="s">
        <v>117</v>
      </c>
      <c r="G365" t="s">
        <v>64</v>
      </c>
      <c r="H365" s="7" t="str">
        <f t="shared" si="11"/>
        <v>High</v>
      </c>
      <c r="I365" s="4">
        <v>1118.43</v>
      </c>
    </row>
    <row r="366" spans="1:9" x14ac:dyDescent="0.3">
      <c r="A366" s="11">
        <v>45726</v>
      </c>
      <c r="B366" s="4" t="str">
        <f>TEXT(Data!B366,"MMM-YYYY")</f>
        <v>Mar-2025</v>
      </c>
      <c r="C366" s="4" t="str">
        <f t="shared" si="10"/>
        <v>Q1-2025</v>
      </c>
      <c r="D366" t="s">
        <v>78</v>
      </c>
      <c r="E366" t="s">
        <v>108</v>
      </c>
      <c r="F366" t="s">
        <v>109</v>
      </c>
      <c r="G366" t="s">
        <v>30</v>
      </c>
      <c r="H366" s="7" t="str">
        <f t="shared" si="11"/>
        <v>High</v>
      </c>
      <c r="I366" s="4">
        <v>771.12</v>
      </c>
    </row>
    <row r="367" spans="1:9" x14ac:dyDescent="0.3">
      <c r="A367" s="11">
        <v>45727</v>
      </c>
      <c r="B367" s="4" t="str">
        <f>TEXT(Data!B367,"MMM-YYYY")</f>
        <v>Jun-2024</v>
      </c>
      <c r="C367" s="4" t="str">
        <f t="shared" si="10"/>
        <v>Q1-2025</v>
      </c>
      <c r="D367" t="s">
        <v>45</v>
      </c>
      <c r="E367" t="s">
        <v>46</v>
      </c>
      <c r="F367" t="s">
        <v>214</v>
      </c>
      <c r="G367" t="s">
        <v>22</v>
      </c>
      <c r="H367" s="7" t="str">
        <f t="shared" si="11"/>
        <v>High</v>
      </c>
      <c r="I367" s="4">
        <v>1210.04</v>
      </c>
    </row>
    <row r="368" spans="1:9" x14ac:dyDescent="0.3">
      <c r="A368" s="11">
        <v>45728</v>
      </c>
      <c r="B368" s="4" t="str">
        <f>TEXT(Data!B368,"MMM-YYYY")</f>
        <v>Mar-2025</v>
      </c>
      <c r="C368" s="4" t="str">
        <f t="shared" si="10"/>
        <v>Q1-2025</v>
      </c>
      <c r="D368" t="s">
        <v>16</v>
      </c>
      <c r="E368" t="s">
        <v>17</v>
      </c>
      <c r="F368" t="s">
        <v>113</v>
      </c>
      <c r="G368" t="s">
        <v>42</v>
      </c>
      <c r="H368" s="7" t="str">
        <f t="shared" si="11"/>
        <v>High</v>
      </c>
      <c r="I368" s="4">
        <v>3024.03</v>
      </c>
    </row>
    <row r="369" spans="1:9" x14ac:dyDescent="0.3">
      <c r="A369" s="11">
        <v>45729</v>
      </c>
      <c r="B369" s="4" t="str">
        <f>TEXT(Data!B369,"MMM-YYYY")</f>
        <v>Sep-2023</v>
      </c>
      <c r="C369" s="4" t="str">
        <f t="shared" si="10"/>
        <v>Q1-2025</v>
      </c>
      <c r="D369" t="s">
        <v>45</v>
      </c>
      <c r="E369" t="s">
        <v>60</v>
      </c>
      <c r="F369" t="s">
        <v>220</v>
      </c>
      <c r="G369" t="s">
        <v>22</v>
      </c>
      <c r="H369" s="7" t="str">
        <f t="shared" si="11"/>
        <v>High</v>
      </c>
      <c r="I369" s="4">
        <v>2303.46</v>
      </c>
    </row>
    <row r="370" spans="1:9" x14ac:dyDescent="0.3">
      <c r="A370" s="11">
        <v>45730</v>
      </c>
      <c r="B370" s="4" t="str">
        <f>TEXT(Data!B370,"MMM-YYYY")</f>
        <v>Jun-2025</v>
      </c>
      <c r="C370" s="4" t="str">
        <f t="shared" si="10"/>
        <v>Q1-2025</v>
      </c>
      <c r="D370" t="s">
        <v>52</v>
      </c>
      <c r="E370" t="s">
        <v>122</v>
      </c>
      <c r="F370" t="s">
        <v>387</v>
      </c>
      <c r="G370" t="s">
        <v>57</v>
      </c>
      <c r="H370" s="7" t="str">
        <f t="shared" si="11"/>
        <v>High</v>
      </c>
      <c r="I370" s="4">
        <v>3083.8</v>
      </c>
    </row>
    <row r="371" spans="1:9" x14ac:dyDescent="0.3">
      <c r="A371" s="11">
        <v>45731</v>
      </c>
      <c r="B371" s="4" t="str">
        <f>TEXT(Data!B371,"MMM-YYYY")</f>
        <v>Dec-2023</v>
      </c>
      <c r="C371" s="4" t="str">
        <f t="shared" si="10"/>
        <v>Q1-2025</v>
      </c>
      <c r="D371" t="s">
        <v>52</v>
      </c>
      <c r="E371" t="s">
        <v>53</v>
      </c>
      <c r="F371" t="s">
        <v>179</v>
      </c>
      <c r="G371" t="s">
        <v>30</v>
      </c>
      <c r="H371" s="7" t="str">
        <f t="shared" si="11"/>
        <v>High</v>
      </c>
      <c r="I371" s="4">
        <v>322.70999999999998</v>
      </c>
    </row>
    <row r="372" spans="1:9" x14ac:dyDescent="0.3">
      <c r="A372" s="11">
        <v>45732</v>
      </c>
      <c r="B372" s="4" t="str">
        <f>TEXT(Data!B372,"MMM-YYYY")</f>
        <v>Feb-2023</v>
      </c>
      <c r="C372" s="4" t="str">
        <f t="shared" si="10"/>
        <v>Q1-2025</v>
      </c>
      <c r="D372" t="s">
        <v>78</v>
      </c>
      <c r="E372" t="s">
        <v>90</v>
      </c>
      <c r="F372" t="s">
        <v>138</v>
      </c>
      <c r="G372" t="s">
        <v>57</v>
      </c>
      <c r="H372" s="7" t="str">
        <f t="shared" si="11"/>
        <v>High</v>
      </c>
      <c r="I372" s="4">
        <v>731.29</v>
      </c>
    </row>
    <row r="373" spans="1:9" x14ac:dyDescent="0.3">
      <c r="A373" s="11">
        <v>45733</v>
      </c>
      <c r="B373" s="4" t="str">
        <f>TEXT(Data!B373,"MMM-YYYY")</f>
        <v>Apr-2023</v>
      </c>
      <c r="C373" s="4" t="str">
        <f t="shared" si="10"/>
        <v>Q1-2025</v>
      </c>
      <c r="D373" t="s">
        <v>52</v>
      </c>
      <c r="E373" t="s">
        <v>122</v>
      </c>
      <c r="F373" t="s">
        <v>326</v>
      </c>
      <c r="G373" t="s">
        <v>42</v>
      </c>
      <c r="H373" s="7" t="str">
        <f t="shared" si="11"/>
        <v>High</v>
      </c>
      <c r="I373" s="4">
        <v>1533.95</v>
      </c>
    </row>
    <row r="374" spans="1:9" x14ac:dyDescent="0.3">
      <c r="A374" s="11">
        <v>45734</v>
      </c>
      <c r="B374" s="4" t="str">
        <f>TEXT(Data!B374,"MMM-YYYY")</f>
        <v>Apr-2025</v>
      </c>
      <c r="C374" s="4" t="str">
        <f t="shared" si="10"/>
        <v>Q1-2025</v>
      </c>
      <c r="D374" t="s">
        <v>16</v>
      </c>
      <c r="E374" t="s">
        <v>25</v>
      </c>
      <c r="F374" t="s">
        <v>67</v>
      </c>
      <c r="G374" t="s">
        <v>64</v>
      </c>
      <c r="H374" s="7" t="str">
        <f t="shared" si="11"/>
        <v>High</v>
      </c>
      <c r="I374" s="4">
        <v>1571.66</v>
      </c>
    </row>
    <row r="375" spans="1:9" x14ac:dyDescent="0.3">
      <c r="A375" s="11">
        <v>45735</v>
      </c>
      <c r="B375" s="4" t="str">
        <f>TEXT(Data!B375,"MMM-YYYY")</f>
        <v>May-2024</v>
      </c>
      <c r="C375" s="4" t="str">
        <f t="shared" si="10"/>
        <v>Q1-2025</v>
      </c>
      <c r="D375" t="s">
        <v>78</v>
      </c>
      <c r="E375" t="s">
        <v>108</v>
      </c>
      <c r="F375" t="s">
        <v>109</v>
      </c>
      <c r="G375" t="s">
        <v>30</v>
      </c>
      <c r="H375" s="7" t="str">
        <f t="shared" si="11"/>
        <v>High</v>
      </c>
      <c r="I375" s="4">
        <v>250.73</v>
      </c>
    </row>
    <row r="376" spans="1:9" x14ac:dyDescent="0.3">
      <c r="A376" s="11">
        <v>45736</v>
      </c>
      <c r="B376" s="4" t="str">
        <f>TEXT(Data!B376,"MMM-YYYY")</f>
        <v>Mar-2024</v>
      </c>
      <c r="C376" s="4" t="str">
        <f t="shared" si="10"/>
        <v>Q1-2025</v>
      </c>
      <c r="D376" t="s">
        <v>52</v>
      </c>
      <c r="E376" t="s">
        <v>122</v>
      </c>
      <c r="F376" t="s">
        <v>326</v>
      </c>
      <c r="G376" t="s">
        <v>42</v>
      </c>
      <c r="H376" s="7" t="str">
        <f t="shared" si="11"/>
        <v>High</v>
      </c>
      <c r="I376" s="4">
        <v>3472.81</v>
      </c>
    </row>
    <row r="377" spans="1:9" x14ac:dyDescent="0.3">
      <c r="A377" s="11">
        <v>45737</v>
      </c>
      <c r="B377" s="4" t="str">
        <f>TEXT(Data!B377,"MMM-YYYY")</f>
        <v>Jun-2025</v>
      </c>
      <c r="C377" s="4" t="str">
        <f t="shared" si="10"/>
        <v>Q1-2025</v>
      </c>
      <c r="D377" t="s">
        <v>45</v>
      </c>
      <c r="E377" t="s">
        <v>116</v>
      </c>
      <c r="F377" t="s">
        <v>338</v>
      </c>
      <c r="G377" t="s">
        <v>42</v>
      </c>
      <c r="H377" s="7" t="str">
        <f t="shared" si="11"/>
        <v>High</v>
      </c>
      <c r="I377" s="4">
        <v>1206.04</v>
      </c>
    </row>
    <row r="378" spans="1:9" x14ac:dyDescent="0.3">
      <c r="A378" s="11">
        <v>45738</v>
      </c>
      <c r="B378" s="4" t="str">
        <f>TEXT(Data!B378,"MMM-YYYY")</f>
        <v>Mar-2023</v>
      </c>
      <c r="C378" s="4" t="str">
        <f t="shared" si="10"/>
        <v>Q1-2025</v>
      </c>
      <c r="D378" t="s">
        <v>45</v>
      </c>
      <c r="E378" t="s">
        <v>116</v>
      </c>
      <c r="F378" t="s">
        <v>162</v>
      </c>
      <c r="G378" t="s">
        <v>35</v>
      </c>
      <c r="H378" s="7" t="str">
        <f t="shared" si="11"/>
        <v>High</v>
      </c>
      <c r="I378" s="4">
        <v>2197.23</v>
      </c>
    </row>
    <row r="379" spans="1:9" x14ac:dyDescent="0.3">
      <c r="A379" s="11">
        <v>45739</v>
      </c>
      <c r="B379" s="4" t="str">
        <f>TEXT(Data!B379,"MMM-YYYY")</f>
        <v>Jan-2025</v>
      </c>
      <c r="C379" s="4" t="str">
        <f t="shared" si="10"/>
        <v>Q1-2025</v>
      </c>
      <c r="D379" t="s">
        <v>16</v>
      </c>
      <c r="E379" t="s">
        <v>148</v>
      </c>
      <c r="F379" t="s">
        <v>172</v>
      </c>
      <c r="G379" t="s">
        <v>22</v>
      </c>
      <c r="H379" s="7" t="str">
        <f t="shared" si="11"/>
        <v>High</v>
      </c>
      <c r="I379" s="4">
        <v>1620.6</v>
      </c>
    </row>
    <row r="380" spans="1:9" x14ac:dyDescent="0.3">
      <c r="A380" s="11">
        <v>45740</v>
      </c>
      <c r="B380" s="4" t="str">
        <f>TEXT(Data!B380,"MMM-YYYY")</f>
        <v>Feb-2025</v>
      </c>
      <c r="C380" s="4" t="str">
        <f t="shared" si="10"/>
        <v>Q1-2025</v>
      </c>
      <c r="D380" t="s">
        <v>16</v>
      </c>
      <c r="E380" t="s">
        <v>148</v>
      </c>
      <c r="F380" t="s">
        <v>258</v>
      </c>
      <c r="G380" t="s">
        <v>35</v>
      </c>
      <c r="H380" s="7" t="str">
        <f t="shared" si="11"/>
        <v>High</v>
      </c>
      <c r="I380" s="4">
        <v>1034.6600000000001</v>
      </c>
    </row>
    <row r="381" spans="1:9" x14ac:dyDescent="0.3">
      <c r="A381" s="11">
        <v>45741</v>
      </c>
      <c r="B381" s="4" t="str">
        <f>TEXT(Data!B381,"MMM-YYYY")</f>
        <v>Jan-2025</v>
      </c>
      <c r="C381" s="4" t="str">
        <f t="shared" si="10"/>
        <v>Q1-2025</v>
      </c>
      <c r="D381" t="s">
        <v>52</v>
      </c>
      <c r="E381" t="s">
        <v>73</v>
      </c>
      <c r="F381" t="s">
        <v>74</v>
      </c>
      <c r="G381" t="s">
        <v>35</v>
      </c>
      <c r="H381" s="7" t="str">
        <f t="shared" si="11"/>
        <v>High</v>
      </c>
      <c r="I381" s="4">
        <v>1905.42</v>
      </c>
    </row>
    <row r="382" spans="1:9" x14ac:dyDescent="0.3">
      <c r="A382" s="11">
        <v>45742</v>
      </c>
      <c r="B382" s="4" t="str">
        <f>TEXT(Data!B382,"MMM-YYYY")</f>
        <v>Aug-2025</v>
      </c>
      <c r="C382" s="4" t="str">
        <f t="shared" si="10"/>
        <v>Q1-2025</v>
      </c>
      <c r="D382" t="s">
        <v>78</v>
      </c>
      <c r="E382" t="s">
        <v>108</v>
      </c>
      <c r="F382" t="s">
        <v>152</v>
      </c>
      <c r="G382" t="s">
        <v>22</v>
      </c>
      <c r="H382" s="7" t="str">
        <f t="shared" si="11"/>
        <v>High</v>
      </c>
      <c r="I382" s="4">
        <v>541.55999999999995</v>
      </c>
    </row>
    <row r="383" spans="1:9" x14ac:dyDescent="0.3">
      <c r="A383" s="11">
        <v>45743</v>
      </c>
      <c r="B383" s="4" t="str">
        <f>TEXT(Data!B383,"MMM-YYYY")</f>
        <v>Jul-2025</v>
      </c>
      <c r="C383" s="4" t="str">
        <f t="shared" si="10"/>
        <v>Q1-2025</v>
      </c>
      <c r="D383" t="s">
        <v>52</v>
      </c>
      <c r="E383" t="s">
        <v>53</v>
      </c>
      <c r="F383" t="s">
        <v>144</v>
      </c>
      <c r="G383" t="s">
        <v>35</v>
      </c>
      <c r="H383" s="7" t="str">
        <f t="shared" si="11"/>
        <v>High</v>
      </c>
      <c r="I383" s="4">
        <v>1116.5999999999999</v>
      </c>
    </row>
    <row r="384" spans="1:9" x14ac:dyDescent="0.3">
      <c r="A384" s="11">
        <v>45744</v>
      </c>
      <c r="B384" s="4" t="str">
        <f>TEXT(Data!B384,"MMM-YYYY")</f>
        <v>Jun-2023</v>
      </c>
      <c r="C384" s="4" t="str">
        <f t="shared" si="10"/>
        <v>Q1-2025</v>
      </c>
      <c r="D384" t="s">
        <v>78</v>
      </c>
      <c r="E384" t="s">
        <v>108</v>
      </c>
      <c r="F384" t="s">
        <v>109</v>
      </c>
      <c r="G384" t="s">
        <v>30</v>
      </c>
      <c r="H384" s="7" t="str">
        <f t="shared" si="11"/>
        <v>High</v>
      </c>
      <c r="I384" s="4">
        <v>1455</v>
      </c>
    </row>
    <row r="385" spans="1:9" x14ac:dyDescent="0.3">
      <c r="A385" s="11">
        <v>45745</v>
      </c>
      <c r="B385" s="4" t="str">
        <f>TEXT(Data!B385,"MMM-YYYY")</f>
        <v>Jul-2024</v>
      </c>
      <c r="C385" s="4" t="str">
        <f t="shared" si="10"/>
        <v>Q1-2025</v>
      </c>
      <c r="D385" t="s">
        <v>52</v>
      </c>
      <c r="E385" t="s">
        <v>122</v>
      </c>
      <c r="F385" t="s">
        <v>387</v>
      </c>
      <c r="G385" t="s">
        <v>35</v>
      </c>
      <c r="H385" s="7" t="str">
        <f t="shared" si="11"/>
        <v>High</v>
      </c>
      <c r="I385" s="4">
        <v>1278.3</v>
      </c>
    </row>
    <row r="386" spans="1:9" x14ac:dyDescent="0.3">
      <c r="A386" s="11">
        <v>45746</v>
      </c>
      <c r="B386" s="4" t="str">
        <f>TEXT(Data!B386,"MMM-YYYY")</f>
        <v>May-2023</v>
      </c>
      <c r="C386" s="4" t="str">
        <f t="shared" ref="C386:C449" si="12">"Q"&amp;ROUNDUP(MONTH(A386)/3,0)&amp;"-"&amp;YEAR(A386)</f>
        <v>Q1-2025</v>
      </c>
      <c r="D386" t="s">
        <v>78</v>
      </c>
      <c r="E386" t="s">
        <v>90</v>
      </c>
      <c r="F386" t="s">
        <v>91</v>
      </c>
      <c r="G386" t="s">
        <v>64</v>
      </c>
      <c r="H386" s="7" t="str">
        <f t="shared" ref="H386:H449" si="13">IF(I386&lt;50, "Low", IF(I386&lt;200, "Medium", "High"))</f>
        <v>High</v>
      </c>
      <c r="I386" s="4">
        <v>899.83</v>
      </c>
    </row>
    <row r="387" spans="1:9" x14ac:dyDescent="0.3">
      <c r="A387" s="11">
        <v>45747</v>
      </c>
      <c r="B387" s="4" t="str">
        <f>TEXT(Data!B387,"MMM-YYYY")</f>
        <v>May-2025</v>
      </c>
      <c r="C387" s="4" t="str">
        <f t="shared" si="12"/>
        <v>Q1-2025</v>
      </c>
      <c r="D387" t="s">
        <v>45</v>
      </c>
      <c r="E387" t="s">
        <v>60</v>
      </c>
      <c r="F387" t="s">
        <v>141</v>
      </c>
      <c r="G387" t="s">
        <v>57</v>
      </c>
      <c r="H387" s="7" t="str">
        <f t="shared" si="13"/>
        <v>High</v>
      </c>
      <c r="I387" s="4">
        <v>878.73</v>
      </c>
    </row>
    <row r="388" spans="1:9" x14ac:dyDescent="0.3">
      <c r="A388" s="11">
        <v>45748</v>
      </c>
      <c r="B388" s="4" t="str">
        <f>TEXT(Data!B388,"MMM-YYYY")</f>
        <v>May-2024</v>
      </c>
      <c r="C388" s="4" t="str">
        <f t="shared" si="12"/>
        <v>Q2-2025</v>
      </c>
      <c r="D388" t="s">
        <v>45</v>
      </c>
      <c r="E388" t="s">
        <v>60</v>
      </c>
      <c r="F388" t="s">
        <v>281</v>
      </c>
      <c r="G388" t="s">
        <v>30</v>
      </c>
      <c r="H388" s="7" t="str">
        <f t="shared" si="13"/>
        <v>High</v>
      </c>
      <c r="I388" s="4">
        <v>594.41999999999996</v>
      </c>
    </row>
    <row r="389" spans="1:9" x14ac:dyDescent="0.3">
      <c r="A389" s="11">
        <v>45749</v>
      </c>
      <c r="B389" s="4" t="str">
        <f>TEXT(Data!B389,"MMM-YYYY")</f>
        <v>Sep-2023</v>
      </c>
      <c r="C389" s="4" t="str">
        <f t="shared" si="12"/>
        <v>Q2-2025</v>
      </c>
      <c r="D389" t="s">
        <v>16</v>
      </c>
      <c r="E389" t="s">
        <v>25</v>
      </c>
      <c r="F389" t="s">
        <v>67</v>
      </c>
      <c r="G389" t="s">
        <v>57</v>
      </c>
      <c r="H389" s="7" t="str">
        <f t="shared" si="13"/>
        <v>High</v>
      </c>
      <c r="I389" s="4">
        <v>1617.85</v>
      </c>
    </row>
    <row r="390" spans="1:9" x14ac:dyDescent="0.3">
      <c r="A390" s="11">
        <v>45750</v>
      </c>
      <c r="B390" s="4" t="str">
        <f>TEXT(Data!B390,"MMM-YYYY")</f>
        <v>Oct-2023</v>
      </c>
      <c r="C390" s="4" t="str">
        <f t="shared" si="12"/>
        <v>Q2-2025</v>
      </c>
      <c r="D390" t="s">
        <v>45</v>
      </c>
      <c r="E390" t="s">
        <v>116</v>
      </c>
      <c r="F390" t="s">
        <v>338</v>
      </c>
      <c r="G390" t="s">
        <v>57</v>
      </c>
      <c r="H390" s="7" t="str">
        <f t="shared" si="13"/>
        <v>High</v>
      </c>
      <c r="I390" s="4">
        <v>972.91</v>
      </c>
    </row>
    <row r="391" spans="1:9" x14ac:dyDescent="0.3">
      <c r="A391" s="11">
        <v>45751</v>
      </c>
      <c r="B391" s="4" t="str">
        <f>TEXT(Data!B391,"MMM-YYYY")</f>
        <v>Jun-2025</v>
      </c>
      <c r="C391" s="4" t="str">
        <f t="shared" si="12"/>
        <v>Q2-2025</v>
      </c>
      <c r="D391" t="s">
        <v>16</v>
      </c>
      <c r="E391" t="s">
        <v>148</v>
      </c>
      <c r="F391" t="s">
        <v>258</v>
      </c>
      <c r="G391" t="s">
        <v>57</v>
      </c>
      <c r="H391" s="7" t="str">
        <f t="shared" si="13"/>
        <v>Low</v>
      </c>
      <c r="I391" s="4">
        <v>42.56</v>
      </c>
    </row>
    <row r="392" spans="1:9" x14ac:dyDescent="0.3">
      <c r="A392" s="11">
        <v>45752</v>
      </c>
      <c r="B392" s="4" t="str">
        <f>TEXT(Data!B392,"MMM-YYYY")</f>
        <v>Aug-2024</v>
      </c>
      <c r="C392" s="4" t="str">
        <f t="shared" si="12"/>
        <v>Q2-2025</v>
      </c>
      <c r="D392" t="s">
        <v>16</v>
      </c>
      <c r="E392" t="s">
        <v>148</v>
      </c>
      <c r="F392" t="s">
        <v>149</v>
      </c>
      <c r="G392" t="s">
        <v>64</v>
      </c>
      <c r="H392" s="7" t="str">
        <f t="shared" si="13"/>
        <v>High</v>
      </c>
      <c r="I392" s="4">
        <v>1480.83</v>
      </c>
    </row>
    <row r="393" spans="1:9" x14ac:dyDescent="0.3">
      <c r="A393" s="11">
        <v>45753</v>
      </c>
      <c r="B393" s="4" t="str">
        <f>TEXT(Data!B393,"MMM-YYYY")</f>
        <v>Oct-2023</v>
      </c>
      <c r="C393" s="4" t="str">
        <f t="shared" si="12"/>
        <v>Q2-2025</v>
      </c>
      <c r="D393" t="s">
        <v>78</v>
      </c>
      <c r="E393" t="s">
        <v>90</v>
      </c>
      <c r="F393" t="s">
        <v>91</v>
      </c>
      <c r="G393" t="s">
        <v>30</v>
      </c>
      <c r="H393" s="7" t="str">
        <f t="shared" si="13"/>
        <v>High</v>
      </c>
      <c r="I393" s="4">
        <v>564.26</v>
      </c>
    </row>
    <row r="394" spans="1:9" x14ac:dyDescent="0.3">
      <c r="A394" s="11">
        <v>45754</v>
      </c>
      <c r="B394" s="4" t="str">
        <f>TEXT(Data!B394,"MMM-YYYY")</f>
        <v>Mar-2024</v>
      </c>
      <c r="C394" s="4" t="str">
        <f t="shared" si="12"/>
        <v>Q2-2025</v>
      </c>
      <c r="D394" t="s">
        <v>45</v>
      </c>
      <c r="E394" t="s">
        <v>116</v>
      </c>
      <c r="F394" t="s">
        <v>162</v>
      </c>
      <c r="G394" t="s">
        <v>22</v>
      </c>
      <c r="H394" s="7" t="str">
        <f t="shared" si="13"/>
        <v>High</v>
      </c>
      <c r="I394" s="4">
        <v>2137.21</v>
      </c>
    </row>
    <row r="395" spans="1:9" x14ac:dyDescent="0.3">
      <c r="A395" s="11">
        <v>45755</v>
      </c>
      <c r="B395" s="4" t="str">
        <f>TEXT(Data!B395,"MMM-YYYY")</f>
        <v>May-2023</v>
      </c>
      <c r="C395" s="4" t="str">
        <f t="shared" si="12"/>
        <v>Q2-2025</v>
      </c>
      <c r="D395" t="s">
        <v>52</v>
      </c>
      <c r="E395" t="s">
        <v>122</v>
      </c>
      <c r="F395" t="s">
        <v>167</v>
      </c>
      <c r="G395" t="s">
        <v>42</v>
      </c>
      <c r="H395" s="7" t="str">
        <f t="shared" si="13"/>
        <v>High</v>
      </c>
      <c r="I395" s="4">
        <v>1680.93</v>
      </c>
    </row>
    <row r="396" spans="1:9" x14ac:dyDescent="0.3">
      <c r="A396" s="11">
        <v>45756</v>
      </c>
      <c r="B396" s="4" t="str">
        <f>TEXT(Data!B396,"MMM-YYYY")</f>
        <v>May-2025</v>
      </c>
      <c r="C396" s="4" t="str">
        <f t="shared" si="12"/>
        <v>Q2-2025</v>
      </c>
      <c r="D396" t="s">
        <v>78</v>
      </c>
      <c r="E396" t="s">
        <v>108</v>
      </c>
      <c r="F396" t="s">
        <v>152</v>
      </c>
      <c r="G396" t="s">
        <v>22</v>
      </c>
      <c r="H396" s="7" t="str">
        <f t="shared" si="13"/>
        <v>High</v>
      </c>
      <c r="I396" s="4">
        <v>2905.06</v>
      </c>
    </row>
    <row r="397" spans="1:9" x14ac:dyDescent="0.3">
      <c r="A397" s="11">
        <v>45757</v>
      </c>
      <c r="B397" s="4" t="str">
        <f>TEXT(Data!B397,"MMM-YYYY")</f>
        <v>Aug-2025</v>
      </c>
      <c r="C397" s="4" t="str">
        <f t="shared" si="12"/>
        <v>Q2-2025</v>
      </c>
      <c r="D397" t="s">
        <v>45</v>
      </c>
      <c r="E397" t="s">
        <v>46</v>
      </c>
      <c r="F397" t="s">
        <v>47</v>
      </c>
      <c r="G397" t="s">
        <v>81</v>
      </c>
      <c r="H397" s="7" t="str">
        <f t="shared" si="13"/>
        <v>High</v>
      </c>
      <c r="I397" s="4">
        <v>842.09</v>
      </c>
    </row>
    <row r="398" spans="1:9" x14ac:dyDescent="0.3">
      <c r="A398" s="11">
        <v>45758</v>
      </c>
      <c r="B398" s="4" t="str">
        <f>TEXT(Data!B398,"MMM-YYYY")</f>
        <v>Dec-2024</v>
      </c>
      <c r="C398" s="4" t="str">
        <f t="shared" si="12"/>
        <v>Q2-2025</v>
      </c>
      <c r="D398" t="s">
        <v>78</v>
      </c>
      <c r="E398" t="s">
        <v>79</v>
      </c>
      <c r="F398" t="s">
        <v>80</v>
      </c>
      <c r="G398" t="s">
        <v>64</v>
      </c>
      <c r="H398" s="7" t="str">
        <f t="shared" si="13"/>
        <v>High</v>
      </c>
      <c r="I398" s="4">
        <v>3131.37</v>
      </c>
    </row>
    <row r="399" spans="1:9" x14ac:dyDescent="0.3">
      <c r="A399" s="11">
        <v>45759</v>
      </c>
      <c r="B399" s="4" t="str">
        <f>TEXT(Data!B399,"MMM-YYYY")</f>
        <v>Sep-2025</v>
      </c>
      <c r="C399" s="4" t="str">
        <f t="shared" si="12"/>
        <v>Q2-2025</v>
      </c>
      <c r="D399" t="s">
        <v>45</v>
      </c>
      <c r="E399" t="s">
        <v>46</v>
      </c>
      <c r="F399" t="s">
        <v>214</v>
      </c>
      <c r="G399" t="s">
        <v>57</v>
      </c>
      <c r="H399" s="7" t="str">
        <f t="shared" si="13"/>
        <v>High</v>
      </c>
      <c r="I399" s="4">
        <v>1444.72</v>
      </c>
    </row>
    <row r="400" spans="1:9" x14ac:dyDescent="0.3">
      <c r="A400" s="11">
        <v>45760</v>
      </c>
      <c r="B400" s="4" t="str">
        <f>TEXT(Data!B400,"MMM-YYYY")</f>
        <v>Sep-2024</v>
      </c>
      <c r="C400" s="4" t="str">
        <f t="shared" si="12"/>
        <v>Q2-2025</v>
      </c>
      <c r="D400" t="s">
        <v>16</v>
      </c>
      <c r="E400" t="s">
        <v>148</v>
      </c>
      <c r="F400" t="s">
        <v>172</v>
      </c>
      <c r="G400" t="s">
        <v>22</v>
      </c>
      <c r="H400" s="7" t="str">
        <f t="shared" si="13"/>
        <v>High</v>
      </c>
      <c r="I400" s="4">
        <v>2875.8</v>
      </c>
    </row>
    <row r="401" spans="1:9" x14ac:dyDescent="0.3">
      <c r="A401" s="11">
        <v>45761</v>
      </c>
      <c r="B401" s="4" t="str">
        <f>TEXT(Data!B401,"MMM-YYYY")</f>
        <v>Apr-2025</v>
      </c>
      <c r="C401" s="4" t="str">
        <f t="shared" si="12"/>
        <v>Q2-2025</v>
      </c>
      <c r="D401" t="s">
        <v>16</v>
      </c>
      <c r="E401" t="s">
        <v>148</v>
      </c>
      <c r="F401" t="s">
        <v>258</v>
      </c>
      <c r="G401" t="s">
        <v>64</v>
      </c>
      <c r="H401" s="7" t="str">
        <f t="shared" si="13"/>
        <v>High</v>
      </c>
      <c r="I401" s="4">
        <v>1641.61</v>
      </c>
    </row>
    <row r="402" spans="1:9" x14ac:dyDescent="0.3">
      <c r="A402" s="11">
        <v>45762</v>
      </c>
      <c r="B402" s="4" t="str">
        <f>TEXT(Data!B402,"MMM-YYYY")</f>
        <v>Aug-2024</v>
      </c>
      <c r="C402" s="4" t="str">
        <f t="shared" si="12"/>
        <v>Q2-2025</v>
      </c>
      <c r="D402" t="s">
        <v>16</v>
      </c>
      <c r="E402" t="s">
        <v>17</v>
      </c>
      <c r="F402" t="s">
        <v>18</v>
      </c>
      <c r="G402" t="s">
        <v>35</v>
      </c>
      <c r="H402" s="7" t="str">
        <f t="shared" si="13"/>
        <v>High</v>
      </c>
      <c r="I402" s="4">
        <v>1299.02</v>
      </c>
    </row>
    <row r="403" spans="1:9" x14ac:dyDescent="0.3">
      <c r="A403" s="11">
        <v>45763</v>
      </c>
      <c r="B403" s="4" t="str">
        <f>TEXT(Data!B403,"MMM-YYYY")</f>
        <v>Nov-2024</v>
      </c>
      <c r="C403" s="4" t="str">
        <f t="shared" si="12"/>
        <v>Q2-2025</v>
      </c>
      <c r="D403" t="s">
        <v>52</v>
      </c>
      <c r="E403" t="s">
        <v>122</v>
      </c>
      <c r="F403" t="s">
        <v>123</v>
      </c>
      <c r="G403" t="s">
        <v>30</v>
      </c>
      <c r="H403" s="7" t="str">
        <f t="shared" si="13"/>
        <v>High</v>
      </c>
      <c r="I403" s="4">
        <v>1118.56</v>
      </c>
    </row>
    <row r="404" spans="1:9" x14ac:dyDescent="0.3">
      <c r="A404" s="11">
        <v>45764</v>
      </c>
      <c r="B404" s="4" t="str">
        <f>TEXT(Data!B404,"MMM-YYYY")</f>
        <v>Jul-2024</v>
      </c>
      <c r="C404" s="4" t="str">
        <f t="shared" si="12"/>
        <v>Q2-2025</v>
      </c>
      <c r="D404" t="s">
        <v>52</v>
      </c>
      <c r="E404" t="s">
        <v>53</v>
      </c>
      <c r="F404" t="s">
        <v>54</v>
      </c>
      <c r="G404" t="s">
        <v>22</v>
      </c>
      <c r="H404" s="7" t="str">
        <f t="shared" si="13"/>
        <v>High</v>
      </c>
      <c r="I404" s="4">
        <v>1184.71</v>
      </c>
    </row>
    <row r="405" spans="1:9" x14ac:dyDescent="0.3">
      <c r="A405" s="11">
        <v>45765</v>
      </c>
      <c r="B405" s="4" t="str">
        <f>TEXT(Data!B405,"MMM-YYYY")</f>
        <v>Jan-2025</v>
      </c>
      <c r="C405" s="4" t="str">
        <f t="shared" si="12"/>
        <v>Q2-2025</v>
      </c>
      <c r="D405" t="s">
        <v>78</v>
      </c>
      <c r="E405" t="s">
        <v>90</v>
      </c>
      <c r="F405" t="s">
        <v>91</v>
      </c>
      <c r="G405" t="s">
        <v>57</v>
      </c>
      <c r="H405" s="7" t="str">
        <f t="shared" si="13"/>
        <v>High</v>
      </c>
      <c r="I405" s="4">
        <v>1201.47</v>
      </c>
    </row>
    <row r="406" spans="1:9" x14ac:dyDescent="0.3">
      <c r="A406" s="11">
        <v>45766</v>
      </c>
      <c r="B406" s="4" t="str">
        <f>TEXT(Data!B406,"MMM-YYYY")</f>
        <v>Mar-2023</v>
      </c>
      <c r="C406" s="4" t="str">
        <f t="shared" si="12"/>
        <v>Q2-2025</v>
      </c>
      <c r="D406" t="s">
        <v>52</v>
      </c>
      <c r="E406" t="s">
        <v>73</v>
      </c>
      <c r="F406" t="s">
        <v>87</v>
      </c>
      <c r="G406" t="s">
        <v>22</v>
      </c>
      <c r="H406" s="7" t="str">
        <f t="shared" si="13"/>
        <v>High</v>
      </c>
      <c r="I406" s="4">
        <v>880.99</v>
      </c>
    </row>
    <row r="407" spans="1:9" x14ac:dyDescent="0.3">
      <c r="A407" s="11">
        <v>45767</v>
      </c>
      <c r="B407" s="4" t="str">
        <f>TEXT(Data!B407,"MMM-YYYY")</f>
        <v>Dec-2024</v>
      </c>
      <c r="C407" s="4" t="str">
        <f t="shared" si="12"/>
        <v>Q2-2025</v>
      </c>
      <c r="D407" t="s">
        <v>45</v>
      </c>
      <c r="E407" t="s">
        <v>116</v>
      </c>
      <c r="F407" t="s">
        <v>338</v>
      </c>
      <c r="G407" t="s">
        <v>64</v>
      </c>
      <c r="H407" s="7" t="str">
        <f t="shared" si="13"/>
        <v>High</v>
      </c>
      <c r="I407" s="4">
        <v>2050.87</v>
      </c>
    </row>
    <row r="408" spans="1:9" x14ac:dyDescent="0.3">
      <c r="A408" s="11">
        <v>45768</v>
      </c>
      <c r="B408" s="4" t="str">
        <f>TEXT(Data!B408,"MMM-YYYY")</f>
        <v>Feb-2025</v>
      </c>
      <c r="C408" s="4" t="str">
        <f t="shared" si="12"/>
        <v>Q2-2025</v>
      </c>
      <c r="D408" t="s">
        <v>45</v>
      </c>
      <c r="E408" t="s">
        <v>60</v>
      </c>
      <c r="F408" t="s">
        <v>141</v>
      </c>
      <c r="G408" t="s">
        <v>30</v>
      </c>
      <c r="H408" s="7" t="str">
        <f t="shared" si="13"/>
        <v>High</v>
      </c>
      <c r="I408" s="4">
        <v>1737.9</v>
      </c>
    </row>
    <row r="409" spans="1:9" x14ac:dyDescent="0.3">
      <c r="A409" s="11">
        <v>45769</v>
      </c>
      <c r="B409" s="4" t="str">
        <f>TEXT(Data!B409,"MMM-YYYY")</f>
        <v>Mar-2025</v>
      </c>
      <c r="C409" s="4" t="str">
        <f t="shared" si="12"/>
        <v>Q2-2025</v>
      </c>
      <c r="D409" t="s">
        <v>16</v>
      </c>
      <c r="E409" t="s">
        <v>25</v>
      </c>
      <c r="F409" t="s">
        <v>67</v>
      </c>
      <c r="G409" t="s">
        <v>42</v>
      </c>
      <c r="H409" s="7" t="str">
        <f t="shared" si="13"/>
        <v>High</v>
      </c>
      <c r="I409" s="4">
        <v>1388.31</v>
      </c>
    </row>
    <row r="410" spans="1:9" x14ac:dyDescent="0.3">
      <c r="A410" s="11">
        <v>45770</v>
      </c>
      <c r="B410" s="4" t="str">
        <f>TEXT(Data!B410,"MMM-YYYY")</f>
        <v>Dec-2023</v>
      </c>
      <c r="C410" s="4" t="str">
        <f t="shared" si="12"/>
        <v>Q2-2025</v>
      </c>
      <c r="D410" t="s">
        <v>45</v>
      </c>
      <c r="E410" t="s">
        <v>60</v>
      </c>
      <c r="F410" t="s">
        <v>61</v>
      </c>
      <c r="G410" t="s">
        <v>57</v>
      </c>
      <c r="H410" s="7" t="str">
        <f t="shared" si="13"/>
        <v>High</v>
      </c>
      <c r="I410" s="4">
        <v>529.14</v>
      </c>
    </row>
    <row r="411" spans="1:9" x14ac:dyDescent="0.3">
      <c r="A411" s="11">
        <v>45771</v>
      </c>
      <c r="B411" s="4" t="str">
        <f>TEXT(Data!B411,"MMM-YYYY")</f>
        <v>Aug-2024</v>
      </c>
      <c r="C411" s="4" t="str">
        <f t="shared" si="12"/>
        <v>Q2-2025</v>
      </c>
      <c r="D411" t="s">
        <v>45</v>
      </c>
      <c r="E411" t="s">
        <v>116</v>
      </c>
      <c r="F411" t="s">
        <v>338</v>
      </c>
      <c r="G411" t="s">
        <v>81</v>
      </c>
      <c r="H411" s="7" t="str">
        <f t="shared" si="13"/>
        <v>High</v>
      </c>
      <c r="I411" s="4">
        <v>1972.38</v>
      </c>
    </row>
    <row r="412" spans="1:9" x14ac:dyDescent="0.3">
      <c r="A412" s="11">
        <v>45772</v>
      </c>
      <c r="B412" s="4" t="str">
        <f>TEXT(Data!B412,"MMM-YYYY")</f>
        <v>May-2024</v>
      </c>
      <c r="C412" s="4" t="str">
        <f t="shared" si="12"/>
        <v>Q2-2025</v>
      </c>
      <c r="D412" t="s">
        <v>45</v>
      </c>
      <c r="E412" t="s">
        <v>46</v>
      </c>
      <c r="F412" t="s">
        <v>231</v>
      </c>
      <c r="G412" t="s">
        <v>57</v>
      </c>
      <c r="H412" s="7" t="str">
        <f t="shared" si="13"/>
        <v>High</v>
      </c>
      <c r="I412" s="4">
        <v>876.81</v>
      </c>
    </row>
    <row r="413" spans="1:9" x14ac:dyDescent="0.3">
      <c r="A413" s="11">
        <v>45773</v>
      </c>
      <c r="B413" s="4" t="str">
        <f>TEXT(Data!B413,"MMM-YYYY")</f>
        <v>Mar-2023</v>
      </c>
      <c r="C413" s="4" t="str">
        <f t="shared" si="12"/>
        <v>Q2-2025</v>
      </c>
      <c r="D413" t="s">
        <v>78</v>
      </c>
      <c r="E413" t="s">
        <v>90</v>
      </c>
      <c r="F413" t="s">
        <v>91</v>
      </c>
      <c r="G413" t="s">
        <v>30</v>
      </c>
      <c r="H413" s="7" t="str">
        <f t="shared" si="13"/>
        <v>High</v>
      </c>
      <c r="I413" s="4">
        <v>824.26</v>
      </c>
    </row>
    <row r="414" spans="1:9" x14ac:dyDescent="0.3">
      <c r="A414" s="11">
        <v>45774</v>
      </c>
      <c r="B414" s="4" t="str">
        <f>TEXT(Data!B414,"MMM-YYYY")</f>
        <v>Aug-2023</v>
      </c>
      <c r="C414" s="4" t="str">
        <f t="shared" si="12"/>
        <v>Q2-2025</v>
      </c>
      <c r="D414" t="s">
        <v>78</v>
      </c>
      <c r="E414" t="s">
        <v>79</v>
      </c>
      <c r="F414" t="s">
        <v>159</v>
      </c>
      <c r="G414" t="s">
        <v>42</v>
      </c>
      <c r="H414" s="7" t="str">
        <f t="shared" si="13"/>
        <v>High</v>
      </c>
      <c r="I414" s="4">
        <v>1159.3499999999999</v>
      </c>
    </row>
    <row r="415" spans="1:9" x14ac:dyDescent="0.3">
      <c r="A415" s="11">
        <v>45775</v>
      </c>
      <c r="B415" s="4" t="str">
        <f>TEXT(Data!B415,"MMM-YYYY")</f>
        <v>Jun-2024</v>
      </c>
      <c r="C415" s="4" t="str">
        <f t="shared" si="12"/>
        <v>Q2-2025</v>
      </c>
      <c r="D415" t="s">
        <v>16</v>
      </c>
      <c r="E415" t="s">
        <v>25</v>
      </c>
      <c r="F415" t="s">
        <v>67</v>
      </c>
      <c r="G415" t="s">
        <v>42</v>
      </c>
      <c r="H415" s="7" t="str">
        <f t="shared" si="13"/>
        <v>High</v>
      </c>
      <c r="I415" s="4">
        <v>2513.5100000000002</v>
      </c>
    </row>
    <row r="416" spans="1:9" x14ac:dyDescent="0.3">
      <c r="A416" s="11">
        <v>45776</v>
      </c>
      <c r="B416" s="4" t="str">
        <f>TEXT(Data!B416,"MMM-YYYY")</f>
        <v>Aug-2023</v>
      </c>
      <c r="C416" s="4" t="str">
        <f t="shared" si="12"/>
        <v>Q2-2025</v>
      </c>
      <c r="D416" t="s">
        <v>45</v>
      </c>
      <c r="E416" t="s">
        <v>60</v>
      </c>
      <c r="F416" t="s">
        <v>61</v>
      </c>
      <c r="G416" t="s">
        <v>35</v>
      </c>
      <c r="H416" s="7" t="str">
        <f t="shared" si="13"/>
        <v>High</v>
      </c>
      <c r="I416" s="4">
        <v>3087.13</v>
      </c>
    </row>
    <row r="417" spans="1:9" x14ac:dyDescent="0.3">
      <c r="A417" s="11">
        <v>45777</v>
      </c>
      <c r="B417" s="4" t="str">
        <f>TEXT(Data!B417,"MMM-YYYY")</f>
        <v>Nov-2024</v>
      </c>
      <c r="C417" s="4" t="str">
        <f t="shared" si="12"/>
        <v>Q2-2025</v>
      </c>
      <c r="D417" t="s">
        <v>52</v>
      </c>
      <c r="E417" t="s">
        <v>53</v>
      </c>
      <c r="F417" t="s">
        <v>179</v>
      </c>
      <c r="G417" t="s">
        <v>30</v>
      </c>
      <c r="H417" s="7" t="str">
        <f t="shared" si="13"/>
        <v>High</v>
      </c>
      <c r="I417" s="4">
        <v>2717.15</v>
      </c>
    </row>
    <row r="418" spans="1:9" x14ac:dyDescent="0.3">
      <c r="A418" s="11">
        <v>45778</v>
      </c>
      <c r="B418" s="4" t="str">
        <f>TEXT(Data!B418,"MMM-YYYY")</f>
        <v>Jun-2025</v>
      </c>
      <c r="C418" s="4" t="str">
        <f t="shared" si="12"/>
        <v>Q2-2025</v>
      </c>
      <c r="D418" t="s">
        <v>45</v>
      </c>
      <c r="E418" t="s">
        <v>60</v>
      </c>
      <c r="F418" t="s">
        <v>281</v>
      </c>
      <c r="G418" t="s">
        <v>81</v>
      </c>
      <c r="H418" s="7" t="str">
        <f t="shared" si="13"/>
        <v>High</v>
      </c>
      <c r="I418" s="4">
        <v>901.79</v>
      </c>
    </row>
    <row r="419" spans="1:9" x14ac:dyDescent="0.3">
      <c r="A419" s="11">
        <v>45779</v>
      </c>
      <c r="B419" s="4" t="str">
        <f>TEXT(Data!B419,"MMM-YYYY")</f>
        <v>Mar-2025</v>
      </c>
      <c r="C419" s="4" t="str">
        <f t="shared" si="12"/>
        <v>Q2-2025</v>
      </c>
      <c r="D419" t="s">
        <v>45</v>
      </c>
      <c r="E419" t="s">
        <v>60</v>
      </c>
      <c r="F419" t="s">
        <v>141</v>
      </c>
      <c r="G419" t="s">
        <v>81</v>
      </c>
      <c r="H419" s="7" t="str">
        <f t="shared" si="13"/>
        <v>High</v>
      </c>
      <c r="I419" s="4">
        <v>796.15</v>
      </c>
    </row>
    <row r="420" spans="1:9" x14ac:dyDescent="0.3">
      <c r="A420" s="11">
        <v>45780</v>
      </c>
      <c r="B420" s="4" t="str">
        <f>TEXT(Data!B420,"MMM-YYYY")</f>
        <v>Jan-2024</v>
      </c>
      <c r="C420" s="4" t="str">
        <f t="shared" si="12"/>
        <v>Q2-2025</v>
      </c>
      <c r="D420" t="s">
        <v>45</v>
      </c>
      <c r="E420" t="s">
        <v>116</v>
      </c>
      <c r="F420" t="s">
        <v>1364</v>
      </c>
      <c r="G420" t="s">
        <v>30</v>
      </c>
      <c r="H420" s="7" t="str">
        <f t="shared" si="13"/>
        <v>Medium</v>
      </c>
      <c r="I420" s="4">
        <v>157.82</v>
      </c>
    </row>
    <row r="421" spans="1:9" x14ac:dyDescent="0.3">
      <c r="A421" s="11">
        <v>45781</v>
      </c>
      <c r="B421" s="4" t="str">
        <f>TEXT(Data!B421,"MMM-YYYY")</f>
        <v>Oct-2023</v>
      </c>
      <c r="C421" s="4" t="str">
        <f t="shared" si="12"/>
        <v>Q2-2025</v>
      </c>
      <c r="D421" t="s">
        <v>78</v>
      </c>
      <c r="E421" t="s">
        <v>79</v>
      </c>
      <c r="F421" t="s">
        <v>335</v>
      </c>
      <c r="G421" t="s">
        <v>64</v>
      </c>
      <c r="H421" s="7" t="str">
        <f t="shared" si="13"/>
        <v>High</v>
      </c>
      <c r="I421" s="4">
        <v>819.06</v>
      </c>
    </row>
    <row r="422" spans="1:9" x14ac:dyDescent="0.3">
      <c r="A422" s="11">
        <v>45782</v>
      </c>
      <c r="B422" s="4" t="str">
        <f>TEXT(Data!B422,"MMM-YYYY")</f>
        <v>Feb-2025</v>
      </c>
      <c r="C422" s="4" t="str">
        <f t="shared" si="12"/>
        <v>Q2-2025</v>
      </c>
      <c r="D422" t="s">
        <v>45</v>
      </c>
      <c r="E422" t="s">
        <v>46</v>
      </c>
      <c r="F422" t="s">
        <v>231</v>
      </c>
      <c r="G422" t="s">
        <v>42</v>
      </c>
      <c r="H422" s="7" t="str">
        <f t="shared" si="13"/>
        <v>High</v>
      </c>
      <c r="I422" s="4">
        <v>1711.16</v>
      </c>
    </row>
    <row r="423" spans="1:9" x14ac:dyDescent="0.3">
      <c r="A423" s="11">
        <v>45783</v>
      </c>
      <c r="B423" s="4" t="str">
        <f>TEXT(Data!B423,"MMM-YYYY")</f>
        <v>Jul-2025</v>
      </c>
      <c r="C423" s="4" t="str">
        <f t="shared" si="12"/>
        <v>Q2-2025</v>
      </c>
      <c r="D423" t="s">
        <v>52</v>
      </c>
      <c r="E423" t="s">
        <v>122</v>
      </c>
      <c r="F423" t="s">
        <v>167</v>
      </c>
      <c r="G423" t="s">
        <v>42</v>
      </c>
      <c r="H423" s="7" t="str">
        <f t="shared" si="13"/>
        <v>High</v>
      </c>
      <c r="I423" s="4">
        <v>1696.35</v>
      </c>
    </row>
    <row r="424" spans="1:9" x14ac:dyDescent="0.3">
      <c r="A424" s="11">
        <v>45784</v>
      </c>
      <c r="B424" s="4" t="str">
        <f>TEXT(Data!B424,"MMM-YYYY")</f>
        <v>Sep-2025</v>
      </c>
      <c r="C424" s="4" t="str">
        <f t="shared" si="12"/>
        <v>Q2-2025</v>
      </c>
      <c r="D424" t="s">
        <v>16</v>
      </c>
      <c r="E424" t="s">
        <v>25</v>
      </c>
      <c r="F424" t="s">
        <v>38</v>
      </c>
      <c r="G424" t="s">
        <v>57</v>
      </c>
      <c r="H424" s="7" t="str">
        <f t="shared" si="13"/>
        <v>High</v>
      </c>
      <c r="I424" s="4">
        <v>2884.34</v>
      </c>
    </row>
    <row r="425" spans="1:9" x14ac:dyDescent="0.3">
      <c r="A425" s="11">
        <v>45785</v>
      </c>
      <c r="B425" s="4" t="str">
        <f>TEXT(Data!B425,"MMM-YYYY")</f>
        <v>Feb-2024</v>
      </c>
      <c r="C425" s="4" t="str">
        <f t="shared" si="12"/>
        <v>Q2-2025</v>
      </c>
      <c r="D425" t="s">
        <v>45</v>
      </c>
      <c r="E425" t="s">
        <v>60</v>
      </c>
      <c r="F425" t="s">
        <v>141</v>
      </c>
      <c r="G425" t="s">
        <v>42</v>
      </c>
      <c r="H425" s="7" t="str">
        <f t="shared" si="13"/>
        <v>High</v>
      </c>
      <c r="I425" s="4">
        <v>1483.74</v>
      </c>
    </row>
    <row r="426" spans="1:9" x14ac:dyDescent="0.3">
      <c r="A426" s="11">
        <v>45786</v>
      </c>
      <c r="B426" s="4" t="str">
        <f>TEXT(Data!B426,"MMM-YYYY")</f>
        <v>Feb-2024</v>
      </c>
      <c r="C426" s="4" t="str">
        <f t="shared" si="12"/>
        <v>Q2-2025</v>
      </c>
      <c r="D426" t="s">
        <v>45</v>
      </c>
      <c r="E426" t="s">
        <v>116</v>
      </c>
      <c r="F426" t="s">
        <v>338</v>
      </c>
      <c r="G426" t="s">
        <v>30</v>
      </c>
      <c r="H426" s="7" t="str">
        <f t="shared" si="13"/>
        <v>High</v>
      </c>
      <c r="I426" s="4">
        <v>3197.47</v>
      </c>
    </row>
    <row r="427" spans="1:9" x14ac:dyDescent="0.3">
      <c r="A427" s="11">
        <v>45787</v>
      </c>
      <c r="B427" s="4" t="str">
        <f>TEXT(Data!B427,"MMM-YYYY")</f>
        <v>Aug-2025</v>
      </c>
      <c r="C427" s="4" t="str">
        <f t="shared" si="12"/>
        <v>Q2-2025</v>
      </c>
      <c r="D427" t="s">
        <v>45</v>
      </c>
      <c r="E427" t="s">
        <v>60</v>
      </c>
      <c r="F427" t="s">
        <v>220</v>
      </c>
      <c r="G427" t="s">
        <v>57</v>
      </c>
      <c r="H427" s="7" t="str">
        <f t="shared" si="13"/>
        <v>High</v>
      </c>
      <c r="I427" s="4">
        <v>2322.6999999999998</v>
      </c>
    </row>
    <row r="428" spans="1:9" x14ac:dyDescent="0.3">
      <c r="A428" s="11">
        <v>45788</v>
      </c>
      <c r="B428" s="4" t="str">
        <f>TEXT(Data!B428,"MMM-YYYY")</f>
        <v>Aug-2024</v>
      </c>
      <c r="C428" s="4" t="str">
        <f t="shared" si="12"/>
        <v>Q2-2025</v>
      </c>
      <c r="D428" t="s">
        <v>16</v>
      </c>
      <c r="E428" t="s">
        <v>25</v>
      </c>
      <c r="F428" t="s">
        <v>26</v>
      </c>
      <c r="G428" t="s">
        <v>57</v>
      </c>
      <c r="H428" s="7" t="str">
        <f t="shared" si="13"/>
        <v>High</v>
      </c>
      <c r="I428" s="4">
        <v>1932.42</v>
      </c>
    </row>
    <row r="429" spans="1:9" x14ac:dyDescent="0.3">
      <c r="A429" s="11">
        <v>45789</v>
      </c>
      <c r="B429" s="4" t="str">
        <f>TEXT(Data!B429,"MMM-YYYY")</f>
        <v>Feb-2024</v>
      </c>
      <c r="C429" s="4" t="str">
        <f t="shared" si="12"/>
        <v>Q2-2025</v>
      </c>
      <c r="D429" t="s">
        <v>45</v>
      </c>
      <c r="E429" t="s">
        <v>60</v>
      </c>
      <c r="F429" t="s">
        <v>220</v>
      </c>
      <c r="G429" t="s">
        <v>42</v>
      </c>
      <c r="H429" s="7" t="str">
        <f t="shared" si="13"/>
        <v>High</v>
      </c>
      <c r="I429" s="4">
        <v>1590.36</v>
      </c>
    </row>
    <row r="430" spans="1:9" x14ac:dyDescent="0.3">
      <c r="A430" s="11">
        <v>45790</v>
      </c>
      <c r="B430" s="4" t="str">
        <f>TEXT(Data!B430,"MMM-YYYY")</f>
        <v>May-2025</v>
      </c>
      <c r="C430" s="4" t="str">
        <f t="shared" si="12"/>
        <v>Q2-2025</v>
      </c>
      <c r="D430" t="s">
        <v>78</v>
      </c>
      <c r="E430" t="s">
        <v>90</v>
      </c>
      <c r="F430" t="s">
        <v>91</v>
      </c>
      <c r="G430" t="s">
        <v>64</v>
      </c>
      <c r="H430" s="7" t="str">
        <f t="shared" si="13"/>
        <v>High</v>
      </c>
      <c r="I430" s="4">
        <v>395.61</v>
      </c>
    </row>
    <row r="431" spans="1:9" x14ac:dyDescent="0.3">
      <c r="A431" s="11">
        <v>45791</v>
      </c>
      <c r="B431" s="4" t="str">
        <f>TEXT(Data!B431,"MMM-YYYY")</f>
        <v>Nov-2024</v>
      </c>
      <c r="C431" s="4" t="str">
        <f t="shared" si="12"/>
        <v>Q2-2025</v>
      </c>
      <c r="D431" t="s">
        <v>45</v>
      </c>
      <c r="E431" t="s">
        <v>60</v>
      </c>
      <c r="F431" t="s">
        <v>61</v>
      </c>
      <c r="G431" t="s">
        <v>42</v>
      </c>
      <c r="H431" s="7" t="str">
        <f t="shared" si="13"/>
        <v>High</v>
      </c>
      <c r="I431" s="4">
        <v>2077.69</v>
      </c>
    </row>
    <row r="432" spans="1:9" x14ac:dyDescent="0.3">
      <c r="A432" s="11">
        <v>45792</v>
      </c>
      <c r="B432" s="4" t="str">
        <f>TEXT(Data!B432,"MMM-YYYY")</f>
        <v>Dec-2024</v>
      </c>
      <c r="C432" s="4" t="str">
        <f t="shared" si="12"/>
        <v>Q2-2025</v>
      </c>
      <c r="D432" t="s">
        <v>78</v>
      </c>
      <c r="E432" t="s">
        <v>79</v>
      </c>
      <c r="F432" t="s">
        <v>335</v>
      </c>
      <c r="G432" t="s">
        <v>30</v>
      </c>
      <c r="H432" s="7" t="str">
        <f t="shared" si="13"/>
        <v>High</v>
      </c>
      <c r="I432" s="4">
        <v>1330.85</v>
      </c>
    </row>
    <row r="433" spans="1:9" x14ac:dyDescent="0.3">
      <c r="A433" s="11">
        <v>45793</v>
      </c>
      <c r="B433" s="4" t="str">
        <f>TEXT(Data!B433,"MMM-YYYY")</f>
        <v>Oct-2023</v>
      </c>
      <c r="C433" s="4" t="str">
        <f t="shared" si="12"/>
        <v>Q2-2025</v>
      </c>
      <c r="D433" t="s">
        <v>45</v>
      </c>
      <c r="E433" t="s">
        <v>116</v>
      </c>
      <c r="F433" t="s">
        <v>117</v>
      </c>
      <c r="G433" t="s">
        <v>57</v>
      </c>
      <c r="H433" s="7" t="str">
        <f t="shared" si="13"/>
        <v>High</v>
      </c>
      <c r="I433" s="4">
        <v>2764.65</v>
      </c>
    </row>
    <row r="434" spans="1:9" x14ac:dyDescent="0.3">
      <c r="A434" s="11">
        <v>45794</v>
      </c>
      <c r="B434" s="4" t="str">
        <f>TEXT(Data!B434,"MMM-YYYY")</f>
        <v>Dec-2024</v>
      </c>
      <c r="C434" s="4" t="str">
        <f t="shared" si="12"/>
        <v>Q2-2025</v>
      </c>
      <c r="D434" t="s">
        <v>78</v>
      </c>
      <c r="E434" t="s">
        <v>108</v>
      </c>
      <c r="F434" t="s">
        <v>228</v>
      </c>
      <c r="G434" t="s">
        <v>64</v>
      </c>
      <c r="H434" s="7" t="str">
        <f t="shared" si="13"/>
        <v>High</v>
      </c>
      <c r="I434" s="4">
        <v>278.35000000000002</v>
      </c>
    </row>
    <row r="435" spans="1:9" x14ac:dyDescent="0.3">
      <c r="A435" s="11">
        <v>45795</v>
      </c>
      <c r="B435" s="4" t="str">
        <f>TEXT(Data!B435,"MMM-YYYY")</f>
        <v>Sep-2024</v>
      </c>
      <c r="C435" s="4" t="str">
        <f t="shared" si="12"/>
        <v>Q2-2025</v>
      </c>
      <c r="D435" t="s">
        <v>16</v>
      </c>
      <c r="E435" t="s">
        <v>25</v>
      </c>
      <c r="F435" t="s">
        <v>38</v>
      </c>
      <c r="G435" t="s">
        <v>64</v>
      </c>
      <c r="H435" s="7" t="str">
        <f t="shared" si="13"/>
        <v>High</v>
      </c>
      <c r="I435" s="4">
        <v>984.36</v>
      </c>
    </row>
    <row r="436" spans="1:9" x14ac:dyDescent="0.3">
      <c r="A436" s="11">
        <v>45796</v>
      </c>
      <c r="B436" s="4" t="str">
        <f>TEXT(Data!B436,"MMM-YYYY")</f>
        <v>Oct-2023</v>
      </c>
      <c r="C436" s="4" t="str">
        <f t="shared" si="12"/>
        <v>Q2-2025</v>
      </c>
      <c r="D436" t="s">
        <v>45</v>
      </c>
      <c r="E436" t="s">
        <v>116</v>
      </c>
      <c r="F436" t="s">
        <v>338</v>
      </c>
      <c r="G436" t="s">
        <v>35</v>
      </c>
      <c r="H436" s="7" t="str">
        <f t="shared" si="13"/>
        <v>Medium</v>
      </c>
      <c r="I436" s="4">
        <v>190.84</v>
      </c>
    </row>
    <row r="437" spans="1:9" x14ac:dyDescent="0.3">
      <c r="A437" s="11">
        <v>45797</v>
      </c>
      <c r="B437" s="4" t="str">
        <f>TEXT(Data!B437,"MMM-YYYY")</f>
        <v>Dec-2024</v>
      </c>
      <c r="C437" s="4" t="str">
        <f t="shared" si="12"/>
        <v>Q2-2025</v>
      </c>
      <c r="D437" t="s">
        <v>16</v>
      </c>
      <c r="E437" t="s">
        <v>17</v>
      </c>
      <c r="F437" t="s">
        <v>18</v>
      </c>
      <c r="G437" t="s">
        <v>42</v>
      </c>
      <c r="H437" s="7" t="str">
        <f t="shared" si="13"/>
        <v>High</v>
      </c>
      <c r="I437" s="4">
        <v>908.3</v>
      </c>
    </row>
    <row r="438" spans="1:9" x14ac:dyDescent="0.3">
      <c r="A438" s="11">
        <v>45798</v>
      </c>
      <c r="B438" s="4" t="str">
        <f>TEXT(Data!B438,"MMM-YYYY")</f>
        <v>Apr-2023</v>
      </c>
      <c r="C438" s="4" t="str">
        <f t="shared" si="12"/>
        <v>Q2-2025</v>
      </c>
      <c r="D438" t="s">
        <v>45</v>
      </c>
      <c r="E438" t="s">
        <v>60</v>
      </c>
      <c r="F438" t="s">
        <v>61</v>
      </c>
      <c r="G438" t="s">
        <v>35</v>
      </c>
      <c r="H438" s="7" t="str">
        <f t="shared" si="13"/>
        <v>High</v>
      </c>
      <c r="I438" s="4">
        <v>284.23</v>
      </c>
    </row>
    <row r="439" spans="1:9" x14ac:dyDescent="0.3">
      <c r="A439" s="11">
        <v>45799</v>
      </c>
      <c r="B439" s="4" t="str">
        <f>TEXT(Data!B439,"MMM-YYYY")</f>
        <v>Dec-2023</v>
      </c>
      <c r="C439" s="4" t="str">
        <f t="shared" si="12"/>
        <v>Q2-2025</v>
      </c>
      <c r="D439" t="s">
        <v>45</v>
      </c>
      <c r="E439" t="s">
        <v>46</v>
      </c>
      <c r="F439" t="s">
        <v>231</v>
      </c>
      <c r="G439" t="s">
        <v>22</v>
      </c>
      <c r="H439" s="7" t="str">
        <f t="shared" si="13"/>
        <v>High</v>
      </c>
      <c r="I439" s="4">
        <v>1229.3399999999999</v>
      </c>
    </row>
    <row r="440" spans="1:9" x14ac:dyDescent="0.3">
      <c r="A440" s="11">
        <v>45800</v>
      </c>
      <c r="B440" s="4" t="str">
        <f>TEXT(Data!B440,"MMM-YYYY")</f>
        <v>Feb-2023</v>
      </c>
      <c r="C440" s="4" t="str">
        <f t="shared" si="12"/>
        <v>Q2-2025</v>
      </c>
      <c r="D440" t="s">
        <v>78</v>
      </c>
      <c r="E440" t="s">
        <v>90</v>
      </c>
      <c r="F440" t="s">
        <v>91</v>
      </c>
      <c r="G440" t="s">
        <v>81</v>
      </c>
      <c r="H440" s="7" t="str">
        <f t="shared" si="13"/>
        <v>High</v>
      </c>
      <c r="I440" s="4">
        <v>1224.72</v>
      </c>
    </row>
    <row r="441" spans="1:9" x14ac:dyDescent="0.3">
      <c r="A441" s="11">
        <v>45801</v>
      </c>
      <c r="B441" s="4" t="str">
        <f>TEXT(Data!B441,"MMM-YYYY")</f>
        <v>May-2023</v>
      </c>
      <c r="C441" s="4" t="str">
        <f t="shared" si="12"/>
        <v>Q2-2025</v>
      </c>
      <c r="D441" t="s">
        <v>16</v>
      </c>
      <c r="E441" t="s">
        <v>17</v>
      </c>
      <c r="F441" t="s">
        <v>135</v>
      </c>
      <c r="G441" t="s">
        <v>35</v>
      </c>
      <c r="H441" s="7" t="str">
        <f t="shared" si="13"/>
        <v>High</v>
      </c>
      <c r="I441" s="4">
        <v>485.86</v>
      </c>
    </row>
    <row r="442" spans="1:9" x14ac:dyDescent="0.3">
      <c r="A442" s="11">
        <v>45802</v>
      </c>
      <c r="B442" s="4" t="str">
        <f>TEXT(Data!B442,"MMM-YYYY")</f>
        <v>Mar-2024</v>
      </c>
      <c r="C442" s="4" t="str">
        <f t="shared" si="12"/>
        <v>Q2-2025</v>
      </c>
      <c r="D442" t="s">
        <v>45</v>
      </c>
      <c r="E442" t="s">
        <v>116</v>
      </c>
      <c r="F442" t="s">
        <v>338</v>
      </c>
      <c r="G442" t="s">
        <v>30</v>
      </c>
      <c r="H442" s="7" t="str">
        <f t="shared" si="13"/>
        <v>High</v>
      </c>
      <c r="I442" s="4">
        <v>2210.94</v>
      </c>
    </row>
    <row r="443" spans="1:9" x14ac:dyDescent="0.3">
      <c r="A443" s="11">
        <v>45803</v>
      </c>
      <c r="B443" s="4" t="str">
        <f>TEXT(Data!B443,"MMM-YYYY")</f>
        <v>Sep-2023</v>
      </c>
      <c r="C443" s="4" t="str">
        <f t="shared" si="12"/>
        <v>Q2-2025</v>
      </c>
      <c r="D443" t="s">
        <v>45</v>
      </c>
      <c r="E443" t="s">
        <v>60</v>
      </c>
      <c r="F443" t="s">
        <v>61</v>
      </c>
      <c r="G443" t="s">
        <v>42</v>
      </c>
      <c r="H443" s="7" t="str">
        <f t="shared" si="13"/>
        <v>High</v>
      </c>
      <c r="I443" s="4">
        <v>571.89</v>
      </c>
    </row>
    <row r="444" spans="1:9" x14ac:dyDescent="0.3">
      <c r="A444" s="11">
        <v>45804</v>
      </c>
      <c r="B444" s="4" t="str">
        <f>TEXT(Data!B444,"MMM-YYYY")</f>
        <v>Aug-2024</v>
      </c>
      <c r="C444" s="4" t="str">
        <f t="shared" si="12"/>
        <v>Q2-2025</v>
      </c>
      <c r="D444" t="s">
        <v>45</v>
      </c>
      <c r="E444" t="s">
        <v>60</v>
      </c>
      <c r="F444" t="s">
        <v>1364</v>
      </c>
      <c r="G444" t="s">
        <v>81</v>
      </c>
      <c r="H444" s="7" t="str">
        <f t="shared" si="13"/>
        <v>High</v>
      </c>
      <c r="I444" s="4">
        <v>3398.37</v>
      </c>
    </row>
    <row r="445" spans="1:9" x14ac:dyDescent="0.3">
      <c r="A445" s="11">
        <v>45805</v>
      </c>
      <c r="B445" s="4" t="str">
        <f>TEXT(Data!B445,"MMM-YYYY")</f>
        <v>Sep-2024</v>
      </c>
      <c r="C445" s="4" t="str">
        <f t="shared" si="12"/>
        <v>Q2-2025</v>
      </c>
      <c r="D445" t="s">
        <v>78</v>
      </c>
      <c r="E445" t="s">
        <v>79</v>
      </c>
      <c r="F445" t="s">
        <v>335</v>
      </c>
      <c r="G445" t="s">
        <v>30</v>
      </c>
      <c r="H445" s="7" t="str">
        <f t="shared" si="13"/>
        <v>Medium</v>
      </c>
      <c r="I445" s="4">
        <v>194.62</v>
      </c>
    </row>
    <row r="446" spans="1:9" x14ac:dyDescent="0.3">
      <c r="A446" s="11">
        <v>45806</v>
      </c>
      <c r="B446" s="4" t="str">
        <f>TEXT(Data!B446,"MMM-YYYY")</f>
        <v>Jun-2023</v>
      </c>
      <c r="C446" s="4" t="str">
        <f t="shared" si="12"/>
        <v>Q2-2025</v>
      </c>
      <c r="D446" t="s">
        <v>52</v>
      </c>
      <c r="E446" t="s">
        <v>53</v>
      </c>
      <c r="F446" t="s">
        <v>54</v>
      </c>
      <c r="G446" t="s">
        <v>30</v>
      </c>
      <c r="H446" s="7" t="str">
        <f t="shared" si="13"/>
        <v>High</v>
      </c>
      <c r="I446" s="4">
        <v>1031.6400000000001</v>
      </c>
    </row>
    <row r="447" spans="1:9" x14ac:dyDescent="0.3">
      <c r="A447" s="11">
        <v>45807</v>
      </c>
      <c r="B447" s="4" t="str">
        <f>TEXT(Data!B447,"MMM-YYYY")</f>
        <v>Dec-2023</v>
      </c>
      <c r="C447" s="4" t="str">
        <f t="shared" si="12"/>
        <v>Q2-2025</v>
      </c>
      <c r="D447" t="s">
        <v>52</v>
      </c>
      <c r="E447" t="s">
        <v>53</v>
      </c>
      <c r="F447" t="s">
        <v>54</v>
      </c>
      <c r="G447" t="s">
        <v>30</v>
      </c>
      <c r="H447" s="7" t="str">
        <f t="shared" si="13"/>
        <v>High</v>
      </c>
      <c r="I447" s="4">
        <v>495.19</v>
      </c>
    </row>
    <row r="448" spans="1:9" x14ac:dyDescent="0.3">
      <c r="A448" s="11">
        <v>45808</v>
      </c>
      <c r="B448" s="4" t="str">
        <f>TEXT(Data!B448,"MMM-YYYY")</f>
        <v>Mar-2025</v>
      </c>
      <c r="C448" s="4" t="str">
        <f t="shared" si="12"/>
        <v>Q2-2025</v>
      </c>
      <c r="D448" t="s">
        <v>45</v>
      </c>
      <c r="E448" t="s">
        <v>46</v>
      </c>
      <c r="F448" t="s">
        <v>231</v>
      </c>
      <c r="G448" t="s">
        <v>57</v>
      </c>
      <c r="H448" s="7" t="str">
        <f t="shared" si="13"/>
        <v>High</v>
      </c>
      <c r="I448" s="4">
        <v>1319.04</v>
      </c>
    </row>
    <row r="449" spans="1:9" x14ac:dyDescent="0.3">
      <c r="A449" s="11">
        <v>45809</v>
      </c>
      <c r="B449" s="4" t="str">
        <f>TEXT(Data!B449,"MMM-YYYY")</f>
        <v>Jun-2024</v>
      </c>
      <c r="C449" s="4" t="str">
        <f t="shared" si="12"/>
        <v>Q2-2025</v>
      </c>
      <c r="D449" t="s">
        <v>16</v>
      </c>
      <c r="E449" t="s">
        <v>148</v>
      </c>
      <c r="F449" t="s">
        <v>172</v>
      </c>
      <c r="G449" t="s">
        <v>64</v>
      </c>
      <c r="H449" s="7" t="str">
        <f t="shared" si="13"/>
        <v>High</v>
      </c>
      <c r="I449" s="4">
        <v>314.87</v>
      </c>
    </row>
    <row r="450" spans="1:9" x14ac:dyDescent="0.3">
      <c r="A450" s="11">
        <v>45810</v>
      </c>
      <c r="B450" s="4" t="str">
        <f>TEXT(Data!B450,"MMM-YYYY")</f>
        <v>Jun-2024</v>
      </c>
      <c r="C450" s="4" t="str">
        <f t="shared" ref="C450:C513" si="14">"Q"&amp;ROUNDUP(MONTH(A450)/3,0)&amp;"-"&amp;YEAR(A450)</f>
        <v>Q2-2025</v>
      </c>
      <c r="D450" t="s">
        <v>52</v>
      </c>
      <c r="E450" t="s">
        <v>53</v>
      </c>
      <c r="F450" t="s">
        <v>54</v>
      </c>
      <c r="G450" t="s">
        <v>64</v>
      </c>
      <c r="H450" s="7" t="str">
        <f t="shared" ref="H450:H513" si="15">IF(I450&lt;50, "Low", IF(I450&lt;200, "Medium", "High"))</f>
        <v>High</v>
      </c>
      <c r="I450" s="4">
        <v>2210.17</v>
      </c>
    </row>
    <row r="451" spans="1:9" x14ac:dyDescent="0.3">
      <c r="A451" s="11">
        <v>45811</v>
      </c>
      <c r="B451" s="4" t="str">
        <f>TEXT(Data!B451,"MMM-YYYY")</f>
        <v>Jul-2023</v>
      </c>
      <c r="C451" s="4" t="str">
        <f t="shared" si="14"/>
        <v>Q2-2025</v>
      </c>
      <c r="D451" t="s">
        <v>16</v>
      </c>
      <c r="E451" t="s">
        <v>25</v>
      </c>
      <c r="F451" t="s">
        <v>26</v>
      </c>
      <c r="G451" t="s">
        <v>42</v>
      </c>
      <c r="H451" s="7" t="str">
        <f t="shared" si="15"/>
        <v>High</v>
      </c>
      <c r="I451" s="4">
        <v>1045</v>
      </c>
    </row>
    <row r="452" spans="1:9" x14ac:dyDescent="0.3">
      <c r="A452" s="11">
        <v>45812</v>
      </c>
      <c r="B452" s="4" t="str">
        <f>TEXT(Data!B452,"MMM-YYYY")</f>
        <v>Jan-2023</v>
      </c>
      <c r="C452" s="4" t="str">
        <f t="shared" si="14"/>
        <v>Q2-2025</v>
      </c>
      <c r="D452" t="s">
        <v>45</v>
      </c>
      <c r="E452" t="s">
        <v>60</v>
      </c>
      <c r="F452" t="s">
        <v>141</v>
      </c>
      <c r="G452" t="s">
        <v>30</v>
      </c>
      <c r="H452" s="7" t="str">
        <f t="shared" si="15"/>
        <v>High</v>
      </c>
      <c r="I452" s="4">
        <v>2132.19</v>
      </c>
    </row>
    <row r="453" spans="1:9" x14ac:dyDescent="0.3">
      <c r="A453" s="11">
        <v>45813</v>
      </c>
      <c r="B453" s="4" t="str">
        <f>TEXT(Data!B453,"MMM-YYYY")</f>
        <v>May-2024</v>
      </c>
      <c r="C453" s="4" t="str">
        <f t="shared" si="14"/>
        <v>Q2-2025</v>
      </c>
      <c r="D453" t="s">
        <v>78</v>
      </c>
      <c r="E453" t="s">
        <v>108</v>
      </c>
      <c r="F453" t="s">
        <v>152</v>
      </c>
      <c r="G453" t="s">
        <v>81</v>
      </c>
      <c r="H453" s="7" t="str">
        <f t="shared" si="15"/>
        <v>High</v>
      </c>
      <c r="I453" s="4">
        <v>2101.5500000000002</v>
      </c>
    </row>
    <row r="454" spans="1:9" x14ac:dyDescent="0.3">
      <c r="A454" s="11">
        <v>45814</v>
      </c>
      <c r="B454" s="4" t="str">
        <f>TEXT(Data!B454,"MMM-YYYY")</f>
        <v>Jun-2025</v>
      </c>
      <c r="C454" s="4" t="str">
        <f t="shared" si="14"/>
        <v>Q2-2025</v>
      </c>
      <c r="D454" t="s">
        <v>45</v>
      </c>
      <c r="E454" t="s">
        <v>60</v>
      </c>
      <c r="F454" t="s">
        <v>61</v>
      </c>
      <c r="G454" t="s">
        <v>22</v>
      </c>
      <c r="H454" s="7" t="str">
        <f t="shared" si="15"/>
        <v>High</v>
      </c>
      <c r="I454" s="4">
        <v>2125.44</v>
      </c>
    </row>
    <row r="455" spans="1:9" x14ac:dyDescent="0.3">
      <c r="A455" s="11">
        <v>45815</v>
      </c>
      <c r="B455" s="4" t="str">
        <f>TEXT(Data!B455,"MMM-YYYY")</f>
        <v>May-2023</v>
      </c>
      <c r="C455" s="4" t="str">
        <f t="shared" si="14"/>
        <v>Q2-2025</v>
      </c>
      <c r="D455" t="s">
        <v>45</v>
      </c>
      <c r="E455" t="s">
        <v>46</v>
      </c>
      <c r="F455" t="s">
        <v>231</v>
      </c>
      <c r="G455" t="s">
        <v>42</v>
      </c>
      <c r="H455" s="7" t="str">
        <f t="shared" si="15"/>
        <v>High</v>
      </c>
      <c r="I455" s="4">
        <v>712.75</v>
      </c>
    </row>
    <row r="456" spans="1:9" x14ac:dyDescent="0.3">
      <c r="A456" s="11">
        <v>45816</v>
      </c>
      <c r="B456" s="4" t="str">
        <f>TEXT(Data!B456,"MMM-YYYY")</f>
        <v>Dec-2024</v>
      </c>
      <c r="C456" s="4" t="str">
        <f t="shared" si="14"/>
        <v>Q2-2025</v>
      </c>
      <c r="D456" t="s">
        <v>52</v>
      </c>
      <c r="E456" t="s">
        <v>122</v>
      </c>
      <c r="F456" t="s">
        <v>326</v>
      </c>
      <c r="G456" t="s">
        <v>64</v>
      </c>
      <c r="H456" s="7" t="str">
        <f t="shared" si="15"/>
        <v>High</v>
      </c>
      <c r="I456" s="4">
        <v>1568.83</v>
      </c>
    </row>
    <row r="457" spans="1:9" x14ac:dyDescent="0.3">
      <c r="A457" s="11">
        <v>45817</v>
      </c>
      <c r="B457" s="4" t="str">
        <f>TEXT(Data!B457,"MMM-YYYY")</f>
        <v>Dec-2023</v>
      </c>
      <c r="C457" s="4" t="str">
        <f t="shared" si="14"/>
        <v>Q2-2025</v>
      </c>
      <c r="D457" t="s">
        <v>52</v>
      </c>
      <c r="E457" t="s">
        <v>53</v>
      </c>
      <c r="F457" t="s">
        <v>179</v>
      </c>
      <c r="G457" t="s">
        <v>81</v>
      </c>
      <c r="H457" s="7" t="str">
        <f t="shared" si="15"/>
        <v>High</v>
      </c>
      <c r="I457" s="4">
        <v>2074.34</v>
      </c>
    </row>
    <row r="458" spans="1:9" x14ac:dyDescent="0.3">
      <c r="A458" s="11">
        <v>45818</v>
      </c>
      <c r="B458" s="4" t="str">
        <f>TEXT(Data!B458,"MMM-YYYY")</f>
        <v>May-2023</v>
      </c>
      <c r="C458" s="4" t="str">
        <f t="shared" si="14"/>
        <v>Q2-2025</v>
      </c>
      <c r="D458" t="s">
        <v>52</v>
      </c>
      <c r="E458" t="s">
        <v>73</v>
      </c>
      <c r="F458" t="s">
        <v>87</v>
      </c>
      <c r="G458" t="s">
        <v>42</v>
      </c>
      <c r="H458" s="7" t="str">
        <f t="shared" si="15"/>
        <v>High</v>
      </c>
      <c r="I458" s="4">
        <v>495.19</v>
      </c>
    </row>
    <row r="459" spans="1:9" x14ac:dyDescent="0.3">
      <c r="A459" s="11">
        <v>45819</v>
      </c>
      <c r="B459" s="4" t="str">
        <f>TEXT(Data!B459,"MMM-YYYY")</f>
        <v>Nov-2023</v>
      </c>
      <c r="C459" s="4" t="str">
        <f t="shared" si="14"/>
        <v>Q2-2025</v>
      </c>
      <c r="D459" t="s">
        <v>45</v>
      </c>
      <c r="E459" t="s">
        <v>116</v>
      </c>
      <c r="F459" t="s">
        <v>162</v>
      </c>
      <c r="G459" t="s">
        <v>64</v>
      </c>
      <c r="H459" s="7" t="str">
        <f t="shared" si="15"/>
        <v>High</v>
      </c>
      <c r="I459" s="4">
        <v>757.59</v>
      </c>
    </row>
    <row r="460" spans="1:9" x14ac:dyDescent="0.3">
      <c r="A460" s="11">
        <v>45820</v>
      </c>
      <c r="B460" s="4" t="str">
        <f>TEXT(Data!B460,"MMM-YYYY")</f>
        <v>May-2024</v>
      </c>
      <c r="C460" s="4" t="str">
        <f t="shared" si="14"/>
        <v>Q2-2025</v>
      </c>
      <c r="D460" t="s">
        <v>78</v>
      </c>
      <c r="E460" t="s">
        <v>79</v>
      </c>
      <c r="F460" t="s">
        <v>159</v>
      </c>
      <c r="G460" t="s">
        <v>57</v>
      </c>
      <c r="H460" s="7" t="str">
        <f t="shared" si="15"/>
        <v>High</v>
      </c>
      <c r="I460" s="4">
        <v>415.96</v>
      </c>
    </row>
    <row r="461" spans="1:9" x14ac:dyDescent="0.3">
      <c r="A461" s="11">
        <v>45821</v>
      </c>
      <c r="B461" s="4" t="str">
        <f>TEXT(Data!B461,"MMM-YYYY")</f>
        <v>Jul-2023</v>
      </c>
      <c r="C461" s="4" t="str">
        <f t="shared" si="14"/>
        <v>Q2-2025</v>
      </c>
      <c r="D461" t="s">
        <v>78</v>
      </c>
      <c r="E461" t="s">
        <v>90</v>
      </c>
      <c r="F461" t="s">
        <v>91</v>
      </c>
      <c r="G461" t="s">
        <v>22</v>
      </c>
      <c r="H461" s="7" t="str">
        <f t="shared" si="15"/>
        <v>High</v>
      </c>
      <c r="I461" s="4">
        <v>1870.89</v>
      </c>
    </row>
    <row r="462" spans="1:9" x14ac:dyDescent="0.3">
      <c r="A462" s="11">
        <v>45822</v>
      </c>
      <c r="B462" s="4" t="str">
        <f>TEXT(Data!B462,"MMM-YYYY")</f>
        <v>May-2023</v>
      </c>
      <c r="C462" s="4" t="str">
        <f t="shared" si="14"/>
        <v>Q2-2025</v>
      </c>
      <c r="D462" t="s">
        <v>45</v>
      </c>
      <c r="E462" t="s">
        <v>46</v>
      </c>
      <c r="F462" t="s">
        <v>214</v>
      </c>
      <c r="G462" t="s">
        <v>22</v>
      </c>
      <c r="H462" s="7" t="str">
        <f t="shared" si="15"/>
        <v>High</v>
      </c>
      <c r="I462" s="4">
        <v>206.88</v>
      </c>
    </row>
    <row r="463" spans="1:9" x14ac:dyDescent="0.3">
      <c r="A463" s="11">
        <v>45823</v>
      </c>
      <c r="B463" s="4" t="str">
        <f>TEXT(Data!B463,"MMM-YYYY")</f>
        <v>Mar-2024</v>
      </c>
      <c r="C463" s="4" t="str">
        <f t="shared" si="14"/>
        <v>Q2-2025</v>
      </c>
      <c r="D463" t="s">
        <v>16</v>
      </c>
      <c r="E463" t="s">
        <v>148</v>
      </c>
      <c r="F463" t="s">
        <v>172</v>
      </c>
      <c r="G463" t="s">
        <v>81</v>
      </c>
      <c r="H463" s="7" t="str">
        <f t="shared" si="15"/>
        <v>Medium</v>
      </c>
      <c r="I463" s="4">
        <v>62.82</v>
      </c>
    </row>
    <row r="464" spans="1:9" x14ac:dyDescent="0.3">
      <c r="A464" s="11">
        <v>45824</v>
      </c>
      <c r="B464" s="4" t="str">
        <f>TEXT(Data!B464,"MMM-YYYY")</f>
        <v>Apr-2025</v>
      </c>
      <c r="C464" s="4" t="str">
        <f t="shared" si="14"/>
        <v>Q2-2025</v>
      </c>
      <c r="D464" t="s">
        <v>78</v>
      </c>
      <c r="E464" t="s">
        <v>79</v>
      </c>
      <c r="F464" t="s">
        <v>335</v>
      </c>
      <c r="G464" t="s">
        <v>30</v>
      </c>
      <c r="H464" s="7" t="str">
        <f t="shared" si="15"/>
        <v>High</v>
      </c>
      <c r="I464" s="4">
        <v>956.49</v>
      </c>
    </row>
    <row r="465" spans="1:9" x14ac:dyDescent="0.3">
      <c r="A465" s="11">
        <v>45825</v>
      </c>
      <c r="B465" s="4" t="str">
        <f>TEXT(Data!B465,"MMM-YYYY")</f>
        <v>Jul-2025</v>
      </c>
      <c r="C465" s="4" t="str">
        <f t="shared" si="14"/>
        <v>Q2-2025</v>
      </c>
      <c r="D465" t="s">
        <v>16</v>
      </c>
      <c r="E465" t="s">
        <v>148</v>
      </c>
      <c r="F465" t="s">
        <v>172</v>
      </c>
      <c r="G465" t="s">
        <v>35</v>
      </c>
      <c r="H465" s="7" t="str">
        <f t="shared" si="15"/>
        <v>Medium</v>
      </c>
      <c r="I465" s="4">
        <v>165.7</v>
      </c>
    </row>
    <row r="466" spans="1:9" x14ac:dyDescent="0.3">
      <c r="A466" s="11">
        <v>45826</v>
      </c>
      <c r="B466" s="4" t="str">
        <f>TEXT(Data!B466,"MMM-YYYY")</f>
        <v>Nov-2024</v>
      </c>
      <c r="C466" s="4" t="str">
        <f t="shared" si="14"/>
        <v>Q2-2025</v>
      </c>
      <c r="D466" t="s">
        <v>45</v>
      </c>
      <c r="E466" t="s">
        <v>46</v>
      </c>
      <c r="F466" t="s">
        <v>214</v>
      </c>
      <c r="G466" t="s">
        <v>22</v>
      </c>
      <c r="H466" s="7" t="str">
        <f t="shared" si="15"/>
        <v>High</v>
      </c>
      <c r="I466" s="4">
        <v>608.36</v>
      </c>
    </row>
    <row r="467" spans="1:9" x14ac:dyDescent="0.3">
      <c r="A467" s="11">
        <v>45827</v>
      </c>
      <c r="B467" s="4" t="str">
        <f>TEXT(Data!B467,"MMM-YYYY")</f>
        <v>Jun-2024</v>
      </c>
      <c r="C467" s="4" t="str">
        <f t="shared" si="14"/>
        <v>Q2-2025</v>
      </c>
      <c r="D467" t="s">
        <v>16</v>
      </c>
      <c r="E467" t="s">
        <v>17</v>
      </c>
      <c r="F467" t="s">
        <v>113</v>
      </c>
      <c r="G467" t="s">
        <v>22</v>
      </c>
      <c r="H467" s="7" t="str">
        <f t="shared" si="15"/>
        <v>High</v>
      </c>
      <c r="I467" s="4">
        <v>2665.91</v>
      </c>
    </row>
    <row r="468" spans="1:9" x14ac:dyDescent="0.3">
      <c r="A468" s="11">
        <v>45828</v>
      </c>
      <c r="B468" s="4" t="str">
        <f>TEXT(Data!B468,"MMM-YYYY")</f>
        <v>Dec-2023</v>
      </c>
      <c r="C468" s="4" t="str">
        <f t="shared" si="14"/>
        <v>Q2-2025</v>
      </c>
      <c r="D468" t="s">
        <v>16</v>
      </c>
      <c r="E468" t="s">
        <v>25</v>
      </c>
      <c r="F468" t="s">
        <v>26</v>
      </c>
      <c r="G468" t="s">
        <v>81</v>
      </c>
      <c r="H468" s="7" t="str">
        <f t="shared" si="15"/>
        <v>High</v>
      </c>
      <c r="I468" s="4">
        <v>587.95000000000005</v>
      </c>
    </row>
    <row r="469" spans="1:9" x14ac:dyDescent="0.3">
      <c r="A469" s="11">
        <v>45829</v>
      </c>
      <c r="B469" s="4" t="str">
        <f>TEXT(Data!B469,"MMM-YYYY")</f>
        <v>Jun-2025</v>
      </c>
      <c r="C469" s="4" t="str">
        <f t="shared" si="14"/>
        <v>Q2-2025</v>
      </c>
      <c r="D469" t="s">
        <v>45</v>
      </c>
      <c r="E469" t="s">
        <v>60</v>
      </c>
      <c r="F469" t="s">
        <v>220</v>
      </c>
      <c r="G469" t="s">
        <v>35</v>
      </c>
      <c r="H469" s="7" t="str">
        <f t="shared" si="15"/>
        <v>High</v>
      </c>
      <c r="I469" s="4">
        <v>2193.13</v>
      </c>
    </row>
    <row r="470" spans="1:9" x14ac:dyDescent="0.3">
      <c r="A470" s="11">
        <v>45830</v>
      </c>
      <c r="B470" s="4" t="str">
        <f>TEXT(Data!B470,"MMM-YYYY")</f>
        <v>Mar-2025</v>
      </c>
      <c r="C470" s="4" t="str">
        <f t="shared" si="14"/>
        <v>Q2-2025</v>
      </c>
      <c r="D470" t="s">
        <v>78</v>
      </c>
      <c r="E470" t="s">
        <v>79</v>
      </c>
      <c r="F470" t="s">
        <v>159</v>
      </c>
      <c r="G470" t="s">
        <v>22</v>
      </c>
      <c r="H470" s="7" t="str">
        <f t="shared" si="15"/>
        <v>High</v>
      </c>
      <c r="I470" s="4">
        <v>2187.8000000000002</v>
      </c>
    </row>
    <row r="471" spans="1:9" x14ac:dyDescent="0.3">
      <c r="A471" s="11">
        <v>45831</v>
      </c>
      <c r="B471" s="4" t="str">
        <f>TEXT(Data!B471,"MMM-YYYY")</f>
        <v>May-2023</v>
      </c>
      <c r="C471" s="4" t="str">
        <f t="shared" si="14"/>
        <v>Q2-2025</v>
      </c>
      <c r="D471" t="s">
        <v>78</v>
      </c>
      <c r="E471" t="s">
        <v>79</v>
      </c>
      <c r="F471" t="s">
        <v>80</v>
      </c>
      <c r="G471" t="s">
        <v>30</v>
      </c>
      <c r="H471" s="7" t="str">
        <f t="shared" si="15"/>
        <v>High</v>
      </c>
      <c r="I471" s="4">
        <v>1002.11</v>
      </c>
    </row>
    <row r="472" spans="1:9" x14ac:dyDescent="0.3">
      <c r="A472" s="11">
        <v>45832</v>
      </c>
      <c r="B472" s="4" t="str">
        <f>TEXT(Data!B472,"MMM-YYYY")</f>
        <v>Aug-2023</v>
      </c>
      <c r="C472" s="4" t="str">
        <f t="shared" si="14"/>
        <v>Q2-2025</v>
      </c>
      <c r="D472" t="s">
        <v>16</v>
      </c>
      <c r="E472" t="s">
        <v>17</v>
      </c>
      <c r="F472" t="s">
        <v>113</v>
      </c>
      <c r="G472" t="s">
        <v>30</v>
      </c>
      <c r="H472" s="7" t="str">
        <f t="shared" si="15"/>
        <v>High</v>
      </c>
      <c r="I472" s="4">
        <v>913.78</v>
      </c>
    </row>
    <row r="473" spans="1:9" x14ac:dyDescent="0.3">
      <c r="A473" s="11">
        <v>45833</v>
      </c>
      <c r="B473" s="4" t="str">
        <f>TEXT(Data!B473,"MMM-YYYY")</f>
        <v>Jul-2025</v>
      </c>
      <c r="C473" s="4" t="str">
        <f t="shared" si="14"/>
        <v>Q2-2025</v>
      </c>
      <c r="D473" t="s">
        <v>78</v>
      </c>
      <c r="E473" t="s">
        <v>90</v>
      </c>
      <c r="F473" t="s">
        <v>138</v>
      </c>
      <c r="G473" t="s">
        <v>30</v>
      </c>
      <c r="H473" s="7" t="str">
        <f t="shared" si="15"/>
        <v>High</v>
      </c>
      <c r="I473" s="4">
        <v>1843.51</v>
      </c>
    </row>
    <row r="474" spans="1:9" x14ac:dyDescent="0.3">
      <c r="A474" s="11">
        <v>45834</v>
      </c>
      <c r="B474" s="4" t="str">
        <f>TEXT(Data!B474,"MMM-YYYY")</f>
        <v>Feb-2024</v>
      </c>
      <c r="C474" s="4" t="str">
        <f t="shared" si="14"/>
        <v>Q2-2025</v>
      </c>
      <c r="D474" t="s">
        <v>45</v>
      </c>
      <c r="E474" t="s">
        <v>116</v>
      </c>
      <c r="F474" t="s">
        <v>338</v>
      </c>
      <c r="G474" t="s">
        <v>22</v>
      </c>
      <c r="H474" s="7" t="str">
        <f t="shared" si="15"/>
        <v>High</v>
      </c>
      <c r="I474" s="4">
        <v>1383.6</v>
      </c>
    </row>
    <row r="475" spans="1:9" x14ac:dyDescent="0.3">
      <c r="A475" s="11">
        <v>45835</v>
      </c>
      <c r="B475" s="4" t="str">
        <f>TEXT(Data!B475,"MMM-YYYY")</f>
        <v>Aug-2025</v>
      </c>
      <c r="C475" s="4" t="str">
        <f t="shared" si="14"/>
        <v>Q2-2025</v>
      </c>
      <c r="D475" t="s">
        <v>16</v>
      </c>
      <c r="E475" t="s">
        <v>17</v>
      </c>
      <c r="F475" t="s">
        <v>18</v>
      </c>
      <c r="G475" t="s">
        <v>64</v>
      </c>
      <c r="H475" s="7" t="str">
        <f t="shared" si="15"/>
        <v>High</v>
      </c>
      <c r="I475" s="4">
        <v>1588.53</v>
      </c>
    </row>
    <row r="476" spans="1:9" x14ac:dyDescent="0.3">
      <c r="A476" s="11">
        <v>45836</v>
      </c>
      <c r="B476" s="4" t="str">
        <f>TEXT(Data!B476,"MMM-YYYY")</f>
        <v>May-2023</v>
      </c>
      <c r="C476" s="4" t="str">
        <f t="shared" si="14"/>
        <v>Q2-2025</v>
      </c>
      <c r="D476" t="s">
        <v>78</v>
      </c>
      <c r="E476" t="s">
        <v>90</v>
      </c>
      <c r="F476" t="s">
        <v>217</v>
      </c>
      <c r="G476" t="s">
        <v>42</v>
      </c>
      <c r="H476" s="7" t="str">
        <f t="shared" si="15"/>
        <v>High</v>
      </c>
      <c r="I476" s="4">
        <v>1344.05</v>
      </c>
    </row>
    <row r="477" spans="1:9" x14ac:dyDescent="0.3">
      <c r="A477" s="11">
        <v>45837</v>
      </c>
      <c r="B477" s="4" t="str">
        <f>TEXT(Data!B477,"MMM-YYYY")</f>
        <v>May-2024</v>
      </c>
      <c r="C477" s="4" t="str">
        <f t="shared" si="14"/>
        <v>Q2-2025</v>
      </c>
      <c r="D477" t="s">
        <v>52</v>
      </c>
      <c r="E477" t="s">
        <v>73</v>
      </c>
      <c r="F477" t="s">
        <v>225</v>
      </c>
      <c r="G477" t="s">
        <v>30</v>
      </c>
      <c r="H477" s="7" t="str">
        <f t="shared" si="15"/>
        <v>High</v>
      </c>
      <c r="I477" s="4">
        <v>1290.29</v>
      </c>
    </row>
    <row r="478" spans="1:9" x14ac:dyDescent="0.3">
      <c r="A478" s="11">
        <v>45838</v>
      </c>
      <c r="B478" s="4" t="str">
        <f>TEXT(Data!B478,"MMM-YYYY")</f>
        <v>Mar-2023</v>
      </c>
      <c r="C478" s="4" t="str">
        <f t="shared" si="14"/>
        <v>Q2-2025</v>
      </c>
      <c r="D478" t="s">
        <v>78</v>
      </c>
      <c r="E478" t="s">
        <v>108</v>
      </c>
      <c r="F478" t="s">
        <v>109</v>
      </c>
      <c r="G478" t="s">
        <v>57</v>
      </c>
      <c r="H478" s="7" t="str">
        <f t="shared" si="15"/>
        <v>High</v>
      </c>
      <c r="I478" s="4">
        <v>221.58</v>
      </c>
    </row>
    <row r="479" spans="1:9" x14ac:dyDescent="0.3">
      <c r="A479" s="11">
        <v>45839</v>
      </c>
      <c r="B479" s="4" t="str">
        <f>TEXT(Data!B479,"MMM-YYYY")</f>
        <v>Jul-2023</v>
      </c>
      <c r="C479" s="4" t="str">
        <f t="shared" si="14"/>
        <v>Q3-2025</v>
      </c>
      <c r="D479" t="s">
        <v>78</v>
      </c>
      <c r="E479" t="s">
        <v>79</v>
      </c>
      <c r="F479" t="s">
        <v>335</v>
      </c>
      <c r="G479" t="s">
        <v>22</v>
      </c>
      <c r="H479" s="7" t="str">
        <f t="shared" si="15"/>
        <v>High</v>
      </c>
      <c r="I479" s="4">
        <v>360.34</v>
      </c>
    </row>
    <row r="480" spans="1:9" x14ac:dyDescent="0.3">
      <c r="A480" s="11">
        <v>45840</v>
      </c>
      <c r="B480" s="4" t="str">
        <f>TEXT(Data!B480,"MMM-YYYY")</f>
        <v>Apr-2023</v>
      </c>
      <c r="C480" s="4" t="str">
        <f t="shared" si="14"/>
        <v>Q3-2025</v>
      </c>
      <c r="D480" t="s">
        <v>78</v>
      </c>
      <c r="E480" t="s">
        <v>108</v>
      </c>
      <c r="F480" t="s">
        <v>228</v>
      </c>
      <c r="G480" t="s">
        <v>57</v>
      </c>
      <c r="H480" s="7" t="str">
        <f t="shared" si="15"/>
        <v>High</v>
      </c>
      <c r="I480" s="4">
        <v>2545.81</v>
      </c>
    </row>
    <row r="481" spans="1:9" x14ac:dyDescent="0.3">
      <c r="A481" s="11">
        <v>45841</v>
      </c>
      <c r="B481" s="4" t="str">
        <f>TEXT(Data!B481,"MMM-YYYY")</f>
        <v>Jan-2024</v>
      </c>
      <c r="C481" s="4" t="str">
        <f t="shared" si="14"/>
        <v>Q3-2025</v>
      </c>
      <c r="D481" t="s">
        <v>78</v>
      </c>
      <c r="E481" t="s">
        <v>79</v>
      </c>
      <c r="F481" t="s">
        <v>159</v>
      </c>
      <c r="G481" t="s">
        <v>81</v>
      </c>
      <c r="H481" s="7" t="str">
        <f t="shared" si="15"/>
        <v>High</v>
      </c>
      <c r="I481" s="4">
        <v>699.47</v>
      </c>
    </row>
    <row r="482" spans="1:9" x14ac:dyDescent="0.3">
      <c r="A482" s="11">
        <v>45842</v>
      </c>
      <c r="B482" s="4" t="str">
        <f>TEXT(Data!B482,"MMM-YYYY")</f>
        <v>Sep-2024</v>
      </c>
      <c r="C482" s="4" t="str">
        <f t="shared" si="14"/>
        <v>Q3-2025</v>
      </c>
      <c r="D482" t="s">
        <v>45</v>
      </c>
      <c r="E482" t="s">
        <v>46</v>
      </c>
      <c r="F482" t="s">
        <v>231</v>
      </c>
      <c r="G482" t="s">
        <v>35</v>
      </c>
      <c r="H482" s="7" t="str">
        <f t="shared" si="15"/>
        <v>High</v>
      </c>
      <c r="I482" s="4">
        <v>2738.69</v>
      </c>
    </row>
    <row r="483" spans="1:9" x14ac:dyDescent="0.3">
      <c r="A483" s="11">
        <v>45843</v>
      </c>
      <c r="B483" s="4" t="str">
        <f>TEXT(Data!B483,"MMM-YYYY")</f>
        <v>Aug-2025</v>
      </c>
      <c r="C483" s="4" t="str">
        <f t="shared" si="14"/>
        <v>Q3-2025</v>
      </c>
      <c r="D483" t="s">
        <v>45</v>
      </c>
      <c r="E483" t="s">
        <v>46</v>
      </c>
      <c r="F483" t="s">
        <v>214</v>
      </c>
      <c r="G483" t="s">
        <v>30</v>
      </c>
      <c r="H483" s="7" t="str">
        <f t="shared" si="15"/>
        <v>Medium</v>
      </c>
      <c r="I483" s="4">
        <v>94.78</v>
      </c>
    </row>
    <row r="484" spans="1:9" x14ac:dyDescent="0.3">
      <c r="A484" s="11">
        <v>45844</v>
      </c>
      <c r="B484" s="4" t="str">
        <f>TEXT(Data!B484,"MMM-YYYY")</f>
        <v>Apr-2025</v>
      </c>
      <c r="C484" s="4" t="str">
        <f t="shared" si="14"/>
        <v>Q3-2025</v>
      </c>
      <c r="D484" t="s">
        <v>78</v>
      </c>
      <c r="E484" t="s">
        <v>90</v>
      </c>
      <c r="F484" t="s">
        <v>91</v>
      </c>
      <c r="G484" t="s">
        <v>57</v>
      </c>
      <c r="H484" s="7" t="str">
        <f t="shared" si="15"/>
        <v>High</v>
      </c>
      <c r="I484" s="4">
        <v>2777.35</v>
      </c>
    </row>
    <row r="485" spans="1:9" x14ac:dyDescent="0.3">
      <c r="A485" s="11">
        <v>45845</v>
      </c>
      <c r="B485" s="4" t="str">
        <f>TEXT(Data!B485,"MMM-YYYY")</f>
        <v>Aug-2023</v>
      </c>
      <c r="C485" s="4" t="str">
        <f t="shared" si="14"/>
        <v>Q3-2025</v>
      </c>
      <c r="D485" t="s">
        <v>78</v>
      </c>
      <c r="E485" t="s">
        <v>79</v>
      </c>
      <c r="F485" t="s">
        <v>80</v>
      </c>
      <c r="G485" t="s">
        <v>42</v>
      </c>
      <c r="H485" s="7" t="str">
        <f t="shared" si="15"/>
        <v>High</v>
      </c>
      <c r="I485" s="4">
        <v>492.18</v>
      </c>
    </row>
    <row r="486" spans="1:9" x14ac:dyDescent="0.3">
      <c r="A486" s="11">
        <v>45846</v>
      </c>
      <c r="B486" s="4" t="str">
        <f>TEXT(Data!B486,"MMM-YYYY")</f>
        <v>Dec-2024</v>
      </c>
      <c r="C486" s="4" t="str">
        <f t="shared" si="14"/>
        <v>Q3-2025</v>
      </c>
      <c r="D486" t="s">
        <v>52</v>
      </c>
      <c r="E486" t="s">
        <v>73</v>
      </c>
      <c r="F486" t="s">
        <v>74</v>
      </c>
      <c r="G486" t="s">
        <v>35</v>
      </c>
      <c r="H486" s="7" t="str">
        <f t="shared" si="15"/>
        <v>High</v>
      </c>
      <c r="I486" s="4">
        <v>1921.65</v>
      </c>
    </row>
    <row r="487" spans="1:9" x14ac:dyDescent="0.3">
      <c r="A487" s="11">
        <v>45847</v>
      </c>
      <c r="B487" s="4" t="str">
        <f>TEXT(Data!B487,"MMM-YYYY")</f>
        <v>Oct-2023</v>
      </c>
      <c r="C487" s="4" t="str">
        <f t="shared" si="14"/>
        <v>Q3-2025</v>
      </c>
      <c r="D487" t="s">
        <v>78</v>
      </c>
      <c r="E487" t="s">
        <v>90</v>
      </c>
      <c r="F487" t="s">
        <v>138</v>
      </c>
      <c r="G487" t="s">
        <v>22</v>
      </c>
      <c r="H487" s="7" t="str">
        <f t="shared" si="15"/>
        <v>High</v>
      </c>
      <c r="I487" s="4">
        <v>290.33</v>
      </c>
    </row>
    <row r="488" spans="1:9" x14ac:dyDescent="0.3">
      <c r="A488" s="11">
        <v>45848</v>
      </c>
      <c r="B488" s="4" t="str">
        <f>TEXT(Data!B488,"MMM-YYYY")</f>
        <v>Nov-2024</v>
      </c>
      <c r="C488" s="4" t="str">
        <f t="shared" si="14"/>
        <v>Q3-2025</v>
      </c>
      <c r="D488" t="s">
        <v>78</v>
      </c>
      <c r="E488" t="s">
        <v>90</v>
      </c>
      <c r="F488" t="s">
        <v>217</v>
      </c>
      <c r="G488" t="s">
        <v>42</v>
      </c>
      <c r="H488" s="7" t="str">
        <f t="shared" si="15"/>
        <v>High</v>
      </c>
      <c r="I488" s="4">
        <v>602.91999999999996</v>
      </c>
    </row>
    <row r="489" spans="1:9" x14ac:dyDescent="0.3">
      <c r="A489" s="11">
        <v>45849</v>
      </c>
      <c r="B489" s="4" t="str">
        <f>TEXT(Data!B489,"MMM-YYYY")</f>
        <v>May-2024</v>
      </c>
      <c r="C489" s="4" t="str">
        <f t="shared" si="14"/>
        <v>Q3-2025</v>
      </c>
      <c r="D489" t="s">
        <v>52</v>
      </c>
      <c r="E489" t="s">
        <v>53</v>
      </c>
      <c r="F489" t="s">
        <v>1364</v>
      </c>
      <c r="G489" t="s">
        <v>30</v>
      </c>
      <c r="H489" s="7" t="str">
        <f t="shared" si="15"/>
        <v>High</v>
      </c>
      <c r="I489" s="4">
        <v>2077.5</v>
      </c>
    </row>
    <row r="490" spans="1:9" x14ac:dyDescent="0.3">
      <c r="A490" s="11">
        <v>45850</v>
      </c>
      <c r="B490" s="4" t="str">
        <f>TEXT(Data!B490,"MMM-YYYY")</f>
        <v>May-2025</v>
      </c>
      <c r="C490" s="4" t="str">
        <f t="shared" si="14"/>
        <v>Q3-2025</v>
      </c>
      <c r="D490" t="s">
        <v>78</v>
      </c>
      <c r="E490" t="s">
        <v>108</v>
      </c>
      <c r="F490" t="s">
        <v>228</v>
      </c>
      <c r="G490" t="s">
        <v>30</v>
      </c>
      <c r="H490" s="7" t="str">
        <f t="shared" si="15"/>
        <v>Medium</v>
      </c>
      <c r="I490" s="4">
        <v>172.88</v>
      </c>
    </row>
    <row r="491" spans="1:9" x14ac:dyDescent="0.3">
      <c r="A491" s="11">
        <v>45851</v>
      </c>
      <c r="B491" s="4" t="str">
        <f>TEXT(Data!B491,"MMM-YYYY")</f>
        <v>Apr-2024</v>
      </c>
      <c r="C491" s="4" t="str">
        <f t="shared" si="14"/>
        <v>Q3-2025</v>
      </c>
      <c r="D491" t="s">
        <v>45</v>
      </c>
      <c r="E491" t="s">
        <v>46</v>
      </c>
      <c r="F491" t="s">
        <v>47</v>
      </c>
      <c r="G491" t="s">
        <v>42</v>
      </c>
      <c r="H491" s="7" t="str">
        <f t="shared" si="15"/>
        <v>High</v>
      </c>
      <c r="I491" s="4">
        <v>2778.74</v>
      </c>
    </row>
    <row r="492" spans="1:9" x14ac:dyDescent="0.3">
      <c r="A492" s="11">
        <v>45852</v>
      </c>
      <c r="B492" s="4" t="str">
        <f>TEXT(Data!B492,"MMM-YYYY")</f>
        <v>Aug-2024</v>
      </c>
      <c r="C492" s="4" t="str">
        <f t="shared" si="14"/>
        <v>Q3-2025</v>
      </c>
      <c r="D492" t="s">
        <v>16</v>
      </c>
      <c r="E492" t="s">
        <v>25</v>
      </c>
      <c r="F492" t="s">
        <v>38</v>
      </c>
      <c r="G492" t="s">
        <v>81</v>
      </c>
      <c r="H492" s="7" t="str">
        <f t="shared" si="15"/>
        <v>High</v>
      </c>
      <c r="I492" s="4">
        <v>309.47000000000003</v>
      </c>
    </row>
    <row r="493" spans="1:9" x14ac:dyDescent="0.3">
      <c r="A493" s="11">
        <v>45853</v>
      </c>
      <c r="B493" s="4" t="str">
        <f>TEXT(Data!B493,"MMM-YYYY")</f>
        <v>Jul-2025</v>
      </c>
      <c r="C493" s="4" t="str">
        <f t="shared" si="14"/>
        <v>Q3-2025</v>
      </c>
      <c r="D493" t="s">
        <v>78</v>
      </c>
      <c r="E493" t="s">
        <v>90</v>
      </c>
      <c r="F493" t="s">
        <v>138</v>
      </c>
      <c r="G493" t="s">
        <v>22</v>
      </c>
      <c r="H493" s="7" t="str">
        <f t="shared" si="15"/>
        <v>High</v>
      </c>
      <c r="I493" s="4">
        <v>666.41</v>
      </c>
    </row>
    <row r="494" spans="1:9" x14ac:dyDescent="0.3">
      <c r="A494" s="11">
        <v>45854</v>
      </c>
      <c r="B494" s="4" t="str">
        <f>TEXT(Data!B494,"MMM-YYYY")</f>
        <v>Mar-2024</v>
      </c>
      <c r="C494" s="4" t="str">
        <f t="shared" si="14"/>
        <v>Q3-2025</v>
      </c>
      <c r="D494" t="s">
        <v>45</v>
      </c>
      <c r="E494" t="s">
        <v>46</v>
      </c>
      <c r="F494" t="s">
        <v>231</v>
      </c>
      <c r="G494" t="s">
        <v>81</v>
      </c>
      <c r="H494" s="7" t="str">
        <f t="shared" si="15"/>
        <v>High</v>
      </c>
      <c r="I494" s="4">
        <v>744.27</v>
      </c>
    </row>
    <row r="495" spans="1:9" x14ac:dyDescent="0.3">
      <c r="A495" s="11">
        <v>45855</v>
      </c>
      <c r="B495" s="4" t="str">
        <f>TEXT(Data!B495,"MMM-YYYY")</f>
        <v>May-2024</v>
      </c>
      <c r="C495" s="4" t="str">
        <f t="shared" si="14"/>
        <v>Q3-2025</v>
      </c>
      <c r="D495" t="s">
        <v>52</v>
      </c>
      <c r="E495" t="s">
        <v>73</v>
      </c>
      <c r="F495" t="s">
        <v>74</v>
      </c>
      <c r="G495" t="s">
        <v>42</v>
      </c>
      <c r="H495" s="7" t="str">
        <f t="shared" si="15"/>
        <v>Low</v>
      </c>
      <c r="I495" s="4">
        <v>12.69</v>
      </c>
    </row>
    <row r="496" spans="1:9" x14ac:dyDescent="0.3">
      <c r="A496" s="11">
        <v>45856</v>
      </c>
      <c r="B496" s="4" t="str">
        <f>TEXT(Data!B496,"MMM-YYYY")</f>
        <v>Aug-2024</v>
      </c>
      <c r="C496" s="4" t="str">
        <f t="shared" si="14"/>
        <v>Q3-2025</v>
      </c>
      <c r="D496" t="s">
        <v>45</v>
      </c>
      <c r="E496" t="s">
        <v>60</v>
      </c>
      <c r="F496" t="s">
        <v>141</v>
      </c>
      <c r="G496" t="s">
        <v>81</v>
      </c>
      <c r="H496" s="7" t="str">
        <f t="shared" si="15"/>
        <v>High</v>
      </c>
      <c r="I496" s="4">
        <v>651.55999999999995</v>
      </c>
    </row>
    <row r="497" spans="1:9" x14ac:dyDescent="0.3">
      <c r="A497" s="11">
        <v>45857</v>
      </c>
      <c r="B497" s="4" t="str">
        <f>TEXT(Data!B497,"MMM-YYYY")</f>
        <v>Jun-2023</v>
      </c>
      <c r="C497" s="4" t="str">
        <f t="shared" si="14"/>
        <v>Q3-2025</v>
      </c>
      <c r="D497" t="s">
        <v>52</v>
      </c>
      <c r="E497" t="s">
        <v>122</v>
      </c>
      <c r="F497" t="s">
        <v>326</v>
      </c>
      <c r="G497" t="s">
        <v>64</v>
      </c>
      <c r="H497" s="7" t="str">
        <f t="shared" si="15"/>
        <v>High</v>
      </c>
      <c r="I497" s="4">
        <v>754.22</v>
      </c>
    </row>
    <row r="498" spans="1:9" x14ac:dyDescent="0.3">
      <c r="A498" s="11">
        <v>45858</v>
      </c>
      <c r="B498" s="4" t="str">
        <f>TEXT(Data!B498,"MMM-YYYY")</f>
        <v>Sep-2024</v>
      </c>
      <c r="C498" s="4" t="str">
        <f t="shared" si="14"/>
        <v>Q3-2025</v>
      </c>
      <c r="D498" t="s">
        <v>52</v>
      </c>
      <c r="E498" t="s">
        <v>73</v>
      </c>
      <c r="F498" t="s">
        <v>87</v>
      </c>
      <c r="G498" t="s">
        <v>35</v>
      </c>
      <c r="H498" s="7" t="str">
        <f t="shared" si="15"/>
        <v>High</v>
      </c>
      <c r="I498" s="4">
        <v>2981.01</v>
      </c>
    </row>
    <row r="499" spans="1:9" x14ac:dyDescent="0.3">
      <c r="A499" s="11">
        <v>45859</v>
      </c>
      <c r="B499" s="4" t="str">
        <f>TEXT(Data!B499,"MMM-YYYY")</f>
        <v>Oct-2023</v>
      </c>
      <c r="C499" s="4" t="str">
        <f t="shared" si="14"/>
        <v>Q3-2025</v>
      </c>
      <c r="D499" t="s">
        <v>78</v>
      </c>
      <c r="E499" t="s">
        <v>108</v>
      </c>
      <c r="F499" t="s">
        <v>152</v>
      </c>
      <c r="G499" t="s">
        <v>35</v>
      </c>
      <c r="H499" s="7" t="str">
        <f t="shared" si="15"/>
        <v>High</v>
      </c>
      <c r="I499" s="4">
        <v>976.17</v>
      </c>
    </row>
    <row r="500" spans="1:9" x14ac:dyDescent="0.3">
      <c r="A500" s="11">
        <v>45860</v>
      </c>
      <c r="B500" s="4" t="str">
        <f>TEXT(Data!B500,"MMM-YYYY")</f>
        <v>Sep-2025</v>
      </c>
      <c r="C500" s="4" t="str">
        <f t="shared" si="14"/>
        <v>Q3-2025</v>
      </c>
      <c r="D500" t="s">
        <v>52</v>
      </c>
      <c r="E500" t="s">
        <v>73</v>
      </c>
      <c r="F500" t="s">
        <v>87</v>
      </c>
      <c r="G500" t="s">
        <v>81</v>
      </c>
      <c r="H500" s="7" t="str">
        <f t="shared" si="15"/>
        <v>High</v>
      </c>
      <c r="I500" s="4">
        <v>1145.9000000000001</v>
      </c>
    </row>
    <row r="501" spans="1:9" x14ac:dyDescent="0.3">
      <c r="A501" s="11">
        <v>45861</v>
      </c>
      <c r="B501" s="4" t="str">
        <f>TEXT(Data!B501,"MMM-YYYY")</f>
        <v>May-2023</v>
      </c>
      <c r="C501" s="4" t="str">
        <f t="shared" si="14"/>
        <v>Q3-2025</v>
      </c>
      <c r="D501" t="s">
        <v>52</v>
      </c>
      <c r="E501" t="s">
        <v>73</v>
      </c>
      <c r="F501" t="s">
        <v>225</v>
      </c>
      <c r="G501" t="s">
        <v>64</v>
      </c>
      <c r="H501" s="7" t="str">
        <f t="shared" si="15"/>
        <v>High</v>
      </c>
      <c r="I501" s="4">
        <v>1630.39</v>
      </c>
    </row>
    <row r="502" spans="1:9" x14ac:dyDescent="0.3">
      <c r="A502" s="11">
        <v>45862</v>
      </c>
      <c r="B502" s="4" t="str">
        <f>TEXT(Data!B502,"MMM-YYYY")</f>
        <v>Apr-2024</v>
      </c>
      <c r="C502" s="4" t="str">
        <f t="shared" si="14"/>
        <v>Q3-2025</v>
      </c>
      <c r="D502" t="s">
        <v>45</v>
      </c>
      <c r="E502" t="s">
        <v>60</v>
      </c>
      <c r="F502" t="s">
        <v>61</v>
      </c>
      <c r="G502" t="s">
        <v>64</v>
      </c>
      <c r="H502" s="7" t="str">
        <f t="shared" si="15"/>
        <v>High</v>
      </c>
      <c r="I502" s="4">
        <v>963.73</v>
      </c>
    </row>
    <row r="503" spans="1:9" x14ac:dyDescent="0.3">
      <c r="A503" s="11">
        <v>45863</v>
      </c>
      <c r="B503" s="4" t="str">
        <f>TEXT(Data!B503,"MMM-YYYY")</f>
        <v>Feb-2023</v>
      </c>
      <c r="C503" s="4" t="str">
        <f t="shared" si="14"/>
        <v>Q3-2025</v>
      </c>
      <c r="D503" t="s">
        <v>78</v>
      </c>
      <c r="E503" t="s">
        <v>108</v>
      </c>
      <c r="F503" t="s">
        <v>152</v>
      </c>
      <c r="G503" t="s">
        <v>42</v>
      </c>
      <c r="H503" s="7" t="str">
        <f t="shared" si="15"/>
        <v>High</v>
      </c>
      <c r="I503" s="4">
        <v>891.73</v>
      </c>
    </row>
    <row r="504" spans="1:9" x14ac:dyDescent="0.3">
      <c r="A504" s="11">
        <v>45864</v>
      </c>
      <c r="B504" s="4" t="str">
        <f>TEXT(Data!B504,"MMM-YYYY")</f>
        <v>Mar-2025</v>
      </c>
      <c r="C504" s="4" t="str">
        <f t="shared" si="14"/>
        <v>Q3-2025</v>
      </c>
      <c r="D504" t="s">
        <v>45</v>
      </c>
      <c r="E504" t="s">
        <v>116</v>
      </c>
      <c r="F504" t="s">
        <v>338</v>
      </c>
      <c r="G504" t="s">
        <v>30</v>
      </c>
      <c r="H504" s="7" t="str">
        <f t="shared" si="15"/>
        <v>High</v>
      </c>
      <c r="I504" s="4">
        <v>1667.82</v>
      </c>
    </row>
    <row r="505" spans="1:9" x14ac:dyDescent="0.3">
      <c r="A505" s="11">
        <v>45865</v>
      </c>
      <c r="B505" s="4" t="str">
        <f>TEXT(Data!B505,"MMM-YYYY")</f>
        <v>Mar-2025</v>
      </c>
      <c r="C505" s="4" t="str">
        <f t="shared" si="14"/>
        <v>Q3-2025</v>
      </c>
      <c r="D505" t="s">
        <v>45</v>
      </c>
      <c r="E505" t="s">
        <v>116</v>
      </c>
      <c r="F505" t="s">
        <v>338</v>
      </c>
      <c r="G505" t="s">
        <v>35</v>
      </c>
      <c r="H505" s="7" t="str">
        <f t="shared" si="15"/>
        <v>High</v>
      </c>
      <c r="I505" s="4">
        <v>1921.51</v>
      </c>
    </row>
    <row r="506" spans="1:9" x14ac:dyDescent="0.3">
      <c r="A506" s="11">
        <v>45866</v>
      </c>
      <c r="B506" s="4" t="str">
        <f>TEXT(Data!B506,"MMM-YYYY")</f>
        <v>Apr-2024</v>
      </c>
      <c r="C506" s="4" t="str">
        <f t="shared" si="14"/>
        <v>Q3-2025</v>
      </c>
      <c r="D506" t="s">
        <v>52</v>
      </c>
      <c r="E506" t="s">
        <v>73</v>
      </c>
      <c r="F506" t="s">
        <v>225</v>
      </c>
      <c r="G506" t="s">
        <v>35</v>
      </c>
      <c r="H506" s="7" t="str">
        <f t="shared" si="15"/>
        <v>High</v>
      </c>
      <c r="I506" s="4">
        <v>1217.43</v>
      </c>
    </row>
    <row r="507" spans="1:9" x14ac:dyDescent="0.3">
      <c r="A507" s="11">
        <v>45867</v>
      </c>
      <c r="B507" s="4" t="str">
        <f>TEXT(Data!B507,"MMM-YYYY")</f>
        <v>Apr-2025</v>
      </c>
      <c r="C507" s="4" t="str">
        <f t="shared" si="14"/>
        <v>Q3-2025</v>
      </c>
      <c r="D507" t="s">
        <v>16</v>
      </c>
      <c r="E507" t="s">
        <v>25</v>
      </c>
      <c r="F507" t="s">
        <v>38</v>
      </c>
      <c r="G507" t="s">
        <v>22</v>
      </c>
      <c r="H507" s="7" t="str">
        <f t="shared" si="15"/>
        <v>High</v>
      </c>
      <c r="I507" s="4">
        <v>970.27</v>
      </c>
    </row>
    <row r="508" spans="1:9" x14ac:dyDescent="0.3">
      <c r="A508" s="11">
        <v>45868</v>
      </c>
      <c r="B508" s="4" t="str">
        <f>TEXT(Data!B508,"MMM-YYYY")</f>
        <v>Oct-2024</v>
      </c>
      <c r="C508" s="4" t="str">
        <f t="shared" si="14"/>
        <v>Q3-2025</v>
      </c>
      <c r="D508" t="s">
        <v>52</v>
      </c>
      <c r="E508" t="s">
        <v>122</v>
      </c>
      <c r="F508" t="s">
        <v>326</v>
      </c>
      <c r="G508" t="s">
        <v>42</v>
      </c>
      <c r="H508" s="7" t="str">
        <f t="shared" si="15"/>
        <v>High</v>
      </c>
      <c r="I508" s="4">
        <v>1624.67</v>
      </c>
    </row>
    <row r="509" spans="1:9" x14ac:dyDescent="0.3">
      <c r="A509" s="11">
        <v>45869</v>
      </c>
      <c r="B509" s="4" t="str">
        <f>TEXT(Data!B509,"MMM-YYYY")</f>
        <v>Apr-2023</v>
      </c>
      <c r="C509" s="4" t="str">
        <f t="shared" si="14"/>
        <v>Q3-2025</v>
      </c>
      <c r="D509" t="s">
        <v>45</v>
      </c>
      <c r="E509" t="s">
        <v>116</v>
      </c>
      <c r="F509" t="s">
        <v>162</v>
      </c>
      <c r="G509" t="s">
        <v>35</v>
      </c>
      <c r="H509" s="7" t="str">
        <f t="shared" si="15"/>
        <v>High</v>
      </c>
      <c r="I509" s="4">
        <v>2606.11</v>
      </c>
    </row>
    <row r="510" spans="1:9" x14ac:dyDescent="0.3">
      <c r="A510" s="11">
        <v>45870</v>
      </c>
      <c r="B510" s="4" t="str">
        <f>TEXT(Data!B510,"MMM-YYYY")</f>
        <v>Nov-2024</v>
      </c>
      <c r="C510" s="4" t="str">
        <f t="shared" si="14"/>
        <v>Q3-2025</v>
      </c>
      <c r="D510" t="s">
        <v>78</v>
      </c>
      <c r="E510" t="s">
        <v>90</v>
      </c>
      <c r="F510" t="s">
        <v>138</v>
      </c>
      <c r="G510" t="s">
        <v>57</v>
      </c>
      <c r="H510" s="7" t="str">
        <f t="shared" si="15"/>
        <v>High</v>
      </c>
      <c r="I510" s="4">
        <v>434.72</v>
      </c>
    </row>
    <row r="511" spans="1:9" x14ac:dyDescent="0.3">
      <c r="A511" s="11">
        <v>45871</v>
      </c>
      <c r="B511" s="4" t="str">
        <f>TEXT(Data!B511,"MMM-YYYY")</f>
        <v>May-2023</v>
      </c>
      <c r="C511" s="4" t="str">
        <f t="shared" si="14"/>
        <v>Q3-2025</v>
      </c>
      <c r="D511" t="s">
        <v>45</v>
      </c>
      <c r="E511" t="s">
        <v>60</v>
      </c>
      <c r="F511" t="s">
        <v>220</v>
      </c>
      <c r="G511" t="s">
        <v>57</v>
      </c>
      <c r="H511" s="7" t="str">
        <f t="shared" si="15"/>
        <v>High</v>
      </c>
      <c r="I511" s="4">
        <v>1860.41</v>
      </c>
    </row>
    <row r="512" spans="1:9" x14ac:dyDescent="0.3">
      <c r="A512" s="11">
        <v>45872</v>
      </c>
      <c r="B512" s="4" t="str">
        <f>TEXT(Data!B512,"MMM-YYYY")</f>
        <v>Mar-2024</v>
      </c>
      <c r="C512" s="4" t="str">
        <f t="shared" si="14"/>
        <v>Q3-2025</v>
      </c>
      <c r="D512" t="s">
        <v>45</v>
      </c>
      <c r="E512" t="s">
        <v>60</v>
      </c>
      <c r="F512" t="s">
        <v>141</v>
      </c>
      <c r="G512" t="s">
        <v>64</v>
      </c>
      <c r="H512" s="7" t="str">
        <f t="shared" si="15"/>
        <v>High</v>
      </c>
      <c r="I512" s="4">
        <v>833.69</v>
      </c>
    </row>
    <row r="513" spans="1:9" x14ac:dyDescent="0.3">
      <c r="A513" s="11">
        <v>45873</v>
      </c>
      <c r="B513" s="4" t="str">
        <f>TEXT(Data!B513,"MMM-YYYY")</f>
        <v>Oct-2024</v>
      </c>
      <c r="C513" s="4" t="str">
        <f t="shared" si="14"/>
        <v>Q3-2025</v>
      </c>
      <c r="D513" t="s">
        <v>52</v>
      </c>
      <c r="E513" t="s">
        <v>122</v>
      </c>
      <c r="F513" t="s">
        <v>123</v>
      </c>
      <c r="G513" t="s">
        <v>22</v>
      </c>
      <c r="H513" s="7" t="str">
        <f t="shared" si="15"/>
        <v>High</v>
      </c>
      <c r="I513" s="4">
        <v>333.48</v>
      </c>
    </row>
    <row r="514" spans="1:9" x14ac:dyDescent="0.3">
      <c r="A514" s="11">
        <v>45874</v>
      </c>
      <c r="B514" s="4" t="str">
        <f>TEXT(Data!B514,"MMM-YYYY")</f>
        <v>Jun-2023</v>
      </c>
      <c r="C514" s="4" t="str">
        <f t="shared" ref="C514:C577" si="16">"Q"&amp;ROUNDUP(MONTH(A514)/3,0)&amp;"-"&amp;YEAR(A514)</f>
        <v>Q3-2025</v>
      </c>
      <c r="D514" t="s">
        <v>78</v>
      </c>
      <c r="E514" t="s">
        <v>108</v>
      </c>
      <c r="F514" t="s">
        <v>228</v>
      </c>
      <c r="G514" t="s">
        <v>22</v>
      </c>
      <c r="H514" s="7" t="str">
        <f t="shared" ref="H514:H577" si="17">IF(I514&lt;50, "Low", IF(I514&lt;200, "Medium", "High"))</f>
        <v>High</v>
      </c>
      <c r="I514" s="4">
        <v>1784.7</v>
      </c>
    </row>
    <row r="515" spans="1:9" x14ac:dyDescent="0.3">
      <c r="A515" s="11">
        <v>45875</v>
      </c>
      <c r="B515" s="4" t="str">
        <f>TEXT(Data!B515,"MMM-YYYY")</f>
        <v>Jan-2025</v>
      </c>
      <c r="C515" s="4" t="str">
        <f t="shared" si="16"/>
        <v>Q3-2025</v>
      </c>
      <c r="D515" t="s">
        <v>78</v>
      </c>
      <c r="E515" t="s">
        <v>79</v>
      </c>
      <c r="F515" t="s">
        <v>335</v>
      </c>
      <c r="G515" t="s">
        <v>42</v>
      </c>
      <c r="H515" s="7" t="str">
        <f t="shared" si="17"/>
        <v>High</v>
      </c>
      <c r="I515" s="4">
        <v>1072.29</v>
      </c>
    </row>
    <row r="516" spans="1:9" x14ac:dyDescent="0.3">
      <c r="A516" s="11">
        <v>45876</v>
      </c>
      <c r="B516" s="4" t="str">
        <f>TEXT(Data!B516,"MMM-YYYY")</f>
        <v>Aug-2025</v>
      </c>
      <c r="C516" s="4" t="str">
        <f t="shared" si="16"/>
        <v>Q3-2025</v>
      </c>
      <c r="D516" t="s">
        <v>45</v>
      </c>
      <c r="E516" t="s">
        <v>60</v>
      </c>
      <c r="F516" t="s">
        <v>141</v>
      </c>
      <c r="G516" t="s">
        <v>22</v>
      </c>
      <c r="H516" s="7" t="str">
        <f t="shared" si="17"/>
        <v>High</v>
      </c>
      <c r="I516" s="4">
        <v>3028.05</v>
      </c>
    </row>
    <row r="517" spans="1:9" x14ac:dyDescent="0.3">
      <c r="A517" s="11">
        <v>45877</v>
      </c>
      <c r="B517" s="4" t="str">
        <f>TEXT(Data!B517,"MMM-YYYY")</f>
        <v>Sep-2023</v>
      </c>
      <c r="C517" s="4" t="str">
        <f t="shared" si="16"/>
        <v>Q3-2025</v>
      </c>
      <c r="D517" t="s">
        <v>45</v>
      </c>
      <c r="E517" t="s">
        <v>60</v>
      </c>
      <c r="F517" t="s">
        <v>220</v>
      </c>
      <c r="G517" t="s">
        <v>57</v>
      </c>
      <c r="H517" s="7" t="str">
        <f t="shared" si="17"/>
        <v>High</v>
      </c>
      <c r="I517" s="4">
        <v>987.24</v>
      </c>
    </row>
    <row r="518" spans="1:9" x14ac:dyDescent="0.3">
      <c r="A518" s="11">
        <v>45878</v>
      </c>
      <c r="B518" s="4" t="str">
        <f>TEXT(Data!B518,"MMM-YYYY")</f>
        <v>May-2025</v>
      </c>
      <c r="C518" s="4" t="str">
        <f t="shared" si="16"/>
        <v>Q3-2025</v>
      </c>
      <c r="D518" t="s">
        <v>45</v>
      </c>
      <c r="E518" t="s">
        <v>46</v>
      </c>
      <c r="F518" t="s">
        <v>214</v>
      </c>
      <c r="G518" t="s">
        <v>30</v>
      </c>
      <c r="H518" s="7" t="str">
        <f t="shared" si="17"/>
        <v>High</v>
      </c>
      <c r="I518" s="4">
        <v>975.43</v>
      </c>
    </row>
    <row r="519" spans="1:9" x14ac:dyDescent="0.3">
      <c r="A519" s="11">
        <v>45879</v>
      </c>
      <c r="B519" s="4" t="str">
        <f>TEXT(Data!B519,"MMM-YYYY")</f>
        <v>May-2024</v>
      </c>
      <c r="C519" s="4" t="str">
        <f t="shared" si="16"/>
        <v>Q3-2025</v>
      </c>
      <c r="D519" t="s">
        <v>16</v>
      </c>
      <c r="E519" t="s">
        <v>25</v>
      </c>
      <c r="F519" t="s">
        <v>38</v>
      </c>
      <c r="G519" t="s">
        <v>81</v>
      </c>
      <c r="H519" s="7" t="str">
        <f t="shared" si="17"/>
        <v>Medium</v>
      </c>
      <c r="I519" s="4">
        <v>141.43</v>
      </c>
    </row>
    <row r="520" spans="1:9" x14ac:dyDescent="0.3">
      <c r="A520" s="11">
        <v>45880</v>
      </c>
      <c r="B520" s="4" t="str">
        <f>TEXT(Data!B520,"MMM-YYYY")</f>
        <v>May-2023</v>
      </c>
      <c r="C520" s="4" t="str">
        <f t="shared" si="16"/>
        <v>Q3-2025</v>
      </c>
      <c r="D520" t="s">
        <v>78</v>
      </c>
      <c r="E520" t="s">
        <v>79</v>
      </c>
      <c r="F520" t="s">
        <v>80</v>
      </c>
      <c r="G520" t="s">
        <v>35</v>
      </c>
      <c r="H520" s="7" t="str">
        <f t="shared" si="17"/>
        <v>High</v>
      </c>
      <c r="I520" s="4">
        <v>1625.42</v>
      </c>
    </row>
    <row r="521" spans="1:9" x14ac:dyDescent="0.3">
      <c r="A521" s="11">
        <v>45881</v>
      </c>
      <c r="B521" s="4" t="str">
        <f>TEXT(Data!B521,"MMM-YYYY")</f>
        <v>Jul-2024</v>
      </c>
      <c r="C521" s="4" t="str">
        <f t="shared" si="16"/>
        <v>Q3-2025</v>
      </c>
      <c r="D521" t="s">
        <v>16</v>
      </c>
      <c r="E521" t="s">
        <v>25</v>
      </c>
      <c r="F521" t="s">
        <v>26</v>
      </c>
      <c r="G521" t="s">
        <v>22</v>
      </c>
      <c r="H521" s="7" t="str">
        <f t="shared" si="17"/>
        <v>High</v>
      </c>
      <c r="I521" s="4">
        <v>299.94</v>
      </c>
    </row>
    <row r="522" spans="1:9" x14ac:dyDescent="0.3">
      <c r="A522" s="11">
        <v>45882</v>
      </c>
      <c r="B522" s="4" t="str">
        <f>TEXT(Data!B522,"MMM-YYYY")</f>
        <v>May-2023</v>
      </c>
      <c r="C522" s="4" t="str">
        <f t="shared" si="16"/>
        <v>Q3-2025</v>
      </c>
      <c r="D522" t="s">
        <v>78</v>
      </c>
      <c r="E522" t="s">
        <v>90</v>
      </c>
      <c r="F522" t="s">
        <v>91</v>
      </c>
      <c r="G522" t="s">
        <v>22</v>
      </c>
      <c r="H522" s="7" t="str">
        <f t="shared" si="17"/>
        <v>High</v>
      </c>
      <c r="I522" s="4">
        <v>1503.96</v>
      </c>
    </row>
    <row r="523" spans="1:9" x14ac:dyDescent="0.3">
      <c r="A523" s="11">
        <v>45883</v>
      </c>
      <c r="B523" s="4" t="str">
        <f>TEXT(Data!B523,"MMM-YYYY")</f>
        <v>Jul-2024</v>
      </c>
      <c r="C523" s="4" t="str">
        <f t="shared" si="16"/>
        <v>Q3-2025</v>
      </c>
      <c r="D523" t="s">
        <v>45</v>
      </c>
      <c r="E523" t="s">
        <v>60</v>
      </c>
      <c r="F523" t="s">
        <v>220</v>
      </c>
      <c r="G523" t="s">
        <v>57</v>
      </c>
      <c r="H523" s="7" t="str">
        <f t="shared" si="17"/>
        <v>High</v>
      </c>
      <c r="I523" s="4">
        <v>3101.11</v>
      </c>
    </row>
    <row r="524" spans="1:9" x14ac:dyDescent="0.3">
      <c r="A524" s="11">
        <v>45884</v>
      </c>
      <c r="B524" s="4" t="str">
        <f>TEXT(Data!B524,"MMM-YYYY")</f>
        <v>Apr-2024</v>
      </c>
      <c r="C524" s="4" t="str">
        <f t="shared" si="16"/>
        <v>Q3-2025</v>
      </c>
      <c r="D524" t="s">
        <v>45</v>
      </c>
      <c r="E524" t="s">
        <v>116</v>
      </c>
      <c r="F524" t="s">
        <v>162</v>
      </c>
      <c r="G524" t="s">
        <v>81</v>
      </c>
      <c r="H524" s="7" t="str">
        <f t="shared" si="17"/>
        <v>High</v>
      </c>
      <c r="I524" s="4">
        <v>979.42</v>
      </c>
    </row>
    <row r="525" spans="1:9" x14ac:dyDescent="0.3">
      <c r="A525" s="11">
        <v>45885</v>
      </c>
      <c r="B525" s="4" t="str">
        <f>TEXT(Data!B525,"MMM-YYYY")</f>
        <v>Jan-2024</v>
      </c>
      <c r="C525" s="4" t="str">
        <f t="shared" si="16"/>
        <v>Q3-2025</v>
      </c>
      <c r="D525" t="s">
        <v>16</v>
      </c>
      <c r="E525" t="s">
        <v>17</v>
      </c>
      <c r="F525" t="s">
        <v>18</v>
      </c>
      <c r="G525" t="s">
        <v>64</v>
      </c>
      <c r="H525" s="7" t="str">
        <f t="shared" si="17"/>
        <v>High</v>
      </c>
      <c r="I525" s="4">
        <v>1186.26</v>
      </c>
    </row>
    <row r="526" spans="1:9" x14ac:dyDescent="0.3">
      <c r="A526" s="11">
        <v>45886</v>
      </c>
      <c r="B526" s="4" t="str">
        <f>TEXT(Data!B526,"MMM-YYYY")</f>
        <v>Apr-2024</v>
      </c>
      <c r="C526" s="4" t="str">
        <f t="shared" si="16"/>
        <v>Q3-2025</v>
      </c>
      <c r="D526" t="s">
        <v>52</v>
      </c>
      <c r="E526" t="s">
        <v>122</v>
      </c>
      <c r="F526" t="s">
        <v>167</v>
      </c>
      <c r="G526" t="s">
        <v>22</v>
      </c>
      <c r="H526" s="7" t="str">
        <f t="shared" si="17"/>
        <v>High</v>
      </c>
      <c r="I526" s="4">
        <v>1938.33</v>
      </c>
    </row>
    <row r="527" spans="1:9" x14ac:dyDescent="0.3">
      <c r="A527" s="11">
        <v>45887</v>
      </c>
      <c r="B527" s="4" t="str">
        <f>TEXT(Data!B527,"MMM-YYYY")</f>
        <v>Feb-2025</v>
      </c>
      <c r="C527" s="4" t="str">
        <f t="shared" si="16"/>
        <v>Q3-2025</v>
      </c>
      <c r="D527" t="s">
        <v>16</v>
      </c>
      <c r="E527" t="s">
        <v>17</v>
      </c>
      <c r="F527" t="s">
        <v>135</v>
      </c>
      <c r="G527" t="s">
        <v>30</v>
      </c>
      <c r="H527" s="7" t="str">
        <f t="shared" si="17"/>
        <v>High</v>
      </c>
      <c r="I527" s="4">
        <v>826.47</v>
      </c>
    </row>
    <row r="528" spans="1:9" x14ac:dyDescent="0.3">
      <c r="A528" s="11">
        <v>45888</v>
      </c>
      <c r="B528" s="4" t="str">
        <f>TEXT(Data!B528,"MMM-YYYY")</f>
        <v>Jan-2023</v>
      </c>
      <c r="C528" s="4" t="str">
        <f t="shared" si="16"/>
        <v>Q3-2025</v>
      </c>
      <c r="D528" t="s">
        <v>16</v>
      </c>
      <c r="E528" t="s">
        <v>25</v>
      </c>
      <c r="F528" t="s">
        <v>38</v>
      </c>
      <c r="G528" t="s">
        <v>30</v>
      </c>
      <c r="H528" s="7" t="str">
        <f t="shared" si="17"/>
        <v>Medium</v>
      </c>
      <c r="I528" s="4">
        <v>118.17</v>
      </c>
    </row>
    <row r="529" spans="1:9" x14ac:dyDescent="0.3">
      <c r="A529" s="11">
        <v>45889</v>
      </c>
      <c r="B529" s="4" t="str">
        <f>TEXT(Data!B529,"MMM-YYYY")</f>
        <v>Jun-2024</v>
      </c>
      <c r="C529" s="4" t="str">
        <f t="shared" si="16"/>
        <v>Q3-2025</v>
      </c>
      <c r="D529" t="s">
        <v>45</v>
      </c>
      <c r="E529" t="s">
        <v>116</v>
      </c>
      <c r="F529" t="s">
        <v>117</v>
      </c>
      <c r="G529" t="s">
        <v>30</v>
      </c>
      <c r="H529" s="7" t="str">
        <f t="shared" si="17"/>
        <v>High</v>
      </c>
      <c r="I529" s="4">
        <v>1425.87</v>
      </c>
    </row>
    <row r="530" spans="1:9" x14ac:dyDescent="0.3">
      <c r="A530" s="11">
        <v>45890</v>
      </c>
      <c r="B530" s="4" t="str">
        <f>TEXT(Data!B530,"MMM-YYYY")</f>
        <v>Aug-2023</v>
      </c>
      <c r="C530" s="4" t="str">
        <f t="shared" si="16"/>
        <v>Q3-2025</v>
      </c>
      <c r="D530" t="s">
        <v>16</v>
      </c>
      <c r="E530" t="s">
        <v>17</v>
      </c>
      <c r="F530" t="s">
        <v>33</v>
      </c>
      <c r="G530" t="s">
        <v>57</v>
      </c>
      <c r="H530" s="7" t="str">
        <f t="shared" si="17"/>
        <v>High</v>
      </c>
      <c r="I530" s="4">
        <v>1594.78</v>
      </c>
    </row>
    <row r="531" spans="1:9" x14ac:dyDescent="0.3">
      <c r="A531" s="11">
        <v>45891</v>
      </c>
      <c r="B531" s="4" t="str">
        <f>TEXT(Data!B531,"MMM-YYYY")</f>
        <v>Jan-2024</v>
      </c>
      <c r="C531" s="4" t="str">
        <f t="shared" si="16"/>
        <v>Q3-2025</v>
      </c>
      <c r="D531" t="s">
        <v>16</v>
      </c>
      <c r="E531" t="s">
        <v>148</v>
      </c>
      <c r="F531" t="s">
        <v>172</v>
      </c>
      <c r="G531" t="s">
        <v>30</v>
      </c>
      <c r="H531" s="7" t="str">
        <f t="shared" si="17"/>
        <v>High</v>
      </c>
      <c r="I531" s="4">
        <v>3342.11</v>
      </c>
    </row>
    <row r="532" spans="1:9" x14ac:dyDescent="0.3">
      <c r="A532" s="11">
        <v>45892</v>
      </c>
      <c r="B532" s="4" t="str">
        <f>TEXT(Data!B532,"MMM-YYYY")</f>
        <v>Mar-2025</v>
      </c>
      <c r="C532" s="4" t="str">
        <f t="shared" si="16"/>
        <v>Q3-2025</v>
      </c>
      <c r="D532" t="s">
        <v>45</v>
      </c>
      <c r="E532" t="s">
        <v>46</v>
      </c>
      <c r="F532" t="s">
        <v>47</v>
      </c>
      <c r="G532" t="s">
        <v>35</v>
      </c>
      <c r="H532" s="7" t="str">
        <f t="shared" si="17"/>
        <v>High</v>
      </c>
      <c r="I532" s="4">
        <v>1069.77</v>
      </c>
    </row>
    <row r="533" spans="1:9" x14ac:dyDescent="0.3">
      <c r="A533" s="11">
        <v>45893</v>
      </c>
      <c r="B533" s="4" t="str">
        <f>TEXT(Data!B533,"MMM-YYYY")</f>
        <v>Apr-2025</v>
      </c>
      <c r="C533" s="4" t="str">
        <f t="shared" si="16"/>
        <v>Q3-2025</v>
      </c>
      <c r="D533" t="s">
        <v>78</v>
      </c>
      <c r="E533" t="s">
        <v>79</v>
      </c>
      <c r="F533" t="s">
        <v>80</v>
      </c>
      <c r="G533" t="s">
        <v>42</v>
      </c>
      <c r="H533" s="7" t="str">
        <f t="shared" si="17"/>
        <v>Medium</v>
      </c>
      <c r="I533" s="4">
        <v>140.82</v>
      </c>
    </row>
    <row r="534" spans="1:9" x14ac:dyDescent="0.3">
      <c r="A534" s="11">
        <v>45894</v>
      </c>
      <c r="B534" s="4" t="str">
        <f>TEXT(Data!B534,"MMM-YYYY")</f>
        <v>Aug-2023</v>
      </c>
      <c r="C534" s="4" t="str">
        <f t="shared" si="16"/>
        <v>Q3-2025</v>
      </c>
      <c r="D534" t="s">
        <v>78</v>
      </c>
      <c r="E534" t="s">
        <v>90</v>
      </c>
      <c r="F534" t="s">
        <v>138</v>
      </c>
      <c r="G534" t="s">
        <v>64</v>
      </c>
      <c r="H534" s="7" t="str">
        <f t="shared" si="17"/>
        <v>Medium</v>
      </c>
      <c r="I534" s="4">
        <v>67.040000000000006</v>
      </c>
    </row>
    <row r="535" spans="1:9" x14ac:dyDescent="0.3">
      <c r="A535" s="11">
        <v>45895</v>
      </c>
      <c r="B535" s="4" t="str">
        <f>TEXT(Data!B535,"MMM-YYYY")</f>
        <v>Jun-2025</v>
      </c>
      <c r="C535" s="4" t="str">
        <f t="shared" si="16"/>
        <v>Q3-2025</v>
      </c>
      <c r="D535" t="s">
        <v>16</v>
      </c>
      <c r="E535" t="s">
        <v>148</v>
      </c>
      <c r="F535" t="s">
        <v>172</v>
      </c>
      <c r="G535" t="s">
        <v>42</v>
      </c>
      <c r="H535" s="7" t="str">
        <f t="shared" si="17"/>
        <v>High</v>
      </c>
      <c r="I535" s="4">
        <v>1276.67</v>
      </c>
    </row>
    <row r="536" spans="1:9" x14ac:dyDescent="0.3">
      <c r="A536" s="11">
        <v>45896</v>
      </c>
      <c r="B536" s="4" t="str">
        <f>TEXT(Data!B536,"MMM-YYYY")</f>
        <v>Jan-2025</v>
      </c>
      <c r="C536" s="4" t="str">
        <f t="shared" si="16"/>
        <v>Q3-2025</v>
      </c>
      <c r="D536" t="s">
        <v>16</v>
      </c>
      <c r="E536" t="s">
        <v>148</v>
      </c>
      <c r="F536" t="s">
        <v>149</v>
      </c>
      <c r="G536" t="s">
        <v>57</v>
      </c>
      <c r="H536" s="7" t="str">
        <f t="shared" si="17"/>
        <v>High</v>
      </c>
      <c r="I536" s="4">
        <v>2821.36</v>
      </c>
    </row>
    <row r="537" spans="1:9" x14ac:dyDescent="0.3">
      <c r="A537" s="11">
        <v>45897</v>
      </c>
      <c r="B537" s="4" t="str">
        <f>TEXT(Data!B537,"MMM-YYYY")</f>
        <v>Jul-2023</v>
      </c>
      <c r="C537" s="4" t="str">
        <f t="shared" si="16"/>
        <v>Q3-2025</v>
      </c>
      <c r="D537" t="s">
        <v>52</v>
      </c>
      <c r="E537" t="s">
        <v>73</v>
      </c>
      <c r="F537" t="s">
        <v>87</v>
      </c>
      <c r="G537" t="s">
        <v>57</v>
      </c>
      <c r="H537" s="7" t="str">
        <f t="shared" si="17"/>
        <v>High</v>
      </c>
      <c r="I537" s="4">
        <v>1559.19</v>
      </c>
    </row>
    <row r="538" spans="1:9" x14ac:dyDescent="0.3">
      <c r="A538" s="11">
        <v>45898</v>
      </c>
      <c r="B538" s="4" t="str">
        <f>TEXT(Data!B538,"MMM-YYYY")</f>
        <v>Aug-2024</v>
      </c>
      <c r="C538" s="4" t="str">
        <f t="shared" si="16"/>
        <v>Q3-2025</v>
      </c>
      <c r="D538" t="s">
        <v>78</v>
      </c>
      <c r="E538" t="s">
        <v>90</v>
      </c>
      <c r="F538" t="s">
        <v>217</v>
      </c>
      <c r="G538" t="s">
        <v>35</v>
      </c>
      <c r="H538" s="7" t="str">
        <f t="shared" si="17"/>
        <v>High</v>
      </c>
      <c r="I538" s="4">
        <v>656.66</v>
      </c>
    </row>
    <row r="539" spans="1:9" x14ac:dyDescent="0.3">
      <c r="A539" s="11">
        <v>45899</v>
      </c>
      <c r="B539" s="4" t="str">
        <f>TEXT(Data!B539,"MMM-YYYY")</f>
        <v>Jul-2023</v>
      </c>
      <c r="C539" s="4" t="str">
        <f t="shared" si="16"/>
        <v>Q3-2025</v>
      </c>
      <c r="D539" t="s">
        <v>52</v>
      </c>
      <c r="E539" t="s">
        <v>122</v>
      </c>
      <c r="F539" t="s">
        <v>123</v>
      </c>
      <c r="G539" t="s">
        <v>57</v>
      </c>
      <c r="H539" s="7" t="str">
        <f t="shared" si="17"/>
        <v>High</v>
      </c>
      <c r="I539" s="4">
        <v>2657.84</v>
      </c>
    </row>
    <row r="540" spans="1:9" x14ac:dyDescent="0.3">
      <c r="A540" s="11">
        <v>45900</v>
      </c>
      <c r="B540" s="4" t="str">
        <f>TEXT(Data!B540,"MMM-YYYY")</f>
        <v>Dec-2023</v>
      </c>
      <c r="C540" s="4" t="str">
        <f t="shared" si="16"/>
        <v>Q3-2025</v>
      </c>
      <c r="D540" t="s">
        <v>16</v>
      </c>
      <c r="E540" t="s">
        <v>148</v>
      </c>
      <c r="F540" t="s">
        <v>258</v>
      </c>
      <c r="G540" t="s">
        <v>81</v>
      </c>
      <c r="H540" s="7" t="str">
        <f t="shared" si="17"/>
        <v>High</v>
      </c>
      <c r="I540" s="4">
        <v>1424.74</v>
      </c>
    </row>
    <row r="541" spans="1:9" x14ac:dyDescent="0.3">
      <c r="A541" s="11">
        <v>45901</v>
      </c>
      <c r="B541" s="4" t="str">
        <f>TEXT(Data!B541,"MMM-YYYY")</f>
        <v>Jan-2023</v>
      </c>
      <c r="C541" s="4" t="str">
        <f t="shared" si="16"/>
        <v>Q3-2025</v>
      </c>
      <c r="D541" t="s">
        <v>16</v>
      </c>
      <c r="E541" t="s">
        <v>148</v>
      </c>
      <c r="F541" t="s">
        <v>258</v>
      </c>
      <c r="G541" t="s">
        <v>30</v>
      </c>
      <c r="H541" s="7" t="str">
        <f t="shared" si="17"/>
        <v>High</v>
      </c>
      <c r="I541" s="4">
        <v>2318.7399999999998</v>
      </c>
    </row>
    <row r="542" spans="1:9" x14ac:dyDescent="0.3">
      <c r="A542" s="11">
        <v>45902</v>
      </c>
      <c r="B542" s="4" t="str">
        <f>TEXT(Data!B542,"MMM-YYYY")</f>
        <v>Jul-2023</v>
      </c>
      <c r="C542" s="4" t="str">
        <f t="shared" si="16"/>
        <v>Q3-2025</v>
      </c>
      <c r="D542" t="s">
        <v>78</v>
      </c>
      <c r="E542" t="s">
        <v>79</v>
      </c>
      <c r="F542" t="s">
        <v>80</v>
      </c>
      <c r="G542" t="s">
        <v>35</v>
      </c>
      <c r="H542" s="7" t="str">
        <f t="shared" si="17"/>
        <v>High</v>
      </c>
      <c r="I542" s="4">
        <v>366.7</v>
      </c>
    </row>
    <row r="543" spans="1:9" x14ac:dyDescent="0.3">
      <c r="A543" s="11">
        <v>45903</v>
      </c>
      <c r="B543" s="4" t="str">
        <f>TEXT(Data!B543,"MMM-YYYY")</f>
        <v>Jun-2024</v>
      </c>
      <c r="C543" s="4" t="str">
        <f t="shared" si="16"/>
        <v>Q3-2025</v>
      </c>
      <c r="D543" t="s">
        <v>16</v>
      </c>
      <c r="E543" t="s">
        <v>17</v>
      </c>
      <c r="F543" t="s">
        <v>33</v>
      </c>
      <c r="G543" t="s">
        <v>57</v>
      </c>
      <c r="H543" s="7" t="str">
        <f t="shared" si="17"/>
        <v>High</v>
      </c>
      <c r="I543" s="4">
        <v>2797.41</v>
      </c>
    </row>
    <row r="544" spans="1:9" x14ac:dyDescent="0.3">
      <c r="A544" s="11">
        <v>45904</v>
      </c>
      <c r="B544" s="4" t="str">
        <f>TEXT(Data!B544,"MMM-YYYY")</f>
        <v>Feb-2023</v>
      </c>
      <c r="C544" s="4" t="str">
        <f t="shared" si="16"/>
        <v>Q3-2025</v>
      </c>
      <c r="D544" t="s">
        <v>45</v>
      </c>
      <c r="E544" t="s">
        <v>116</v>
      </c>
      <c r="F544" t="s">
        <v>162</v>
      </c>
      <c r="G544" t="s">
        <v>64</v>
      </c>
      <c r="H544" s="7" t="str">
        <f t="shared" si="17"/>
        <v>High</v>
      </c>
      <c r="I544" s="4">
        <v>2209.66</v>
      </c>
    </row>
    <row r="545" spans="1:9" x14ac:dyDescent="0.3">
      <c r="A545" s="11">
        <v>45905</v>
      </c>
      <c r="B545" s="4" t="str">
        <f>TEXT(Data!B545,"MMM-YYYY")</f>
        <v>Jul-2023</v>
      </c>
      <c r="C545" s="4" t="str">
        <f t="shared" si="16"/>
        <v>Q3-2025</v>
      </c>
      <c r="D545" t="s">
        <v>16</v>
      </c>
      <c r="E545" t="s">
        <v>25</v>
      </c>
      <c r="F545" t="s">
        <v>26</v>
      </c>
      <c r="G545" t="s">
        <v>81</v>
      </c>
      <c r="H545" s="7" t="str">
        <f t="shared" si="17"/>
        <v>High</v>
      </c>
      <c r="I545" s="4">
        <v>839.04</v>
      </c>
    </row>
    <row r="546" spans="1:9" x14ac:dyDescent="0.3">
      <c r="A546" s="11">
        <v>45906</v>
      </c>
      <c r="B546" s="4" t="str">
        <f>TEXT(Data!B546,"MMM-YYYY")</f>
        <v>Aug-2025</v>
      </c>
      <c r="C546" s="4" t="str">
        <f t="shared" si="16"/>
        <v>Q3-2025</v>
      </c>
      <c r="D546" t="s">
        <v>78</v>
      </c>
      <c r="E546" t="s">
        <v>79</v>
      </c>
      <c r="F546" t="s">
        <v>335</v>
      </c>
      <c r="G546" t="s">
        <v>57</v>
      </c>
      <c r="H546" s="7" t="str">
        <f t="shared" si="17"/>
        <v>High</v>
      </c>
      <c r="I546" s="4">
        <v>1139.1500000000001</v>
      </c>
    </row>
    <row r="547" spans="1:9" x14ac:dyDescent="0.3">
      <c r="A547" s="11">
        <v>45907</v>
      </c>
      <c r="B547" s="4" t="str">
        <f>TEXT(Data!B547,"MMM-YYYY")</f>
        <v>Mar-2024</v>
      </c>
      <c r="C547" s="4" t="str">
        <f t="shared" si="16"/>
        <v>Q3-2025</v>
      </c>
      <c r="D547" t="s">
        <v>52</v>
      </c>
      <c r="E547" t="s">
        <v>122</v>
      </c>
      <c r="F547" t="s">
        <v>387</v>
      </c>
      <c r="G547" t="s">
        <v>35</v>
      </c>
      <c r="H547" s="7" t="str">
        <f t="shared" si="17"/>
        <v>High</v>
      </c>
      <c r="I547" s="4">
        <v>1712.03</v>
      </c>
    </row>
    <row r="548" spans="1:9" x14ac:dyDescent="0.3">
      <c r="A548" s="11">
        <v>45908</v>
      </c>
      <c r="B548" s="4" t="str">
        <f>TEXT(Data!B548,"MMM-YYYY")</f>
        <v>Sep-2023</v>
      </c>
      <c r="C548" s="4" t="str">
        <f t="shared" si="16"/>
        <v>Q3-2025</v>
      </c>
      <c r="D548" t="s">
        <v>16</v>
      </c>
      <c r="E548" t="s">
        <v>148</v>
      </c>
      <c r="F548" t="s">
        <v>149</v>
      </c>
      <c r="G548" t="s">
        <v>64</v>
      </c>
      <c r="H548" s="7" t="str">
        <f t="shared" si="17"/>
        <v>High</v>
      </c>
      <c r="I548" s="4">
        <v>1054.29</v>
      </c>
    </row>
    <row r="549" spans="1:9" x14ac:dyDescent="0.3">
      <c r="A549" s="11">
        <v>45909</v>
      </c>
      <c r="B549" s="4" t="str">
        <f>TEXT(Data!B549,"MMM-YYYY")</f>
        <v>Feb-2023</v>
      </c>
      <c r="C549" s="4" t="str">
        <f t="shared" si="16"/>
        <v>Q3-2025</v>
      </c>
      <c r="D549" t="s">
        <v>52</v>
      </c>
      <c r="E549" t="s">
        <v>53</v>
      </c>
      <c r="F549" t="s">
        <v>54</v>
      </c>
      <c r="G549" t="s">
        <v>81</v>
      </c>
      <c r="H549" s="7" t="str">
        <f t="shared" si="17"/>
        <v>High</v>
      </c>
      <c r="I549" s="4">
        <v>2451.2199999999998</v>
      </c>
    </row>
    <row r="550" spans="1:9" x14ac:dyDescent="0.3">
      <c r="A550" s="11">
        <v>45910</v>
      </c>
      <c r="B550" s="4" t="str">
        <f>TEXT(Data!B550,"MMM-YYYY")</f>
        <v>Jul-2024</v>
      </c>
      <c r="C550" s="4" t="str">
        <f t="shared" si="16"/>
        <v>Q3-2025</v>
      </c>
      <c r="D550" t="s">
        <v>78</v>
      </c>
      <c r="E550" t="s">
        <v>79</v>
      </c>
      <c r="F550" t="s">
        <v>335</v>
      </c>
      <c r="G550" t="s">
        <v>30</v>
      </c>
      <c r="H550" s="7" t="str">
        <f t="shared" si="17"/>
        <v>High</v>
      </c>
      <c r="I550" s="4">
        <v>1251.21</v>
      </c>
    </row>
    <row r="551" spans="1:9" x14ac:dyDescent="0.3">
      <c r="A551" s="11">
        <v>45911</v>
      </c>
      <c r="B551" s="4" t="str">
        <f>TEXT(Data!B551,"MMM-YYYY")</f>
        <v>Dec-2024</v>
      </c>
      <c r="C551" s="4" t="str">
        <f t="shared" si="16"/>
        <v>Q3-2025</v>
      </c>
      <c r="D551" t="s">
        <v>52</v>
      </c>
      <c r="E551" t="s">
        <v>73</v>
      </c>
      <c r="F551" t="s">
        <v>225</v>
      </c>
      <c r="G551" t="s">
        <v>64</v>
      </c>
      <c r="H551" s="7" t="str">
        <f t="shared" si="17"/>
        <v>High</v>
      </c>
      <c r="I551" s="4">
        <v>1104.8</v>
      </c>
    </row>
    <row r="552" spans="1:9" x14ac:dyDescent="0.3">
      <c r="A552" s="11">
        <v>45912</v>
      </c>
      <c r="B552" s="4" t="str">
        <f>TEXT(Data!B552,"MMM-YYYY")</f>
        <v>Aug-2025</v>
      </c>
      <c r="C552" s="4" t="str">
        <f t="shared" si="16"/>
        <v>Q3-2025</v>
      </c>
      <c r="D552" t="s">
        <v>78</v>
      </c>
      <c r="E552" t="s">
        <v>108</v>
      </c>
      <c r="F552" t="s">
        <v>152</v>
      </c>
      <c r="G552" t="s">
        <v>35</v>
      </c>
      <c r="H552" s="7" t="str">
        <f t="shared" si="17"/>
        <v>High</v>
      </c>
      <c r="I552" s="4">
        <v>2383.41</v>
      </c>
    </row>
    <row r="553" spans="1:9" x14ac:dyDescent="0.3">
      <c r="A553" s="11">
        <v>45913</v>
      </c>
      <c r="B553" s="4" t="str">
        <f>TEXT(Data!B553,"MMM-YYYY")</f>
        <v>Mar-2023</v>
      </c>
      <c r="C553" s="4" t="str">
        <f t="shared" si="16"/>
        <v>Q3-2025</v>
      </c>
      <c r="D553" t="s">
        <v>52</v>
      </c>
      <c r="E553" t="s">
        <v>73</v>
      </c>
      <c r="F553" t="s">
        <v>87</v>
      </c>
      <c r="G553" t="s">
        <v>64</v>
      </c>
      <c r="H553" s="7" t="str">
        <f t="shared" si="17"/>
        <v>High</v>
      </c>
      <c r="I553" s="4">
        <v>213.06</v>
      </c>
    </row>
    <row r="554" spans="1:9" x14ac:dyDescent="0.3">
      <c r="A554" s="11">
        <v>45914</v>
      </c>
      <c r="B554" s="4" t="str">
        <f>TEXT(Data!B554,"MMM-YYYY")</f>
        <v>Feb-2025</v>
      </c>
      <c r="C554" s="4" t="str">
        <f t="shared" si="16"/>
        <v>Q3-2025</v>
      </c>
      <c r="D554" t="s">
        <v>45</v>
      </c>
      <c r="E554" t="s">
        <v>46</v>
      </c>
      <c r="F554" t="s">
        <v>231</v>
      </c>
      <c r="G554" t="s">
        <v>35</v>
      </c>
      <c r="H554" s="7" t="str">
        <f t="shared" si="17"/>
        <v>High</v>
      </c>
      <c r="I554" s="4">
        <v>2030.64</v>
      </c>
    </row>
    <row r="555" spans="1:9" x14ac:dyDescent="0.3">
      <c r="A555" s="11">
        <v>45915</v>
      </c>
      <c r="B555" s="4" t="str">
        <f>TEXT(Data!B555,"MMM-YYYY")</f>
        <v>Feb-2025</v>
      </c>
      <c r="C555" s="4" t="str">
        <f t="shared" si="16"/>
        <v>Q3-2025</v>
      </c>
      <c r="D555" t="s">
        <v>78</v>
      </c>
      <c r="E555" t="s">
        <v>79</v>
      </c>
      <c r="F555" t="s">
        <v>159</v>
      </c>
      <c r="G555" t="s">
        <v>81</v>
      </c>
      <c r="H555" s="7" t="str">
        <f t="shared" si="17"/>
        <v>High</v>
      </c>
      <c r="I555" s="4">
        <v>956.7</v>
      </c>
    </row>
    <row r="556" spans="1:9" x14ac:dyDescent="0.3">
      <c r="A556" s="11">
        <v>45916</v>
      </c>
      <c r="B556" s="4" t="str">
        <f>TEXT(Data!B556,"MMM-YYYY")</f>
        <v>Aug-2024</v>
      </c>
      <c r="C556" s="4" t="str">
        <f t="shared" si="16"/>
        <v>Q3-2025</v>
      </c>
      <c r="D556" t="s">
        <v>16</v>
      </c>
      <c r="E556" t="s">
        <v>17</v>
      </c>
      <c r="F556" t="s">
        <v>113</v>
      </c>
      <c r="G556" t="s">
        <v>81</v>
      </c>
      <c r="H556" s="7" t="str">
        <f t="shared" si="17"/>
        <v>High</v>
      </c>
      <c r="I556" s="4">
        <v>1447.68</v>
      </c>
    </row>
    <row r="557" spans="1:9" x14ac:dyDescent="0.3">
      <c r="A557" s="11">
        <v>45917</v>
      </c>
      <c r="B557" s="4" t="str">
        <f>TEXT(Data!B557,"MMM-YYYY")</f>
        <v>May-2023</v>
      </c>
      <c r="C557" s="4" t="str">
        <f t="shared" si="16"/>
        <v>Q3-2025</v>
      </c>
      <c r="D557" t="s">
        <v>45</v>
      </c>
      <c r="E557" t="s">
        <v>46</v>
      </c>
      <c r="F557" t="s">
        <v>214</v>
      </c>
      <c r="G557" t="s">
        <v>42</v>
      </c>
      <c r="H557" s="7" t="str">
        <f t="shared" si="17"/>
        <v>High</v>
      </c>
      <c r="I557" s="4">
        <v>2949.62</v>
      </c>
    </row>
    <row r="558" spans="1:9" x14ac:dyDescent="0.3">
      <c r="A558" s="11">
        <v>45918</v>
      </c>
      <c r="B558" s="4" t="str">
        <f>TEXT(Data!B558,"MMM-YYYY")</f>
        <v>May-2025</v>
      </c>
      <c r="C558" s="4" t="str">
        <f t="shared" si="16"/>
        <v>Q3-2025</v>
      </c>
      <c r="D558" t="s">
        <v>45</v>
      </c>
      <c r="E558" t="s">
        <v>60</v>
      </c>
      <c r="F558" t="s">
        <v>220</v>
      </c>
      <c r="G558" t="s">
        <v>81</v>
      </c>
      <c r="H558" s="7" t="str">
        <f t="shared" si="17"/>
        <v>High</v>
      </c>
      <c r="I558" s="4">
        <v>2580.5700000000002</v>
      </c>
    </row>
    <row r="559" spans="1:9" x14ac:dyDescent="0.3">
      <c r="A559" s="11">
        <v>45919</v>
      </c>
      <c r="B559" s="4" t="str">
        <f>TEXT(Data!B559,"MMM-YYYY")</f>
        <v>Mar-2024</v>
      </c>
      <c r="C559" s="4" t="str">
        <f t="shared" si="16"/>
        <v>Q3-2025</v>
      </c>
      <c r="D559" t="s">
        <v>52</v>
      </c>
      <c r="E559" t="s">
        <v>53</v>
      </c>
      <c r="F559" t="s">
        <v>179</v>
      </c>
      <c r="G559" t="s">
        <v>30</v>
      </c>
      <c r="H559" s="7" t="str">
        <f t="shared" si="17"/>
        <v>High</v>
      </c>
      <c r="I559" s="4">
        <v>1978.91</v>
      </c>
    </row>
    <row r="560" spans="1:9" x14ac:dyDescent="0.3">
      <c r="A560" s="11">
        <v>45920</v>
      </c>
      <c r="B560" s="4" t="str">
        <f>TEXT(Data!B560,"MMM-YYYY")</f>
        <v>May-2024</v>
      </c>
      <c r="C560" s="4" t="str">
        <f t="shared" si="16"/>
        <v>Q3-2025</v>
      </c>
      <c r="D560" t="s">
        <v>52</v>
      </c>
      <c r="E560" t="s">
        <v>122</v>
      </c>
      <c r="F560" t="s">
        <v>387</v>
      </c>
      <c r="G560" t="s">
        <v>64</v>
      </c>
      <c r="H560" s="7" t="str">
        <f t="shared" si="17"/>
        <v>High</v>
      </c>
      <c r="I560" s="4">
        <v>1481.45</v>
      </c>
    </row>
    <row r="561" spans="1:9" x14ac:dyDescent="0.3">
      <c r="A561" s="11">
        <v>45921</v>
      </c>
      <c r="B561" s="4" t="str">
        <f>TEXT(Data!B561,"MMM-YYYY")</f>
        <v>Jan-2024</v>
      </c>
      <c r="C561" s="4" t="str">
        <f t="shared" si="16"/>
        <v>Q3-2025</v>
      </c>
      <c r="D561" t="s">
        <v>16</v>
      </c>
      <c r="E561" t="s">
        <v>17</v>
      </c>
      <c r="F561" t="s">
        <v>33</v>
      </c>
      <c r="G561" t="s">
        <v>81</v>
      </c>
      <c r="H561" s="7" t="str">
        <f t="shared" si="17"/>
        <v>High</v>
      </c>
      <c r="I561" s="4">
        <v>1658.92</v>
      </c>
    </row>
    <row r="562" spans="1:9" x14ac:dyDescent="0.3">
      <c r="A562" s="11">
        <v>45922</v>
      </c>
      <c r="B562" s="4" t="str">
        <f>TEXT(Data!B562,"MMM-YYYY")</f>
        <v>Oct-2024</v>
      </c>
      <c r="C562" s="4" t="str">
        <f t="shared" si="16"/>
        <v>Q3-2025</v>
      </c>
      <c r="D562" t="s">
        <v>45</v>
      </c>
      <c r="E562" t="s">
        <v>60</v>
      </c>
      <c r="F562" t="s">
        <v>61</v>
      </c>
      <c r="G562" t="s">
        <v>30</v>
      </c>
      <c r="H562" s="7" t="str">
        <f t="shared" si="17"/>
        <v>High</v>
      </c>
      <c r="I562" s="4">
        <v>602.34</v>
      </c>
    </row>
    <row r="563" spans="1:9" x14ac:dyDescent="0.3">
      <c r="A563" s="11">
        <v>45923</v>
      </c>
      <c r="B563" s="4" t="str">
        <f>TEXT(Data!B563,"MMM-YYYY")</f>
        <v>Nov-2024</v>
      </c>
      <c r="C563" s="4" t="str">
        <f t="shared" si="16"/>
        <v>Q3-2025</v>
      </c>
      <c r="D563" t="s">
        <v>52</v>
      </c>
      <c r="E563" t="s">
        <v>122</v>
      </c>
      <c r="F563" t="s">
        <v>387</v>
      </c>
      <c r="G563" t="s">
        <v>22</v>
      </c>
      <c r="H563" s="7" t="str">
        <f t="shared" si="17"/>
        <v>High</v>
      </c>
      <c r="I563" s="4">
        <v>527.64</v>
      </c>
    </row>
    <row r="564" spans="1:9" x14ac:dyDescent="0.3">
      <c r="A564" s="11">
        <v>45924</v>
      </c>
      <c r="B564" s="4" t="str">
        <f>TEXT(Data!B564,"MMM-YYYY")</f>
        <v>Apr-2023</v>
      </c>
      <c r="C564" s="4" t="str">
        <f t="shared" si="16"/>
        <v>Q3-2025</v>
      </c>
      <c r="D564" t="s">
        <v>16</v>
      </c>
      <c r="E564" t="s">
        <v>17</v>
      </c>
      <c r="F564" t="s">
        <v>18</v>
      </c>
      <c r="G564" t="s">
        <v>42</v>
      </c>
      <c r="H564" s="7" t="str">
        <f t="shared" si="17"/>
        <v>High</v>
      </c>
      <c r="I564" s="4">
        <v>1841.9</v>
      </c>
    </row>
    <row r="565" spans="1:9" x14ac:dyDescent="0.3">
      <c r="A565" s="11">
        <v>45925</v>
      </c>
      <c r="B565" s="4" t="str">
        <f>TEXT(Data!B565,"MMM-YYYY")</f>
        <v>Feb-2025</v>
      </c>
      <c r="C565" s="4" t="str">
        <f t="shared" si="16"/>
        <v>Q3-2025</v>
      </c>
      <c r="D565" t="s">
        <v>52</v>
      </c>
      <c r="E565" t="s">
        <v>53</v>
      </c>
      <c r="F565" t="s">
        <v>144</v>
      </c>
      <c r="G565" t="s">
        <v>64</v>
      </c>
      <c r="H565" s="7" t="str">
        <f t="shared" si="17"/>
        <v>High</v>
      </c>
      <c r="I565" s="4">
        <v>1645.48</v>
      </c>
    </row>
    <row r="566" spans="1:9" x14ac:dyDescent="0.3">
      <c r="A566" s="11">
        <v>45926</v>
      </c>
      <c r="B566" s="4" t="str">
        <f>TEXT(Data!B566,"MMM-YYYY")</f>
        <v>Jan-2024</v>
      </c>
      <c r="C566" s="4" t="str">
        <f t="shared" si="16"/>
        <v>Q3-2025</v>
      </c>
      <c r="D566" t="s">
        <v>78</v>
      </c>
      <c r="E566" t="s">
        <v>108</v>
      </c>
      <c r="F566" t="s">
        <v>228</v>
      </c>
      <c r="G566" t="s">
        <v>35</v>
      </c>
      <c r="H566" s="7" t="str">
        <f t="shared" si="17"/>
        <v>High</v>
      </c>
      <c r="I566" s="4">
        <v>727.22</v>
      </c>
    </row>
    <row r="567" spans="1:9" x14ac:dyDescent="0.3">
      <c r="A567" s="11">
        <v>45927</v>
      </c>
      <c r="B567" s="4" t="str">
        <f>TEXT(Data!B567,"MMM-YYYY")</f>
        <v>Feb-2024</v>
      </c>
      <c r="C567" s="4" t="str">
        <f t="shared" si="16"/>
        <v>Q3-2025</v>
      </c>
      <c r="D567" t="s">
        <v>78</v>
      </c>
      <c r="E567" t="s">
        <v>108</v>
      </c>
      <c r="F567" t="s">
        <v>228</v>
      </c>
      <c r="G567" t="s">
        <v>57</v>
      </c>
      <c r="H567" s="7" t="str">
        <f t="shared" si="17"/>
        <v>High</v>
      </c>
      <c r="I567" s="4">
        <v>1233.79</v>
      </c>
    </row>
    <row r="568" spans="1:9" x14ac:dyDescent="0.3">
      <c r="A568" s="11">
        <v>45928</v>
      </c>
      <c r="B568" s="4" t="str">
        <f>TEXT(Data!B568,"MMM-YYYY")</f>
        <v>Jun-2025</v>
      </c>
      <c r="C568" s="4" t="str">
        <f t="shared" si="16"/>
        <v>Q3-2025</v>
      </c>
      <c r="D568" t="s">
        <v>16</v>
      </c>
      <c r="E568" t="s">
        <v>17</v>
      </c>
      <c r="F568" t="s">
        <v>113</v>
      </c>
      <c r="G568" t="s">
        <v>22</v>
      </c>
      <c r="H568" s="7" t="str">
        <f t="shared" si="17"/>
        <v>High</v>
      </c>
      <c r="I568" s="4">
        <v>1543.76</v>
      </c>
    </row>
    <row r="569" spans="1:9" x14ac:dyDescent="0.3">
      <c r="A569" s="11">
        <v>45929</v>
      </c>
      <c r="B569" s="4" t="str">
        <f>TEXT(Data!B569,"MMM-YYYY")</f>
        <v>Nov-2024</v>
      </c>
      <c r="C569" s="4" t="str">
        <f t="shared" si="16"/>
        <v>Q3-2025</v>
      </c>
      <c r="D569" t="s">
        <v>16</v>
      </c>
      <c r="E569" t="s">
        <v>25</v>
      </c>
      <c r="F569" t="s">
        <v>26</v>
      </c>
      <c r="G569" t="s">
        <v>57</v>
      </c>
      <c r="H569" s="7" t="str">
        <f t="shared" si="17"/>
        <v>High</v>
      </c>
      <c r="I569" s="4">
        <v>2115.19</v>
      </c>
    </row>
    <row r="570" spans="1:9" x14ac:dyDescent="0.3">
      <c r="A570" s="11">
        <v>45930</v>
      </c>
      <c r="B570" s="4" t="str">
        <f>TEXT(Data!B570,"MMM-YYYY")</f>
        <v>Feb-2024</v>
      </c>
      <c r="C570" s="4" t="str">
        <f t="shared" si="16"/>
        <v>Q3-2025</v>
      </c>
      <c r="D570" t="s">
        <v>78</v>
      </c>
      <c r="E570" t="s">
        <v>90</v>
      </c>
      <c r="F570" t="s">
        <v>138</v>
      </c>
      <c r="G570" t="s">
        <v>64</v>
      </c>
      <c r="H570" s="7" t="str">
        <f t="shared" si="17"/>
        <v>High</v>
      </c>
      <c r="I570" s="4">
        <v>1837.19</v>
      </c>
    </row>
    <row r="571" spans="1:9" x14ac:dyDescent="0.3">
      <c r="A571" s="11">
        <v>45931</v>
      </c>
      <c r="B571" s="4" t="str">
        <f>TEXT(Data!B571,"MMM-YYYY")</f>
        <v>Apr-2025</v>
      </c>
      <c r="C571" s="4" t="str">
        <f t="shared" si="16"/>
        <v>Q4-2025</v>
      </c>
      <c r="D571" t="s">
        <v>52</v>
      </c>
      <c r="E571" t="s">
        <v>122</v>
      </c>
      <c r="F571" t="s">
        <v>387</v>
      </c>
      <c r="G571" t="s">
        <v>35</v>
      </c>
      <c r="H571" s="7" t="str">
        <f t="shared" si="17"/>
        <v>High</v>
      </c>
      <c r="I571" s="4">
        <v>2858.93</v>
      </c>
    </row>
    <row r="572" spans="1:9" x14ac:dyDescent="0.3">
      <c r="A572" s="11">
        <v>45932</v>
      </c>
      <c r="B572" s="4" t="str">
        <f>TEXT(Data!B572,"MMM-YYYY")</f>
        <v>Jun-2023</v>
      </c>
      <c r="C572" s="4" t="str">
        <f t="shared" si="16"/>
        <v>Q4-2025</v>
      </c>
      <c r="D572" t="s">
        <v>45</v>
      </c>
      <c r="E572" t="s">
        <v>46</v>
      </c>
      <c r="F572" t="s">
        <v>47</v>
      </c>
      <c r="G572" t="s">
        <v>22</v>
      </c>
      <c r="H572" s="7" t="str">
        <f t="shared" si="17"/>
        <v>High</v>
      </c>
      <c r="I572" s="4">
        <v>289.92</v>
      </c>
    </row>
    <row r="573" spans="1:9" x14ac:dyDescent="0.3">
      <c r="A573" s="11">
        <v>45933</v>
      </c>
      <c r="B573" s="4" t="str">
        <f>TEXT(Data!B573,"MMM-YYYY")</f>
        <v>Mar-2025</v>
      </c>
      <c r="C573" s="4" t="str">
        <f t="shared" si="16"/>
        <v>Q4-2025</v>
      </c>
      <c r="D573" t="s">
        <v>45</v>
      </c>
      <c r="E573" t="s">
        <v>60</v>
      </c>
      <c r="F573" t="s">
        <v>61</v>
      </c>
      <c r="G573" t="s">
        <v>81</v>
      </c>
      <c r="H573" s="7" t="str">
        <f t="shared" si="17"/>
        <v>High</v>
      </c>
      <c r="I573" s="4">
        <v>997.2</v>
      </c>
    </row>
    <row r="574" spans="1:9" x14ac:dyDescent="0.3">
      <c r="A574" s="11">
        <v>45934</v>
      </c>
      <c r="B574" s="4" t="str">
        <f>TEXT(Data!B574,"MMM-YYYY")</f>
        <v>Jan-2024</v>
      </c>
      <c r="C574" s="4" t="str">
        <f t="shared" si="16"/>
        <v>Q4-2025</v>
      </c>
      <c r="D574" t="s">
        <v>45</v>
      </c>
      <c r="E574" t="s">
        <v>60</v>
      </c>
      <c r="F574" t="s">
        <v>220</v>
      </c>
      <c r="G574" t="s">
        <v>42</v>
      </c>
      <c r="H574" s="7" t="str">
        <f t="shared" si="17"/>
        <v>Low</v>
      </c>
      <c r="I574" s="4">
        <v>47.29</v>
      </c>
    </row>
    <row r="575" spans="1:9" x14ac:dyDescent="0.3">
      <c r="A575" s="11">
        <v>45935</v>
      </c>
      <c r="B575" s="4" t="str">
        <f>TEXT(Data!B575,"MMM-YYYY")</f>
        <v>Dec-2023</v>
      </c>
      <c r="C575" s="4" t="str">
        <f t="shared" si="16"/>
        <v>Q4-2025</v>
      </c>
      <c r="D575" t="s">
        <v>52</v>
      </c>
      <c r="E575" t="s">
        <v>53</v>
      </c>
      <c r="F575" t="s">
        <v>179</v>
      </c>
      <c r="G575" t="s">
        <v>57</v>
      </c>
      <c r="H575" s="7" t="str">
        <f t="shared" si="17"/>
        <v>High</v>
      </c>
      <c r="I575" s="4">
        <v>754.24</v>
      </c>
    </row>
    <row r="576" spans="1:9" x14ac:dyDescent="0.3">
      <c r="A576" s="11">
        <v>45936</v>
      </c>
      <c r="B576" s="4" t="str">
        <f>TEXT(Data!B576,"MMM-YYYY")</f>
        <v>Apr-2023</v>
      </c>
      <c r="C576" s="4" t="str">
        <f t="shared" si="16"/>
        <v>Q4-2025</v>
      </c>
      <c r="D576" t="s">
        <v>52</v>
      </c>
      <c r="E576" t="s">
        <v>53</v>
      </c>
      <c r="F576" t="s">
        <v>54</v>
      </c>
      <c r="G576" t="s">
        <v>64</v>
      </c>
      <c r="H576" s="7" t="str">
        <f t="shared" si="17"/>
        <v>High</v>
      </c>
      <c r="I576" s="4">
        <v>901.48</v>
      </c>
    </row>
    <row r="577" spans="1:9" x14ac:dyDescent="0.3">
      <c r="A577" s="11">
        <v>45937</v>
      </c>
      <c r="B577" s="4" t="str">
        <f>TEXT(Data!B577,"MMM-YYYY")</f>
        <v>Aug-2025</v>
      </c>
      <c r="C577" s="4" t="str">
        <f t="shared" si="16"/>
        <v>Q4-2025</v>
      </c>
      <c r="D577" t="s">
        <v>78</v>
      </c>
      <c r="E577" t="s">
        <v>90</v>
      </c>
      <c r="F577" t="s">
        <v>91</v>
      </c>
      <c r="G577" t="s">
        <v>22</v>
      </c>
      <c r="H577" s="7" t="str">
        <f t="shared" si="17"/>
        <v>Medium</v>
      </c>
      <c r="I577" s="4">
        <v>113.08</v>
      </c>
    </row>
    <row r="578" spans="1:9" x14ac:dyDescent="0.3">
      <c r="A578" s="11">
        <v>45938</v>
      </c>
      <c r="B578" s="4" t="str">
        <f>TEXT(Data!B578,"MMM-YYYY")</f>
        <v>Aug-2023</v>
      </c>
      <c r="C578" s="4" t="str">
        <f t="shared" ref="C578:C633" si="18">"Q"&amp;ROUNDUP(MONTH(A578)/3,0)&amp;"-"&amp;YEAR(A578)</f>
        <v>Q4-2025</v>
      </c>
      <c r="D578" t="s">
        <v>52</v>
      </c>
      <c r="E578" t="s">
        <v>53</v>
      </c>
      <c r="F578" t="s">
        <v>144</v>
      </c>
      <c r="G578" t="s">
        <v>35</v>
      </c>
      <c r="H578" s="7" t="str">
        <f t="shared" ref="H578:H633" si="19">IF(I578&lt;50, "Low", IF(I578&lt;200, "Medium", "High"))</f>
        <v>High</v>
      </c>
      <c r="I578" s="4">
        <v>868.62</v>
      </c>
    </row>
    <row r="579" spans="1:9" x14ac:dyDescent="0.3">
      <c r="A579" s="11">
        <v>45939</v>
      </c>
      <c r="B579" s="4" t="str">
        <f>TEXT(Data!B579,"MMM-YYYY")</f>
        <v>Jun-2023</v>
      </c>
      <c r="C579" s="4" t="str">
        <f t="shared" si="18"/>
        <v>Q4-2025</v>
      </c>
      <c r="D579" t="s">
        <v>52</v>
      </c>
      <c r="E579" t="s">
        <v>53</v>
      </c>
      <c r="F579" t="s">
        <v>179</v>
      </c>
      <c r="G579" t="s">
        <v>35</v>
      </c>
      <c r="H579" s="7" t="str">
        <f t="shared" si="19"/>
        <v>High</v>
      </c>
      <c r="I579" s="4">
        <v>347.9</v>
      </c>
    </row>
    <row r="580" spans="1:9" x14ac:dyDescent="0.3">
      <c r="A580" s="11">
        <v>45940</v>
      </c>
      <c r="B580" s="4" t="str">
        <f>TEXT(Data!B580,"MMM-YYYY")</f>
        <v>Nov-2024</v>
      </c>
      <c r="C580" s="4" t="str">
        <f t="shared" si="18"/>
        <v>Q4-2025</v>
      </c>
      <c r="D580" t="s">
        <v>78</v>
      </c>
      <c r="E580" t="s">
        <v>108</v>
      </c>
      <c r="F580" t="s">
        <v>228</v>
      </c>
      <c r="G580" t="s">
        <v>81</v>
      </c>
      <c r="H580" s="7" t="str">
        <f t="shared" si="19"/>
        <v>High</v>
      </c>
      <c r="I580" s="4">
        <v>1111.8800000000001</v>
      </c>
    </row>
    <row r="581" spans="1:9" x14ac:dyDescent="0.3">
      <c r="A581" s="11">
        <v>45941</v>
      </c>
      <c r="B581" s="4" t="str">
        <f>TEXT(Data!B581,"MMM-YYYY")</f>
        <v>Jul-2025</v>
      </c>
      <c r="C581" s="4" t="str">
        <f t="shared" si="18"/>
        <v>Q4-2025</v>
      </c>
      <c r="D581" t="s">
        <v>78</v>
      </c>
      <c r="E581" t="s">
        <v>108</v>
      </c>
      <c r="F581" t="s">
        <v>152</v>
      </c>
      <c r="G581" t="s">
        <v>35</v>
      </c>
      <c r="H581" s="7" t="str">
        <f t="shared" si="19"/>
        <v>High</v>
      </c>
      <c r="I581" s="4">
        <v>327.72</v>
      </c>
    </row>
    <row r="582" spans="1:9" x14ac:dyDescent="0.3">
      <c r="A582" s="11">
        <v>45942</v>
      </c>
      <c r="B582" s="4" t="str">
        <f>TEXT(Data!B582,"MMM-YYYY")</f>
        <v>Jun-2023</v>
      </c>
      <c r="C582" s="4" t="str">
        <f t="shared" si="18"/>
        <v>Q4-2025</v>
      </c>
      <c r="D582" t="s">
        <v>16</v>
      </c>
      <c r="E582" t="s">
        <v>17</v>
      </c>
      <c r="F582" t="s">
        <v>135</v>
      </c>
      <c r="G582" t="s">
        <v>42</v>
      </c>
      <c r="H582" s="7" t="str">
        <f t="shared" si="19"/>
        <v>High</v>
      </c>
      <c r="I582" s="4">
        <v>486.13</v>
      </c>
    </row>
    <row r="583" spans="1:9" x14ac:dyDescent="0.3">
      <c r="A583" s="11">
        <v>45943</v>
      </c>
      <c r="B583" s="4" t="str">
        <f>TEXT(Data!B583,"MMM-YYYY")</f>
        <v>Jan-2023</v>
      </c>
      <c r="C583" s="4" t="str">
        <f t="shared" si="18"/>
        <v>Q4-2025</v>
      </c>
      <c r="D583" t="s">
        <v>52</v>
      </c>
      <c r="E583" t="s">
        <v>73</v>
      </c>
      <c r="F583" t="s">
        <v>87</v>
      </c>
      <c r="G583" t="s">
        <v>22</v>
      </c>
      <c r="H583" s="7" t="str">
        <f t="shared" si="19"/>
        <v>High</v>
      </c>
      <c r="I583" s="4">
        <v>2066.6</v>
      </c>
    </row>
    <row r="584" spans="1:9" x14ac:dyDescent="0.3">
      <c r="A584" s="11">
        <v>45944</v>
      </c>
      <c r="B584" s="4" t="str">
        <f>TEXT(Data!B584,"MMM-YYYY")</f>
        <v>Sep-2024</v>
      </c>
      <c r="C584" s="4" t="str">
        <f t="shared" si="18"/>
        <v>Q4-2025</v>
      </c>
      <c r="D584" t="s">
        <v>52</v>
      </c>
      <c r="E584" t="s">
        <v>73</v>
      </c>
      <c r="F584" t="s">
        <v>87</v>
      </c>
      <c r="G584" t="s">
        <v>64</v>
      </c>
      <c r="H584" s="7" t="str">
        <f t="shared" si="19"/>
        <v>Medium</v>
      </c>
      <c r="I584" s="4">
        <v>86.2</v>
      </c>
    </row>
    <row r="585" spans="1:9" x14ac:dyDescent="0.3">
      <c r="A585" s="11">
        <v>45945</v>
      </c>
      <c r="B585" s="4" t="str">
        <f>TEXT(Data!B585,"MMM-YYYY")</f>
        <v>Aug-2024</v>
      </c>
      <c r="C585" s="4" t="str">
        <f t="shared" si="18"/>
        <v>Q4-2025</v>
      </c>
      <c r="D585" t="s">
        <v>45</v>
      </c>
      <c r="E585" t="s">
        <v>46</v>
      </c>
      <c r="F585" t="s">
        <v>47</v>
      </c>
      <c r="G585" t="s">
        <v>57</v>
      </c>
      <c r="H585" s="7" t="str">
        <f t="shared" si="19"/>
        <v>High</v>
      </c>
      <c r="I585" s="4">
        <v>2307.75</v>
      </c>
    </row>
    <row r="586" spans="1:9" x14ac:dyDescent="0.3">
      <c r="A586" s="11">
        <v>45946</v>
      </c>
      <c r="B586" s="4" t="str">
        <f>TEXT(Data!B586,"MMM-YYYY")</f>
        <v>Apr-2025</v>
      </c>
      <c r="C586" s="4" t="str">
        <f t="shared" si="18"/>
        <v>Q4-2025</v>
      </c>
      <c r="D586" t="s">
        <v>16</v>
      </c>
      <c r="E586" t="s">
        <v>17</v>
      </c>
      <c r="F586" t="s">
        <v>113</v>
      </c>
      <c r="G586" t="s">
        <v>57</v>
      </c>
      <c r="H586" s="7" t="str">
        <f t="shared" si="19"/>
        <v>High</v>
      </c>
      <c r="I586" s="4">
        <v>1112.81</v>
      </c>
    </row>
    <row r="587" spans="1:9" x14ac:dyDescent="0.3">
      <c r="A587" s="11">
        <v>45947</v>
      </c>
      <c r="B587" s="4" t="str">
        <f>TEXT(Data!B587,"MMM-YYYY")</f>
        <v>May-2023</v>
      </c>
      <c r="C587" s="4" t="str">
        <f t="shared" si="18"/>
        <v>Q4-2025</v>
      </c>
      <c r="D587" t="s">
        <v>52</v>
      </c>
      <c r="E587" t="s">
        <v>73</v>
      </c>
      <c r="F587" t="s">
        <v>74</v>
      </c>
      <c r="G587" t="s">
        <v>42</v>
      </c>
      <c r="H587" s="7" t="str">
        <f t="shared" si="19"/>
        <v>High</v>
      </c>
      <c r="I587" s="4">
        <v>1125.99</v>
      </c>
    </row>
    <row r="588" spans="1:9" x14ac:dyDescent="0.3">
      <c r="A588" s="11">
        <v>45948</v>
      </c>
      <c r="B588" s="4" t="str">
        <f>TEXT(Data!B588,"MMM-YYYY")</f>
        <v>Mar-2024</v>
      </c>
      <c r="C588" s="4" t="str">
        <f t="shared" si="18"/>
        <v>Q4-2025</v>
      </c>
      <c r="D588" t="s">
        <v>52</v>
      </c>
      <c r="E588" t="s">
        <v>122</v>
      </c>
      <c r="F588" t="s">
        <v>387</v>
      </c>
      <c r="G588" t="s">
        <v>42</v>
      </c>
      <c r="H588" s="7" t="str">
        <f t="shared" si="19"/>
        <v>Medium</v>
      </c>
      <c r="I588" s="4">
        <v>123.62</v>
      </c>
    </row>
    <row r="589" spans="1:9" x14ac:dyDescent="0.3">
      <c r="A589" s="11">
        <v>45949</v>
      </c>
      <c r="B589" s="4" t="str">
        <f>TEXT(Data!B589,"MMM-YYYY")</f>
        <v>Jun-2024</v>
      </c>
      <c r="C589" s="4" t="str">
        <f t="shared" si="18"/>
        <v>Q4-2025</v>
      </c>
      <c r="D589" t="s">
        <v>16</v>
      </c>
      <c r="E589" t="s">
        <v>25</v>
      </c>
      <c r="F589" t="s">
        <v>67</v>
      </c>
      <c r="G589" t="s">
        <v>22</v>
      </c>
      <c r="H589" s="7" t="str">
        <f t="shared" si="19"/>
        <v>High</v>
      </c>
      <c r="I589" s="4">
        <v>1731.75</v>
      </c>
    </row>
    <row r="590" spans="1:9" x14ac:dyDescent="0.3">
      <c r="A590" s="11">
        <v>45950</v>
      </c>
      <c r="B590" s="4" t="str">
        <f>TEXT(Data!B590,"MMM-YYYY")</f>
        <v>Feb-2025</v>
      </c>
      <c r="C590" s="4" t="str">
        <f t="shared" si="18"/>
        <v>Q4-2025</v>
      </c>
      <c r="D590" t="s">
        <v>45</v>
      </c>
      <c r="E590" t="s">
        <v>46</v>
      </c>
      <c r="F590" t="s">
        <v>214</v>
      </c>
      <c r="G590" t="s">
        <v>42</v>
      </c>
      <c r="H590" s="7" t="str">
        <f t="shared" si="19"/>
        <v>High</v>
      </c>
      <c r="I590" s="4">
        <v>3062.01</v>
      </c>
    </row>
    <row r="591" spans="1:9" x14ac:dyDescent="0.3">
      <c r="A591" s="11">
        <v>45951</v>
      </c>
      <c r="B591" s="4" t="str">
        <f>TEXT(Data!B591,"MMM-YYYY")</f>
        <v>Apr-2023</v>
      </c>
      <c r="C591" s="4" t="str">
        <f t="shared" si="18"/>
        <v>Q4-2025</v>
      </c>
      <c r="D591" t="s">
        <v>78</v>
      </c>
      <c r="E591" t="s">
        <v>90</v>
      </c>
      <c r="F591" t="s">
        <v>138</v>
      </c>
      <c r="G591" t="s">
        <v>81</v>
      </c>
      <c r="H591" s="7" t="str">
        <f t="shared" si="19"/>
        <v>High</v>
      </c>
      <c r="I591" s="4">
        <v>2200.41</v>
      </c>
    </row>
    <row r="592" spans="1:9" x14ac:dyDescent="0.3">
      <c r="A592" s="11">
        <v>45952</v>
      </c>
      <c r="B592" s="4" t="str">
        <f>TEXT(Data!B592,"MMM-YYYY")</f>
        <v>Aug-2025</v>
      </c>
      <c r="C592" s="4" t="str">
        <f t="shared" si="18"/>
        <v>Q4-2025</v>
      </c>
      <c r="D592" t="s">
        <v>78</v>
      </c>
      <c r="E592" t="s">
        <v>90</v>
      </c>
      <c r="F592" t="s">
        <v>91</v>
      </c>
      <c r="G592" t="s">
        <v>81</v>
      </c>
      <c r="H592" s="7" t="str">
        <f t="shared" si="19"/>
        <v>High</v>
      </c>
      <c r="I592" s="4">
        <v>601.49</v>
      </c>
    </row>
    <row r="593" spans="1:9" x14ac:dyDescent="0.3">
      <c r="A593" s="11">
        <v>45953</v>
      </c>
      <c r="B593" s="4" t="str">
        <f>TEXT(Data!B593,"MMM-YYYY")</f>
        <v>Feb-2023</v>
      </c>
      <c r="C593" s="4" t="str">
        <f t="shared" si="18"/>
        <v>Q4-2025</v>
      </c>
      <c r="D593" t="s">
        <v>78</v>
      </c>
      <c r="E593" t="s">
        <v>90</v>
      </c>
      <c r="F593" t="s">
        <v>91</v>
      </c>
      <c r="G593" t="s">
        <v>22</v>
      </c>
      <c r="H593" s="7" t="str">
        <f t="shared" si="19"/>
        <v>High</v>
      </c>
      <c r="I593" s="4">
        <v>947.77</v>
      </c>
    </row>
    <row r="594" spans="1:9" x14ac:dyDescent="0.3">
      <c r="A594" s="11">
        <v>45954</v>
      </c>
      <c r="B594" s="4" t="str">
        <f>TEXT(Data!B594,"MMM-YYYY")</f>
        <v>Jul-2024</v>
      </c>
      <c r="C594" s="4" t="str">
        <f t="shared" si="18"/>
        <v>Q4-2025</v>
      </c>
      <c r="D594" t="s">
        <v>52</v>
      </c>
      <c r="E594" t="s">
        <v>122</v>
      </c>
      <c r="F594" t="s">
        <v>167</v>
      </c>
      <c r="G594" t="s">
        <v>35</v>
      </c>
      <c r="H594" s="7" t="str">
        <f t="shared" si="19"/>
        <v>High</v>
      </c>
      <c r="I594" s="4">
        <v>2331.48</v>
      </c>
    </row>
    <row r="595" spans="1:9" x14ac:dyDescent="0.3">
      <c r="A595" s="11">
        <v>45955</v>
      </c>
      <c r="B595" s="4" t="str">
        <f>TEXT(Data!B595,"MMM-YYYY")</f>
        <v>Jun-2025</v>
      </c>
      <c r="C595" s="4" t="str">
        <f t="shared" si="18"/>
        <v>Q4-2025</v>
      </c>
      <c r="D595" t="s">
        <v>45</v>
      </c>
      <c r="E595" t="s">
        <v>46</v>
      </c>
      <c r="F595" t="s">
        <v>214</v>
      </c>
      <c r="G595" t="s">
        <v>64</v>
      </c>
      <c r="H595" s="7" t="str">
        <f t="shared" si="19"/>
        <v>High</v>
      </c>
      <c r="I595" s="4">
        <v>1417.24</v>
      </c>
    </row>
    <row r="596" spans="1:9" x14ac:dyDescent="0.3">
      <c r="A596" s="11">
        <v>45956</v>
      </c>
      <c r="B596" s="4" t="str">
        <f>TEXT(Data!B596,"MMM-YYYY")</f>
        <v>Jun-2024</v>
      </c>
      <c r="C596" s="4" t="str">
        <f t="shared" si="18"/>
        <v>Q4-2025</v>
      </c>
      <c r="D596" t="s">
        <v>78</v>
      </c>
      <c r="E596" t="s">
        <v>90</v>
      </c>
      <c r="F596" t="s">
        <v>91</v>
      </c>
      <c r="G596" t="s">
        <v>81</v>
      </c>
      <c r="H596" s="7" t="str">
        <f t="shared" si="19"/>
        <v>High</v>
      </c>
      <c r="I596" s="4">
        <v>699.5</v>
      </c>
    </row>
    <row r="597" spans="1:9" x14ac:dyDescent="0.3">
      <c r="A597" s="11">
        <v>45957</v>
      </c>
      <c r="B597" s="4" t="str">
        <f>TEXT(Data!B597,"MMM-YYYY")</f>
        <v>Feb-2025</v>
      </c>
      <c r="C597" s="4" t="str">
        <f t="shared" si="18"/>
        <v>Q4-2025</v>
      </c>
      <c r="D597" t="s">
        <v>16</v>
      </c>
      <c r="E597" t="s">
        <v>17</v>
      </c>
      <c r="F597" t="s">
        <v>18</v>
      </c>
      <c r="G597" t="s">
        <v>57</v>
      </c>
      <c r="H597" s="7" t="str">
        <f t="shared" si="19"/>
        <v>High</v>
      </c>
      <c r="I597" s="4">
        <v>1787.2</v>
      </c>
    </row>
    <row r="598" spans="1:9" x14ac:dyDescent="0.3">
      <c r="A598" s="11">
        <v>45958</v>
      </c>
      <c r="B598" s="4" t="str">
        <f>TEXT(Data!B598,"MMM-YYYY")</f>
        <v>Jan-2023</v>
      </c>
      <c r="C598" s="4" t="str">
        <f t="shared" si="18"/>
        <v>Q4-2025</v>
      </c>
      <c r="D598" t="s">
        <v>52</v>
      </c>
      <c r="E598" t="s">
        <v>53</v>
      </c>
      <c r="F598" t="s">
        <v>54</v>
      </c>
      <c r="G598" t="s">
        <v>22</v>
      </c>
      <c r="H598" s="7" t="str">
        <f t="shared" si="19"/>
        <v>High</v>
      </c>
      <c r="I598" s="4">
        <v>1698.75</v>
      </c>
    </row>
    <row r="599" spans="1:9" x14ac:dyDescent="0.3">
      <c r="A599" s="11">
        <v>45959</v>
      </c>
      <c r="B599" s="4" t="str">
        <f>TEXT(Data!B599,"MMM-YYYY")</f>
        <v>Mar-2025</v>
      </c>
      <c r="C599" s="4" t="str">
        <f t="shared" si="18"/>
        <v>Q4-2025</v>
      </c>
      <c r="D599" t="s">
        <v>16</v>
      </c>
      <c r="E599" t="s">
        <v>148</v>
      </c>
      <c r="F599" t="s">
        <v>258</v>
      </c>
      <c r="G599" t="s">
        <v>30</v>
      </c>
      <c r="H599" s="7" t="str">
        <f t="shared" si="19"/>
        <v>High</v>
      </c>
      <c r="I599" s="4">
        <v>724.7</v>
      </c>
    </row>
    <row r="600" spans="1:9" x14ac:dyDescent="0.3">
      <c r="A600" s="11">
        <v>45960</v>
      </c>
      <c r="B600" s="4" t="str">
        <f>TEXT(Data!B600,"MMM-YYYY")</f>
        <v>Aug-2024</v>
      </c>
      <c r="C600" s="4" t="str">
        <f t="shared" si="18"/>
        <v>Q4-2025</v>
      </c>
      <c r="D600" t="s">
        <v>45</v>
      </c>
      <c r="E600" t="s">
        <v>46</v>
      </c>
      <c r="F600" t="s">
        <v>47</v>
      </c>
      <c r="G600" t="s">
        <v>30</v>
      </c>
      <c r="H600" s="7" t="str">
        <f t="shared" si="19"/>
        <v>High</v>
      </c>
      <c r="I600" s="4">
        <v>1355.94</v>
      </c>
    </row>
    <row r="601" spans="1:9" x14ac:dyDescent="0.3">
      <c r="A601" s="11">
        <v>45961</v>
      </c>
      <c r="B601" s="4" t="str">
        <f>TEXT(Data!B601,"MMM-YYYY")</f>
        <v>Mar-2024</v>
      </c>
      <c r="C601" s="4" t="str">
        <f t="shared" si="18"/>
        <v>Q4-2025</v>
      </c>
      <c r="D601" t="s">
        <v>52</v>
      </c>
      <c r="E601" t="s">
        <v>73</v>
      </c>
      <c r="F601" t="s">
        <v>225</v>
      </c>
      <c r="G601" t="s">
        <v>64</v>
      </c>
      <c r="H601" s="7" t="str">
        <f t="shared" si="19"/>
        <v>High</v>
      </c>
      <c r="I601" s="4">
        <v>275.07</v>
      </c>
    </row>
    <row r="602" spans="1:9" x14ac:dyDescent="0.3">
      <c r="A602" s="11">
        <v>45962</v>
      </c>
      <c r="B602" s="4" t="str">
        <f>TEXT(Data!B602,"MMM-YYYY")</f>
        <v>Aug-2024</v>
      </c>
      <c r="C602" s="4" t="str">
        <f t="shared" si="18"/>
        <v>Q4-2025</v>
      </c>
      <c r="D602" t="s">
        <v>78</v>
      </c>
      <c r="E602" t="s">
        <v>108</v>
      </c>
      <c r="F602" t="s">
        <v>228</v>
      </c>
      <c r="G602" t="s">
        <v>57</v>
      </c>
      <c r="H602" s="7" t="str">
        <f t="shared" si="19"/>
        <v>High</v>
      </c>
      <c r="I602" s="4">
        <v>1802.44</v>
      </c>
    </row>
    <row r="603" spans="1:9" x14ac:dyDescent="0.3">
      <c r="A603" s="11">
        <v>45963</v>
      </c>
      <c r="B603" s="4" t="str">
        <f>TEXT(Data!B603,"MMM-YYYY")</f>
        <v>Aug-2025</v>
      </c>
      <c r="C603" s="4" t="str">
        <f t="shared" si="18"/>
        <v>Q4-2025</v>
      </c>
      <c r="D603" t="s">
        <v>52</v>
      </c>
      <c r="E603" t="s">
        <v>53</v>
      </c>
      <c r="F603" t="s">
        <v>54</v>
      </c>
      <c r="G603" t="s">
        <v>30</v>
      </c>
      <c r="H603" s="7" t="str">
        <f t="shared" si="19"/>
        <v>High</v>
      </c>
      <c r="I603" s="4">
        <v>1269.78</v>
      </c>
    </row>
    <row r="604" spans="1:9" x14ac:dyDescent="0.3">
      <c r="A604" s="11">
        <v>45964</v>
      </c>
      <c r="B604" s="4" t="str">
        <f>TEXT(Data!B604,"MMM-YYYY")</f>
        <v>May-2025</v>
      </c>
      <c r="C604" s="4" t="str">
        <f t="shared" si="18"/>
        <v>Q4-2025</v>
      </c>
      <c r="D604" t="s">
        <v>78</v>
      </c>
      <c r="E604" t="s">
        <v>90</v>
      </c>
      <c r="F604" t="s">
        <v>217</v>
      </c>
      <c r="G604" t="s">
        <v>35</v>
      </c>
      <c r="H604" s="7" t="str">
        <f t="shared" si="19"/>
        <v>High</v>
      </c>
      <c r="I604" s="4">
        <v>571.9</v>
      </c>
    </row>
    <row r="605" spans="1:9" x14ac:dyDescent="0.3">
      <c r="A605" s="11">
        <v>45965</v>
      </c>
      <c r="B605" s="4" t="str">
        <f>TEXT(Data!B605,"MMM-YYYY")</f>
        <v>Apr-2023</v>
      </c>
      <c r="C605" s="4" t="str">
        <f t="shared" si="18"/>
        <v>Q4-2025</v>
      </c>
      <c r="D605" t="s">
        <v>45</v>
      </c>
      <c r="E605" t="s">
        <v>46</v>
      </c>
      <c r="F605" t="s">
        <v>214</v>
      </c>
      <c r="G605" t="s">
        <v>30</v>
      </c>
      <c r="H605" s="7" t="str">
        <f t="shared" si="19"/>
        <v>High</v>
      </c>
      <c r="I605" s="4">
        <v>2755.04</v>
      </c>
    </row>
    <row r="606" spans="1:9" x14ac:dyDescent="0.3">
      <c r="A606" s="11">
        <v>45966</v>
      </c>
      <c r="B606" s="4" t="str">
        <f>TEXT(Data!B606,"MMM-YYYY")</f>
        <v>Sep-2023</v>
      </c>
      <c r="C606" s="4" t="str">
        <f t="shared" si="18"/>
        <v>Q4-2025</v>
      </c>
      <c r="D606" t="s">
        <v>78</v>
      </c>
      <c r="E606" t="s">
        <v>108</v>
      </c>
      <c r="F606" t="s">
        <v>152</v>
      </c>
      <c r="G606" t="s">
        <v>30</v>
      </c>
      <c r="H606" s="7" t="str">
        <f t="shared" si="19"/>
        <v>High</v>
      </c>
      <c r="I606" s="4">
        <v>962.51</v>
      </c>
    </row>
    <row r="607" spans="1:9" x14ac:dyDescent="0.3">
      <c r="A607" s="11">
        <v>45967</v>
      </c>
      <c r="B607" s="4" t="str">
        <f>TEXT(Data!B607,"MMM-YYYY")</f>
        <v>Apr-2023</v>
      </c>
      <c r="C607" s="4" t="str">
        <f t="shared" si="18"/>
        <v>Q4-2025</v>
      </c>
      <c r="D607" t="s">
        <v>52</v>
      </c>
      <c r="E607" t="s">
        <v>73</v>
      </c>
      <c r="F607" t="s">
        <v>225</v>
      </c>
      <c r="G607" t="s">
        <v>57</v>
      </c>
      <c r="H607" s="7" t="str">
        <f t="shared" si="19"/>
        <v>High</v>
      </c>
      <c r="I607" s="4">
        <v>668.27</v>
      </c>
    </row>
    <row r="608" spans="1:9" x14ac:dyDescent="0.3">
      <c r="A608" s="11">
        <v>45968</v>
      </c>
      <c r="B608" s="4" t="str">
        <f>TEXT(Data!B608,"MMM-YYYY")</f>
        <v>Jun-2025</v>
      </c>
      <c r="C608" s="4" t="str">
        <f t="shared" si="18"/>
        <v>Q4-2025</v>
      </c>
      <c r="D608" t="s">
        <v>45</v>
      </c>
      <c r="E608" t="s">
        <v>46</v>
      </c>
      <c r="F608" t="s">
        <v>231</v>
      </c>
      <c r="G608" t="s">
        <v>81</v>
      </c>
      <c r="H608" s="7" t="str">
        <f t="shared" si="19"/>
        <v>High</v>
      </c>
      <c r="I608" s="4">
        <v>1404.33</v>
      </c>
    </row>
    <row r="609" spans="1:9" x14ac:dyDescent="0.3">
      <c r="A609" s="11">
        <v>45969</v>
      </c>
      <c r="B609" s="4" t="str">
        <f>TEXT(Data!B609,"MMM-YYYY")</f>
        <v>Nov-2024</v>
      </c>
      <c r="C609" s="4" t="str">
        <f t="shared" si="18"/>
        <v>Q4-2025</v>
      </c>
      <c r="D609" t="s">
        <v>16</v>
      </c>
      <c r="E609" t="s">
        <v>148</v>
      </c>
      <c r="F609" t="s">
        <v>149</v>
      </c>
      <c r="G609" t="s">
        <v>42</v>
      </c>
      <c r="H609" s="7" t="str">
        <f t="shared" si="19"/>
        <v>High</v>
      </c>
      <c r="I609" s="4">
        <v>3589.89</v>
      </c>
    </row>
    <row r="610" spans="1:9" x14ac:dyDescent="0.3">
      <c r="A610" s="11">
        <v>45970</v>
      </c>
      <c r="B610" s="4" t="str">
        <f>TEXT(Data!B610,"MMM-YYYY")</f>
        <v>Jan-2024</v>
      </c>
      <c r="C610" s="4" t="str">
        <f t="shared" si="18"/>
        <v>Q4-2025</v>
      </c>
      <c r="D610" t="s">
        <v>16</v>
      </c>
      <c r="E610" t="s">
        <v>17</v>
      </c>
      <c r="F610" t="s">
        <v>113</v>
      </c>
      <c r="G610" t="s">
        <v>30</v>
      </c>
      <c r="H610" s="7" t="str">
        <f t="shared" si="19"/>
        <v>High</v>
      </c>
      <c r="I610" s="4">
        <v>233.51</v>
      </c>
    </row>
    <row r="611" spans="1:9" x14ac:dyDescent="0.3">
      <c r="A611" s="11">
        <v>45971</v>
      </c>
      <c r="B611" s="4" t="str">
        <f>TEXT(Data!B611,"MMM-YYYY")</f>
        <v>Apr-2023</v>
      </c>
      <c r="C611" s="4" t="str">
        <f t="shared" si="18"/>
        <v>Q4-2025</v>
      </c>
      <c r="D611" t="s">
        <v>16</v>
      </c>
      <c r="E611" t="s">
        <v>148</v>
      </c>
      <c r="F611" t="s">
        <v>258</v>
      </c>
      <c r="G611" t="s">
        <v>22</v>
      </c>
      <c r="H611" s="7" t="str">
        <f t="shared" si="19"/>
        <v>Medium</v>
      </c>
      <c r="I611" s="4">
        <v>124.25</v>
      </c>
    </row>
    <row r="612" spans="1:9" x14ac:dyDescent="0.3">
      <c r="A612" s="11">
        <v>45972</v>
      </c>
      <c r="B612" s="4" t="str">
        <f>TEXT(Data!B612,"MMM-YYYY")</f>
        <v>Feb-2024</v>
      </c>
      <c r="C612" s="4" t="str">
        <f t="shared" si="18"/>
        <v>Q4-2025</v>
      </c>
      <c r="D612" t="s">
        <v>52</v>
      </c>
      <c r="E612" t="s">
        <v>122</v>
      </c>
      <c r="F612" t="s">
        <v>326</v>
      </c>
      <c r="G612" t="s">
        <v>30</v>
      </c>
      <c r="H612" s="7" t="str">
        <f t="shared" si="19"/>
        <v>High</v>
      </c>
      <c r="I612" s="4">
        <v>1431.37</v>
      </c>
    </row>
    <row r="613" spans="1:9" x14ac:dyDescent="0.3">
      <c r="A613" s="11">
        <v>45973</v>
      </c>
      <c r="B613" s="4" t="str">
        <f>TEXT(Data!B613,"MMM-YYYY")</f>
        <v>Oct-2024</v>
      </c>
      <c r="C613" s="4" t="str">
        <f t="shared" si="18"/>
        <v>Q4-2025</v>
      </c>
      <c r="D613" t="s">
        <v>52</v>
      </c>
      <c r="E613" t="s">
        <v>122</v>
      </c>
      <c r="F613" t="s">
        <v>326</v>
      </c>
      <c r="G613" t="s">
        <v>30</v>
      </c>
      <c r="H613" s="7" t="str">
        <f t="shared" si="19"/>
        <v>High</v>
      </c>
      <c r="I613" s="4">
        <v>1595.52</v>
      </c>
    </row>
    <row r="614" spans="1:9" x14ac:dyDescent="0.3">
      <c r="A614" s="11">
        <v>45974</v>
      </c>
      <c r="B614" s="4" t="str">
        <f>TEXT(Data!B614,"MMM-YYYY")</f>
        <v>Jun-2024</v>
      </c>
      <c r="C614" s="4" t="str">
        <f t="shared" si="18"/>
        <v>Q4-2025</v>
      </c>
      <c r="D614" t="s">
        <v>52</v>
      </c>
      <c r="E614" t="s">
        <v>122</v>
      </c>
      <c r="F614" t="s">
        <v>123</v>
      </c>
      <c r="G614" t="s">
        <v>64</v>
      </c>
      <c r="H614" s="7" t="str">
        <f t="shared" si="19"/>
        <v>High</v>
      </c>
      <c r="I614" s="4">
        <v>1028.46</v>
      </c>
    </row>
    <row r="615" spans="1:9" x14ac:dyDescent="0.3">
      <c r="A615" s="11">
        <v>45975</v>
      </c>
      <c r="B615" s="4" t="str">
        <f>TEXT(Data!B615,"MMM-YYYY")</f>
        <v>Jul-2023</v>
      </c>
      <c r="C615" s="4" t="str">
        <f t="shared" si="18"/>
        <v>Q4-2025</v>
      </c>
      <c r="D615" t="s">
        <v>16</v>
      </c>
      <c r="E615" t="s">
        <v>17</v>
      </c>
      <c r="F615" t="s">
        <v>18</v>
      </c>
      <c r="G615" t="s">
        <v>35</v>
      </c>
      <c r="H615" s="7" t="str">
        <f t="shared" si="19"/>
        <v>High</v>
      </c>
      <c r="I615" s="4">
        <v>3230.35</v>
      </c>
    </row>
    <row r="616" spans="1:9" x14ac:dyDescent="0.3">
      <c r="A616" s="11">
        <v>45976</v>
      </c>
      <c r="B616" s="4" t="str">
        <f>TEXT(Data!B616,"MMM-YYYY")</f>
        <v>Mar-2025</v>
      </c>
      <c r="C616" s="4" t="str">
        <f t="shared" si="18"/>
        <v>Q4-2025</v>
      </c>
      <c r="D616" t="s">
        <v>78</v>
      </c>
      <c r="E616" t="s">
        <v>90</v>
      </c>
      <c r="F616" t="s">
        <v>217</v>
      </c>
      <c r="G616" t="s">
        <v>35</v>
      </c>
      <c r="H616" s="7" t="str">
        <f t="shared" si="19"/>
        <v>High</v>
      </c>
      <c r="I616" s="4">
        <v>2789.61</v>
      </c>
    </row>
    <row r="617" spans="1:9" x14ac:dyDescent="0.3">
      <c r="A617" s="11">
        <v>45977</v>
      </c>
      <c r="B617" s="4" t="str">
        <f>TEXT(Data!B617,"MMM-YYYY")</f>
        <v>Oct-2023</v>
      </c>
      <c r="C617" s="4" t="str">
        <f t="shared" si="18"/>
        <v>Q4-2025</v>
      </c>
      <c r="D617" t="s">
        <v>45</v>
      </c>
      <c r="E617" t="s">
        <v>46</v>
      </c>
      <c r="F617" t="s">
        <v>214</v>
      </c>
      <c r="G617" t="s">
        <v>30</v>
      </c>
      <c r="H617" s="7" t="str">
        <f t="shared" si="19"/>
        <v>High</v>
      </c>
      <c r="I617" s="4">
        <v>1897.74</v>
      </c>
    </row>
    <row r="618" spans="1:9" x14ac:dyDescent="0.3">
      <c r="A618" s="11">
        <v>45978</v>
      </c>
      <c r="B618" s="4" t="str">
        <f>TEXT(Data!B618,"MMM-YYYY")</f>
        <v>Dec-2024</v>
      </c>
      <c r="C618" s="4" t="str">
        <f t="shared" si="18"/>
        <v>Q4-2025</v>
      </c>
      <c r="D618" t="s">
        <v>16</v>
      </c>
      <c r="E618" t="s">
        <v>25</v>
      </c>
      <c r="F618" t="s">
        <v>26</v>
      </c>
      <c r="G618" t="s">
        <v>35</v>
      </c>
      <c r="H618" s="7" t="str">
        <f t="shared" si="19"/>
        <v>High</v>
      </c>
      <c r="I618" s="4">
        <v>902.47</v>
      </c>
    </row>
    <row r="619" spans="1:9" x14ac:dyDescent="0.3">
      <c r="A619" s="11">
        <v>45979</v>
      </c>
      <c r="B619" s="4" t="str">
        <f>TEXT(Data!B619,"MMM-YYYY")</f>
        <v>Jul-2025</v>
      </c>
      <c r="C619" s="4" t="str">
        <f t="shared" si="18"/>
        <v>Q4-2025</v>
      </c>
      <c r="D619" t="s">
        <v>78</v>
      </c>
      <c r="E619" t="s">
        <v>108</v>
      </c>
      <c r="F619" t="s">
        <v>228</v>
      </c>
      <c r="G619" t="s">
        <v>64</v>
      </c>
      <c r="H619" s="7" t="str">
        <f t="shared" si="19"/>
        <v>Low</v>
      </c>
      <c r="I619" s="4">
        <v>-33.659999999999997</v>
      </c>
    </row>
    <row r="620" spans="1:9" x14ac:dyDescent="0.3">
      <c r="A620" s="11">
        <v>45980</v>
      </c>
      <c r="B620" s="4" t="str">
        <f>TEXT(Data!B620,"MMM-YYYY")</f>
        <v>Oct-2024</v>
      </c>
      <c r="C620" s="4" t="str">
        <f t="shared" si="18"/>
        <v>Q4-2025</v>
      </c>
      <c r="D620" t="s">
        <v>78</v>
      </c>
      <c r="E620" t="s">
        <v>108</v>
      </c>
      <c r="F620" t="s">
        <v>152</v>
      </c>
      <c r="G620" t="s">
        <v>30</v>
      </c>
      <c r="H620" s="7" t="str">
        <f t="shared" si="19"/>
        <v>High</v>
      </c>
      <c r="I620" s="4">
        <v>1086.68</v>
      </c>
    </row>
    <row r="621" spans="1:9" x14ac:dyDescent="0.3">
      <c r="A621" s="11">
        <v>45981</v>
      </c>
      <c r="B621" s="4" t="str">
        <f>TEXT(Data!B621,"MMM-YYYY")</f>
        <v>Sep-2023</v>
      </c>
      <c r="C621" s="4" t="str">
        <f t="shared" si="18"/>
        <v>Q4-2025</v>
      </c>
      <c r="D621" t="s">
        <v>78</v>
      </c>
      <c r="E621" t="s">
        <v>90</v>
      </c>
      <c r="F621" t="s">
        <v>217</v>
      </c>
      <c r="G621" t="s">
        <v>22</v>
      </c>
      <c r="H621" s="7" t="str">
        <f t="shared" si="19"/>
        <v>High</v>
      </c>
      <c r="I621" s="4">
        <v>1010.75</v>
      </c>
    </row>
    <row r="622" spans="1:9" x14ac:dyDescent="0.3">
      <c r="A622" s="11">
        <v>45982</v>
      </c>
      <c r="B622" s="4" t="str">
        <f>TEXT(Data!B622,"MMM-YYYY")</f>
        <v>Apr-2025</v>
      </c>
      <c r="C622" s="4" t="str">
        <f t="shared" si="18"/>
        <v>Q4-2025</v>
      </c>
      <c r="D622" t="s">
        <v>16</v>
      </c>
      <c r="E622" t="s">
        <v>17</v>
      </c>
      <c r="F622" t="s">
        <v>135</v>
      </c>
      <c r="G622" t="s">
        <v>81</v>
      </c>
      <c r="H622" s="7" t="str">
        <f t="shared" si="19"/>
        <v>High</v>
      </c>
      <c r="I622" s="4">
        <v>411.48</v>
      </c>
    </row>
    <row r="623" spans="1:9" x14ac:dyDescent="0.3">
      <c r="A623" s="11">
        <v>45983</v>
      </c>
      <c r="B623" s="4" t="str">
        <f>TEXT(Data!B623,"MMM-YYYY")</f>
        <v>Jul-2024</v>
      </c>
      <c r="C623" s="4" t="str">
        <f t="shared" si="18"/>
        <v>Q4-2025</v>
      </c>
      <c r="D623" t="s">
        <v>52</v>
      </c>
      <c r="E623" t="s">
        <v>73</v>
      </c>
      <c r="F623" t="s">
        <v>225</v>
      </c>
      <c r="G623" t="s">
        <v>35</v>
      </c>
      <c r="H623" s="7" t="str">
        <f t="shared" si="19"/>
        <v>High</v>
      </c>
      <c r="I623" s="4">
        <v>413.34</v>
      </c>
    </row>
    <row r="624" spans="1:9" x14ac:dyDescent="0.3">
      <c r="A624" s="11">
        <v>45984</v>
      </c>
      <c r="B624" s="4" t="str">
        <f>TEXT(Data!B624,"MMM-YYYY")</f>
        <v>Jul-2025</v>
      </c>
      <c r="C624" s="4" t="str">
        <f t="shared" si="18"/>
        <v>Q4-2025</v>
      </c>
      <c r="D624" t="s">
        <v>45</v>
      </c>
      <c r="E624" t="s">
        <v>60</v>
      </c>
      <c r="F624" t="s">
        <v>281</v>
      </c>
      <c r="G624" t="s">
        <v>35</v>
      </c>
      <c r="H624" s="7" t="str">
        <f t="shared" si="19"/>
        <v>High</v>
      </c>
      <c r="I624" s="4">
        <v>1558.89</v>
      </c>
    </row>
    <row r="625" spans="1:9" x14ac:dyDescent="0.3">
      <c r="A625" s="11">
        <v>45985</v>
      </c>
      <c r="B625" s="4" t="str">
        <f>TEXT(Data!B625,"MMM-YYYY")</f>
        <v>Aug-2023</v>
      </c>
      <c r="C625" s="4" t="str">
        <f t="shared" si="18"/>
        <v>Q4-2025</v>
      </c>
      <c r="D625" t="s">
        <v>16</v>
      </c>
      <c r="E625" t="s">
        <v>17</v>
      </c>
      <c r="F625" t="s">
        <v>33</v>
      </c>
      <c r="G625" t="s">
        <v>81</v>
      </c>
      <c r="H625" s="7" t="str">
        <f t="shared" si="19"/>
        <v>High</v>
      </c>
      <c r="I625" s="4">
        <v>861.16</v>
      </c>
    </row>
    <row r="626" spans="1:9" x14ac:dyDescent="0.3">
      <c r="A626" s="11">
        <v>45986</v>
      </c>
      <c r="B626" s="4" t="str">
        <f>TEXT(Data!B626,"MMM-YYYY")</f>
        <v>Nov-2023</v>
      </c>
      <c r="C626" s="4" t="str">
        <f t="shared" si="18"/>
        <v>Q4-2025</v>
      </c>
      <c r="D626" t="s">
        <v>45</v>
      </c>
      <c r="E626" t="s">
        <v>116</v>
      </c>
      <c r="F626" t="s">
        <v>162</v>
      </c>
      <c r="G626" t="s">
        <v>35</v>
      </c>
      <c r="H626" s="7" t="str">
        <f t="shared" si="19"/>
        <v>High</v>
      </c>
      <c r="I626" s="4">
        <v>2296.25</v>
      </c>
    </row>
    <row r="627" spans="1:9" x14ac:dyDescent="0.3">
      <c r="A627" s="11">
        <v>45987</v>
      </c>
      <c r="B627" s="4" t="str">
        <f>TEXT(Data!B627,"MMM-YYYY")</f>
        <v>Dec-2023</v>
      </c>
      <c r="C627" s="4" t="str">
        <f t="shared" si="18"/>
        <v>Q4-2025</v>
      </c>
      <c r="D627" t="s">
        <v>45</v>
      </c>
      <c r="E627" t="s">
        <v>60</v>
      </c>
      <c r="F627" t="s">
        <v>141</v>
      </c>
      <c r="G627" t="s">
        <v>35</v>
      </c>
      <c r="H627" s="7" t="str">
        <f t="shared" si="19"/>
        <v>High</v>
      </c>
      <c r="I627" s="4">
        <v>2636.6</v>
      </c>
    </row>
    <row r="628" spans="1:9" x14ac:dyDescent="0.3">
      <c r="A628" s="11">
        <v>45988</v>
      </c>
      <c r="B628" s="4" t="str">
        <f>TEXT(Data!B628,"MMM-YYYY")</f>
        <v>Aug-2023</v>
      </c>
      <c r="C628" s="4" t="str">
        <f t="shared" si="18"/>
        <v>Q4-2025</v>
      </c>
      <c r="D628" t="s">
        <v>45</v>
      </c>
      <c r="E628" t="s">
        <v>60</v>
      </c>
      <c r="F628" t="s">
        <v>281</v>
      </c>
      <c r="G628" t="s">
        <v>22</v>
      </c>
      <c r="H628" s="7" t="str">
        <f t="shared" si="19"/>
        <v>High</v>
      </c>
      <c r="I628" s="4">
        <v>978.09</v>
      </c>
    </row>
    <row r="629" spans="1:9" x14ac:dyDescent="0.3">
      <c r="A629" s="11">
        <v>45989</v>
      </c>
      <c r="B629" s="4" t="str">
        <f>TEXT(Data!B629,"MMM-YYYY")</f>
        <v>Jun-2023</v>
      </c>
      <c r="C629" s="4" t="str">
        <f t="shared" si="18"/>
        <v>Q4-2025</v>
      </c>
      <c r="D629" t="s">
        <v>45</v>
      </c>
      <c r="E629" t="s">
        <v>116</v>
      </c>
      <c r="F629" t="s">
        <v>162</v>
      </c>
      <c r="G629" t="s">
        <v>64</v>
      </c>
      <c r="H629" s="7" t="str">
        <f t="shared" si="19"/>
        <v>High</v>
      </c>
      <c r="I629" s="4">
        <v>545.72</v>
      </c>
    </row>
    <row r="630" spans="1:9" x14ac:dyDescent="0.3">
      <c r="A630" s="11">
        <v>45990</v>
      </c>
      <c r="B630" s="4" t="str">
        <f>TEXT(Data!B630,"MMM-YYYY")</f>
        <v>Dec-2023</v>
      </c>
      <c r="C630" s="4" t="str">
        <f t="shared" si="18"/>
        <v>Q4-2025</v>
      </c>
      <c r="D630" t="s">
        <v>52</v>
      </c>
      <c r="E630" t="s">
        <v>53</v>
      </c>
      <c r="F630" t="s">
        <v>179</v>
      </c>
      <c r="G630" t="s">
        <v>42</v>
      </c>
      <c r="H630" s="7" t="str">
        <f t="shared" si="19"/>
        <v>High</v>
      </c>
      <c r="I630" s="4">
        <v>1435.54</v>
      </c>
    </row>
    <row r="631" spans="1:9" x14ac:dyDescent="0.3">
      <c r="A631" s="11">
        <v>45991</v>
      </c>
      <c r="B631" s="4" t="str">
        <f>TEXT(Data!B631,"MMM-YYYY")</f>
        <v>Nov-2023</v>
      </c>
      <c r="C631" s="4" t="str">
        <f t="shared" si="18"/>
        <v>Q4-2025</v>
      </c>
      <c r="D631" t="s">
        <v>78</v>
      </c>
      <c r="E631" t="s">
        <v>79</v>
      </c>
      <c r="F631" t="s">
        <v>335</v>
      </c>
      <c r="G631" t="s">
        <v>22</v>
      </c>
      <c r="H631" s="7" t="str">
        <f t="shared" si="19"/>
        <v>High</v>
      </c>
      <c r="I631" s="4">
        <v>2397.3000000000002</v>
      </c>
    </row>
    <row r="632" spans="1:9" x14ac:dyDescent="0.3">
      <c r="A632" s="11">
        <v>45992</v>
      </c>
      <c r="B632" s="4" t="str">
        <f>TEXT(Data!B632,"MMM-YYYY")</f>
        <v>Feb-2025</v>
      </c>
      <c r="C632" s="4" t="str">
        <f t="shared" si="18"/>
        <v>Q4-2025</v>
      </c>
      <c r="D632" t="s">
        <v>45</v>
      </c>
      <c r="E632" t="s">
        <v>46</v>
      </c>
      <c r="F632" t="s">
        <v>231</v>
      </c>
      <c r="G632" t="s">
        <v>42</v>
      </c>
      <c r="H632" s="7" t="str">
        <f t="shared" si="19"/>
        <v>High</v>
      </c>
      <c r="I632" s="4">
        <v>1853.86</v>
      </c>
    </row>
    <row r="633" spans="1:9" x14ac:dyDescent="0.3">
      <c r="A633" s="11">
        <v>45993</v>
      </c>
      <c r="B633" s="4" t="str">
        <f>TEXT(Data!B633,"MMM-YYYY")</f>
        <v>Feb-2025</v>
      </c>
      <c r="C633" s="4" t="str">
        <f t="shared" si="18"/>
        <v>Q4-2025</v>
      </c>
      <c r="D633" t="s">
        <v>45</v>
      </c>
      <c r="E633" t="s">
        <v>46</v>
      </c>
      <c r="F633" t="s">
        <v>47</v>
      </c>
      <c r="G633" t="s">
        <v>57</v>
      </c>
      <c r="H633" s="7" t="str">
        <f t="shared" si="19"/>
        <v>Low</v>
      </c>
      <c r="I633" s="4">
        <v>45.98</v>
      </c>
    </row>
  </sheetData>
  <conditionalFormatting sqref="I1:I1048576">
    <cfRule type="cellIs" dxfId="28" priority="1" operator="lessThan">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117C-2B55-47A3-B81A-F162E659439A}">
  <dimension ref="A1:O633"/>
  <sheetViews>
    <sheetView workbookViewId="0">
      <selection activeCell="R3" sqref="R3"/>
    </sheetView>
  </sheetViews>
  <sheetFormatPr defaultRowHeight="14.4" x14ac:dyDescent="0.3"/>
  <cols>
    <col min="1" max="1" width="11.77734375" style="6" bestFit="1" customWidth="1"/>
    <col min="2" max="2" width="12" style="4" bestFit="1" customWidth="1"/>
    <col min="3" max="3" width="13.21875" style="4" bestFit="1" customWidth="1"/>
    <col min="4" max="4" width="12.77734375" style="4" bestFit="1" customWidth="1"/>
    <col min="5" max="5" width="8" style="4" bestFit="1" customWidth="1"/>
    <col min="6" max="6" width="8.44140625" bestFit="1" customWidth="1"/>
    <col min="7" max="7" width="14" bestFit="1" customWidth="1"/>
    <col min="8" max="8" width="12.44140625" bestFit="1" customWidth="1"/>
    <col min="9" max="9" width="15.21875" bestFit="1" customWidth="1"/>
    <col min="10" max="10" width="9.77734375" style="4" bestFit="1" customWidth="1"/>
    <col min="11" max="11" width="8.77734375" style="4" bestFit="1" customWidth="1"/>
    <col min="12" max="12" width="8.77734375" bestFit="1" customWidth="1"/>
    <col min="13" max="13" width="11" bestFit="1" customWidth="1"/>
    <col min="14" max="14" width="8.21875" bestFit="1" customWidth="1"/>
    <col min="15" max="15" width="13.44140625" bestFit="1" customWidth="1"/>
  </cols>
  <sheetData>
    <row r="1" spans="1:15" x14ac:dyDescent="0.3">
      <c r="A1" s="5" t="s">
        <v>1</v>
      </c>
      <c r="B1" s="3" t="s">
        <v>1413</v>
      </c>
      <c r="C1" s="3" t="s">
        <v>1414</v>
      </c>
      <c r="D1" s="3" t="s">
        <v>1415</v>
      </c>
      <c r="E1" s="3" t="s">
        <v>1370</v>
      </c>
      <c r="F1" s="1" t="s">
        <v>3</v>
      </c>
      <c r="G1" s="1" t="s">
        <v>4</v>
      </c>
      <c r="H1" s="1" t="s">
        <v>5</v>
      </c>
      <c r="I1" s="1" t="s">
        <v>9</v>
      </c>
      <c r="J1" s="3" t="s">
        <v>1375</v>
      </c>
      <c r="K1" s="3" t="s">
        <v>12</v>
      </c>
      <c r="L1" s="3" t="s">
        <v>12</v>
      </c>
      <c r="M1" s="3" t="s">
        <v>13</v>
      </c>
      <c r="N1" s="3" t="s">
        <v>14</v>
      </c>
      <c r="O1" s="3" t="s">
        <v>1366</v>
      </c>
    </row>
    <row r="2" spans="1:15" x14ac:dyDescent="0.3">
      <c r="A2" s="11">
        <v>45362</v>
      </c>
      <c r="B2" s="4" t="str">
        <f>TEXT(Data!B2,"MMM-YYYY")</f>
        <v>Oct-2024</v>
      </c>
      <c r="C2" s="4" t="str">
        <f>TEXT(D2, "MMM-YYYY")</f>
        <v>Mar-2024</v>
      </c>
      <c r="D2" s="12">
        <f>_xlfn.MINIFS(A2:A2, G2:G2,G2)</f>
        <v>45362</v>
      </c>
      <c r="E2" s="4" t="str">
        <f t="shared" ref="E2:E65" si="0">"Q"&amp;ROUNDUP(MONTH(A2)/3,0)&amp;"-"&amp;YEAR(A2)</f>
        <v>Q1-2024</v>
      </c>
      <c r="F2" t="s">
        <v>16</v>
      </c>
      <c r="G2" t="s">
        <v>17</v>
      </c>
      <c r="H2" t="s">
        <v>18</v>
      </c>
      <c r="I2" t="s">
        <v>22</v>
      </c>
      <c r="J2" s="7" t="str">
        <f t="shared" ref="J2:J65" si="1">IF(K2&lt;50, "Low", IF(K2&lt;200, "Medium", "High"))</f>
        <v>High</v>
      </c>
      <c r="K2" s="4">
        <v>608.9</v>
      </c>
      <c r="L2" s="4">
        <v>608.9</v>
      </c>
      <c r="M2" s="4">
        <v>0.112</v>
      </c>
      <c r="N2" s="4">
        <v>9</v>
      </c>
      <c r="O2" s="4">
        <f t="shared" ref="O2:O65" si="2">(L28*N2)*(1-M2)</f>
        <v>1403.9546399999999</v>
      </c>
    </row>
    <row r="3" spans="1:15" x14ac:dyDescent="0.3">
      <c r="A3" s="11">
        <v>45363</v>
      </c>
      <c r="B3" s="4" t="str">
        <f>TEXT(Data!B3,"MMM-YYYY")</f>
        <v>Feb-2023</v>
      </c>
      <c r="C3" s="4" t="str">
        <f t="shared" ref="C3:C66" si="3">TEXT(D3, "MMM-YYYY")</f>
        <v>Mar-2024</v>
      </c>
      <c r="D3" s="12">
        <f t="shared" ref="D3:D66" si="4">_xlfn.MINIFS(A3:A3, G3:G3,G3)</f>
        <v>45363</v>
      </c>
      <c r="E3" s="4" t="str">
        <f t="shared" si="0"/>
        <v>Q1-2024</v>
      </c>
      <c r="F3" t="s">
        <v>16</v>
      </c>
      <c r="G3" t="s">
        <v>25</v>
      </c>
      <c r="H3" t="s">
        <v>26</v>
      </c>
      <c r="I3" t="s">
        <v>30</v>
      </c>
      <c r="J3" s="7" t="str">
        <f t="shared" si="1"/>
        <v>High</v>
      </c>
      <c r="K3" s="4">
        <v>759.33</v>
      </c>
      <c r="L3" s="4">
        <v>759.33</v>
      </c>
      <c r="M3" s="4">
        <v>0.23699999999999999</v>
      </c>
      <c r="N3" s="4">
        <v>31</v>
      </c>
      <c r="O3" s="4">
        <f t="shared" si="2"/>
        <v>17934.41419</v>
      </c>
    </row>
    <row r="4" spans="1:15" x14ac:dyDescent="0.3">
      <c r="A4" s="11">
        <v>45364</v>
      </c>
      <c r="B4" s="4" t="str">
        <f>TEXT(Data!B4,"MMM-YYYY")</f>
        <v>Mar-2025</v>
      </c>
      <c r="C4" s="4" t="str">
        <f t="shared" si="3"/>
        <v>Mar-2024</v>
      </c>
      <c r="D4" s="12">
        <f t="shared" si="4"/>
        <v>45364</v>
      </c>
      <c r="E4" s="4" t="str">
        <f t="shared" si="0"/>
        <v>Q1-2024</v>
      </c>
      <c r="F4" t="s">
        <v>16</v>
      </c>
      <c r="G4" t="s">
        <v>17</v>
      </c>
      <c r="H4" t="s">
        <v>33</v>
      </c>
      <c r="I4" t="s">
        <v>35</v>
      </c>
      <c r="J4" s="7" t="str">
        <f t="shared" si="1"/>
        <v>Low</v>
      </c>
      <c r="K4" s="4">
        <v>-30.66</v>
      </c>
      <c r="L4" s="4">
        <v>-30.66</v>
      </c>
      <c r="M4" s="4">
        <v>0.13100000000000001</v>
      </c>
      <c r="N4" s="4">
        <v>12</v>
      </c>
      <c r="O4" s="4">
        <f t="shared" si="2"/>
        <v>4534.0944</v>
      </c>
    </row>
    <row r="5" spans="1:15" x14ac:dyDescent="0.3">
      <c r="A5" s="11">
        <v>45365</v>
      </c>
      <c r="B5" s="4" t="str">
        <f>TEXT(Data!B5,"MMM-YYYY")</f>
        <v>Dec-2023</v>
      </c>
      <c r="C5" s="4" t="str">
        <f t="shared" si="3"/>
        <v>Mar-2024</v>
      </c>
      <c r="D5" s="12">
        <f t="shared" si="4"/>
        <v>45365</v>
      </c>
      <c r="E5" s="4" t="str">
        <f t="shared" si="0"/>
        <v>Q1-2024</v>
      </c>
      <c r="F5" t="s">
        <v>16</v>
      </c>
      <c r="G5" t="s">
        <v>25</v>
      </c>
      <c r="H5" t="s">
        <v>38</v>
      </c>
      <c r="I5" t="s">
        <v>42</v>
      </c>
      <c r="J5" s="7" t="str">
        <f t="shared" si="1"/>
        <v>High</v>
      </c>
      <c r="K5" s="4">
        <v>255.94</v>
      </c>
      <c r="L5" s="4">
        <v>255.94</v>
      </c>
      <c r="M5" s="4">
        <v>7.1999999999999995E-2</v>
      </c>
      <c r="N5" s="4">
        <v>22</v>
      </c>
      <c r="O5" s="4">
        <f t="shared" si="2"/>
        <v>34016.730880000003</v>
      </c>
    </row>
    <row r="6" spans="1:15" x14ac:dyDescent="0.3">
      <c r="A6" s="11">
        <v>45366</v>
      </c>
      <c r="B6" s="4" t="str">
        <f>TEXT(Data!B6,"MMM-YYYY")</f>
        <v>Jan-2023</v>
      </c>
      <c r="C6" s="4" t="str">
        <f t="shared" si="3"/>
        <v>Mar-2024</v>
      </c>
      <c r="D6" s="12">
        <f t="shared" si="4"/>
        <v>45366</v>
      </c>
      <c r="E6" s="4" t="str">
        <f t="shared" si="0"/>
        <v>Q1-2024</v>
      </c>
      <c r="F6" t="s">
        <v>45</v>
      </c>
      <c r="G6" t="s">
        <v>46</v>
      </c>
      <c r="H6" t="s">
        <v>47</v>
      </c>
      <c r="I6" t="s">
        <v>30</v>
      </c>
      <c r="J6" s="7" t="str">
        <f t="shared" si="1"/>
        <v>High</v>
      </c>
      <c r="K6" s="4">
        <v>813.51</v>
      </c>
      <c r="L6" s="4">
        <v>813.51</v>
      </c>
      <c r="M6" s="4">
        <v>0.10199999999999999</v>
      </c>
      <c r="N6" s="4">
        <v>15</v>
      </c>
      <c r="O6" s="4">
        <f t="shared" si="2"/>
        <v>8510.0765999999985</v>
      </c>
    </row>
    <row r="7" spans="1:15" x14ac:dyDescent="0.3">
      <c r="A7" s="11">
        <v>45367</v>
      </c>
      <c r="B7" s="4" t="str">
        <f>TEXT(Data!B7,"MMM-YYYY")</f>
        <v>Dec-2024</v>
      </c>
      <c r="C7" s="4" t="str">
        <f t="shared" si="3"/>
        <v>Mar-2024</v>
      </c>
      <c r="D7" s="12">
        <f t="shared" si="4"/>
        <v>45367</v>
      </c>
      <c r="E7" s="4" t="str">
        <f t="shared" si="0"/>
        <v>Q1-2024</v>
      </c>
      <c r="F7" t="s">
        <v>52</v>
      </c>
      <c r="G7" t="s">
        <v>53</v>
      </c>
      <c r="H7" t="s">
        <v>54</v>
      </c>
      <c r="I7" t="s">
        <v>57</v>
      </c>
      <c r="J7" s="7" t="str">
        <f t="shared" si="1"/>
        <v>High</v>
      </c>
      <c r="K7" s="4">
        <v>591.67999999999995</v>
      </c>
      <c r="L7" s="4">
        <v>591.67999999999995</v>
      </c>
      <c r="M7" s="4">
        <v>0</v>
      </c>
      <c r="N7" s="4">
        <v>7</v>
      </c>
      <c r="O7" s="4">
        <f t="shared" si="2"/>
        <v>12558.49</v>
      </c>
    </row>
    <row r="8" spans="1:15" x14ac:dyDescent="0.3">
      <c r="A8" s="11">
        <v>45368</v>
      </c>
      <c r="B8" s="4" t="str">
        <f>TEXT(Data!B8,"MMM-YYYY")</f>
        <v>Jan-2023</v>
      </c>
      <c r="C8" s="4" t="str">
        <f t="shared" si="3"/>
        <v>Mar-2024</v>
      </c>
      <c r="D8" s="12">
        <f t="shared" si="4"/>
        <v>45368</v>
      </c>
      <c r="E8" s="4" t="str">
        <f t="shared" si="0"/>
        <v>Q1-2024</v>
      </c>
      <c r="F8" t="s">
        <v>45</v>
      </c>
      <c r="G8" t="s">
        <v>60</v>
      </c>
      <c r="H8" t="s">
        <v>61</v>
      </c>
      <c r="I8" t="s">
        <v>64</v>
      </c>
      <c r="J8" s="7" t="str">
        <f t="shared" si="1"/>
        <v>High</v>
      </c>
      <c r="K8" s="4">
        <v>845.97</v>
      </c>
      <c r="L8" s="4">
        <v>845.97</v>
      </c>
      <c r="M8" s="4">
        <v>0.14699999999999999</v>
      </c>
      <c r="N8" s="4">
        <v>4</v>
      </c>
      <c r="O8" s="4">
        <f t="shared" si="2"/>
        <v>8983.864239999999</v>
      </c>
    </row>
    <row r="9" spans="1:15" x14ac:dyDescent="0.3">
      <c r="A9" s="11">
        <v>45369</v>
      </c>
      <c r="B9" s="4" t="str">
        <f>TEXT(Data!B9,"MMM-YYYY")</f>
        <v>May-2024</v>
      </c>
      <c r="C9" s="4" t="str">
        <f t="shared" si="3"/>
        <v>Mar-2024</v>
      </c>
      <c r="D9" s="12">
        <f t="shared" si="4"/>
        <v>45369</v>
      </c>
      <c r="E9" s="4" t="str">
        <f t="shared" si="0"/>
        <v>Q1-2024</v>
      </c>
      <c r="F9" t="s">
        <v>16</v>
      </c>
      <c r="G9" t="s">
        <v>25</v>
      </c>
      <c r="H9" t="s">
        <v>67</v>
      </c>
      <c r="I9" t="s">
        <v>30</v>
      </c>
      <c r="J9" s="7" t="str">
        <f t="shared" si="1"/>
        <v>Low</v>
      </c>
      <c r="K9" s="4">
        <v>47.22</v>
      </c>
      <c r="L9" s="4">
        <v>47.22</v>
      </c>
      <c r="M9" s="4">
        <v>0.19400000000000001</v>
      </c>
      <c r="N9" s="4">
        <v>18</v>
      </c>
      <c r="O9" s="4">
        <f t="shared" si="2"/>
        <v>19177.399799999999</v>
      </c>
    </row>
    <row r="10" spans="1:15" x14ac:dyDescent="0.3">
      <c r="A10" s="11">
        <v>45370</v>
      </c>
      <c r="B10" s="4" t="str">
        <f>TEXT(Data!B10,"MMM-YYYY")</f>
        <v>May-2025</v>
      </c>
      <c r="C10" s="4" t="str">
        <f t="shared" si="3"/>
        <v>Mar-2024</v>
      </c>
      <c r="D10" s="12">
        <f t="shared" si="4"/>
        <v>45370</v>
      </c>
      <c r="E10" s="4" t="str">
        <f t="shared" si="0"/>
        <v>Q1-2024</v>
      </c>
      <c r="F10" t="s">
        <v>16</v>
      </c>
      <c r="G10" t="s">
        <v>25</v>
      </c>
      <c r="H10" t="s">
        <v>67</v>
      </c>
      <c r="I10" t="s">
        <v>64</v>
      </c>
      <c r="J10" s="7" t="str">
        <f t="shared" si="1"/>
        <v>High</v>
      </c>
      <c r="K10" s="4">
        <v>2530.81</v>
      </c>
      <c r="L10" s="4">
        <v>2530.81</v>
      </c>
      <c r="M10" s="4">
        <v>3.1E-2</v>
      </c>
      <c r="N10" s="4">
        <v>6</v>
      </c>
      <c r="O10" s="4">
        <f t="shared" si="2"/>
        <v>17656.36218</v>
      </c>
    </row>
    <row r="11" spans="1:15" x14ac:dyDescent="0.3">
      <c r="A11" s="11">
        <v>45371</v>
      </c>
      <c r="B11" s="4" t="str">
        <f>TEXT(Data!B11,"MMM-YYYY")</f>
        <v>Jan-2024</v>
      </c>
      <c r="C11" s="4" t="str">
        <f t="shared" si="3"/>
        <v>Mar-2024</v>
      </c>
      <c r="D11" s="12">
        <f t="shared" si="4"/>
        <v>45371</v>
      </c>
      <c r="E11" s="4" t="str">
        <f t="shared" si="0"/>
        <v>Q1-2024</v>
      </c>
      <c r="F11" t="s">
        <v>52</v>
      </c>
      <c r="G11" t="s">
        <v>73</v>
      </c>
      <c r="H11" t="s">
        <v>74</v>
      </c>
      <c r="I11" t="s">
        <v>22</v>
      </c>
      <c r="J11" s="7" t="str">
        <f t="shared" si="1"/>
        <v>High</v>
      </c>
      <c r="K11" s="4">
        <v>2309.56</v>
      </c>
      <c r="L11" s="4">
        <v>2309.56</v>
      </c>
      <c r="M11" s="4">
        <v>0.14899999999999999</v>
      </c>
      <c r="N11" s="4">
        <v>31</v>
      </c>
      <c r="O11" s="4">
        <f t="shared" si="2"/>
        <v>5259.5799699999998</v>
      </c>
    </row>
    <row r="12" spans="1:15" x14ac:dyDescent="0.3">
      <c r="A12" s="11">
        <v>45372</v>
      </c>
      <c r="B12" s="4" t="str">
        <f>TEXT(Data!B12,"MMM-YYYY")</f>
        <v>Jan-2025</v>
      </c>
      <c r="C12" s="4" t="str">
        <f t="shared" si="3"/>
        <v>Mar-2024</v>
      </c>
      <c r="D12" s="12">
        <f t="shared" si="4"/>
        <v>45372</v>
      </c>
      <c r="E12" s="4" t="str">
        <f t="shared" si="0"/>
        <v>Q1-2024</v>
      </c>
      <c r="F12" t="s">
        <v>78</v>
      </c>
      <c r="G12" t="s">
        <v>79</v>
      </c>
      <c r="H12" t="s">
        <v>80</v>
      </c>
      <c r="I12" t="s">
        <v>81</v>
      </c>
      <c r="J12" s="7" t="str">
        <f t="shared" si="1"/>
        <v>High</v>
      </c>
      <c r="K12" s="4">
        <v>700.12</v>
      </c>
      <c r="L12" s="4">
        <v>700.12</v>
      </c>
      <c r="M12" s="4">
        <v>6.0000000000000001E-3</v>
      </c>
      <c r="N12" s="4">
        <v>23</v>
      </c>
      <c r="O12" s="4">
        <f t="shared" si="2"/>
        <v>21204.733619999999</v>
      </c>
    </row>
    <row r="13" spans="1:15" x14ac:dyDescent="0.3">
      <c r="A13" s="11">
        <v>45373</v>
      </c>
      <c r="B13" s="4" t="str">
        <f>TEXT(Data!B13,"MMM-YYYY")</f>
        <v>Mar-2025</v>
      </c>
      <c r="C13" s="4" t="str">
        <f t="shared" si="3"/>
        <v>Mar-2024</v>
      </c>
      <c r="D13" s="12">
        <f t="shared" si="4"/>
        <v>45373</v>
      </c>
      <c r="E13" s="4" t="str">
        <f t="shared" si="0"/>
        <v>Q1-2024</v>
      </c>
      <c r="F13" t="s">
        <v>45</v>
      </c>
      <c r="G13" t="s">
        <v>46</v>
      </c>
      <c r="H13" t="s">
        <v>47</v>
      </c>
      <c r="I13" t="s">
        <v>42</v>
      </c>
      <c r="J13" s="7" t="str">
        <f t="shared" si="1"/>
        <v>High</v>
      </c>
      <c r="K13" s="4">
        <v>691.37</v>
      </c>
      <c r="L13" s="4">
        <v>691.37</v>
      </c>
      <c r="M13" s="4">
        <v>0.25</v>
      </c>
      <c r="N13" s="4">
        <v>20</v>
      </c>
      <c r="O13" s="4">
        <f t="shared" si="2"/>
        <v>26031.15</v>
      </c>
    </row>
    <row r="14" spans="1:15" x14ac:dyDescent="0.3">
      <c r="A14" s="11">
        <v>45374</v>
      </c>
      <c r="B14" s="4" t="str">
        <f>TEXT(Data!B14,"MMM-YYYY")</f>
        <v>Jan-2024</v>
      </c>
      <c r="C14" s="4" t="str">
        <f t="shared" si="3"/>
        <v>Mar-2024</v>
      </c>
      <c r="D14" s="12">
        <f t="shared" si="4"/>
        <v>45374</v>
      </c>
      <c r="E14" s="4" t="str">
        <f t="shared" si="0"/>
        <v>Q1-2024</v>
      </c>
      <c r="F14" t="s">
        <v>52</v>
      </c>
      <c r="G14" t="s">
        <v>73</v>
      </c>
      <c r="H14" t="s">
        <v>87</v>
      </c>
      <c r="I14" t="s">
        <v>22</v>
      </c>
      <c r="J14" s="7" t="str">
        <f t="shared" si="1"/>
        <v>High</v>
      </c>
      <c r="K14" s="4">
        <v>548.4</v>
      </c>
      <c r="L14" s="4">
        <v>548.4</v>
      </c>
      <c r="M14" s="4">
        <v>9.4E-2</v>
      </c>
      <c r="N14" s="4">
        <v>10</v>
      </c>
      <c r="O14" s="4">
        <f t="shared" si="2"/>
        <v>12644.498400000002</v>
      </c>
    </row>
    <row r="15" spans="1:15" x14ac:dyDescent="0.3">
      <c r="A15" s="11">
        <v>45375</v>
      </c>
      <c r="B15" s="4" t="str">
        <f>TEXT(Data!B15,"MMM-YYYY")</f>
        <v>Sep-2025</v>
      </c>
      <c r="C15" s="4" t="str">
        <f t="shared" si="3"/>
        <v>Mar-2024</v>
      </c>
      <c r="D15" s="12">
        <f t="shared" si="4"/>
        <v>45375</v>
      </c>
      <c r="E15" s="4" t="str">
        <f t="shared" si="0"/>
        <v>Q1-2024</v>
      </c>
      <c r="F15" t="s">
        <v>78</v>
      </c>
      <c r="G15" t="s">
        <v>90</v>
      </c>
      <c r="H15" t="s">
        <v>91</v>
      </c>
      <c r="I15" t="s">
        <v>30</v>
      </c>
      <c r="J15" s="7" t="str">
        <f t="shared" si="1"/>
        <v>High</v>
      </c>
      <c r="K15" s="4">
        <v>1439.01</v>
      </c>
      <c r="L15" s="4">
        <v>1439.01</v>
      </c>
      <c r="M15" s="4">
        <v>0</v>
      </c>
      <c r="N15" s="4">
        <v>15</v>
      </c>
      <c r="O15" s="4">
        <f t="shared" si="2"/>
        <v>6816.3</v>
      </c>
    </row>
    <row r="16" spans="1:15" x14ac:dyDescent="0.3">
      <c r="A16" s="11">
        <v>45376</v>
      </c>
      <c r="B16" s="4" t="str">
        <f>TEXT(Data!B16,"MMM-YYYY")</f>
        <v>Apr-2023</v>
      </c>
      <c r="C16" s="4" t="str">
        <f t="shared" si="3"/>
        <v>Mar-2024</v>
      </c>
      <c r="D16" s="12">
        <f t="shared" si="4"/>
        <v>45376</v>
      </c>
      <c r="E16" s="4" t="str">
        <f t="shared" si="0"/>
        <v>Q1-2024</v>
      </c>
      <c r="F16" t="s">
        <v>52</v>
      </c>
      <c r="G16" t="s">
        <v>73</v>
      </c>
      <c r="H16" t="s">
        <v>87</v>
      </c>
      <c r="I16" t="s">
        <v>81</v>
      </c>
      <c r="J16" s="7" t="str">
        <f t="shared" si="1"/>
        <v>High</v>
      </c>
      <c r="K16" s="4">
        <v>631.57000000000005</v>
      </c>
      <c r="L16" s="4">
        <v>631.57000000000005</v>
      </c>
      <c r="M16" s="4">
        <v>0</v>
      </c>
      <c r="N16" s="4">
        <v>12</v>
      </c>
      <c r="O16" s="4">
        <f t="shared" si="2"/>
        <v>18971.64</v>
      </c>
    </row>
    <row r="17" spans="1:15" x14ac:dyDescent="0.3">
      <c r="A17" s="11">
        <v>45377</v>
      </c>
      <c r="B17" s="4" t="str">
        <f>TEXT(Data!B17,"MMM-YYYY")</f>
        <v>Dec-2024</v>
      </c>
      <c r="C17" s="4" t="str">
        <f t="shared" si="3"/>
        <v>Mar-2024</v>
      </c>
      <c r="D17" s="12">
        <f t="shared" si="4"/>
        <v>45377</v>
      </c>
      <c r="E17" s="4" t="str">
        <f t="shared" si="0"/>
        <v>Q1-2024</v>
      </c>
      <c r="F17" t="s">
        <v>16</v>
      </c>
      <c r="G17" t="s">
        <v>17</v>
      </c>
      <c r="H17" t="s">
        <v>33</v>
      </c>
      <c r="I17" t="s">
        <v>57</v>
      </c>
      <c r="J17" s="7" t="str">
        <f t="shared" si="1"/>
        <v>High</v>
      </c>
      <c r="K17" s="4">
        <v>850.8</v>
      </c>
      <c r="L17" s="4">
        <v>850.8</v>
      </c>
      <c r="M17" s="4">
        <v>7.3999999999999996E-2</v>
      </c>
      <c r="N17" s="4">
        <v>9</v>
      </c>
      <c r="O17" s="4">
        <f t="shared" si="2"/>
        <v>14666.089860000002</v>
      </c>
    </row>
    <row r="18" spans="1:15" x14ac:dyDescent="0.3">
      <c r="A18" s="11">
        <v>45378</v>
      </c>
      <c r="B18" s="4" t="str">
        <f>TEXT(Data!B18,"MMM-YYYY")</f>
        <v>Sep-2025</v>
      </c>
      <c r="C18" s="4" t="str">
        <f t="shared" si="3"/>
        <v>Mar-2024</v>
      </c>
      <c r="D18" s="12">
        <f t="shared" si="4"/>
        <v>45378</v>
      </c>
      <c r="E18" s="4" t="str">
        <f t="shared" si="0"/>
        <v>Q1-2024</v>
      </c>
      <c r="F18" t="s">
        <v>78</v>
      </c>
      <c r="G18" t="s">
        <v>90</v>
      </c>
      <c r="H18" t="s">
        <v>91</v>
      </c>
      <c r="I18" t="s">
        <v>30</v>
      </c>
      <c r="J18" s="7" t="str">
        <f t="shared" si="1"/>
        <v>High</v>
      </c>
      <c r="K18" s="4">
        <v>1040.0999999999999</v>
      </c>
      <c r="L18" s="4">
        <v>1040.0999999999999</v>
      </c>
      <c r="M18" s="4">
        <v>0.109</v>
      </c>
      <c r="N18" s="4">
        <v>28</v>
      </c>
      <c r="O18" s="4">
        <f t="shared" si="2"/>
        <v>79945.865999999995</v>
      </c>
    </row>
    <row r="19" spans="1:15" x14ac:dyDescent="0.3">
      <c r="A19" s="11">
        <v>45379</v>
      </c>
      <c r="B19" s="4" t="str">
        <f>TEXT(Data!B19,"MMM-YYYY")</f>
        <v>Jul-2025</v>
      </c>
      <c r="C19" s="4" t="str">
        <f t="shared" si="3"/>
        <v>Mar-2024</v>
      </c>
      <c r="D19" s="12">
        <f t="shared" si="4"/>
        <v>45379</v>
      </c>
      <c r="E19" s="4" t="str">
        <f t="shared" si="0"/>
        <v>Q1-2024</v>
      </c>
      <c r="F19" t="s">
        <v>45</v>
      </c>
      <c r="G19" t="s">
        <v>46</v>
      </c>
      <c r="H19" t="s">
        <v>47</v>
      </c>
      <c r="I19" t="s">
        <v>42</v>
      </c>
      <c r="J19" s="7" t="str">
        <f t="shared" si="1"/>
        <v>High</v>
      </c>
      <c r="K19" s="4">
        <v>2705.57</v>
      </c>
      <c r="L19" s="4">
        <v>2705.57</v>
      </c>
      <c r="M19" s="4">
        <v>0.183</v>
      </c>
      <c r="N19" s="4">
        <v>16</v>
      </c>
      <c r="O19" s="4">
        <f t="shared" si="2"/>
        <v>14842.34096</v>
      </c>
    </row>
    <row r="20" spans="1:15" x14ac:dyDescent="0.3">
      <c r="A20" s="11">
        <v>45380</v>
      </c>
      <c r="B20" s="4" t="str">
        <f>TEXT(Data!B20,"MMM-YYYY")</f>
        <v>May-2025</v>
      </c>
      <c r="C20" s="4" t="str">
        <f t="shared" si="3"/>
        <v>Mar-2024</v>
      </c>
      <c r="D20" s="12">
        <f t="shared" si="4"/>
        <v>45380</v>
      </c>
      <c r="E20" s="4" t="str">
        <f t="shared" si="0"/>
        <v>Q1-2024</v>
      </c>
      <c r="F20" t="s">
        <v>52</v>
      </c>
      <c r="G20" t="s">
        <v>73</v>
      </c>
      <c r="H20" t="s">
        <v>87</v>
      </c>
      <c r="I20" t="s">
        <v>81</v>
      </c>
      <c r="J20" s="7" t="str">
        <f t="shared" si="1"/>
        <v>High</v>
      </c>
      <c r="K20" s="4">
        <v>2375.37</v>
      </c>
      <c r="L20" s="4">
        <v>2375.37</v>
      </c>
      <c r="M20" s="4">
        <v>0.109</v>
      </c>
      <c r="N20" s="4">
        <v>18</v>
      </c>
      <c r="O20" s="4">
        <f t="shared" si="2"/>
        <v>15979.62168</v>
      </c>
    </row>
    <row r="21" spans="1:15" x14ac:dyDescent="0.3">
      <c r="A21" s="11">
        <v>45381</v>
      </c>
      <c r="B21" s="4" t="str">
        <f>TEXT(Data!B21,"MMM-YYYY")</f>
        <v>Jul-2024</v>
      </c>
      <c r="C21" s="4" t="str">
        <f t="shared" si="3"/>
        <v>Mar-2024</v>
      </c>
      <c r="D21" s="12">
        <f t="shared" si="4"/>
        <v>45381</v>
      </c>
      <c r="E21" s="4" t="str">
        <f t="shared" si="0"/>
        <v>Q1-2024</v>
      </c>
      <c r="F21" t="s">
        <v>78</v>
      </c>
      <c r="G21" t="s">
        <v>108</v>
      </c>
      <c r="H21" t="s">
        <v>109</v>
      </c>
      <c r="I21" t="s">
        <v>57</v>
      </c>
      <c r="J21" s="7" t="str">
        <f t="shared" si="1"/>
        <v>High</v>
      </c>
      <c r="K21" s="4">
        <v>2148.14</v>
      </c>
      <c r="L21" s="4">
        <v>2148.14</v>
      </c>
      <c r="M21" s="4">
        <v>3.7999999999999999E-2</v>
      </c>
      <c r="N21" s="4">
        <v>19</v>
      </c>
      <c r="O21" s="4">
        <f t="shared" si="2"/>
        <v>25535.279900000001</v>
      </c>
    </row>
    <row r="22" spans="1:15" x14ac:dyDescent="0.3">
      <c r="A22" s="11">
        <v>45382</v>
      </c>
      <c r="B22" s="4" t="str">
        <f>TEXT(Data!B22,"MMM-YYYY")</f>
        <v>May-2023</v>
      </c>
      <c r="C22" s="4" t="str">
        <f t="shared" si="3"/>
        <v>Mar-2024</v>
      </c>
      <c r="D22" s="12">
        <f t="shared" si="4"/>
        <v>45382</v>
      </c>
      <c r="E22" s="4" t="str">
        <f t="shared" si="0"/>
        <v>Q1-2024</v>
      </c>
      <c r="F22" t="s">
        <v>16</v>
      </c>
      <c r="G22" t="s">
        <v>17</v>
      </c>
      <c r="H22" t="s">
        <v>113</v>
      </c>
      <c r="I22" t="s">
        <v>57</v>
      </c>
      <c r="J22" s="7" t="str">
        <f t="shared" si="1"/>
        <v>High</v>
      </c>
      <c r="K22" s="4">
        <v>3661.07</v>
      </c>
      <c r="L22" s="4">
        <v>3661.07</v>
      </c>
      <c r="M22" s="4">
        <v>7.1999999999999995E-2</v>
      </c>
      <c r="N22" s="4">
        <v>7</v>
      </c>
      <c r="O22" s="4">
        <f t="shared" si="2"/>
        <v>3565.5894400000002</v>
      </c>
    </row>
    <row r="23" spans="1:15" x14ac:dyDescent="0.3">
      <c r="A23" s="11">
        <v>45383</v>
      </c>
      <c r="B23" s="4" t="str">
        <f>TEXT(Data!B23,"MMM-YYYY")</f>
        <v>Jun-2025</v>
      </c>
      <c r="C23" s="4" t="str">
        <f t="shared" si="3"/>
        <v>Apr-2024</v>
      </c>
      <c r="D23" s="12">
        <f t="shared" si="4"/>
        <v>45383</v>
      </c>
      <c r="E23" s="4" t="str">
        <f t="shared" si="0"/>
        <v>Q2-2024</v>
      </c>
      <c r="F23" t="s">
        <v>45</v>
      </c>
      <c r="G23" t="s">
        <v>116</v>
      </c>
      <c r="H23" t="s">
        <v>117</v>
      </c>
      <c r="I23" t="s">
        <v>35</v>
      </c>
      <c r="J23" s="7" t="str">
        <f t="shared" si="1"/>
        <v>High</v>
      </c>
      <c r="K23" s="4">
        <v>2903.09</v>
      </c>
      <c r="L23" s="4">
        <v>2903.09</v>
      </c>
      <c r="M23" s="4">
        <v>0.14299999999999999</v>
      </c>
      <c r="N23" s="4">
        <v>8</v>
      </c>
      <c r="O23" s="4">
        <f t="shared" si="2"/>
        <v>24160.543999999998</v>
      </c>
    </row>
    <row r="24" spans="1:15" x14ac:dyDescent="0.3">
      <c r="A24" s="11">
        <v>45384</v>
      </c>
      <c r="B24" s="4" t="str">
        <f>TEXT(Data!B24,"MMM-YYYY")</f>
        <v>May-2024</v>
      </c>
      <c r="C24" s="4" t="str">
        <f t="shared" si="3"/>
        <v>Apr-2024</v>
      </c>
      <c r="D24" s="12">
        <f t="shared" si="4"/>
        <v>45384</v>
      </c>
      <c r="E24" s="4" t="str">
        <f t="shared" si="0"/>
        <v>Q2-2024</v>
      </c>
      <c r="F24" t="s">
        <v>16</v>
      </c>
      <c r="G24" t="s">
        <v>25</v>
      </c>
      <c r="H24" t="s">
        <v>26</v>
      </c>
      <c r="I24" t="s">
        <v>81</v>
      </c>
      <c r="J24" s="7" t="str">
        <f t="shared" si="1"/>
        <v>High</v>
      </c>
      <c r="K24" s="4">
        <v>1242.8399999999999</v>
      </c>
      <c r="L24" s="4">
        <v>1242.8399999999999</v>
      </c>
      <c r="M24" s="4">
        <v>0.12</v>
      </c>
      <c r="N24" s="4">
        <v>10</v>
      </c>
      <c r="O24" s="4">
        <f t="shared" si="2"/>
        <v>16065.367999999999</v>
      </c>
    </row>
    <row r="25" spans="1:15" x14ac:dyDescent="0.3">
      <c r="A25" s="11">
        <v>45385</v>
      </c>
      <c r="B25" s="4" t="str">
        <f>TEXT(Data!B25,"MMM-YYYY")</f>
        <v>Feb-2023</v>
      </c>
      <c r="C25" s="4" t="str">
        <f t="shared" si="3"/>
        <v>Apr-2024</v>
      </c>
      <c r="D25" s="12">
        <f t="shared" si="4"/>
        <v>45385</v>
      </c>
      <c r="E25" s="4" t="str">
        <f t="shared" si="0"/>
        <v>Q2-2024</v>
      </c>
      <c r="F25" t="s">
        <v>52</v>
      </c>
      <c r="G25" t="s">
        <v>122</v>
      </c>
      <c r="H25" t="s">
        <v>123</v>
      </c>
      <c r="I25" t="s">
        <v>57</v>
      </c>
      <c r="J25" s="7" t="str">
        <f t="shared" si="1"/>
        <v>High</v>
      </c>
      <c r="K25" s="4">
        <v>2553.69</v>
      </c>
      <c r="L25" s="4">
        <v>2553.69</v>
      </c>
      <c r="M25" s="4">
        <v>0.01</v>
      </c>
      <c r="N25" s="4">
        <v>8</v>
      </c>
      <c r="O25" s="4">
        <f t="shared" si="2"/>
        <v>14187.650399999999</v>
      </c>
    </row>
    <row r="26" spans="1:15" x14ac:dyDescent="0.3">
      <c r="A26" s="11">
        <v>45386</v>
      </c>
      <c r="B26" s="4" t="str">
        <f>TEXT(Data!B26,"MMM-YYYY")</f>
        <v>Jun-2024</v>
      </c>
      <c r="C26" s="4" t="str">
        <f t="shared" si="3"/>
        <v>Apr-2024</v>
      </c>
      <c r="D26" s="12">
        <f t="shared" si="4"/>
        <v>45386</v>
      </c>
      <c r="E26" s="4" t="str">
        <f t="shared" si="0"/>
        <v>Q2-2024</v>
      </c>
      <c r="F26" t="s">
        <v>52</v>
      </c>
      <c r="G26" t="s">
        <v>73</v>
      </c>
      <c r="H26" t="s">
        <v>74</v>
      </c>
      <c r="I26" t="s">
        <v>22</v>
      </c>
      <c r="J26" s="7" t="str">
        <f t="shared" si="1"/>
        <v>High</v>
      </c>
      <c r="K26" s="4">
        <v>2089.16</v>
      </c>
      <c r="L26" s="4">
        <v>2089.16</v>
      </c>
      <c r="M26" s="4">
        <v>7.0000000000000001E-3</v>
      </c>
      <c r="N26" s="4">
        <v>12</v>
      </c>
      <c r="O26" s="4">
        <f t="shared" si="2"/>
        <v>31336.100999999999</v>
      </c>
    </row>
    <row r="27" spans="1:15" x14ac:dyDescent="0.3">
      <c r="A27" s="11">
        <v>45387</v>
      </c>
      <c r="B27" s="4" t="str">
        <f>TEXT(Data!B27,"MMM-YYYY")</f>
        <v>Nov-2024</v>
      </c>
      <c r="C27" s="4" t="str">
        <f t="shared" si="3"/>
        <v>Apr-2024</v>
      </c>
      <c r="D27" s="12">
        <f t="shared" si="4"/>
        <v>45387</v>
      </c>
      <c r="E27" s="4" t="str">
        <f t="shared" si="0"/>
        <v>Q2-2024</v>
      </c>
      <c r="F27" t="s">
        <v>52</v>
      </c>
      <c r="G27" t="s">
        <v>73</v>
      </c>
      <c r="H27" t="s">
        <v>87</v>
      </c>
      <c r="I27" t="s">
        <v>81</v>
      </c>
      <c r="J27" s="7" t="str">
        <f t="shared" si="1"/>
        <v>High</v>
      </c>
      <c r="K27" s="4">
        <v>2583.02</v>
      </c>
      <c r="L27" s="4">
        <v>2583.02</v>
      </c>
      <c r="M27" s="4">
        <v>0.16800000000000001</v>
      </c>
      <c r="N27" s="4">
        <v>4</v>
      </c>
      <c r="O27" s="4">
        <f t="shared" si="2"/>
        <v>353.76639999999998</v>
      </c>
    </row>
    <row r="28" spans="1:15" x14ac:dyDescent="0.3">
      <c r="A28" s="11">
        <v>45388</v>
      </c>
      <c r="B28" s="4" t="str">
        <f>TEXT(Data!B28,"MMM-YYYY")</f>
        <v>Jul-2024</v>
      </c>
      <c r="C28" s="4" t="str">
        <f t="shared" si="3"/>
        <v>Apr-2024</v>
      </c>
      <c r="D28" s="12">
        <f t="shared" si="4"/>
        <v>45388</v>
      </c>
      <c r="E28" s="4" t="str">
        <f t="shared" si="0"/>
        <v>Q2-2024</v>
      </c>
      <c r="F28" t="s">
        <v>78</v>
      </c>
      <c r="G28" t="s">
        <v>90</v>
      </c>
      <c r="H28" t="s">
        <v>91</v>
      </c>
      <c r="I28" t="s">
        <v>30</v>
      </c>
      <c r="J28" s="7" t="str">
        <f t="shared" si="1"/>
        <v>Medium</v>
      </c>
      <c r="K28" s="4">
        <v>175.67</v>
      </c>
      <c r="L28" s="4">
        <v>175.67</v>
      </c>
      <c r="M28" s="4">
        <v>0</v>
      </c>
      <c r="N28" s="4">
        <v>10</v>
      </c>
      <c r="O28" s="4">
        <f t="shared" si="2"/>
        <v>3857.2000000000003</v>
      </c>
    </row>
    <row r="29" spans="1:15" x14ac:dyDescent="0.3">
      <c r="A29" s="11">
        <v>45389</v>
      </c>
      <c r="B29" s="4" t="str">
        <f>TEXT(Data!B29,"MMM-YYYY")</f>
        <v>Apr-2023</v>
      </c>
      <c r="C29" s="4" t="str">
        <f t="shared" si="3"/>
        <v>Apr-2024</v>
      </c>
      <c r="D29" s="12">
        <f t="shared" si="4"/>
        <v>45389</v>
      </c>
      <c r="E29" s="4" t="str">
        <f t="shared" si="0"/>
        <v>Q2-2024</v>
      </c>
      <c r="F29" t="s">
        <v>16</v>
      </c>
      <c r="G29" t="s">
        <v>17</v>
      </c>
      <c r="H29" t="s">
        <v>18</v>
      </c>
      <c r="I29" t="s">
        <v>42</v>
      </c>
      <c r="J29" s="7" t="str">
        <f t="shared" si="1"/>
        <v>High</v>
      </c>
      <c r="K29" s="4">
        <v>758.23</v>
      </c>
      <c r="L29" s="4">
        <v>758.23</v>
      </c>
      <c r="M29" s="4">
        <v>0.125</v>
      </c>
      <c r="N29" s="4">
        <v>6</v>
      </c>
      <c r="O29" s="4">
        <f t="shared" si="2"/>
        <v>1243.5675000000001</v>
      </c>
    </row>
    <row r="30" spans="1:15" x14ac:dyDescent="0.3">
      <c r="A30" s="11">
        <v>45390</v>
      </c>
      <c r="B30" s="4" t="str">
        <f>TEXT(Data!B30,"MMM-YYYY")</f>
        <v>Apr-2025</v>
      </c>
      <c r="C30" s="4" t="str">
        <f t="shared" si="3"/>
        <v>Apr-2024</v>
      </c>
      <c r="D30" s="12">
        <f t="shared" si="4"/>
        <v>45390</v>
      </c>
      <c r="E30" s="4" t="str">
        <f t="shared" si="0"/>
        <v>Q2-2024</v>
      </c>
      <c r="F30" t="s">
        <v>16</v>
      </c>
      <c r="G30" t="s">
        <v>17</v>
      </c>
      <c r="H30" t="s">
        <v>135</v>
      </c>
      <c r="I30" t="s">
        <v>42</v>
      </c>
      <c r="J30" s="7" t="str">
        <f t="shared" si="1"/>
        <v>High</v>
      </c>
      <c r="K30" s="4">
        <v>434.8</v>
      </c>
      <c r="L30" s="4">
        <v>434.8</v>
      </c>
      <c r="M30" s="4">
        <v>0</v>
      </c>
      <c r="N30" s="4">
        <v>9</v>
      </c>
      <c r="O30" s="4">
        <f t="shared" si="2"/>
        <v>377.09999999999997</v>
      </c>
    </row>
    <row r="31" spans="1:15" x14ac:dyDescent="0.3">
      <c r="A31" s="11">
        <v>45391</v>
      </c>
      <c r="B31" s="4" t="str">
        <f>TEXT(Data!B31,"MMM-YYYY")</f>
        <v>Dec-2024</v>
      </c>
      <c r="C31" s="4" t="str">
        <f t="shared" si="3"/>
        <v>Apr-2024</v>
      </c>
      <c r="D31" s="12">
        <f t="shared" si="4"/>
        <v>45391</v>
      </c>
      <c r="E31" s="4" t="str">
        <f t="shared" si="0"/>
        <v>Q2-2024</v>
      </c>
      <c r="F31" t="s">
        <v>78</v>
      </c>
      <c r="G31" t="s">
        <v>90</v>
      </c>
      <c r="H31" t="s">
        <v>138</v>
      </c>
      <c r="I31" t="s">
        <v>35</v>
      </c>
      <c r="J31" s="7" t="str">
        <f t="shared" si="1"/>
        <v>High</v>
      </c>
      <c r="K31" s="4">
        <v>1666.18</v>
      </c>
      <c r="L31" s="4">
        <v>1666.18</v>
      </c>
      <c r="M31" s="4">
        <v>0.13900000000000001</v>
      </c>
      <c r="N31" s="4">
        <v>14</v>
      </c>
      <c r="O31" s="4">
        <f t="shared" si="2"/>
        <v>11781.338519999999</v>
      </c>
    </row>
    <row r="32" spans="1:15" x14ac:dyDescent="0.3">
      <c r="A32" s="11">
        <v>45392</v>
      </c>
      <c r="B32" s="4" t="str">
        <f>TEXT(Data!B32,"MMM-YYYY")</f>
        <v>Feb-2023</v>
      </c>
      <c r="C32" s="4" t="str">
        <f t="shared" si="3"/>
        <v>Apr-2024</v>
      </c>
      <c r="D32" s="12">
        <f t="shared" si="4"/>
        <v>45392</v>
      </c>
      <c r="E32" s="4" t="str">
        <f t="shared" si="0"/>
        <v>Q2-2024</v>
      </c>
      <c r="F32" t="s">
        <v>45</v>
      </c>
      <c r="G32" t="s">
        <v>60</v>
      </c>
      <c r="H32" t="s">
        <v>141</v>
      </c>
      <c r="I32" t="s">
        <v>22</v>
      </c>
      <c r="J32" s="7" t="str">
        <f t="shared" si="1"/>
        <v>High</v>
      </c>
      <c r="K32" s="4">
        <v>631.78</v>
      </c>
      <c r="L32" s="4">
        <v>631.78</v>
      </c>
      <c r="M32" s="4">
        <v>8.6999999999999994E-2</v>
      </c>
      <c r="N32" s="4">
        <v>17</v>
      </c>
      <c r="O32" s="4">
        <f t="shared" si="2"/>
        <v>43367.691729999999</v>
      </c>
    </row>
    <row r="33" spans="1:15" x14ac:dyDescent="0.3">
      <c r="A33" s="11">
        <v>45393</v>
      </c>
      <c r="B33" s="4" t="str">
        <f>TEXT(Data!B33,"MMM-YYYY")</f>
        <v>Jul-2025</v>
      </c>
      <c r="C33" s="4" t="str">
        <f t="shared" si="3"/>
        <v>Apr-2024</v>
      </c>
      <c r="D33" s="12">
        <f t="shared" si="4"/>
        <v>45393</v>
      </c>
      <c r="E33" s="4" t="str">
        <f t="shared" si="0"/>
        <v>Q2-2024</v>
      </c>
      <c r="F33" t="s">
        <v>52</v>
      </c>
      <c r="G33" t="s">
        <v>53</v>
      </c>
      <c r="H33" t="s">
        <v>144</v>
      </c>
      <c r="I33" t="s">
        <v>42</v>
      </c>
      <c r="J33" s="7" t="str">
        <f t="shared" si="1"/>
        <v>High</v>
      </c>
      <c r="K33" s="4">
        <v>1794.07</v>
      </c>
      <c r="L33" s="4">
        <v>1794.07</v>
      </c>
      <c r="M33" s="4">
        <v>8.8999999999999996E-2</v>
      </c>
      <c r="N33" s="4">
        <v>16</v>
      </c>
      <c r="O33" s="4">
        <f t="shared" si="2"/>
        <v>10231.623200000002</v>
      </c>
    </row>
    <row r="34" spans="1:15" x14ac:dyDescent="0.3">
      <c r="A34" s="11">
        <v>45394</v>
      </c>
      <c r="B34" s="4" t="str">
        <f>TEXT(Data!B34,"MMM-YYYY")</f>
        <v>Apr-2024</v>
      </c>
      <c r="C34" s="4" t="str">
        <f t="shared" si="3"/>
        <v>Apr-2024</v>
      </c>
      <c r="D34" s="12">
        <f t="shared" si="4"/>
        <v>45394</v>
      </c>
      <c r="E34" s="4" t="str">
        <f t="shared" si="0"/>
        <v>Q2-2024</v>
      </c>
      <c r="F34" t="s">
        <v>16</v>
      </c>
      <c r="G34" t="s">
        <v>148</v>
      </c>
      <c r="H34" t="s">
        <v>149</v>
      </c>
      <c r="I34" t="s">
        <v>35</v>
      </c>
      <c r="J34" s="7" t="str">
        <f t="shared" si="1"/>
        <v>High</v>
      </c>
      <c r="K34" s="4">
        <v>2633.02</v>
      </c>
      <c r="L34" s="4">
        <v>2633.02</v>
      </c>
      <c r="M34" s="4">
        <v>8.4000000000000005E-2</v>
      </c>
      <c r="N34" s="4">
        <v>4</v>
      </c>
      <c r="O34" s="4">
        <f t="shared" si="2"/>
        <v>-19.309279999999998</v>
      </c>
    </row>
    <row r="35" spans="1:15" x14ac:dyDescent="0.3">
      <c r="A35" s="11">
        <v>45395</v>
      </c>
      <c r="B35" s="4" t="str">
        <f>TEXT(Data!B35,"MMM-YYYY")</f>
        <v>Aug-2024</v>
      </c>
      <c r="C35" s="4" t="str">
        <f t="shared" si="3"/>
        <v>Apr-2024</v>
      </c>
      <c r="D35" s="12">
        <f t="shared" si="4"/>
        <v>45395</v>
      </c>
      <c r="E35" s="4" t="str">
        <f t="shared" si="0"/>
        <v>Q2-2024</v>
      </c>
      <c r="F35" t="s">
        <v>78</v>
      </c>
      <c r="G35" t="s">
        <v>108</v>
      </c>
      <c r="H35" t="s">
        <v>152</v>
      </c>
      <c r="I35" t="s">
        <v>57</v>
      </c>
      <c r="J35" s="7" t="str">
        <f t="shared" si="1"/>
        <v>High</v>
      </c>
      <c r="K35" s="4">
        <v>1321.85</v>
      </c>
      <c r="L35" s="4">
        <v>1321.85</v>
      </c>
      <c r="M35" s="4">
        <v>0</v>
      </c>
      <c r="N35" s="4">
        <v>10</v>
      </c>
      <c r="O35" s="4">
        <f t="shared" si="2"/>
        <v>14370.599999999999</v>
      </c>
    </row>
    <row r="36" spans="1:15" x14ac:dyDescent="0.3">
      <c r="A36" s="11">
        <v>45396</v>
      </c>
      <c r="B36" s="4" t="str">
        <f>TEXT(Data!B36,"MMM-YYYY")</f>
        <v>Mar-2023</v>
      </c>
      <c r="C36" s="4" t="str">
        <f t="shared" si="3"/>
        <v>Apr-2024</v>
      </c>
      <c r="D36" s="12">
        <f t="shared" si="4"/>
        <v>45396</v>
      </c>
      <c r="E36" s="4" t="str">
        <f t="shared" si="0"/>
        <v>Q2-2024</v>
      </c>
      <c r="F36" t="s">
        <v>16</v>
      </c>
      <c r="G36" t="s">
        <v>148</v>
      </c>
      <c r="H36" t="s">
        <v>149</v>
      </c>
      <c r="I36" t="s">
        <v>22</v>
      </c>
      <c r="J36" s="7" t="str">
        <f t="shared" si="1"/>
        <v>High</v>
      </c>
      <c r="K36" s="4">
        <v>3036.87</v>
      </c>
      <c r="L36" s="4">
        <v>3036.87</v>
      </c>
      <c r="M36" s="4">
        <v>0</v>
      </c>
      <c r="N36" s="4">
        <v>9</v>
      </c>
      <c r="O36" s="4">
        <f t="shared" si="2"/>
        <v>17207.010000000002</v>
      </c>
    </row>
    <row r="37" spans="1:15" x14ac:dyDescent="0.3">
      <c r="A37" s="11">
        <v>45397</v>
      </c>
      <c r="B37" s="4" t="str">
        <f>TEXT(Data!B37,"MMM-YYYY")</f>
        <v>Mar-2024</v>
      </c>
      <c r="C37" s="4" t="str">
        <f t="shared" si="3"/>
        <v>Apr-2024</v>
      </c>
      <c r="D37" s="12">
        <f t="shared" si="4"/>
        <v>45397</v>
      </c>
      <c r="E37" s="4" t="str">
        <f t="shared" si="0"/>
        <v>Q2-2024</v>
      </c>
      <c r="F37" t="s">
        <v>45</v>
      </c>
      <c r="G37" t="s">
        <v>60</v>
      </c>
      <c r="H37" t="s">
        <v>141</v>
      </c>
      <c r="I37" t="s">
        <v>30</v>
      </c>
      <c r="J37" s="7" t="str">
        <f t="shared" si="1"/>
        <v>Medium</v>
      </c>
      <c r="K37" s="4">
        <v>199.37</v>
      </c>
      <c r="L37" s="4">
        <v>199.37</v>
      </c>
      <c r="M37" s="4">
        <v>0.10100000000000001</v>
      </c>
      <c r="N37" s="4">
        <v>37</v>
      </c>
      <c r="O37" s="4">
        <f t="shared" si="2"/>
        <v>86276.904139999999</v>
      </c>
    </row>
    <row r="38" spans="1:15" x14ac:dyDescent="0.3">
      <c r="A38" s="11">
        <v>45398</v>
      </c>
      <c r="B38" s="4" t="str">
        <f>TEXT(Data!B38,"MMM-YYYY")</f>
        <v>Jun-2025</v>
      </c>
      <c r="C38" s="4" t="str">
        <f t="shared" si="3"/>
        <v>Apr-2024</v>
      </c>
      <c r="D38" s="12">
        <f t="shared" si="4"/>
        <v>45398</v>
      </c>
      <c r="E38" s="4" t="str">
        <f t="shared" si="0"/>
        <v>Q2-2024</v>
      </c>
      <c r="F38" t="s">
        <v>78</v>
      </c>
      <c r="G38" t="s">
        <v>79</v>
      </c>
      <c r="H38" t="s">
        <v>159</v>
      </c>
      <c r="I38" t="s">
        <v>22</v>
      </c>
      <c r="J38" s="7" t="str">
        <f t="shared" si="1"/>
        <v>High</v>
      </c>
      <c r="K38" s="4">
        <v>927.51</v>
      </c>
      <c r="L38" s="4">
        <v>927.51</v>
      </c>
      <c r="M38" s="4">
        <v>0.24299999999999999</v>
      </c>
      <c r="N38" s="4">
        <v>27</v>
      </c>
      <c r="O38" s="4">
        <f t="shared" si="2"/>
        <v>25427.751119999997</v>
      </c>
    </row>
    <row r="39" spans="1:15" x14ac:dyDescent="0.3">
      <c r="A39" s="11">
        <v>45399</v>
      </c>
      <c r="B39" s="4" t="str">
        <f>TEXT(Data!B39,"MMM-YYYY")</f>
        <v>Apr-2024</v>
      </c>
      <c r="C39" s="4" t="str">
        <f t="shared" si="3"/>
        <v>Apr-2024</v>
      </c>
      <c r="D39" s="12">
        <f t="shared" si="4"/>
        <v>45399</v>
      </c>
      <c r="E39" s="4" t="str">
        <f t="shared" si="0"/>
        <v>Q2-2024</v>
      </c>
      <c r="F39" t="s">
        <v>45</v>
      </c>
      <c r="G39" t="s">
        <v>116</v>
      </c>
      <c r="H39" t="s">
        <v>162</v>
      </c>
      <c r="I39" t="s">
        <v>22</v>
      </c>
      <c r="J39" s="7" t="str">
        <f t="shared" si="1"/>
        <v>High</v>
      </c>
      <c r="K39" s="4">
        <v>1735.41</v>
      </c>
      <c r="L39" s="4">
        <v>1735.41</v>
      </c>
      <c r="M39" s="4">
        <v>0.13600000000000001</v>
      </c>
      <c r="N39" s="4">
        <v>8</v>
      </c>
      <c r="O39" s="4">
        <f t="shared" si="2"/>
        <v>13219.269119999999</v>
      </c>
    </row>
    <row r="40" spans="1:15" x14ac:dyDescent="0.3">
      <c r="A40" s="11">
        <v>45400</v>
      </c>
      <c r="B40" s="4" t="str">
        <f>TEXT(Data!B40,"MMM-YYYY")</f>
        <v>Jun-2023</v>
      </c>
      <c r="C40" s="4" t="str">
        <f t="shared" si="3"/>
        <v>Apr-2024</v>
      </c>
      <c r="D40" s="12">
        <f t="shared" si="4"/>
        <v>45400</v>
      </c>
      <c r="E40" s="4" t="str">
        <f t="shared" si="0"/>
        <v>Q2-2024</v>
      </c>
      <c r="F40" t="s">
        <v>16</v>
      </c>
      <c r="G40" t="s">
        <v>25</v>
      </c>
      <c r="H40" t="s">
        <v>26</v>
      </c>
      <c r="I40" t="s">
        <v>30</v>
      </c>
      <c r="J40" s="7" t="str">
        <f t="shared" si="1"/>
        <v>High</v>
      </c>
      <c r="K40" s="4">
        <v>1395.64</v>
      </c>
      <c r="L40" s="4">
        <v>1395.64</v>
      </c>
      <c r="M40" s="4">
        <v>0.17499999999999999</v>
      </c>
      <c r="N40" s="4">
        <v>13</v>
      </c>
      <c r="O40" s="4">
        <f t="shared" si="2"/>
        <v>8106.7057499999992</v>
      </c>
    </row>
    <row r="41" spans="1:15" x14ac:dyDescent="0.3">
      <c r="A41" s="11">
        <v>45401</v>
      </c>
      <c r="B41" s="4" t="str">
        <f>TEXT(Data!B41,"MMM-YYYY")</f>
        <v>Aug-2024</v>
      </c>
      <c r="C41" s="4" t="str">
        <f t="shared" si="3"/>
        <v>Apr-2024</v>
      </c>
      <c r="D41" s="12">
        <f t="shared" si="4"/>
        <v>45401</v>
      </c>
      <c r="E41" s="4" t="str">
        <f t="shared" si="0"/>
        <v>Q2-2024</v>
      </c>
      <c r="F41" t="s">
        <v>52</v>
      </c>
      <c r="G41" t="s">
        <v>122</v>
      </c>
      <c r="H41" t="s">
        <v>167</v>
      </c>
      <c r="I41" t="s">
        <v>30</v>
      </c>
      <c r="J41" s="7" t="str">
        <f t="shared" si="1"/>
        <v>High</v>
      </c>
      <c r="K41" s="4">
        <v>454.42</v>
      </c>
      <c r="L41" s="4">
        <v>454.42</v>
      </c>
      <c r="M41" s="4">
        <v>0.129</v>
      </c>
      <c r="N41" s="4">
        <v>9</v>
      </c>
      <c r="O41" s="4">
        <f t="shared" si="2"/>
        <v>8980.9071300000014</v>
      </c>
    </row>
    <row r="42" spans="1:15" x14ac:dyDescent="0.3">
      <c r="A42" s="11">
        <v>45402</v>
      </c>
      <c r="B42" s="4" t="str">
        <f>TEXT(Data!B42,"MMM-YYYY")</f>
        <v>Jan-2024</v>
      </c>
      <c r="C42" s="4" t="str">
        <f t="shared" si="3"/>
        <v>Apr-2024</v>
      </c>
      <c r="D42" s="12">
        <f t="shared" si="4"/>
        <v>45402</v>
      </c>
      <c r="E42" s="4" t="str">
        <f t="shared" si="0"/>
        <v>Q2-2024</v>
      </c>
      <c r="F42" t="s">
        <v>78</v>
      </c>
      <c r="G42" t="s">
        <v>79</v>
      </c>
      <c r="H42" t="s">
        <v>80</v>
      </c>
      <c r="I42" t="s">
        <v>64</v>
      </c>
      <c r="J42" s="7" t="str">
        <f t="shared" si="1"/>
        <v>High</v>
      </c>
      <c r="K42" s="4">
        <v>1580.97</v>
      </c>
      <c r="L42" s="4">
        <v>1580.97</v>
      </c>
      <c r="M42" s="4">
        <v>3.6999999999999998E-2</v>
      </c>
      <c r="N42" s="4">
        <v>27</v>
      </c>
      <c r="O42" s="4">
        <f t="shared" si="2"/>
        <v>32087.834099999996</v>
      </c>
    </row>
    <row r="43" spans="1:15" x14ac:dyDescent="0.3">
      <c r="A43" s="11">
        <v>45403</v>
      </c>
      <c r="B43" s="4" t="str">
        <f>TEXT(Data!B43,"MMM-YYYY")</f>
        <v>Oct-2024</v>
      </c>
      <c r="C43" s="4" t="str">
        <f t="shared" si="3"/>
        <v>Apr-2024</v>
      </c>
      <c r="D43" s="12">
        <f t="shared" si="4"/>
        <v>45403</v>
      </c>
      <c r="E43" s="4" t="str">
        <f t="shared" si="0"/>
        <v>Q2-2024</v>
      </c>
      <c r="F43" t="s">
        <v>16</v>
      </c>
      <c r="G43" t="s">
        <v>148</v>
      </c>
      <c r="H43" t="s">
        <v>172</v>
      </c>
      <c r="I43" t="s">
        <v>35</v>
      </c>
      <c r="J43" s="7" t="str">
        <f t="shared" si="1"/>
        <v>High</v>
      </c>
      <c r="K43" s="4">
        <v>1759.79</v>
      </c>
      <c r="L43" s="4">
        <v>1759.79</v>
      </c>
      <c r="M43" s="4">
        <v>0</v>
      </c>
      <c r="N43" s="4">
        <v>6</v>
      </c>
      <c r="O43" s="4">
        <f t="shared" si="2"/>
        <v>7368.0599999999995</v>
      </c>
    </row>
    <row r="44" spans="1:15" x14ac:dyDescent="0.3">
      <c r="A44" s="11">
        <v>45404</v>
      </c>
      <c r="B44" s="4" t="str">
        <f>TEXT(Data!B44,"MMM-YYYY")</f>
        <v>May-2025</v>
      </c>
      <c r="C44" s="4" t="str">
        <f t="shared" si="3"/>
        <v>Apr-2024</v>
      </c>
      <c r="D44" s="12">
        <f t="shared" si="4"/>
        <v>45404</v>
      </c>
      <c r="E44" s="4" t="str">
        <f t="shared" si="0"/>
        <v>Q2-2024</v>
      </c>
      <c r="F44" t="s">
        <v>16</v>
      </c>
      <c r="G44" t="s">
        <v>17</v>
      </c>
      <c r="H44" t="s">
        <v>113</v>
      </c>
      <c r="I44" t="s">
        <v>30</v>
      </c>
      <c r="J44" s="7" t="str">
        <f t="shared" si="1"/>
        <v>High</v>
      </c>
      <c r="K44" s="4">
        <v>3204.5</v>
      </c>
      <c r="L44" s="4">
        <v>3204.5</v>
      </c>
      <c r="M44" s="4">
        <v>0.318</v>
      </c>
      <c r="N44" s="4">
        <v>14</v>
      </c>
      <c r="O44" s="4">
        <f t="shared" si="2"/>
        <v>5778.7360400000007</v>
      </c>
    </row>
    <row r="45" spans="1:15" x14ac:dyDescent="0.3">
      <c r="A45" s="11">
        <v>45405</v>
      </c>
      <c r="B45" s="4" t="str">
        <f>TEXT(Data!B45,"MMM-YYYY")</f>
        <v>May-2024</v>
      </c>
      <c r="C45" s="4" t="str">
        <f t="shared" si="3"/>
        <v>Apr-2024</v>
      </c>
      <c r="D45" s="12">
        <f t="shared" si="4"/>
        <v>45405</v>
      </c>
      <c r="E45" s="4" t="str">
        <f t="shared" si="0"/>
        <v>Q2-2024</v>
      </c>
      <c r="F45" t="s">
        <v>78</v>
      </c>
      <c r="G45" t="s">
        <v>79</v>
      </c>
      <c r="H45" t="s">
        <v>80</v>
      </c>
      <c r="I45" t="s">
        <v>30</v>
      </c>
      <c r="J45" s="7" t="str">
        <f t="shared" si="1"/>
        <v>High</v>
      </c>
      <c r="K45" s="4">
        <v>1135.43</v>
      </c>
      <c r="L45" s="4">
        <v>1135.43</v>
      </c>
      <c r="M45" s="4">
        <v>0.14599999999999999</v>
      </c>
      <c r="N45" s="4">
        <v>11</v>
      </c>
      <c r="O45" s="4">
        <f t="shared" si="2"/>
        <v>17662.129100000002</v>
      </c>
    </row>
    <row r="46" spans="1:15" x14ac:dyDescent="0.3">
      <c r="A46" s="11">
        <v>45406</v>
      </c>
      <c r="B46" s="4" t="str">
        <f>TEXT(Data!B46,"MMM-YYYY")</f>
        <v>Apr-2023</v>
      </c>
      <c r="C46" s="4" t="str">
        <f t="shared" si="3"/>
        <v>Apr-2024</v>
      </c>
      <c r="D46" s="12">
        <f t="shared" si="4"/>
        <v>45406</v>
      </c>
      <c r="E46" s="4" t="str">
        <f t="shared" si="0"/>
        <v>Q2-2024</v>
      </c>
      <c r="F46" t="s">
        <v>52</v>
      </c>
      <c r="G46" t="s">
        <v>53</v>
      </c>
      <c r="H46" t="s">
        <v>179</v>
      </c>
      <c r="I46" t="s">
        <v>22</v>
      </c>
      <c r="J46" s="7" t="str">
        <f t="shared" si="1"/>
        <v>High</v>
      </c>
      <c r="K46" s="4">
        <v>996.36</v>
      </c>
      <c r="L46" s="4">
        <v>996.36</v>
      </c>
      <c r="M46" s="4">
        <v>0.182</v>
      </c>
      <c r="N46" s="4">
        <v>22</v>
      </c>
      <c r="O46" s="4">
        <f t="shared" si="2"/>
        <v>22844.122400000004</v>
      </c>
    </row>
    <row r="47" spans="1:15" x14ac:dyDescent="0.3">
      <c r="A47" s="11">
        <v>45407</v>
      </c>
      <c r="B47" s="4" t="str">
        <f>TEXT(Data!B47,"MMM-YYYY")</f>
        <v>Jun-2023</v>
      </c>
      <c r="C47" s="4" t="str">
        <f t="shared" si="3"/>
        <v>Apr-2024</v>
      </c>
      <c r="D47" s="12">
        <f t="shared" si="4"/>
        <v>45407</v>
      </c>
      <c r="E47" s="4" t="str">
        <f t="shared" si="0"/>
        <v>Q2-2024</v>
      </c>
      <c r="F47" t="s">
        <v>45</v>
      </c>
      <c r="G47" t="s">
        <v>60</v>
      </c>
      <c r="H47" t="s">
        <v>141</v>
      </c>
      <c r="I47" t="s">
        <v>35</v>
      </c>
      <c r="J47" s="7" t="str">
        <f t="shared" si="1"/>
        <v>High</v>
      </c>
      <c r="K47" s="4">
        <v>1397.05</v>
      </c>
      <c r="L47" s="4">
        <v>1397.05</v>
      </c>
      <c r="M47" s="4">
        <v>0.16900000000000001</v>
      </c>
      <c r="N47" s="4">
        <v>28</v>
      </c>
      <c r="O47" s="4">
        <f t="shared" si="2"/>
        <v>14447.799239999997</v>
      </c>
    </row>
    <row r="48" spans="1:15" x14ac:dyDescent="0.3">
      <c r="A48" s="11">
        <v>45408</v>
      </c>
      <c r="B48" s="4" t="str">
        <f>TEXT(Data!B48,"MMM-YYYY")</f>
        <v>May-2024</v>
      </c>
      <c r="C48" s="4" t="str">
        <f t="shared" si="3"/>
        <v>Apr-2024</v>
      </c>
      <c r="D48" s="12">
        <f t="shared" si="4"/>
        <v>45408</v>
      </c>
      <c r="E48" s="4" t="str">
        <f t="shared" si="0"/>
        <v>Q2-2024</v>
      </c>
      <c r="F48" t="s">
        <v>16</v>
      </c>
      <c r="G48" t="s">
        <v>25</v>
      </c>
      <c r="H48" t="s">
        <v>67</v>
      </c>
      <c r="I48" t="s">
        <v>30</v>
      </c>
      <c r="J48" s="7" t="str">
        <f t="shared" si="1"/>
        <v>High</v>
      </c>
      <c r="K48" s="4">
        <v>548.89</v>
      </c>
      <c r="L48" s="4">
        <v>548.89</v>
      </c>
      <c r="M48" s="4">
        <v>0</v>
      </c>
      <c r="N48" s="4">
        <v>13</v>
      </c>
      <c r="O48" s="4">
        <f t="shared" si="2"/>
        <v>18926.830000000002</v>
      </c>
    </row>
    <row r="49" spans="1:15" x14ac:dyDescent="0.3">
      <c r="A49" s="11">
        <v>45409</v>
      </c>
      <c r="B49" s="4" t="str">
        <f>TEXT(Data!B49,"MMM-YYYY")</f>
        <v>Oct-2024</v>
      </c>
      <c r="C49" s="4" t="str">
        <f t="shared" si="3"/>
        <v>Apr-2024</v>
      </c>
      <c r="D49" s="12">
        <f t="shared" si="4"/>
        <v>45409</v>
      </c>
      <c r="E49" s="4" t="str">
        <f t="shared" si="0"/>
        <v>Q2-2024</v>
      </c>
      <c r="F49" t="s">
        <v>78</v>
      </c>
      <c r="G49" t="s">
        <v>108</v>
      </c>
      <c r="H49" t="s">
        <v>109</v>
      </c>
      <c r="I49" t="s">
        <v>35</v>
      </c>
      <c r="J49" s="7" t="str">
        <f t="shared" si="1"/>
        <v>High</v>
      </c>
      <c r="K49" s="4">
        <v>3524</v>
      </c>
      <c r="L49" s="4">
        <v>3524</v>
      </c>
      <c r="M49" s="4">
        <v>0</v>
      </c>
      <c r="N49" s="4">
        <v>31</v>
      </c>
      <c r="O49" s="4">
        <f t="shared" si="2"/>
        <v>16939.329999999998</v>
      </c>
    </row>
    <row r="50" spans="1:15" x14ac:dyDescent="0.3">
      <c r="A50" s="11">
        <v>45410</v>
      </c>
      <c r="B50" s="4" t="str">
        <f>TEXT(Data!B50,"MMM-YYYY")</f>
        <v>Jul-2023</v>
      </c>
      <c r="C50" s="4" t="str">
        <f t="shared" si="3"/>
        <v>Apr-2024</v>
      </c>
      <c r="D50" s="12">
        <f t="shared" si="4"/>
        <v>45410</v>
      </c>
      <c r="E50" s="4" t="str">
        <f t="shared" si="0"/>
        <v>Q2-2024</v>
      </c>
      <c r="F50" t="s">
        <v>16</v>
      </c>
      <c r="G50" t="s">
        <v>25</v>
      </c>
      <c r="H50" t="s">
        <v>38</v>
      </c>
      <c r="I50" t="s">
        <v>35</v>
      </c>
      <c r="J50" s="7" t="str">
        <f t="shared" si="1"/>
        <v>High</v>
      </c>
      <c r="K50" s="4">
        <v>1825.61</v>
      </c>
      <c r="L50" s="4">
        <v>1825.61</v>
      </c>
      <c r="M50" s="4">
        <v>0.187</v>
      </c>
      <c r="N50" s="4">
        <v>24</v>
      </c>
      <c r="O50" s="4">
        <f t="shared" si="2"/>
        <v>26300.615040000001</v>
      </c>
    </row>
    <row r="51" spans="1:15" x14ac:dyDescent="0.3">
      <c r="A51" s="11">
        <v>45411</v>
      </c>
      <c r="B51" s="4" t="str">
        <f>TEXT(Data!B51,"MMM-YYYY")</f>
        <v>Nov-2024</v>
      </c>
      <c r="C51" s="4" t="str">
        <f t="shared" si="3"/>
        <v>Apr-2024</v>
      </c>
      <c r="D51" s="12">
        <f t="shared" si="4"/>
        <v>45411</v>
      </c>
      <c r="E51" s="4" t="str">
        <f t="shared" si="0"/>
        <v>Q2-2024</v>
      </c>
      <c r="F51" t="s">
        <v>78</v>
      </c>
      <c r="G51" t="s">
        <v>90</v>
      </c>
      <c r="H51" t="s">
        <v>91</v>
      </c>
      <c r="I51" t="s">
        <v>30</v>
      </c>
      <c r="J51" s="7" t="str">
        <f t="shared" si="1"/>
        <v>High</v>
      </c>
      <c r="K51" s="4">
        <v>1791.37</v>
      </c>
      <c r="L51" s="4">
        <v>1791.37</v>
      </c>
      <c r="M51" s="4">
        <v>0.126</v>
      </c>
      <c r="N51" s="4">
        <v>22</v>
      </c>
      <c r="O51" s="4">
        <f t="shared" si="2"/>
        <v>21312.892040000002</v>
      </c>
    </row>
    <row r="52" spans="1:15" x14ac:dyDescent="0.3">
      <c r="A52" s="11">
        <v>45412</v>
      </c>
      <c r="B52" s="4" t="str">
        <f>TEXT(Data!B52,"MMM-YYYY")</f>
        <v>Oct-2024</v>
      </c>
      <c r="C52" s="4" t="str">
        <f t="shared" si="3"/>
        <v>Apr-2024</v>
      </c>
      <c r="D52" s="12">
        <f t="shared" si="4"/>
        <v>45412</v>
      </c>
      <c r="E52" s="4" t="str">
        <f t="shared" si="0"/>
        <v>Q2-2024</v>
      </c>
      <c r="F52" t="s">
        <v>52</v>
      </c>
      <c r="G52" t="s">
        <v>53</v>
      </c>
      <c r="H52" t="s">
        <v>54</v>
      </c>
      <c r="I52" t="s">
        <v>81</v>
      </c>
      <c r="J52" s="7" t="str">
        <f t="shared" si="1"/>
        <v>High</v>
      </c>
      <c r="K52" s="4">
        <v>2629.75</v>
      </c>
      <c r="L52" s="4">
        <v>2629.75</v>
      </c>
      <c r="M52" s="4">
        <v>0.29199999999999998</v>
      </c>
      <c r="N52" s="4">
        <v>8</v>
      </c>
      <c r="O52" s="4">
        <f t="shared" si="2"/>
        <v>17808.182399999998</v>
      </c>
    </row>
    <row r="53" spans="1:15" x14ac:dyDescent="0.3">
      <c r="A53" s="11">
        <v>45413</v>
      </c>
      <c r="B53" s="4" t="str">
        <f>TEXT(Data!B53,"MMM-YYYY")</f>
        <v>Mar-2023</v>
      </c>
      <c r="C53" s="4" t="str">
        <f t="shared" si="3"/>
        <v>May-2024</v>
      </c>
      <c r="D53" s="12">
        <f t="shared" si="4"/>
        <v>45413</v>
      </c>
      <c r="E53" s="4" t="str">
        <f t="shared" si="0"/>
        <v>Q2-2024</v>
      </c>
      <c r="F53" t="s">
        <v>45</v>
      </c>
      <c r="G53" t="s">
        <v>60</v>
      </c>
      <c r="H53" t="s">
        <v>61</v>
      </c>
      <c r="I53" t="s">
        <v>64</v>
      </c>
      <c r="J53" s="7" t="str">
        <f t="shared" si="1"/>
        <v>Medium</v>
      </c>
      <c r="K53" s="4">
        <v>106.3</v>
      </c>
      <c r="L53" s="4">
        <v>106.3</v>
      </c>
      <c r="M53" s="4">
        <v>0.29499999999999998</v>
      </c>
      <c r="N53" s="4">
        <v>8</v>
      </c>
      <c r="O53" s="4">
        <f t="shared" si="2"/>
        <v>11819.917200000002</v>
      </c>
    </row>
    <row r="54" spans="1:15" x14ac:dyDescent="0.3">
      <c r="A54" s="11">
        <v>45414</v>
      </c>
      <c r="B54" s="4" t="str">
        <f>TEXT(Data!B54,"MMM-YYYY")</f>
        <v>Jan-2025</v>
      </c>
      <c r="C54" s="4" t="str">
        <f t="shared" si="3"/>
        <v>May-2024</v>
      </c>
      <c r="D54" s="12">
        <f t="shared" si="4"/>
        <v>45414</v>
      </c>
      <c r="E54" s="4" t="str">
        <f t="shared" si="0"/>
        <v>Q2-2024</v>
      </c>
      <c r="F54" t="s">
        <v>16</v>
      </c>
      <c r="G54" t="s">
        <v>17</v>
      </c>
      <c r="H54" t="s">
        <v>135</v>
      </c>
      <c r="I54" t="s">
        <v>57</v>
      </c>
      <c r="J54" s="7" t="str">
        <f t="shared" si="1"/>
        <v>High</v>
      </c>
      <c r="K54" s="4">
        <v>385.72</v>
      </c>
      <c r="L54" s="4">
        <v>385.72</v>
      </c>
      <c r="M54" s="4">
        <v>0</v>
      </c>
      <c r="N54" s="4">
        <v>15</v>
      </c>
      <c r="O54" s="4">
        <f t="shared" si="2"/>
        <v>10554.3</v>
      </c>
    </row>
    <row r="55" spans="1:15" x14ac:dyDescent="0.3">
      <c r="A55" s="11">
        <v>45415</v>
      </c>
      <c r="B55" s="4" t="str">
        <f>TEXT(Data!B55,"MMM-YYYY")</f>
        <v>Aug-2023</v>
      </c>
      <c r="C55" s="4" t="str">
        <f t="shared" si="3"/>
        <v>May-2024</v>
      </c>
      <c r="D55" s="12">
        <f t="shared" si="4"/>
        <v>45415</v>
      </c>
      <c r="E55" s="4" t="str">
        <f t="shared" si="0"/>
        <v>Q2-2024</v>
      </c>
      <c r="F55" t="s">
        <v>78</v>
      </c>
      <c r="G55" t="s">
        <v>90</v>
      </c>
      <c r="H55" t="s">
        <v>138</v>
      </c>
      <c r="I55" t="s">
        <v>57</v>
      </c>
      <c r="J55" s="7" t="str">
        <f t="shared" si="1"/>
        <v>High</v>
      </c>
      <c r="K55" s="4">
        <v>236.87</v>
      </c>
      <c r="L55" s="4">
        <v>236.87</v>
      </c>
      <c r="M55" s="4">
        <v>0.182</v>
      </c>
      <c r="N55" s="4">
        <v>13</v>
      </c>
      <c r="O55" s="4">
        <f t="shared" si="2"/>
        <v>21238.118460000002</v>
      </c>
    </row>
    <row r="56" spans="1:15" x14ac:dyDescent="0.3">
      <c r="A56" s="11">
        <v>45416</v>
      </c>
      <c r="B56" s="4" t="str">
        <f>TEXT(Data!B56,"MMM-YYYY")</f>
        <v>Apr-2025</v>
      </c>
      <c r="C56" s="4" t="str">
        <f t="shared" si="3"/>
        <v>May-2024</v>
      </c>
      <c r="D56" s="12">
        <f t="shared" si="4"/>
        <v>45416</v>
      </c>
      <c r="E56" s="4" t="str">
        <f t="shared" si="0"/>
        <v>Q2-2024</v>
      </c>
      <c r="F56" t="s">
        <v>78</v>
      </c>
      <c r="G56" t="s">
        <v>79</v>
      </c>
      <c r="H56" t="s">
        <v>159</v>
      </c>
      <c r="I56" t="s">
        <v>35</v>
      </c>
      <c r="J56" s="7" t="str">
        <f t="shared" si="1"/>
        <v>Low</v>
      </c>
      <c r="K56" s="4">
        <v>41.9</v>
      </c>
      <c r="L56" s="4">
        <v>41.9</v>
      </c>
      <c r="M56" s="4">
        <v>0.14399999999999999</v>
      </c>
      <c r="N56" s="4">
        <v>6</v>
      </c>
      <c r="O56" s="4">
        <f t="shared" si="2"/>
        <v>14195.647199999998</v>
      </c>
    </row>
    <row r="57" spans="1:15" x14ac:dyDescent="0.3">
      <c r="A57" s="11">
        <v>45417</v>
      </c>
      <c r="B57" s="4" t="str">
        <f>TEXT(Data!B57,"MMM-YYYY")</f>
        <v>Feb-2025</v>
      </c>
      <c r="C57" s="4" t="str">
        <f t="shared" si="3"/>
        <v>May-2024</v>
      </c>
      <c r="D57" s="12">
        <f t="shared" si="4"/>
        <v>45417</v>
      </c>
      <c r="E57" s="4" t="str">
        <f t="shared" si="0"/>
        <v>Q2-2024</v>
      </c>
      <c r="F57" t="s">
        <v>52</v>
      </c>
      <c r="G57" t="s">
        <v>73</v>
      </c>
      <c r="H57" t="s">
        <v>87</v>
      </c>
      <c r="I57" t="s">
        <v>64</v>
      </c>
      <c r="J57" s="7" t="str">
        <f t="shared" si="1"/>
        <v>High</v>
      </c>
      <c r="K57" s="4">
        <v>977.38</v>
      </c>
      <c r="L57" s="4">
        <v>977.38</v>
      </c>
      <c r="M57" s="4">
        <v>0.14699999999999999</v>
      </c>
      <c r="N57" s="4">
        <v>38</v>
      </c>
      <c r="O57" s="4">
        <f t="shared" si="2"/>
        <v>48735.421419999999</v>
      </c>
    </row>
    <row r="58" spans="1:15" x14ac:dyDescent="0.3">
      <c r="A58" s="11">
        <v>45418</v>
      </c>
      <c r="B58" s="4" t="str">
        <f>TEXT(Data!B58,"MMM-YYYY")</f>
        <v>Dec-2024</v>
      </c>
      <c r="C58" s="4" t="str">
        <f t="shared" si="3"/>
        <v>May-2024</v>
      </c>
      <c r="D58" s="12">
        <f t="shared" si="4"/>
        <v>45418</v>
      </c>
      <c r="E58" s="4" t="str">
        <f t="shared" si="0"/>
        <v>Q2-2024</v>
      </c>
      <c r="F58" t="s">
        <v>52</v>
      </c>
      <c r="G58" t="s">
        <v>73</v>
      </c>
      <c r="H58" t="s">
        <v>74</v>
      </c>
      <c r="I58" t="s">
        <v>57</v>
      </c>
      <c r="J58" s="7" t="str">
        <f t="shared" si="1"/>
        <v>High</v>
      </c>
      <c r="K58" s="4">
        <v>2794.13</v>
      </c>
      <c r="L58" s="4">
        <v>2794.13</v>
      </c>
      <c r="M58" s="4">
        <v>3.5000000000000003E-2</v>
      </c>
      <c r="N58" s="4">
        <v>11</v>
      </c>
      <c r="O58" s="4">
        <f t="shared" si="2"/>
        <v>4119.0446000000002</v>
      </c>
    </row>
    <row r="59" spans="1:15" x14ac:dyDescent="0.3">
      <c r="A59" s="11">
        <v>45419</v>
      </c>
      <c r="B59" s="4" t="str">
        <f>TEXT(Data!B59,"MMM-YYYY")</f>
        <v>Jun-2025</v>
      </c>
      <c r="C59" s="4" t="str">
        <f t="shared" si="3"/>
        <v>May-2024</v>
      </c>
      <c r="D59" s="12">
        <f t="shared" si="4"/>
        <v>45419</v>
      </c>
      <c r="E59" s="4" t="str">
        <f t="shared" si="0"/>
        <v>Q2-2024</v>
      </c>
      <c r="F59" t="s">
        <v>78</v>
      </c>
      <c r="G59" t="s">
        <v>79</v>
      </c>
      <c r="H59" t="s">
        <v>159</v>
      </c>
      <c r="I59" t="s">
        <v>81</v>
      </c>
      <c r="J59" s="7" t="str">
        <f t="shared" si="1"/>
        <v>High</v>
      </c>
      <c r="K59" s="4">
        <v>701.95</v>
      </c>
      <c r="L59" s="4">
        <v>701.95</v>
      </c>
      <c r="M59" s="4">
        <v>0.14699999999999999</v>
      </c>
      <c r="N59" s="4">
        <v>8</v>
      </c>
      <c r="O59" s="4">
        <f t="shared" si="2"/>
        <v>304.14567999999997</v>
      </c>
    </row>
    <row r="60" spans="1:15" x14ac:dyDescent="0.3">
      <c r="A60" s="11">
        <v>45420</v>
      </c>
      <c r="B60" s="4" t="str">
        <f>TEXT(Data!B60,"MMM-YYYY")</f>
        <v>May-2025</v>
      </c>
      <c r="C60" s="4" t="str">
        <f t="shared" si="3"/>
        <v>May-2024</v>
      </c>
      <c r="D60" s="12">
        <f t="shared" si="4"/>
        <v>45420</v>
      </c>
      <c r="E60" s="4" t="str">
        <f t="shared" si="0"/>
        <v>Q2-2024</v>
      </c>
      <c r="F60" t="s">
        <v>78</v>
      </c>
      <c r="G60" t="s">
        <v>90</v>
      </c>
      <c r="H60" t="s">
        <v>91</v>
      </c>
      <c r="I60" t="s">
        <v>81</v>
      </c>
      <c r="J60" s="7" t="str">
        <f t="shared" si="1"/>
        <v>Low</v>
      </c>
      <c r="K60" s="4">
        <v>-5.27</v>
      </c>
      <c r="L60" s="4">
        <v>-5.27</v>
      </c>
      <c r="M60" s="4">
        <v>7.4999999999999997E-2</v>
      </c>
      <c r="N60" s="4">
        <v>56</v>
      </c>
      <c r="O60" s="4">
        <f t="shared" si="2"/>
        <v>93667.868000000002</v>
      </c>
    </row>
    <row r="61" spans="1:15" x14ac:dyDescent="0.3">
      <c r="A61" s="11">
        <v>45421</v>
      </c>
      <c r="B61" s="4" t="str">
        <f>TEXT(Data!B61,"MMM-YYYY")</f>
        <v>Mar-2024</v>
      </c>
      <c r="C61" s="4" t="str">
        <f t="shared" si="3"/>
        <v>May-2024</v>
      </c>
      <c r="D61" s="12">
        <f t="shared" si="4"/>
        <v>45421</v>
      </c>
      <c r="E61" s="4" t="str">
        <f t="shared" si="0"/>
        <v>Q2-2024</v>
      </c>
      <c r="F61" t="s">
        <v>16</v>
      </c>
      <c r="G61" t="s">
        <v>17</v>
      </c>
      <c r="H61" t="s">
        <v>135</v>
      </c>
      <c r="I61" t="s">
        <v>81</v>
      </c>
      <c r="J61" s="7" t="str">
        <f t="shared" si="1"/>
        <v>High</v>
      </c>
      <c r="K61" s="4">
        <v>1437.06</v>
      </c>
      <c r="L61" s="4">
        <v>1437.06</v>
      </c>
      <c r="M61" s="4">
        <v>0.20499999999999999</v>
      </c>
      <c r="N61" s="4">
        <v>4</v>
      </c>
      <c r="O61" s="4">
        <f t="shared" si="2"/>
        <v>4086.5861999999997</v>
      </c>
    </row>
    <row r="62" spans="1:15" x14ac:dyDescent="0.3">
      <c r="A62" s="11">
        <v>45422</v>
      </c>
      <c r="B62" s="4" t="str">
        <f>TEXT(Data!B62,"MMM-YYYY")</f>
        <v>Sep-2025</v>
      </c>
      <c r="C62" s="4" t="str">
        <f t="shared" si="3"/>
        <v>May-2024</v>
      </c>
      <c r="D62" s="12">
        <f t="shared" si="4"/>
        <v>45422</v>
      </c>
      <c r="E62" s="4" t="str">
        <f t="shared" si="0"/>
        <v>Q2-2024</v>
      </c>
      <c r="F62" t="s">
        <v>78</v>
      </c>
      <c r="G62" t="s">
        <v>90</v>
      </c>
      <c r="H62" t="s">
        <v>138</v>
      </c>
      <c r="I62" t="s">
        <v>22</v>
      </c>
      <c r="J62" s="7" t="str">
        <f t="shared" si="1"/>
        <v>High</v>
      </c>
      <c r="K62" s="4">
        <v>1911.89</v>
      </c>
      <c r="L62" s="4">
        <v>1911.89</v>
      </c>
      <c r="M62" s="4">
        <v>0.11899999999999999</v>
      </c>
      <c r="N62" s="4">
        <v>20</v>
      </c>
      <c r="O62" s="4">
        <f t="shared" si="2"/>
        <v>29568.826800000003</v>
      </c>
    </row>
    <row r="63" spans="1:15" x14ac:dyDescent="0.3">
      <c r="A63" s="11">
        <v>45423</v>
      </c>
      <c r="B63" s="4" t="str">
        <f>TEXT(Data!B63,"MMM-YYYY")</f>
        <v>Apr-2025</v>
      </c>
      <c r="C63" s="4" t="str">
        <f t="shared" si="3"/>
        <v>May-2024</v>
      </c>
      <c r="D63" s="12">
        <f t="shared" si="4"/>
        <v>45423</v>
      </c>
      <c r="E63" s="4" t="str">
        <f t="shared" si="0"/>
        <v>Q2-2024</v>
      </c>
      <c r="F63" t="s">
        <v>45</v>
      </c>
      <c r="G63" t="s">
        <v>46</v>
      </c>
      <c r="H63" t="s">
        <v>214</v>
      </c>
      <c r="I63" t="s">
        <v>22</v>
      </c>
      <c r="J63" s="7" t="str">
        <f t="shared" si="1"/>
        <v>High</v>
      </c>
      <c r="K63" s="4">
        <v>2593.7800000000002</v>
      </c>
      <c r="L63" s="4">
        <v>2593.7800000000002</v>
      </c>
      <c r="M63" s="4">
        <v>0.11</v>
      </c>
      <c r="N63" s="4">
        <v>12</v>
      </c>
      <c r="O63" s="4">
        <f t="shared" si="2"/>
        <v>7255.4580000000005</v>
      </c>
    </row>
    <row r="64" spans="1:15" x14ac:dyDescent="0.3">
      <c r="A64" s="11">
        <v>45424</v>
      </c>
      <c r="B64" s="4" t="str">
        <f>TEXT(Data!B64,"MMM-YYYY")</f>
        <v>Nov-2024</v>
      </c>
      <c r="C64" s="4" t="str">
        <f t="shared" si="3"/>
        <v>May-2024</v>
      </c>
      <c r="D64" s="12">
        <f t="shared" si="4"/>
        <v>45424</v>
      </c>
      <c r="E64" s="4" t="str">
        <f t="shared" si="0"/>
        <v>Q2-2024</v>
      </c>
      <c r="F64" t="s">
        <v>78</v>
      </c>
      <c r="G64" t="s">
        <v>90</v>
      </c>
      <c r="H64" t="s">
        <v>217</v>
      </c>
      <c r="I64" t="s">
        <v>42</v>
      </c>
      <c r="J64" s="7" t="str">
        <f t="shared" si="1"/>
        <v>High</v>
      </c>
      <c r="K64" s="4">
        <v>1244.08</v>
      </c>
      <c r="L64" s="4">
        <v>1244.08</v>
      </c>
      <c r="M64" s="4">
        <v>0.2</v>
      </c>
      <c r="N64" s="4">
        <v>11</v>
      </c>
      <c r="O64" s="4">
        <f t="shared" si="2"/>
        <v>9767.2960000000003</v>
      </c>
    </row>
    <row r="65" spans="1:15" x14ac:dyDescent="0.3">
      <c r="A65" s="11">
        <v>45425</v>
      </c>
      <c r="B65" s="4" t="str">
        <f>TEXT(Data!B65,"MMM-YYYY")</f>
        <v>Feb-2023</v>
      </c>
      <c r="C65" s="4" t="str">
        <f t="shared" si="3"/>
        <v>May-2024</v>
      </c>
      <c r="D65" s="12">
        <f t="shared" si="4"/>
        <v>45425</v>
      </c>
      <c r="E65" s="4" t="str">
        <f t="shared" si="0"/>
        <v>Q2-2024</v>
      </c>
      <c r="F65" t="s">
        <v>45</v>
      </c>
      <c r="G65" t="s">
        <v>60</v>
      </c>
      <c r="H65" t="s">
        <v>220</v>
      </c>
      <c r="I65" t="s">
        <v>64</v>
      </c>
      <c r="J65" s="7" t="str">
        <f t="shared" si="1"/>
        <v>High</v>
      </c>
      <c r="K65" s="4">
        <v>1912.51</v>
      </c>
      <c r="L65" s="4">
        <v>1912.51</v>
      </c>
      <c r="M65" s="4">
        <v>0.255</v>
      </c>
      <c r="N65" s="4">
        <v>51</v>
      </c>
      <c r="O65" s="4">
        <f t="shared" si="2"/>
        <v>3175.2421499999996</v>
      </c>
    </row>
    <row r="66" spans="1:15" x14ac:dyDescent="0.3">
      <c r="A66" s="11">
        <v>45426</v>
      </c>
      <c r="B66" s="4" t="str">
        <f>TEXT(Data!B66,"MMM-YYYY")</f>
        <v>Dec-2023</v>
      </c>
      <c r="C66" s="4" t="str">
        <f t="shared" si="3"/>
        <v>May-2024</v>
      </c>
      <c r="D66" s="12">
        <f t="shared" si="4"/>
        <v>45426</v>
      </c>
      <c r="E66" s="4" t="str">
        <f t="shared" ref="E66:E129" si="5">"Q"&amp;ROUNDUP(MONTH(A66)/3,0)&amp;"-"&amp;YEAR(A66)</f>
        <v>Q2-2024</v>
      </c>
      <c r="F66" t="s">
        <v>16</v>
      </c>
      <c r="G66" t="s">
        <v>148</v>
      </c>
      <c r="H66" t="s">
        <v>149</v>
      </c>
      <c r="I66" t="s">
        <v>57</v>
      </c>
      <c r="J66" s="7" t="str">
        <f t="shared" ref="J66:J129" si="6">IF(K66&lt;50, "Low", IF(K66&lt;200, "Medium", "High"))</f>
        <v>High</v>
      </c>
      <c r="K66" s="4">
        <v>755.87</v>
      </c>
      <c r="L66" s="4">
        <v>755.87</v>
      </c>
      <c r="M66" s="4">
        <v>0.13</v>
      </c>
      <c r="N66" s="4">
        <v>40</v>
      </c>
      <c r="O66" s="4">
        <f t="shared" ref="O66:O129" si="7">(L92*N66)*(1-M66)</f>
        <v>44693.64</v>
      </c>
    </row>
    <row r="67" spans="1:15" x14ac:dyDescent="0.3">
      <c r="A67" s="11">
        <v>45427</v>
      </c>
      <c r="B67" s="4" t="str">
        <f>TEXT(Data!B67,"MMM-YYYY")</f>
        <v>Mar-2023</v>
      </c>
      <c r="C67" s="4" t="str">
        <f t="shared" ref="C67:C130" si="8">TEXT(D67, "MMM-YYYY")</f>
        <v>May-2024</v>
      </c>
      <c r="D67" s="12">
        <f t="shared" ref="D67:D130" si="9">_xlfn.MINIFS(A67:A67, G67:G67,G67)</f>
        <v>45427</v>
      </c>
      <c r="E67" s="4" t="str">
        <f t="shared" si="5"/>
        <v>Q2-2024</v>
      </c>
      <c r="F67" t="s">
        <v>52</v>
      </c>
      <c r="G67" t="s">
        <v>73</v>
      </c>
      <c r="H67" t="s">
        <v>225</v>
      </c>
      <c r="I67" t="s">
        <v>42</v>
      </c>
      <c r="J67" s="7" t="str">
        <f t="shared" si="6"/>
        <v>High</v>
      </c>
      <c r="K67" s="4">
        <v>1145.67</v>
      </c>
      <c r="L67" s="4">
        <v>1145.67</v>
      </c>
      <c r="M67" s="4">
        <v>0.184</v>
      </c>
      <c r="N67" s="4">
        <v>13</v>
      </c>
      <c r="O67" s="4">
        <f t="shared" si="7"/>
        <v>9671.5257600000004</v>
      </c>
    </row>
    <row r="68" spans="1:15" x14ac:dyDescent="0.3">
      <c r="A68" s="11">
        <v>45428</v>
      </c>
      <c r="B68" s="4" t="str">
        <f>TEXT(Data!B68,"MMM-YYYY")</f>
        <v>May-2024</v>
      </c>
      <c r="C68" s="4" t="str">
        <f t="shared" si="8"/>
        <v>May-2024</v>
      </c>
      <c r="D68" s="12">
        <f t="shared" si="9"/>
        <v>45428</v>
      </c>
      <c r="E68" s="4" t="str">
        <f t="shared" si="5"/>
        <v>Q2-2024</v>
      </c>
      <c r="F68" t="s">
        <v>78</v>
      </c>
      <c r="G68" t="s">
        <v>108</v>
      </c>
      <c r="H68" t="s">
        <v>228</v>
      </c>
      <c r="I68" t="s">
        <v>81</v>
      </c>
      <c r="J68" s="7" t="str">
        <f t="shared" si="6"/>
        <v>High</v>
      </c>
      <c r="K68" s="4">
        <v>1234.0999999999999</v>
      </c>
      <c r="L68" s="4">
        <v>1234.0999999999999</v>
      </c>
      <c r="M68" s="4">
        <v>0.189</v>
      </c>
      <c r="N68" s="4">
        <v>16</v>
      </c>
      <c r="O68" s="4">
        <f t="shared" si="7"/>
        <v>18232.188319999997</v>
      </c>
    </row>
    <row r="69" spans="1:15" x14ac:dyDescent="0.3">
      <c r="A69" s="11">
        <v>45429</v>
      </c>
      <c r="B69" s="4" t="str">
        <f>TEXT(Data!B69,"MMM-YYYY")</f>
        <v>Aug-2023</v>
      </c>
      <c r="C69" s="4" t="str">
        <f t="shared" si="8"/>
        <v>May-2024</v>
      </c>
      <c r="D69" s="12">
        <f t="shared" si="9"/>
        <v>45429</v>
      </c>
      <c r="E69" s="4" t="str">
        <f t="shared" si="5"/>
        <v>Q2-2024</v>
      </c>
      <c r="F69" t="s">
        <v>45</v>
      </c>
      <c r="G69" t="s">
        <v>46</v>
      </c>
      <c r="H69" t="s">
        <v>231</v>
      </c>
      <c r="I69" t="s">
        <v>64</v>
      </c>
      <c r="J69" s="7" t="str">
        <f t="shared" si="6"/>
        <v>High</v>
      </c>
      <c r="K69" s="4">
        <v>1228.01</v>
      </c>
      <c r="L69" s="4">
        <v>1228.01</v>
      </c>
      <c r="M69" s="4">
        <v>0.105</v>
      </c>
      <c r="N69" s="4">
        <v>13</v>
      </c>
      <c r="O69" s="4">
        <f t="shared" si="7"/>
        <v>11273.616900000001</v>
      </c>
    </row>
    <row r="70" spans="1:15" x14ac:dyDescent="0.3">
      <c r="A70" s="11">
        <v>45430</v>
      </c>
      <c r="B70" s="4" t="str">
        <f>TEXT(Data!B70,"MMM-YYYY")</f>
        <v>Apr-2023</v>
      </c>
      <c r="C70" s="4" t="str">
        <f t="shared" si="8"/>
        <v>May-2024</v>
      </c>
      <c r="D70" s="12">
        <f t="shared" si="9"/>
        <v>45430</v>
      </c>
      <c r="E70" s="4" t="str">
        <f t="shared" si="5"/>
        <v>Q2-2024</v>
      </c>
      <c r="F70" t="s">
        <v>16</v>
      </c>
      <c r="G70" t="s">
        <v>148</v>
      </c>
      <c r="H70" t="s">
        <v>149</v>
      </c>
      <c r="I70" t="s">
        <v>64</v>
      </c>
      <c r="J70" s="7" t="str">
        <f t="shared" si="6"/>
        <v>High</v>
      </c>
      <c r="K70" s="4">
        <v>605.23</v>
      </c>
      <c r="L70" s="4">
        <v>605.23</v>
      </c>
      <c r="M70" s="4">
        <v>0.20399999999999999</v>
      </c>
      <c r="N70" s="4">
        <v>18</v>
      </c>
      <c r="O70" s="4">
        <f t="shared" si="7"/>
        <v>15600.46968</v>
      </c>
    </row>
    <row r="71" spans="1:15" x14ac:dyDescent="0.3">
      <c r="A71" s="11">
        <v>45431</v>
      </c>
      <c r="B71" s="4" t="str">
        <f>TEXT(Data!B71,"MMM-YYYY")</f>
        <v>Mar-2024</v>
      </c>
      <c r="C71" s="4" t="str">
        <f t="shared" si="8"/>
        <v>May-2024</v>
      </c>
      <c r="D71" s="12">
        <f t="shared" si="9"/>
        <v>45431</v>
      </c>
      <c r="E71" s="4" t="str">
        <f t="shared" si="5"/>
        <v>Q2-2024</v>
      </c>
      <c r="F71" t="s">
        <v>45</v>
      </c>
      <c r="G71" t="s">
        <v>116</v>
      </c>
      <c r="H71" t="s">
        <v>162</v>
      </c>
      <c r="I71" t="s">
        <v>22</v>
      </c>
      <c r="J71" s="7" t="str">
        <f t="shared" si="6"/>
        <v>High</v>
      </c>
      <c r="K71" s="4">
        <v>1880.15</v>
      </c>
      <c r="L71" s="4">
        <v>1880.15</v>
      </c>
      <c r="M71" s="4">
        <v>0.05</v>
      </c>
      <c r="N71" s="4">
        <v>5</v>
      </c>
      <c r="O71" s="4">
        <f t="shared" si="7"/>
        <v>11803.702499999998</v>
      </c>
    </row>
    <row r="72" spans="1:15" x14ac:dyDescent="0.3">
      <c r="A72" s="11">
        <v>45432</v>
      </c>
      <c r="B72" s="4" t="str">
        <f>TEXT(Data!B72,"MMM-YYYY")</f>
        <v>Apr-2025</v>
      </c>
      <c r="C72" s="4" t="str">
        <f t="shared" si="8"/>
        <v>May-2024</v>
      </c>
      <c r="D72" s="12">
        <f t="shared" si="9"/>
        <v>45432</v>
      </c>
      <c r="E72" s="4" t="str">
        <f t="shared" si="5"/>
        <v>Q2-2024</v>
      </c>
      <c r="F72" t="s">
        <v>78</v>
      </c>
      <c r="G72" t="s">
        <v>79</v>
      </c>
      <c r="H72" t="s">
        <v>159</v>
      </c>
      <c r="I72" t="s">
        <v>81</v>
      </c>
      <c r="J72" s="7" t="str">
        <f t="shared" si="6"/>
        <v>High</v>
      </c>
      <c r="K72" s="4">
        <v>1269.4000000000001</v>
      </c>
      <c r="L72" s="4">
        <v>1269.4000000000001</v>
      </c>
      <c r="M72" s="4">
        <v>6.8000000000000005E-2</v>
      </c>
      <c r="N72" s="4">
        <v>9</v>
      </c>
      <c r="O72" s="4">
        <f t="shared" si="7"/>
        <v>240.65172000000001</v>
      </c>
    </row>
    <row r="73" spans="1:15" x14ac:dyDescent="0.3">
      <c r="A73" s="11">
        <v>45433</v>
      </c>
      <c r="B73" s="4" t="str">
        <f>TEXT(Data!B73,"MMM-YYYY")</f>
        <v>Apr-2024</v>
      </c>
      <c r="C73" s="4" t="str">
        <f t="shared" si="8"/>
        <v>May-2024</v>
      </c>
      <c r="D73" s="12">
        <f t="shared" si="9"/>
        <v>45433</v>
      </c>
      <c r="E73" s="4" t="str">
        <f t="shared" si="5"/>
        <v>Q2-2024</v>
      </c>
      <c r="F73" t="s">
        <v>52</v>
      </c>
      <c r="G73" t="s">
        <v>73</v>
      </c>
      <c r="H73" t="s">
        <v>87</v>
      </c>
      <c r="I73" t="s">
        <v>57</v>
      </c>
      <c r="J73" s="7" t="str">
        <f t="shared" si="6"/>
        <v>High</v>
      </c>
      <c r="K73" s="4">
        <v>620.92999999999995</v>
      </c>
      <c r="L73" s="4">
        <v>620.92999999999995</v>
      </c>
      <c r="M73" s="4">
        <v>0.14199999999999999</v>
      </c>
      <c r="N73" s="4">
        <v>12</v>
      </c>
      <c r="O73" s="4">
        <f t="shared" si="7"/>
        <v>19527.59952</v>
      </c>
    </row>
    <row r="74" spans="1:15" x14ac:dyDescent="0.3">
      <c r="A74" s="11">
        <v>45434</v>
      </c>
      <c r="B74" s="4" t="str">
        <f>TEXT(Data!B74,"MMM-YYYY")</f>
        <v>Dec-2024</v>
      </c>
      <c r="C74" s="4" t="str">
        <f t="shared" si="8"/>
        <v>May-2024</v>
      </c>
      <c r="D74" s="12">
        <f t="shared" si="9"/>
        <v>45434</v>
      </c>
      <c r="E74" s="4" t="str">
        <f t="shared" si="5"/>
        <v>Q2-2024</v>
      </c>
      <c r="F74" t="s">
        <v>16</v>
      </c>
      <c r="G74" t="s">
        <v>148</v>
      </c>
      <c r="H74" t="s">
        <v>149</v>
      </c>
      <c r="I74" t="s">
        <v>57</v>
      </c>
      <c r="J74" s="7" t="str">
        <f t="shared" si="6"/>
        <v>High</v>
      </c>
      <c r="K74" s="4">
        <v>1455.91</v>
      </c>
      <c r="L74" s="4">
        <v>1455.91</v>
      </c>
      <c r="M74" s="4">
        <v>0.185</v>
      </c>
      <c r="N74" s="4">
        <v>17</v>
      </c>
      <c r="O74" s="4">
        <f t="shared" si="7"/>
        <v>5807.6003499999997</v>
      </c>
    </row>
    <row r="75" spans="1:15" x14ac:dyDescent="0.3">
      <c r="A75" s="11">
        <v>45435</v>
      </c>
      <c r="B75" s="4" t="str">
        <f>TEXT(Data!B75,"MMM-YYYY")</f>
        <v>May-2023</v>
      </c>
      <c r="C75" s="4" t="str">
        <f t="shared" si="8"/>
        <v>May-2024</v>
      </c>
      <c r="D75" s="12">
        <f t="shared" si="9"/>
        <v>45435</v>
      </c>
      <c r="E75" s="4" t="str">
        <f t="shared" si="5"/>
        <v>Q2-2024</v>
      </c>
      <c r="F75" t="s">
        <v>45</v>
      </c>
      <c r="G75" t="s">
        <v>116</v>
      </c>
      <c r="H75" t="s">
        <v>117</v>
      </c>
      <c r="I75" t="s">
        <v>35</v>
      </c>
      <c r="J75" s="7" t="str">
        <f t="shared" si="6"/>
        <v>High</v>
      </c>
      <c r="K75" s="4">
        <v>546.42999999999995</v>
      </c>
      <c r="L75" s="4">
        <v>546.42999999999995</v>
      </c>
      <c r="M75" s="4">
        <v>4.7E-2</v>
      </c>
      <c r="N75" s="4">
        <v>18</v>
      </c>
      <c r="O75" s="4">
        <f t="shared" si="7"/>
        <v>34328.070179999995</v>
      </c>
    </row>
    <row r="76" spans="1:15" x14ac:dyDescent="0.3">
      <c r="A76" s="11">
        <v>45436</v>
      </c>
      <c r="B76" s="4" t="str">
        <f>TEXT(Data!B76,"MMM-YYYY")</f>
        <v>Sep-2023</v>
      </c>
      <c r="C76" s="4" t="str">
        <f t="shared" si="8"/>
        <v>May-2024</v>
      </c>
      <c r="D76" s="12">
        <f t="shared" si="9"/>
        <v>45436</v>
      </c>
      <c r="E76" s="4" t="str">
        <f t="shared" si="5"/>
        <v>Q2-2024</v>
      </c>
      <c r="F76" t="s">
        <v>16</v>
      </c>
      <c r="G76" t="s">
        <v>148</v>
      </c>
      <c r="H76" t="s">
        <v>172</v>
      </c>
      <c r="I76" t="s">
        <v>22</v>
      </c>
      <c r="J76" s="7" t="str">
        <f t="shared" si="6"/>
        <v>High</v>
      </c>
      <c r="K76" s="4">
        <v>1347.92</v>
      </c>
      <c r="L76" s="4">
        <v>1347.92</v>
      </c>
      <c r="M76" s="4">
        <v>0.34300000000000003</v>
      </c>
      <c r="N76" s="4">
        <v>5</v>
      </c>
      <c r="O76" s="4">
        <f t="shared" si="7"/>
        <v>10198.97235</v>
      </c>
    </row>
    <row r="77" spans="1:15" x14ac:dyDescent="0.3">
      <c r="A77" s="11">
        <v>45437</v>
      </c>
      <c r="B77" s="4" t="str">
        <f>TEXT(Data!B77,"MMM-YYYY")</f>
        <v>Aug-2024</v>
      </c>
      <c r="C77" s="4" t="str">
        <f t="shared" si="8"/>
        <v>May-2024</v>
      </c>
      <c r="D77" s="12">
        <f t="shared" si="9"/>
        <v>45437</v>
      </c>
      <c r="E77" s="4" t="str">
        <f t="shared" si="5"/>
        <v>Q2-2024</v>
      </c>
      <c r="F77" t="s">
        <v>45</v>
      </c>
      <c r="G77" t="s">
        <v>60</v>
      </c>
      <c r="H77" t="s">
        <v>141</v>
      </c>
      <c r="I77" t="s">
        <v>22</v>
      </c>
      <c r="J77" s="7" t="str">
        <f t="shared" si="6"/>
        <v>High</v>
      </c>
      <c r="K77" s="4">
        <v>1108.43</v>
      </c>
      <c r="L77" s="4">
        <v>1108.43</v>
      </c>
      <c r="M77" s="4">
        <v>0.114</v>
      </c>
      <c r="N77" s="4">
        <v>7</v>
      </c>
      <c r="O77" s="4">
        <f t="shared" si="7"/>
        <v>2073.2045600000001</v>
      </c>
    </row>
    <row r="78" spans="1:15" x14ac:dyDescent="0.3">
      <c r="A78" s="11">
        <v>45438</v>
      </c>
      <c r="B78" s="4" t="str">
        <f>TEXT(Data!B78,"MMM-YYYY")</f>
        <v>Jun-2024</v>
      </c>
      <c r="C78" s="4" t="str">
        <f t="shared" si="8"/>
        <v>May-2024</v>
      </c>
      <c r="D78" s="12">
        <f t="shared" si="9"/>
        <v>45438</v>
      </c>
      <c r="E78" s="4" t="str">
        <f t="shared" si="5"/>
        <v>Q2-2024</v>
      </c>
      <c r="F78" t="s">
        <v>52</v>
      </c>
      <c r="G78" t="s">
        <v>73</v>
      </c>
      <c r="H78" t="s">
        <v>225</v>
      </c>
      <c r="I78" t="s">
        <v>81</v>
      </c>
      <c r="J78" s="7" t="str">
        <f t="shared" si="6"/>
        <v>High</v>
      </c>
      <c r="K78" s="4">
        <v>3144.1</v>
      </c>
      <c r="L78" s="4">
        <v>3144.1</v>
      </c>
      <c r="M78" s="4">
        <v>0.13400000000000001</v>
      </c>
      <c r="N78" s="4">
        <v>13</v>
      </c>
      <c r="O78" s="4">
        <f t="shared" si="7"/>
        <v>21984.960139999999</v>
      </c>
    </row>
    <row r="79" spans="1:15" x14ac:dyDescent="0.3">
      <c r="A79" s="11">
        <v>45439</v>
      </c>
      <c r="B79" s="4" t="str">
        <f>TEXT(Data!B79,"MMM-YYYY")</f>
        <v>Jun-2023</v>
      </c>
      <c r="C79" s="4" t="str">
        <f t="shared" si="8"/>
        <v>May-2024</v>
      </c>
      <c r="D79" s="12">
        <f t="shared" si="9"/>
        <v>45439</v>
      </c>
      <c r="E79" s="4" t="str">
        <f t="shared" si="5"/>
        <v>Q2-2024</v>
      </c>
      <c r="F79" t="s">
        <v>52</v>
      </c>
      <c r="G79" t="s">
        <v>73</v>
      </c>
      <c r="H79" t="s">
        <v>225</v>
      </c>
      <c r="I79" t="s">
        <v>81</v>
      </c>
      <c r="J79" s="7" t="str">
        <f t="shared" si="6"/>
        <v>High</v>
      </c>
      <c r="K79" s="4">
        <v>2095.73</v>
      </c>
      <c r="L79" s="4">
        <v>2095.73</v>
      </c>
      <c r="M79" s="4">
        <v>7.1999999999999995E-2</v>
      </c>
      <c r="N79" s="4">
        <v>17</v>
      </c>
      <c r="O79" s="4">
        <f t="shared" si="7"/>
        <v>3822.3670400000005</v>
      </c>
    </row>
    <row r="80" spans="1:15" x14ac:dyDescent="0.3">
      <c r="A80" s="11">
        <v>45440</v>
      </c>
      <c r="B80" s="4" t="str">
        <f>TEXT(Data!B80,"MMM-YYYY")</f>
        <v>Nov-2024</v>
      </c>
      <c r="C80" s="4" t="str">
        <f t="shared" si="8"/>
        <v>May-2024</v>
      </c>
      <c r="D80" s="12">
        <f t="shared" si="9"/>
        <v>45440</v>
      </c>
      <c r="E80" s="4" t="str">
        <f t="shared" si="5"/>
        <v>Q2-2024</v>
      </c>
      <c r="F80" t="s">
        <v>78</v>
      </c>
      <c r="G80" t="s">
        <v>108</v>
      </c>
      <c r="H80" t="s">
        <v>228</v>
      </c>
      <c r="I80" t="s">
        <v>22</v>
      </c>
      <c r="J80" s="7" t="str">
        <f t="shared" si="6"/>
        <v>High</v>
      </c>
      <c r="K80" s="4">
        <v>703.62</v>
      </c>
      <c r="L80" s="4">
        <v>703.62</v>
      </c>
      <c r="M80" s="4">
        <v>0.25700000000000001</v>
      </c>
      <c r="N80" s="4">
        <v>20</v>
      </c>
      <c r="O80" s="4">
        <f t="shared" si="7"/>
        <v>44117.408199999998</v>
      </c>
    </row>
    <row r="81" spans="1:15" x14ac:dyDescent="0.3">
      <c r="A81" s="11">
        <v>45441</v>
      </c>
      <c r="B81" s="4" t="str">
        <f>TEXT(Data!B81,"MMM-YYYY")</f>
        <v>Feb-2023</v>
      </c>
      <c r="C81" s="4" t="str">
        <f t="shared" si="8"/>
        <v>May-2024</v>
      </c>
      <c r="D81" s="12">
        <f t="shared" si="9"/>
        <v>45441</v>
      </c>
      <c r="E81" s="4" t="str">
        <f t="shared" si="5"/>
        <v>Q2-2024</v>
      </c>
      <c r="F81" t="s">
        <v>78</v>
      </c>
      <c r="G81" t="s">
        <v>90</v>
      </c>
      <c r="H81" t="s">
        <v>91</v>
      </c>
      <c r="I81" t="s">
        <v>64</v>
      </c>
      <c r="J81" s="7" t="str">
        <f t="shared" si="6"/>
        <v>High</v>
      </c>
      <c r="K81" s="4">
        <v>1997.19</v>
      </c>
      <c r="L81" s="4">
        <v>1997.19</v>
      </c>
      <c r="M81" s="4">
        <v>0.186</v>
      </c>
      <c r="N81" s="4">
        <v>3</v>
      </c>
      <c r="O81" s="4">
        <f t="shared" si="7"/>
        <v>3404.8806</v>
      </c>
    </row>
    <row r="82" spans="1:15" x14ac:dyDescent="0.3">
      <c r="A82" s="11">
        <v>45442</v>
      </c>
      <c r="B82" s="4" t="str">
        <f>TEXT(Data!B82,"MMM-YYYY")</f>
        <v>Aug-2023</v>
      </c>
      <c r="C82" s="4" t="str">
        <f t="shared" si="8"/>
        <v>May-2024</v>
      </c>
      <c r="D82" s="12">
        <f t="shared" si="9"/>
        <v>45442</v>
      </c>
      <c r="E82" s="4" t="str">
        <f t="shared" si="5"/>
        <v>Q2-2024</v>
      </c>
      <c r="F82" t="s">
        <v>16</v>
      </c>
      <c r="G82" t="s">
        <v>148</v>
      </c>
      <c r="H82" t="s">
        <v>258</v>
      </c>
      <c r="I82" t="s">
        <v>35</v>
      </c>
      <c r="J82" s="7" t="str">
        <f t="shared" si="6"/>
        <v>High</v>
      </c>
      <c r="K82" s="4">
        <v>2763.95</v>
      </c>
      <c r="L82" s="4">
        <v>2763.95</v>
      </c>
      <c r="M82" s="4">
        <v>0.161</v>
      </c>
      <c r="N82" s="4">
        <v>26</v>
      </c>
      <c r="O82" s="4">
        <f t="shared" si="7"/>
        <v>336.15374000000003</v>
      </c>
    </row>
    <row r="83" spans="1:15" x14ac:dyDescent="0.3">
      <c r="A83" s="11">
        <v>45443</v>
      </c>
      <c r="B83" s="4" t="str">
        <f>TEXT(Data!B83,"MMM-YYYY")</f>
        <v>May-2025</v>
      </c>
      <c r="C83" s="4" t="str">
        <f t="shared" si="8"/>
        <v>May-2024</v>
      </c>
      <c r="D83" s="12">
        <f t="shared" si="9"/>
        <v>45443</v>
      </c>
      <c r="E83" s="4" t="str">
        <f t="shared" si="5"/>
        <v>Q2-2024</v>
      </c>
      <c r="F83" t="s">
        <v>52</v>
      </c>
      <c r="G83" t="s">
        <v>53</v>
      </c>
      <c r="H83" t="s">
        <v>179</v>
      </c>
      <c r="I83" t="s">
        <v>30</v>
      </c>
      <c r="J83" s="7" t="str">
        <f t="shared" si="6"/>
        <v>High</v>
      </c>
      <c r="K83" s="4">
        <v>1503.53</v>
      </c>
      <c r="L83" s="4">
        <v>1503.53</v>
      </c>
      <c r="M83" s="4">
        <v>0.24099999999999999</v>
      </c>
      <c r="N83" s="4">
        <v>16</v>
      </c>
      <c r="O83" s="4">
        <f t="shared" si="7"/>
        <v>27333.836640000001</v>
      </c>
    </row>
    <row r="84" spans="1:15" x14ac:dyDescent="0.3">
      <c r="A84" s="11">
        <v>45444</v>
      </c>
      <c r="B84" s="4" t="str">
        <f>TEXT(Data!B84,"MMM-YYYY")</f>
        <v>Apr-2025</v>
      </c>
      <c r="C84" s="4" t="str">
        <f t="shared" si="8"/>
        <v>Jun-2024</v>
      </c>
      <c r="D84" s="12">
        <f t="shared" si="9"/>
        <v>45444</v>
      </c>
      <c r="E84" s="4" t="str">
        <f t="shared" si="5"/>
        <v>Q2-2024</v>
      </c>
      <c r="F84" t="s">
        <v>78</v>
      </c>
      <c r="G84" t="s">
        <v>90</v>
      </c>
      <c r="H84" t="s">
        <v>217</v>
      </c>
      <c r="I84" t="s">
        <v>22</v>
      </c>
      <c r="J84" s="7" t="str">
        <f t="shared" si="6"/>
        <v>High</v>
      </c>
      <c r="K84" s="4">
        <v>388.04</v>
      </c>
      <c r="L84" s="4">
        <v>388.04</v>
      </c>
      <c r="M84" s="4">
        <v>8.4000000000000005E-2</v>
      </c>
      <c r="N84" s="4">
        <v>15</v>
      </c>
      <c r="O84" s="4">
        <f t="shared" si="7"/>
        <v>2281.3896</v>
      </c>
    </row>
    <row r="85" spans="1:15" x14ac:dyDescent="0.3">
      <c r="A85" s="11">
        <v>45445</v>
      </c>
      <c r="B85" s="4" t="str">
        <f>TEXT(Data!B85,"MMM-YYYY")</f>
        <v>Mar-2025</v>
      </c>
      <c r="C85" s="4" t="str">
        <f t="shared" si="8"/>
        <v>Jun-2024</v>
      </c>
      <c r="D85" s="12">
        <f t="shared" si="9"/>
        <v>45445</v>
      </c>
      <c r="E85" s="4" t="str">
        <f t="shared" si="5"/>
        <v>Q2-2024</v>
      </c>
      <c r="F85" t="s">
        <v>52</v>
      </c>
      <c r="G85" t="s">
        <v>122</v>
      </c>
      <c r="H85" t="s">
        <v>167</v>
      </c>
      <c r="I85" t="s">
        <v>64</v>
      </c>
      <c r="J85" s="7" t="str">
        <f t="shared" si="6"/>
        <v>Low</v>
      </c>
      <c r="K85" s="4">
        <v>44.57</v>
      </c>
      <c r="L85" s="4">
        <v>44.57</v>
      </c>
      <c r="M85" s="4">
        <v>0.215</v>
      </c>
      <c r="N85" s="4">
        <v>15</v>
      </c>
      <c r="O85" s="4">
        <f t="shared" si="7"/>
        <v>4198.3762500000003</v>
      </c>
    </row>
    <row r="86" spans="1:15" x14ac:dyDescent="0.3">
      <c r="A86" s="11">
        <v>45446</v>
      </c>
      <c r="B86" s="4" t="str">
        <f>TEXT(Data!B86,"MMM-YYYY")</f>
        <v>Dec-2023</v>
      </c>
      <c r="C86" s="4" t="str">
        <f t="shared" si="8"/>
        <v>Jun-2024</v>
      </c>
      <c r="D86" s="12">
        <f t="shared" si="9"/>
        <v>45446</v>
      </c>
      <c r="E86" s="4" t="str">
        <f t="shared" si="5"/>
        <v>Q2-2024</v>
      </c>
      <c r="F86" t="s">
        <v>78</v>
      </c>
      <c r="G86" t="s">
        <v>108</v>
      </c>
      <c r="H86" t="s">
        <v>152</v>
      </c>
      <c r="I86" t="s">
        <v>35</v>
      </c>
      <c r="J86" s="7" t="str">
        <f t="shared" si="6"/>
        <v>High</v>
      </c>
      <c r="K86" s="4">
        <v>1808.26</v>
      </c>
      <c r="L86" s="4">
        <v>1808.26</v>
      </c>
      <c r="M86" s="4">
        <v>0.104</v>
      </c>
      <c r="N86" s="4">
        <v>13</v>
      </c>
      <c r="O86" s="4">
        <f t="shared" si="7"/>
        <v>11939.7824</v>
      </c>
    </row>
    <row r="87" spans="1:15" x14ac:dyDescent="0.3">
      <c r="A87" s="11">
        <v>45447</v>
      </c>
      <c r="B87" s="4" t="str">
        <f>TEXT(Data!B87,"MMM-YYYY")</f>
        <v>Apr-2024</v>
      </c>
      <c r="C87" s="4" t="str">
        <f t="shared" si="8"/>
        <v>Jun-2024</v>
      </c>
      <c r="D87" s="12">
        <f t="shared" si="9"/>
        <v>45447</v>
      </c>
      <c r="E87" s="4" t="str">
        <f t="shared" si="5"/>
        <v>Q2-2024</v>
      </c>
      <c r="F87" t="s">
        <v>16</v>
      </c>
      <c r="G87" t="s">
        <v>148</v>
      </c>
      <c r="H87" t="s">
        <v>258</v>
      </c>
      <c r="I87" t="s">
        <v>22</v>
      </c>
      <c r="J87" s="7" t="str">
        <f t="shared" si="6"/>
        <v>High</v>
      </c>
      <c r="K87" s="4">
        <v>1285.0899999999999</v>
      </c>
      <c r="L87" s="4">
        <v>1285.0899999999999</v>
      </c>
      <c r="M87" s="4">
        <v>7.0000000000000007E-2</v>
      </c>
      <c r="N87" s="4">
        <v>11</v>
      </c>
      <c r="O87" s="4">
        <f t="shared" si="7"/>
        <v>18364.589100000001</v>
      </c>
    </row>
    <row r="88" spans="1:15" x14ac:dyDescent="0.3">
      <c r="A88" s="11">
        <v>45448</v>
      </c>
      <c r="B88" s="4" t="str">
        <f>TEXT(Data!B88,"MMM-YYYY")</f>
        <v>Aug-2025</v>
      </c>
      <c r="C88" s="4" t="str">
        <f t="shared" si="8"/>
        <v>Jun-2024</v>
      </c>
      <c r="D88" s="12">
        <f t="shared" si="9"/>
        <v>45448</v>
      </c>
      <c r="E88" s="4" t="str">
        <f t="shared" si="5"/>
        <v>Q2-2024</v>
      </c>
      <c r="F88" t="s">
        <v>45</v>
      </c>
      <c r="G88" t="s">
        <v>116</v>
      </c>
      <c r="H88" t="s">
        <v>162</v>
      </c>
      <c r="I88" t="s">
        <v>22</v>
      </c>
      <c r="J88" s="7" t="str">
        <f t="shared" si="6"/>
        <v>High</v>
      </c>
      <c r="K88" s="4">
        <v>1678.14</v>
      </c>
      <c r="L88" s="4">
        <v>1678.14</v>
      </c>
      <c r="M88" s="4">
        <v>0.154</v>
      </c>
      <c r="N88" s="4">
        <v>10</v>
      </c>
      <c r="O88" s="4">
        <f t="shared" si="7"/>
        <v>36.970199999999998</v>
      </c>
    </row>
    <row r="89" spans="1:15" x14ac:dyDescent="0.3">
      <c r="A89" s="11">
        <v>45449</v>
      </c>
      <c r="B89" s="4" t="str">
        <f>TEXT(Data!B89,"MMM-YYYY")</f>
        <v>Jan-2024</v>
      </c>
      <c r="C89" s="4" t="str">
        <f t="shared" si="8"/>
        <v>Jun-2024</v>
      </c>
      <c r="D89" s="12">
        <f t="shared" si="9"/>
        <v>45449</v>
      </c>
      <c r="E89" s="4" t="str">
        <f t="shared" si="5"/>
        <v>Q2-2024</v>
      </c>
      <c r="F89" t="s">
        <v>16</v>
      </c>
      <c r="G89" t="s">
        <v>17</v>
      </c>
      <c r="H89" t="s">
        <v>135</v>
      </c>
      <c r="I89" t="s">
        <v>22</v>
      </c>
      <c r="J89" s="7" t="str">
        <f t="shared" si="6"/>
        <v>High</v>
      </c>
      <c r="K89" s="4">
        <v>679.35</v>
      </c>
      <c r="L89" s="4">
        <v>679.35</v>
      </c>
      <c r="M89" s="4">
        <v>0.188</v>
      </c>
      <c r="N89" s="4">
        <v>3</v>
      </c>
      <c r="O89" s="4">
        <f t="shared" si="7"/>
        <v>532.26600000000008</v>
      </c>
    </row>
    <row r="90" spans="1:15" x14ac:dyDescent="0.3">
      <c r="A90" s="11">
        <v>45450</v>
      </c>
      <c r="B90" s="4" t="str">
        <f>TEXT(Data!B90,"MMM-YYYY")</f>
        <v>Jun-2023</v>
      </c>
      <c r="C90" s="4" t="str">
        <f t="shared" si="8"/>
        <v>Jun-2024</v>
      </c>
      <c r="D90" s="12">
        <f t="shared" si="9"/>
        <v>45450</v>
      </c>
      <c r="E90" s="4" t="str">
        <f t="shared" si="5"/>
        <v>Q2-2024</v>
      </c>
      <c r="F90" t="s">
        <v>45</v>
      </c>
      <c r="G90" t="s">
        <v>60</v>
      </c>
      <c r="H90" t="s">
        <v>141</v>
      </c>
      <c r="I90" t="s">
        <v>64</v>
      </c>
      <c r="J90" s="7" t="str">
        <f t="shared" si="6"/>
        <v>High</v>
      </c>
      <c r="K90" s="4">
        <v>1109.92</v>
      </c>
      <c r="L90" s="4">
        <v>1109.92</v>
      </c>
      <c r="M90" s="4">
        <v>0.03</v>
      </c>
      <c r="N90" s="4">
        <v>11</v>
      </c>
      <c r="O90" s="4">
        <f t="shared" si="7"/>
        <v>2666.1129000000001</v>
      </c>
    </row>
    <row r="91" spans="1:15" x14ac:dyDescent="0.3">
      <c r="A91" s="11">
        <v>45451</v>
      </c>
      <c r="B91" s="4" t="str">
        <f>TEXT(Data!B91,"MMM-YYYY")</f>
        <v>Apr-2025</v>
      </c>
      <c r="C91" s="4" t="str">
        <f t="shared" si="8"/>
        <v>Jun-2024</v>
      </c>
      <c r="D91" s="12">
        <f t="shared" si="9"/>
        <v>45451</v>
      </c>
      <c r="E91" s="4" t="str">
        <f t="shared" si="5"/>
        <v>Q2-2024</v>
      </c>
      <c r="F91" t="s">
        <v>45</v>
      </c>
      <c r="G91" t="s">
        <v>46</v>
      </c>
      <c r="H91" t="s">
        <v>231</v>
      </c>
      <c r="I91" t="s">
        <v>64</v>
      </c>
      <c r="J91" s="7" t="str">
        <f t="shared" si="6"/>
        <v>Medium</v>
      </c>
      <c r="K91" s="4">
        <v>83.57</v>
      </c>
      <c r="L91" s="4">
        <v>83.57</v>
      </c>
      <c r="M91" s="4">
        <v>6.6000000000000003E-2</v>
      </c>
      <c r="N91" s="4">
        <v>8</v>
      </c>
      <c r="O91" s="4">
        <f t="shared" si="7"/>
        <v>25677.677439999999</v>
      </c>
    </row>
    <row r="92" spans="1:15" x14ac:dyDescent="0.3">
      <c r="A92" s="11">
        <v>45452</v>
      </c>
      <c r="B92" s="4" t="str">
        <f>TEXT(Data!B92,"MMM-YYYY")</f>
        <v>Jun-2025</v>
      </c>
      <c r="C92" s="4" t="str">
        <f t="shared" si="8"/>
        <v>Jun-2024</v>
      </c>
      <c r="D92" s="12">
        <f t="shared" si="9"/>
        <v>45452</v>
      </c>
      <c r="E92" s="4" t="str">
        <f t="shared" si="5"/>
        <v>Q2-2024</v>
      </c>
      <c r="F92" t="s">
        <v>45</v>
      </c>
      <c r="G92" t="s">
        <v>46</v>
      </c>
      <c r="H92" t="s">
        <v>231</v>
      </c>
      <c r="I92" t="s">
        <v>35</v>
      </c>
      <c r="J92" s="7" t="str">
        <f t="shared" si="6"/>
        <v>High</v>
      </c>
      <c r="K92" s="4">
        <v>1284.3</v>
      </c>
      <c r="L92" s="4">
        <v>1284.3</v>
      </c>
      <c r="M92" s="4">
        <v>7.3999999999999996E-2</v>
      </c>
      <c r="N92" s="4">
        <v>7</v>
      </c>
      <c r="O92" s="4">
        <f t="shared" si="7"/>
        <v>346.46290000000005</v>
      </c>
    </row>
    <row r="93" spans="1:15" x14ac:dyDescent="0.3">
      <c r="A93" s="11">
        <v>45453</v>
      </c>
      <c r="B93" s="4" t="str">
        <f>TEXT(Data!B93,"MMM-YYYY")</f>
        <v>Jun-2023</v>
      </c>
      <c r="C93" s="4" t="str">
        <f t="shared" si="8"/>
        <v>Jun-2024</v>
      </c>
      <c r="D93" s="12">
        <f t="shared" si="9"/>
        <v>45453</v>
      </c>
      <c r="E93" s="4" t="str">
        <f t="shared" si="5"/>
        <v>Q2-2024</v>
      </c>
      <c r="F93" t="s">
        <v>45</v>
      </c>
      <c r="G93" t="s">
        <v>60</v>
      </c>
      <c r="H93" t="s">
        <v>281</v>
      </c>
      <c r="I93" t="s">
        <v>42</v>
      </c>
      <c r="J93" s="7" t="str">
        <f t="shared" si="6"/>
        <v>High</v>
      </c>
      <c r="K93" s="4">
        <v>911.72</v>
      </c>
      <c r="L93" s="4">
        <v>911.72</v>
      </c>
      <c r="M93" s="4">
        <v>0.14399999999999999</v>
      </c>
      <c r="N93" s="4">
        <v>25</v>
      </c>
      <c r="O93" s="4">
        <f t="shared" si="7"/>
        <v>74251.58</v>
      </c>
    </row>
    <row r="94" spans="1:15" x14ac:dyDescent="0.3">
      <c r="A94" s="11">
        <v>45454</v>
      </c>
      <c r="B94" s="4" t="str">
        <f>TEXT(Data!B94,"MMM-YYYY")</f>
        <v>Oct-2024</v>
      </c>
      <c r="C94" s="4" t="str">
        <f t="shared" si="8"/>
        <v>Jun-2024</v>
      </c>
      <c r="D94" s="12">
        <f t="shared" si="9"/>
        <v>45454</v>
      </c>
      <c r="E94" s="4" t="str">
        <f t="shared" si="5"/>
        <v>Q2-2024</v>
      </c>
      <c r="F94" t="s">
        <v>52</v>
      </c>
      <c r="G94" t="s">
        <v>73</v>
      </c>
      <c r="H94" t="s">
        <v>225</v>
      </c>
      <c r="I94" t="s">
        <v>30</v>
      </c>
      <c r="J94" s="7" t="str">
        <f t="shared" si="6"/>
        <v>High</v>
      </c>
      <c r="K94" s="4">
        <v>1405.07</v>
      </c>
      <c r="L94" s="4">
        <v>1405.07</v>
      </c>
      <c r="M94" s="4">
        <v>9.6000000000000002E-2</v>
      </c>
      <c r="N94" s="4">
        <v>8</v>
      </c>
      <c r="O94" s="4">
        <f t="shared" si="7"/>
        <v>4491.2166399999996</v>
      </c>
    </row>
    <row r="95" spans="1:15" x14ac:dyDescent="0.3">
      <c r="A95" s="11">
        <v>45455</v>
      </c>
      <c r="B95" s="4" t="str">
        <f>TEXT(Data!B95,"MMM-YYYY")</f>
        <v>Sep-2025</v>
      </c>
      <c r="C95" s="4" t="str">
        <f t="shared" si="8"/>
        <v>Jun-2024</v>
      </c>
      <c r="D95" s="12">
        <f t="shared" si="9"/>
        <v>45455</v>
      </c>
      <c r="E95" s="4" t="str">
        <f t="shared" si="5"/>
        <v>Q2-2024</v>
      </c>
      <c r="F95" t="s">
        <v>16</v>
      </c>
      <c r="G95" t="s">
        <v>25</v>
      </c>
      <c r="H95" t="s">
        <v>67</v>
      </c>
      <c r="I95" t="s">
        <v>81</v>
      </c>
      <c r="J95" s="7" t="str">
        <f t="shared" si="6"/>
        <v>High</v>
      </c>
      <c r="K95" s="4">
        <v>968.94</v>
      </c>
      <c r="L95" s="4">
        <v>968.94</v>
      </c>
      <c r="M95" s="4">
        <v>9.9000000000000005E-2</v>
      </c>
      <c r="N95" s="4">
        <v>23</v>
      </c>
      <c r="O95" s="4">
        <f t="shared" si="7"/>
        <v>1834.19273</v>
      </c>
    </row>
    <row r="96" spans="1:15" x14ac:dyDescent="0.3">
      <c r="A96" s="11">
        <v>45456</v>
      </c>
      <c r="B96" s="4" t="str">
        <f>TEXT(Data!B96,"MMM-YYYY")</f>
        <v>Apr-2023</v>
      </c>
      <c r="C96" s="4" t="str">
        <f t="shared" si="8"/>
        <v>Jun-2024</v>
      </c>
      <c r="D96" s="12">
        <f t="shared" si="9"/>
        <v>45456</v>
      </c>
      <c r="E96" s="4" t="str">
        <f t="shared" si="5"/>
        <v>Q2-2024</v>
      </c>
      <c r="F96" t="s">
        <v>16</v>
      </c>
      <c r="G96" t="s">
        <v>17</v>
      </c>
      <c r="H96" t="s">
        <v>113</v>
      </c>
      <c r="I96" t="s">
        <v>42</v>
      </c>
      <c r="J96" s="7" t="str">
        <f t="shared" si="6"/>
        <v>High</v>
      </c>
      <c r="K96" s="4">
        <v>1088.81</v>
      </c>
      <c r="L96" s="4">
        <v>1088.81</v>
      </c>
      <c r="M96" s="4">
        <v>0.16</v>
      </c>
      <c r="N96" s="4">
        <v>6</v>
      </c>
      <c r="O96" s="4">
        <f t="shared" si="7"/>
        <v>9873.8135999999995</v>
      </c>
    </row>
    <row r="97" spans="1:15" x14ac:dyDescent="0.3">
      <c r="A97" s="11">
        <v>45457</v>
      </c>
      <c r="B97" s="4" t="str">
        <f>TEXT(Data!B97,"MMM-YYYY")</f>
        <v>Aug-2025</v>
      </c>
      <c r="C97" s="4" t="str">
        <f t="shared" si="8"/>
        <v>Jun-2024</v>
      </c>
      <c r="D97" s="12">
        <f t="shared" si="9"/>
        <v>45457</v>
      </c>
      <c r="E97" s="4" t="str">
        <f t="shared" si="5"/>
        <v>Q2-2024</v>
      </c>
      <c r="F97" t="s">
        <v>78</v>
      </c>
      <c r="G97" t="s">
        <v>108</v>
      </c>
      <c r="H97" t="s">
        <v>228</v>
      </c>
      <c r="I97" t="s">
        <v>30</v>
      </c>
      <c r="J97" s="7" t="str">
        <f t="shared" si="6"/>
        <v>High</v>
      </c>
      <c r="K97" s="4">
        <v>2484.9899999999998</v>
      </c>
      <c r="L97" s="4">
        <v>2484.9899999999998</v>
      </c>
      <c r="M97" s="4">
        <v>3.4000000000000002E-2</v>
      </c>
      <c r="N97" s="4">
        <v>18</v>
      </c>
      <c r="O97" s="4">
        <f t="shared" si="7"/>
        <v>47694.762360000001</v>
      </c>
    </row>
    <row r="98" spans="1:15" x14ac:dyDescent="0.3">
      <c r="A98" s="11">
        <v>45458</v>
      </c>
      <c r="B98" s="4" t="str">
        <f>TEXT(Data!B98,"MMM-YYYY")</f>
        <v>May-2024</v>
      </c>
      <c r="C98" s="4" t="str">
        <f t="shared" si="8"/>
        <v>Jun-2024</v>
      </c>
      <c r="D98" s="12">
        <f t="shared" si="9"/>
        <v>45458</v>
      </c>
      <c r="E98" s="4" t="str">
        <f t="shared" si="5"/>
        <v>Q2-2024</v>
      </c>
      <c r="F98" t="s">
        <v>45</v>
      </c>
      <c r="G98" t="s">
        <v>60</v>
      </c>
      <c r="H98" t="s">
        <v>1364</v>
      </c>
      <c r="I98" t="s">
        <v>64</v>
      </c>
      <c r="J98" s="7" t="str">
        <f t="shared" si="6"/>
        <v>Low</v>
      </c>
      <c r="K98" s="4">
        <v>28.69</v>
      </c>
      <c r="L98" s="4">
        <v>28.69</v>
      </c>
      <c r="M98" s="4">
        <v>0.14599999999999999</v>
      </c>
      <c r="N98" s="4">
        <v>6</v>
      </c>
      <c r="O98" s="4">
        <f t="shared" si="7"/>
        <v>8605.3480799999998</v>
      </c>
    </row>
    <row r="99" spans="1:15" x14ac:dyDescent="0.3">
      <c r="A99" s="11">
        <v>45459</v>
      </c>
      <c r="B99" s="4" t="str">
        <f>TEXT(Data!B99,"MMM-YYYY")</f>
        <v>Jul-2025</v>
      </c>
      <c r="C99" s="4" t="str">
        <f t="shared" si="8"/>
        <v>Jun-2024</v>
      </c>
      <c r="D99" s="12">
        <f t="shared" si="9"/>
        <v>45459</v>
      </c>
      <c r="E99" s="4" t="str">
        <f t="shared" si="5"/>
        <v>Q2-2024</v>
      </c>
      <c r="F99" t="s">
        <v>16</v>
      </c>
      <c r="G99" t="s">
        <v>25</v>
      </c>
      <c r="H99" t="s">
        <v>67</v>
      </c>
      <c r="I99" t="s">
        <v>81</v>
      </c>
      <c r="J99" s="7" t="str">
        <f t="shared" si="6"/>
        <v>High</v>
      </c>
      <c r="K99" s="4">
        <v>1896.62</v>
      </c>
      <c r="L99" s="4">
        <v>1896.62</v>
      </c>
      <c r="M99" s="4">
        <v>0</v>
      </c>
      <c r="N99" s="4">
        <v>18</v>
      </c>
      <c r="O99" s="4">
        <f t="shared" si="7"/>
        <v>25810.2</v>
      </c>
    </row>
    <row r="100" spans="1:15" x14ac:dyDescent="0.3">
      <c r="A100" s="11">
        <v>45460</v>
      </c>
      <c r="B100" s="4" t="str">
        <f>TEXT(Data!B100,"MMM-YYYY")</f>
        <v>Feb-2023</v>
      </c>
      <c r="C100" s="4" t="str">
        <f t="shared" si="8"/>
        <v>Jun-2024</v>
      </c>
      <c r="D100" s="12">
        <f t="shared" si="9"/>
        <v>45460</v>
      </c>
      <c r="E100" s="4" t="str">
        <f t="shared" si="5"/>
        <v>Q2-2024</v>
      </c>
      <c r="F100" t="s">
        <v>45</v>
      </c>
      <c r="G100" t="s">
        <v>116</v>
      </c>
      <c r="H100" t="s">
        <v>117</v>
      </c>
      <c r="I100" t="s">
        <v>35</v>
      </c>
      <c r="J100" s="7" t="str">
        <f t="shared" si="6"/>
        <v>High</v>
      </c>
      <c r="K100" s="4">
        <v>419.17</v>
      </c>
      <c r="L100" s="4">
        <v>419.17</v>
      </c>
      <c r="M100" s="4">
        <v>9.1999999999999998E-2</v>
      </c>
      <c r="N100" s="4">
        <v>14</v>
      </c>
      <c r="O100" s="4">
        <f t="shared" si="7"/>
        <v>3615.67416</v>
      </c>
    </row>
    <row r="101" spans="1:15" x14ac:dyDescent="0.3">
      <c r="A101" s="11">
        <v>45461</v>
      </c>
      <c r="B101" s="4" t="str">
        <f>TEXT(Data!B101,"MMM-YYYY")</f>
        <v>Jan-2025</v>
      </c>
      <c r="C101" s="4" t="str">
        <f t="shared" si="8"/>
        <v>Jun-2024</v>
      </c>
      <c r="D101" s="12">
        <f t="shared" si="9"/>
        <v>45461</v>
      </c>
      <c r="E101" s="4" t="str">
        <f t="shared" si="5"/>
        <v>Q2-2024</v>
      </c>
      <c r="F101" t="s">
        <v>78</v>
      </c>
      <c r="G101" t="s">
        <v>79</v>
      </c>
      <c r="H101" t="s">
        <v>80</v>
      </c>
      <c r="I101" t="s">
        <v>57</v>
      </c>
      <c r="J101" s="7" t="str">
        <f t="shared" si="6"/>
        <v>High</v>
      </c>
      <c r="K101" s="4">
        <v>2001.17</v>
      </c>
      <c r="L101" s="4">
        <v>2001.17</v>
      </c>
      <c r="M101" s="4">
        <v>0.29199999999999998</v>
      </c>
      <c r="N101" s="4">
        <v>18</v>
      </c>
      <c r="O101" s="4">
        <f t="shared" si="7"/>
        <v>8854.276319999999</v>
      </c>
    </row>
    <row r="102" spans="1:15" x14ac:dyDescent="0.3">
      <c r="A102" s="11">
        <v>45462</v>
      </c>
      <c r="B102" s="4" t="str">
        <f>TEXT(Data!B102,"MMM-YYYY")</f>
        <v>Jan-2024</v>
      </c>
      <c r="C102" s="4" t="str">
        <f t="shared" si="8"/>
        <v>Jun-2024</v>
      </c>
      <c r="D102" s="12">
        <f t="shared" si="9"/>
        <v>45462</v>
      </c>
      <c r="E102" s="4" t="str">
        <f t="shared" si="5"/>
        <v>Q2-2024</v>
      </c>
      <c r="F102" t="s">
        <v>45</v>
      </c>
      <c r="G102" t="s">
        <v>116</v>
      </c>
      <c r="H102" t="s">
        <v>117</v>
      </c>
      <c r="I102" t="s">
        <v>42</v>
      </c>
      <c r="J102" s="7" t="str">
        <f t="shared" si="6"/>
        <v>High</v>
      </c>
      <c r="K102" s="4">
        <v>3104.71</v>
      </c>
      <c r="L102" s="4">
        <v>3104.71</v>
      </c>
      <c r="M102" s="4">
        <v>0</v>
      </c>
      <c r="N102" s="4">
        <v>17</v>
      </c>
      <c r="O102" s="4">
        <f t="shared" si="7"/>
        <v>31422.63</v>
      </c>
    </row>
    <row r="103" spans="1:15" x14ac:dyDescent="0.3">
      <c r="A103" s="11">
        <v>45463</v>
      </c>
      <c r="B103" s="4" t="str">
        <f>TEXT(Data!B103,"MMM-YYYY")</f>
        <v>Mar-2025</v>
      </c>
      <c r="C103" s="4" t="str">
        <f t="shared" si="8"/>
        <v>Jun-2024</v>
      </c>
      <c r="D103" s="12">
        <f t="shared" si="9"/>
        <v>45463</v>
      </c>
      <c r="E103" s="4" t="str">
        <f t="shared" si="5"/>
        <v>Q2-2024</v>
      </c>
      <c r="F103" t="s">
        <v>45</v>
      </c>
      <c r="G103" t="s">
        <v>60</v>
      </c>
      <c r="H103" t="s">
        <v>220</v>
      </c>
      <c r="I103" t="s">
        <v>22</v>
      </c>
      <c r="J103" s="7" t="str">
        <f t="shared" si="6"/>
        <v>High</v>
      </c>
      <c r="K103" s="4">
        <v>334.28</v>
      </c>
      <c r="L103" s="4">
        <v>334.28</v>
      </c>
      <c r="M103" s="4">
        <v>0.14000000000000001</v>
      </c>
      <c r="N103" s="4">
        <v>22</v>
      </c>
      <c r="O103" s="4">
        <f t="shared" si="7"/>
        <v>854.99479999999994</v>
      </c>
    </row>
    <row r="104" spans="1:15" x14ac:dyDescent="0.3">
      <c r="A104" s="11">
        <v>45464</v>
      </c>
      <c r="B104" s="4" t="str">
        <f>TEXT(Data!B104,"MMM-YYYY")</f>
        <v>Dec-2024</v>
      </c>
      <c r="C104" s="4" t="str">
        <f t="shared" si="8"/>
        <v>Jun-2024</v>
      </c>
      <c r="D104" s="12">
        <f t="shared" si="9"/>
        <v>45464</v>
      </c>
      <c r="E104" s="4" t="str">
        <f t="shared" si="5"/>
        <v>Q2-2024</v>
      </c>
      <c r="F104" t="s">
        <v>16</v>
      </c>
      <c r="G104" t="s">
        <v>17</v>
      </c>
      <c r="H104" t="s">
        <v>135</v>
      </c>
      <c r="I104" t="s">
        <v>57</v>
      </c>
      <c r="J104" s="7" t="str">
        <f t="shared" si="6"/>
        <v>High</v>
      </c>
      <c r="K104" s="4">
        <v>1952.83</v>
      </c>
      <c r="L104" s="4">
        <v>1952.83</v>
      </c>
      <c r="M104" s="4">
        <v>0</v>
      </c>
      <c r="N104" s="4">
        <v>7</v>
      </c>
      <c r="O104" s="4">
        <f t="shared" si="7"/>
        <v>2527.7000000000003</v>
      </c>
    </row>
    <row r="105" spans="1:15" x14ac:dyDescent="0.3">
      <c r="A105" s="11">
        <v>45465</v>
      </c>
      <c r="B105" s="4" t="str">
        <f>TEXT(Data!B105,"MMM-YYYY")</f>
        <v>Sep-2024</v>
      </c>
      <c r="C105" s="4" t="str">
        <f t="shared" si="8"/>
        <v>Jun-2024</v>
      </c>
      <c r="D105" s="12">
        <f t="shared" si="9"/>
        <v>45465</v>
      </c>
      <c r="E105" s="4" t="str">
        <f t="shared" si="5"/>
        <v>Q2-2024</v>
      </c>
      <c r="F105" t="s">
        <v>52</v>
      </c>
      <c r="G105" t="s">
        <v>53</v>
      </c>
      <c r="H105" t="s">
        <v>179</v>
      </c>
      <c r="I105" t="s">
        <v>81</v>
      </c>
      <c r="J105" s="7" t="str">
        <f t="shared" si="6"/>
        <v>High</v>
      </c>
      <c r="K105" s="4">
        <v>242.29</v>
      </c>
      <c r="L105" s="4">
        <v>242.29</v>
      </c>
      <c r="M105" s="4">
        <v>0.18</v>
      </c>
      <c r="N105" s="4">
        <v>30</v>
      </c>
      <c r="O105" s="4">
        <f t="shared" si="7"/>
        <v>24706.764000000003</v>
      </c>
    </row>
    <row r="106" spans="1:15" x14ac:dyDescent="0.3">
      <c r="A106" s="11">
        <v>45466</v>
      </c>
      <c r="B106" s="4" t="str">
        <f>TEXT(Data!B106,"MMM-YYYY")</f>
        <v>May-2024</v>
      </c>
      <c r="C106" s="4" t="str">
        <f t="shared" si="8"/>
        <v>Jun-2024</v>
      </c>
      <c r="D106" s="12">
        <f t="shared" si="9"/>
        <v>45466</v>
      </c>
      <c r="E106" s="4" t="str">
        <f t="shared" si="5"/>
        <v>Q2-2024</v>
      </c>
      <c r="F106" t="s">
        <v>45</v>
      </c>
      <c r="G106" t="s">
        <v>116</v>
      </c>
      <c r="H106" t="s">
        <v>162</v>
      </c>
      <c r="I106" t="s">
        <v>57</v>
      </c>
      <c r="J106" s="7" t="str">
        <f t="shared" si="6"/>
        <v>High</v>
      </c>
      <c r="K106" s="4">
        <v>2968.87</v>
      </c>
      <c r="L106" s="4">
        <v>2968.87</v>
      </c>
      <c r="M106" s="4">
        <v>0.16900000000000001</v>
      </c>
      <c r="N106" s="4">
        <v>5</v>
      </c>
      <c r="O106" s="4">
        <f t="shared" si="7"/>
        <v>4270.2181499999997</v>
      </c>
    </row>
    <row r="107" spans="1:15" x14ac:dyDescent="0.3">
      <c r="A107" s="11">
        <v>45467</v>
      </c>
      <c r="B107" s="4" t="str">
        <f>TEXT(Data!B107,"MMM-YYYY")</f>
        <v>May-2023</v>
      </c>
      <c r="C107" s="4" t="str">
        <f t="shared" si="8"/>
        <v>Jun-2024</v>
      </c>
      <c r="D107" s="12">
        <f t="shared" si="9"/>
        <v>45467</v>
      </c>
      <c r="E107" s="4" t="str">
        <f t="shared" si="5"/>
        <v>Q2-2024</v>
      </c>
      <c r="F107" t="s">
        <v>16</v>
      </c>
      <c r="G107" t="s">
        <v>148</v>
      </c>
      <c r="H107" t="s">
        <v>149</v>
      </c>
      <c r="I107" t="s">
        <v>22</v>
      </c>
      <c r="J107" s="7" t="str">
        <f t="shared" si="6"/>
        <v>High</v>
      </c>
      <c r="K107" s="4">
        <v>1394.3</v>
      </c>
      <c r="L107" s="4">
        <v>1394.3</v>
      </c>
      <c r="M107" s="4">
        <v>0.27800000000000002</v>
      </c>
      <c r="N107" s="4">
        <v>12</v>
      </c>
      <c r="O107" s="4">
        <f t="shared" si="7"/>
        <v>4055.5317599999998</v>
      </c>
    </row>
    <row r="108" spans="1:15" x14ac:dyDescent="0.3">
      <c r="A108" s="11">
        <v>45468</v>
      </c>
      <c r="B108" s="4" t="str">
        <f>TEXT(Data!B108,"MMM-YYYY")</f>
        <v>Aug-2024</v>
      </c>
      <c r="C108" s="4" t="str">
        <f t="shared" si="8"/>
        <v>Jun-2024</v>
      </c>
      <c r="D108" s="12">
        <f t="shared" si="9"/>
        <v>45468</v>
      </c>
      <c r="E108" s="4" t="str">
        <f t="shared" si="5"/>
        <v>Q2-2024</v>
      </c>
      <c r="F108" t="s">
        <v>16</v>
      </c>
      <c r="G108" t="s">
        <v>17</v>
      </c>
      <c r="H108" t="s">
        <v>113</v>
      </c>
      <c r="I108" t="s">
        <v>42</v>
      </c>
      <c r="J108" s="7" t="str">
        <f t="shared" si="6"/>
        <v>Low</v>
      </c>
      <c r="K108" s="4">
        <v>15.41</v>
      </c>
      <c r="L108" s="4">
        <v>15.41</v>
      </c>
      <c r="M108" s="4">
        <v>0.13700000000000001</v>
      </c>
      <c r="N108" s="4">
        <v>39</v>
      </c>
      <c r="O108" s="4">
        <f t="shared" si="7"/>
        <v>22483.549139999999</v>
      </c>
    </row>
    <row r="109" spans="1:15" x14ac:dyDescent="0.3">
      <c r="A109" s="11">
        <v>45469</v>
      </c>
      <c r="B109" s="4" t="str">
        <f>TEXT(Data!B109,"MMM-YYYY")</f>
        <v>Oct-2024</v>
      </c>
      <c r="C109" s="4" t="str">
        <f t="shared" si="8"/>
        <v>Jun-2024</v>
      </c>
      <c r="D109" s="12">
        <f t="shared" si="9"/>
        <v>45469</v>
      </c>
      <c r="E109" s="4" t="str">
        <f t="shared" si="5"/>
        <v>Q2-2024</v>
      </c>
      <c r="F109" t="s">
        <v>78</v>
      </c>
      <c r="G109" t="s">
        <v>108</v>
      </c>
      <c r="H109" t="s">
        <v>228</v>
      </c>
      <c r="I109" t="s">
        <v>42</v>
      </c>
      <c r="J109" s="7" t="str">
        <f t="shared" si="6"/>
        <v>High</v>
      </c>
      <c r="K109" s="4">
        <v>2250.81</v>
      </c>
      <c r="L109" s="4">
        <v>2250.81</v>
      </c>
      <c r="M109" s="4">
        <v>0.123</v>
      </c>
      <c r="N109" s="4">
        <v>12</v>
      </c>
      <c r="O109" s="4">
        <f t="shared" si="7"/>
        <v>5654.22948</v>
      </c>
    </row>
    <row r="110" spans="1:15" x14ac:dyDescent="0.3">
      <c r="A110" s="11">
        <v>45470</v>
      </c>
      <c r="B110" s="4" t="str">
        <f>TEXT(Data!B110,"MMM-YYYY")</f>
        <v>Jun-2024</v>
      </c>
      <c r="C110" s="4" t="str">
        <f t="shared" si="8"/>
        <v>Jun-2024</v>
      </c>
      <c r="D110" s="12">
        <f t="shared" si="9"/>
        <v>45470</v>
      </c>
      <c r="E110" s="4" t="str">
        <f t="shared" si="5"/>
        <v>Q2-2024</v>
      </c>
      <c r="F110" t="s">
        <v>45</v>
      </c>
      <c r="G110" t="s">
        <v>46</v>
      </c>
      <c r="H110" t="s">
        <v>47</v>
      </c>
      <c r="I110" t="s">
        <v>35</v>
      </c>
      <c r="J110" s="7" t="str">
        <f t="shared" si="6"/>
        <v>Medium</v>
      </c>
      <c r="K110" s="4">
        <v>166.04</v>
      </c>
      <c r="L110" s="4">
        <v>166.04</v>
      </c>
      <c r="M110" s="4">
        <v>0</v>
      </c>
      <c r="N110" s="4">
        <v>10</v>
      </c>
      <c r="O110" s="4">
        <f t="shared" si="7"/>
        <v>5727.1</v>
      </c>
    </row>
    <row r="111" spans="1:15" x14ac:dyDescent="0.3">
      <c r="A111" s="11">
        <v>45471</v>
      </c>
      <c r="B111" s="4" t="str">
        <f>TEXT(Data!B111,"MMM-YYYY")</f>
        <v>Jun-2024</v>
      </c>
      <c r="C111" s="4" t="str">
        <f t="shared" si="8"/>
        <v>Jun-2024</v>
      </c>
      <c r="D111" s="12">
        <f t="shared" si="9"/>
        <v>45471</v>
      </c>
      <c r="E111" s="4" t="str">
        <f t="shared" si="5"/>
        <v>Q2-2024</v>
      </c>
      <c r="F111" t="s">
        <v>16</v>
      </c>
      <c r="G111" t="s">
        <v>17</v>
      </c>
      <c r="H111" t="s">
        <v>18</v>
      </c>
      <c r="I111" t="s">
        <v>81</v>
      </c>
      <c r="J111" s="7" t="str">
        <f t="shared" si="6"/>
        <v>High</v>
      </c>
      <c r="K111" s="4">
        <v>356.55</v>
      </c>
      <c r="L111" s="4">
        <v>356.55</v>
      </c>
      <c r="M111" s="4">
        <v>0.22900000000000001</v>
      </c>
      <c r="N111" s="4">
        <v>2</v>
      </c>
      <c r="O111" s="4">
        <f t="shared" si="7"/>
        <v>3583.4075399999997</v>
      </c>
    </row>
    <row r="112" spans="1:15" x14ac:dyDescent="0.3">
      <c r="A112" s="11">
        <v>45472</v>
      </c>
      <c r="B112" s="4" t="str">
        <f>TEXT(Data!B112,"MMM-YYYY")</f>
        <v>Jun-2024</v>
      </c>
      <c r="C112" s="4" t="str">
        <f t="shared" si="8"/>
        <v>Jun-2024</v>
      </c>
      <c r="D112" s="12">
        <f t="shared" si="9"/>
        <v>45472</v>
      </c>
      <c r="E112" s="4" t="str">
        <f t="shared" si="5"/>
        <v>Q2-2024</v>
      </c>
      <c r="F112" t="s">
        <v>45</v>
      </c>
      <c r="G112" t="s">
        <v>116</v>
      </c>
      <c r="H112" t="s">
        <v>117</v>
      </c>
      <c r="I112" t="s">
        <v>22</v>
      </c>
      <c r="J112" s="7" t="str">
        <f t="shared" si="6"/>
        <v>High</v>
      </c>
      <c r="K112" s="4">
        <v>1025.05</v>
      </c>
      <c r="L112" s="4">
        <v>1025.05</v>
      </c>
      <c r="M112" s="4">
        <v>0</v>
      </c>
      <c r="N112" s="4">
        <v>27</v>
      </c>
      <c r="O112" s="4">
        <f t="shared" si="7"/>
        <v>44038.080000000002</v>
      </c>
    </row>
    <row r="113" spans="1:15" x14ac:dyDescent="0.3">
      <c r="A113" s="11">
        <v>45473</v>
      </c>
      <c r="B113" s="4" t="str">
        <f>TEXT(Data!B113,"MMM-YYYY")</f>
        <v>Jun-2024</v>
      </c>
      <c r="C113" s="4" t="str">
        <f t="shared" si="8"/>
        <v>Jun-2024</v>
      </c>
      <c r="D113" s="12">
        <f t="shared" si="9"/>
        <v>45473</v>
      </c>
      <c r="E113" s="4" t="str">
        <f t="shared" si="5"/>
        <v>Q2-2024</v>
      </c>
      <c r="F113" t="s">
        <v>78</v>
      </c>
      <c r="G113" t="s">
        <v>108</v>
      </c>
      <c r="H113" t="s">
        <v>109</v>
      </c>
      <c r="I113" t="s">
        <v>57</v>
      </c>
      <c r="J113" s="7" t="str">
        <f t="shared" si="6"/>
        <v>High</v>
      </c>
      <c r="K113" s="4">
        <v>1795.17</v>
      </c>
      <c r="L113" s="4">
        <v>1795.17</v>
      </c>
      <c r="M113" s="4">
        <v>1.2E-2</v>
      </c>
      <c r="N113" s="4">
        <v>17</v>
      </c>
      <c r="O113" s="4">
        <f t="shared" si="7"/>
        <v>6606.0347600000005</v>
      </c>
    </row>
    <row r="114" spans="1:15" x14ac:dyDescent="0.3">
      <c r="A114" s="11">
        <v>45474</v>
      </c>
      <c r="B114" s="4" t="str">
        <f>TEXT(Data!B114,"MMM-YYYY")</f>
        <v>Jan-2025</v>
      </c>
      <c r="C114" s="4" t="str">
        <f t="shared" si="8"/>
        <v>Jul-2024</v>
      </c>
      <c r="D114" s="12">
        <f t="shared" si="9"/>
        <v>45474</v>
      </c>
      <c r="E114" s="4" t="str">
        <f t="shared" si="5"/>
        <v>Q3-2024</v>
      </c>
      <c r="F114" t="s">
        <v>16</v>
      </c>
      <c r="G114" t="s">
        <v>148</v>
      </c>
      <c r="H114" t="s">
        <v>172</v>
      </c>
      <c r="I114" t="s">
        <v>35</v>
      </c>
      <c r="J114" s="7" t="str">
        <f t="shared" si="6"/>
        <v>Low</v>
      </c>
      <c r="K114" s="4">
        <v>4.37</v>
      </c>
      <c r="L114" s="4">
        <v>4.37</v>
      </c>
      <c r="M114" s="4">
        <v>0.11799999999999999</v>
      </c>
      <c r="N114" s="4">
        <v>9</v>
      </c>
      <c r="O114" s="4">
        <f t="shared" si="7"/>
        <v>14734.198080000002</v>
      </c>
    </row>
    <row r="115" spans="1:15" x14ac:dyDescent="0.3">
      <c r="A115" s="11">
        <v>45475</v>
      </c>
      <c r="B115" s="4" t="str">
        <f>TEXT(Data!B115,"MMM-YYYY")</f>
        <v>Nov-2023</v>
      </c>
      <c r="C115" s="4" t="str">
        <f t="shared" si="8"/>
        <v>Jul-2024</v>
      </c>
      <c r="D115" s="12">
        <f t="shared" si="9"/>
        <v>45475</v>
      </c>
      <c r="E115" s="4" t="str">
        <f t="shared" si="5"/>
        <v>Q3-2024</v>
      </c>
      <c r="F115" t="s">
        <v>52</v>
      </c>
      <c r="G115" t="s">
        <v>122</v>
      </c>
      <c r="H115" t="s">
        <v>326</v>
      </c>
      <c r="I115" t="s">
        <v>81</v>
      </c>
      <c r="J115" s="7" t="str">
        <f t="shared" si="6"/>
        <v>High</v>
      </c>
      <c r="K115" s="4">
        <v>218.5</v>
      </c>
      <c r="L115" s="4">
        <v>218.5</v>
      </c>
      <c r="M115" s="4">
        <v>0.11899999999999999</v>
      </c>
      <c r="N115" s="4">
        <v>11</v>
      </c>
      <c r="O115" s="4">
        <f t="shared" si="7"/>
        <v>822.7659000000001</v>
      </c>
    </row>
    <row r="116" spans="1:15" x14ac:dyDescent="0.3">
      <c r="A116" s="11">
        <v>45476</v>
      </c>
      <c r="B116" s="4" t="str">
        <f>TEXT(Data!B116,"MMM-YYYY")</f>
        <v>Mar-2023</v>
      </c>
      <c r="C116" s="4" t="str">
        <f t="shared" si="8"/>
        <v>Jul-2024</v>
      </c>
      <c r="D116" s="12">
        <f t="shared" si="9"/>
        <v>45476</v>
      </c>
      <c r="E116" s="4" t="str">
        <f t="shared" si="5"/>
        <v>Q3-2024</v>
      </c>
      <c r="F116" t="s">
        <v>45</v>
      </c>
      <c r="G116" t="s">
        <v>46</v>
      </c>
      <c r="H116" t="s">
        <v>214</v>
      </c>
      <c r="I116" t="s">
        <v>35</v>
      </c>
      <c r="J116" s="7" t="str">
        <f t="shared" si="6"/>
        <v>High</v>
      </c>
      <c r="K116" s="4">
        <v>249.87</v>
      </c>
      <c r="L116" s="4">
        <v>249.87</v>
      </c>
      <c r="M116" s="4">
        <v>0</v>
      </c>
      <c r="N116" s="4">
        <v>6</v>
      </c>
      <c r="O116" s="4">
        <f t="shared" si="7"/>
        <v>13513.439999999999</v>
      </c>
    </row>
    <row r="117" spans="1:15" x14ac:dyDescent="0.3">
      <c r="A117" s="11">
        <v>45477</v>
      </c>
      <c r="B117" s="4" t="str">
        <f>TEXT(Data!B117,"MMM-YYYY")</f>
        <v>Jun-2025</v>
      </c>
      <c r="C117" s="4" t="str">
        <f t="shared" si="8"/>
        <v>Jul-2024</v>
      </c>
      <c r="D117" s="12">
        <f t="shared" si="9"/>
        <v>45477</v>
      </c>
      <c r="E117" s="4" t="str">
        <f t="shared" si="5"/>
        <v>Q3-2024</v>
      </c>
      <c r="F117" t="s">
        <v>52</v>
      </c>
      <c r="G117" t="s">
        <v>73</v>
      </c>
      <c r="H117" t="s">
        <v>87</v>
      </c>
      <c r="I117" t="s">
        <v>64</v>
      </c>
      <c r="J117" s="7" t="str">
        <f t="shared" si="6"/>
        <v>High</v>
      </c>
      <c r="K117" s="4">
        <v>3436.52</v>
      </c>
      <c r="L117" s="4">
        <v>3436.52</v>
      </c>
      <c r="M117" s="4">
        <v>0.108</v>
      </c>
      <c r="N117" s="4">
        <v>8</v>
      </c>
      <c r="O117" s="4">
        <f t="shared" si="7"/>
        <v>6576.6803200000004</v>
      </c>
    </row>
    <row r="118" spans="1:15" x14ac:dyDescent="0.3">
      <c r="A118" s="11">
        <v>45478</v>
      </c>
      <c r="B118" s="4" t="str">
        <f>TEXT(Data!B118,"MMM-YYYY")</f>
        <v>Dec-2024</v>
      </c>
      <c r="C118" s="4" t="str">
        <f t="shared" si="8"/>
        <v>Jul-2024</v>
      </c>
      <c r="D118" s="12">
        <f t="shared" si="9"/>
        <v>45478</v>
      </c>
      <c r="E118" s="4" t="str">
        <f t="shared" si="5"/>
        <v>Q3-2024</v>
      </c>
      <c r="F118" t="s">
        <v>52</v>
      </c>
      <c r="G118" t="s">
        <v>53</v>
      </c>
      <c r="H118" t="s">
        <v>54</v>
      </c>
      <c r="I118" t="s">
        <v>30</v>
      </c>
      <c r="J118" s="7" t="str">
        <f t="shared" si="6"/>
        <v>Medium</v>
      </c>
      <c r="K118" s="4">
        <v>53.45</v>
      </c>
      <c r="L118" s="4">
        <v>53.45</v>
      </c>
      <c r="M118" s="4">
        <v>0.157</v>
      </c>
      <c r="N118" s="4">
        <v>17</v>
      </c>
      <c r="O118" s="4">
        <f t="shared" si="7"/>
        <v>23548.41258</v>
      </c>
    </row>
    <row r="119" spans="1:15" x14ac:dyDescent="0.3">
      <c r="A119" s="11">
        <v>45479</v>
      </c>
      <c r="B119" s="4" t="str">
        <f>TEXT(Data!B119,"MMM-YYYY")</f>
        <v>Jun-2023</v>
      </c>
      <c r="C119" s="4" t="str">
        <f t="shared" si="8"/>
        <v>Jul-2024</v>
      </c>
      <c r="D119" s="12">
        <f t="shared" si="9"/>
        <v>45479</v>
      </c>
      <c r="E119" s="4" t="str">
        <f t="shared" si="5"/>
        <v>Q3-2024</v>
      </c>
      <c r="F119" t="s">
        <v>78</v>
      </c>
      <c r="G119" t="s">
        <v>79</v>
      </c>
      <c r="H119" t="s">
        <v>335</v>
      </c>
      <c r="I119" t="s">
        <v>57</v>
      </c>
      <c r="J119" s="7" t="str">
        <f t="shared" si="6"/>
        <v>High</v>
      </c>
      <c r="K119" s="4">
        <v>3469.7</v>
      </c>
      <c r="L119" s="4">
        <v>3469.7</v>
      </c>
      <c r="M119" s="4">
        <v>0.184</v>
      </c>
      <c r="N119" s="4">
        <v>23</v>
      </c>
      <c r="O119" s="4">
        <f t="shared" si="7"/>
        <v>27535.846560000005</v>
      </c>
    </row>
    <row r="120" spans="1:15" x14ac:dyDescent="0.3">
      <c r="A120" s="11">
        <v>45480</v>
      </c>
      <c r="B120" s="4" t="str">
        <f>TEXT(Data!B120,"MMM-YYYY")</f>
        <v>Jul-2025</v>
      </c>
      <c r="C120" s="4" t="str">
        <f t="shared" si="8"/>
        <v>Jul-2024</v>
      </c>
      <c r="D120" s="12">
        <f t="shared" si="9"/>
        <v>45480</v>
      </c>
      <c r="E120" s="4" t="str">
        <f t="shared" si="5"/>
        <v>Q3-2024</v>
      </c>
      <c r="F120" t="s">
        <v>45</v>
      </c>
      <c r="G120" t="s">
        <v>116</v>
      </c>
      <c r="H120" t="s">
        <v>338</v>
      </c>
      <c r="I120" t="s">
        <v>64</v>
      </c>
      <c r="J120" s="7" t="str">
        <f t="shared" si="6"/>
        <v>High</v>
      </c>
      <c r="K120" s="4">
        <v>621.02</v>
      </c>
      <c r="L120" s="4">
        <v>621.02</v>
      </c>
      <c r="M120" s="4">
        <v>7.0999999999999994E-2</v>
      </c>
      <c r="N120" s="4">
        <v>10</v>
      </c>
      <c r="O120" s="4">
        <f t="shared" si="7"/>
        <v>9278.4804000000004</v>
      </c>
    </row>
    <row r="121" spans="1:15" x14ac:dyDescent="0.3">
      <c r="A121" s="11">
        <v>45481</v>
      </c>
      <c r="B121" s="4" t="str">
        <f>TEXT(Data!B121,"MMM-YYYY")</f>
        <v>Jun-2025</v>
      </c>
      <c r="C121" s="4" t="str">
        <f t="shared" si="8"/>
        <v>Jul-2024</v>
      </c>
      <c r="D121" s="12">
        <f t="shared" si="9"/>
        <v>45481</v>
      </c>
      <c r="E121" s="4" t="str">
        <f t="shared" si="5"/>
        <v>Q3-2024</v>
      </c>
      <c r="F121" t="s">
        <v>52</v>
      </c>
      <c r="G121" t="s">
        <v>53</v>
      </c>
      <c r="H121" t="s">
        <v>179</v>
      </c>
      <c r="I121" t="s">
        <v>57</v>
      </c>
      <c r="J121" s="7" t="str">
        <f t="shared" si="6"/>
        <v>Medium</v>
      </c>
      <c r="K121" s="4">
        <v>88.51</v>
      </c>
      <c r="L121" s="4">
        <v>88.51</v>
      </c>
      <c r="M121" s="4">
        <v>4.2999999999999997E-2</v>
      </c>
      <c r="N121" s="4">
        <v>7</v>
      </c>
      <c r="O121" s="4">
        <f t="shared" si="7"/>
        <v>4225.1932799999995</v>
      </c>
    </row>
    <row r="122" spans="1:15" x14ac:dyDescent="0.3">
      <c r="A122" s="11">
        <v>45482</v>
      </c>
      <c r="B122" s="4" t="str">
        <f>TEXT(Data!B122,"MMM-YYYY")</f>
        <v>Nov-2023</v>
      </c>
      <c r="C122" s="4" t="str">
        <f t="shared" si="8"/>
        <v>Jul-2024</v>
      </c>
      <c r="D122" s="12">
        <f t="shared" si="9"/>
        <v>45482</v>
      </c>
      <c r="E122" s="4" t="str">
        <f t="shared" si="5"/>
        <v>Q3-2024</v>
      </c>
      <c r="F122" t="s">
        <v>78</v>
      </c>
      <c r="G122" t="s">
        <v>108</v>
      </c>
      <c r="H122" t="s">
        <v>1364</v>
      </c>
      <c r="I122" t="s">
        <v>35</v>
      </c>
      <c r="J122" s="7" t="str">
        <f t="shared" si="6"/>
        <v>High</v>
      </c>
      <c r="K122" s="4">
        <v>1959.09</v>
      </c>
      <c r="L122" s="4">
        <v>1959.09</v>
      </c>
      <c r="M122" s="4">
        <v>0.123</v>
      </c>
      <c r="N122" s="4">
        <v>23</v>
      </c>
      <c r="O122" s="4">
        <f t="shared" si="7"/>
        <v>14696.792309999999</v>
      </c>
    </row>
    <row r="123" spans="1:15" x14ac:dyDescent="0.3">
      <c r="A123" s="11">
        <v>45483</v>
      </c>
      <c r="B123" s="4" t="str">
        <f>TEXT(Data!B123,"MMM-YYYY")</f>
        <v>Dec-2023</v>
      </c>
      <c r="C123" s="4" t="str">
        <f t="shared" si="8"/>
        <v>Jul-2024</v>
      </c>
      <c r="D123" s="12">
        <f t="shared" si="9"/>
        <v>45483</v>
      </c>
      <c r="E123" s="4" t="str">
        <f t="shared" si="5"/>
        <v>Q3-2024</v>
      </c>
      <c r="F123" t="s">
        <v>78</v>
      </c>
      <c r="G123" t="s">
        <v>90</v>
      </c>
      <c r="H123" t="s">
        <v>138</v>
      </c>
      <c r="I123" t="s">
        <v>64</v>
      </c>
      <c r="J123" s="7" t="str">
        <f t="shared" si="6"/>
        <v>High</v>
      </c>
      <c r="K123" s="4">
        <v>2742.97</v>
      </c>
      <c r="L123" s="4">
        <v>2742.97</v>
      </c>
      <c r="M123" s="4">
        <v>6.9000000000000006E-2</v>
      </c>
      <c r="N123" s="4">
        <v>9</v>
      </c>
      <c r="O123" s="4">
        <f t="shared" si="7"/>
        <v>7972.7022900000002</v>
      </c>
    </row>
    <row r="124" spans="1:15" x14ac:dyDescent="0.3">
      <c r="A124" s="11">
        <v>45484</v>
      </c>
      <c r="B124" s="4" t="str">
        <f>TEXT(Data!B124,"MMM-YYYY")</f>
        <v>Nov-2024</v>
      </c>
      <c r="C124" s="4" t="str">
        <f t="shared" si="8"/>
        <v>Jul-2024</v>
      </c>
      <c r="D124" s="12">
        <f t="shared" si="9"/>
        <v>45484</v>
      </c>
      <c r="E124" s="4" t="str">
        <f t="shared" si="5"/>
        <v>Q3-2024</v>
      </c>
      <c r="F124" t="s">
        <v>16</v>
      </c>
      <c r="G124" t="s">
        <v>17</v>
      </c>
      <c r="H124" t="s">
        <v>18</v>
      </c>
      <c r="I124" t="s">
        <v>42</v>
      </c>
      <c r="J124" s="7" t="str">
        <f t="shared" si="6"/>
        <v>High</v>
      </c>
      <c r="K124" s="4">
        <v>1679.42</v>
      </c>
      <c r="L124" s="4">
        <v>1679.42</v>
      </c>
      <c r="M124" s="4">
        <v>0.20300000000000001</v>
      </c>
      <c r="N124" s="4">
        <v>12</v>
      </c>
      <c r="O124" s="4">
        <f t="shared" si="7"/>
        <v>7009.2643199999993</v>
      </c>
    </row>
    <row r="125" spans="1:15" x14ac:dyDescent="0.3">
      <c r="A125" s="11">
        <v>45485</v>
      </c>
      <c r="B125" s="4" t="str">
        <f>TEXT(Data!B125,"MMM-YYYY")</f>
        <v>Aug-2023</v>
      </c>
      <c r="C125" s="4" t="str">
        <f t="shared" si="8"/>
        <v>Jul-2024</v>
      </c>
      <c r="D125" s="12">
        <f t="shared" si="9"/>
        <v>45485</v>
      </c>
      <c r="E125" s="4" t="str">
        <f t="shared" si="5"/>
        <v>Q3-2024</v>
      </c>
      <c r="F125" t="s">
        <v>52</v>
      </c>
      <c r="G125" t="s">
        <v>73</v>
      </c>
      <c r="H125" t="s">
        <v>87</v>
      </c>
      <c r="I125" t="s">
        <v>35</v>
      </c>
      <c r="J125" s="7" t="str">
        <f t="shared" si="6"/>
        <v>High</v>
      </c>
      <c r="K125" s="4">
        <v>1433.9</v>
      </c>
      <c r="L125" s="4">
        <v>1433.9</v>
      </c>
      <c r="M125" s="4">
        <v>5.7000000000000002E-2</v>
      </c>
      <c r="N125" s="4">
        <v>8</v>
      </c>
      <c r="O125" s="4">
        <f t="shared" si="7"/>
        <v>18192.506879999997</v>
      </c>
    </row>
    <row r="126" spans="1:15" x14ac:dyDescent="0.3">
      <c r="A126" s="11">
        <v>45486</v>
      </c>
      <c r="B126" s="4" t="str">
        <f>TEXT(Data!B126,"MMM-YYYY")</f>
        <v>Aug-2023</v>
      </c>
      <c r="C126" s="4" t="str">
        <f t="shared" si="8"/>
        <v>Jul-2024</v>
      </c>
      <c r="D126" s="12">
        <f t="shared" si="9"/>
        <v>45486</v>
      </c>
      <c r="E126" s="4" t="str">
        <f t="shared" si="5"/>
        <v>Q3-2024</v>
      </c>
      <c r="F126" t="s">
        <v>52</v>
      </c>
      <c r="G126" t="s">
        <v>53</v>
      </c>
      <c r="H126" t="s">
        <v>144</v>
      </c>
      <c r="I126" t="s">
        <v>22</v>
      </c>
      <c r="J126" s="7" t="str">
        <f t="shared" si="6"/>
        <v>High</v>
      </c>
      <c r="K126" s="4">
        <v>284.43</v>
      </c>
      <c r="L126" s="4">
        <v>284.43</v>
      </c>
      <c r="M126" s="4">
        <v>8.8999999999999996E-2</v>
      </c>
      <c r="N126" s="4">
        <v>8</v>
      </c>
      <c r="O126" s="4">
        <f t="shared" si="7"/>
        <v>4141.6975199999997</v>
      </c>
    </row>
    <row r="127" spans="1:15" x14ac:dyDescent="0.3">
      <c r="A127" s="11">
        <v>45487</v>
      </c>
      <c r="B127" s="4" t="str">
        <f>TEXT(Data!B127,"MMM-YYYY")</f>
        <v>Jun-2024</v>
      </c>
      <c r="C127" s="4" t="str">
        <f t="shared" si="8"/>
        <v>Jul-2024</v>
      </c>
      <c r="D127" s="12">
        <f t="shared" si="9"/>
        <v>45487</v>
      </c>
      <c r="E127" s="4" t="str">
        <f t="shared" si="5"/>
        <v>Q3-2024</v>
      </c>
      <c r="F127" t="s">
        <v>45</v>
      </c>
      <c r="G127" t="s">
        <v>116</v>
      </c>
      <c r="H127" t="s">
        <v>162</v>
      </c>
      <c r="I127" t="s">
        <v>22</v>
      </c>
      <c r="J127" s="7" t="str">
        <f t="shared" si="6"/>
        <v>High</v>
      </c>
      <c r="K127" s="4">
        <v>694.78</v>
      </c>
      <c r="L127" s="4">
        <v>694.78</v>
      </c>
      <c r="M127" s="4">
        <v>8.4000000000000005E-2</v>
      </c>
      <c r="N127" s="4">
        <v>14</v>
      </c>
      <c r="O127" s="4">
        <f t="shared" si="7"/>
        <v>16093.478800000001</v>
      </c>
    </row>
    <row r="128" spans="1:15" x14ac:dyDescent="0.3">
      <c r="A128" s="11">
        <v>45488</v>
      </c>
      <c r="B128" s="4" t="str">
        <f>TEXT(Data!B128,"MMM-YYYY")</f>
        <v>Aug-2025</v>
      </c>
      <c r="C128" s="4" t="str">
        <f t="shared" si="8"/>
        <v>Jul-2024</v>
      </c>
      <c r="D128" s="12">
        <f t="shared" si="9"/>
        <v>45488</v>
      </c>
      <c r="E128" s="4" t="str">
        <f t="shared" si="5"/>
        <v>Q3-2024</v>
      </c>
      <c r="F128" t="s">
        <v>78</v>
      </c>
      <c r="G128" t="s">
        <v>79</v>
      </c>
      <c r="H128" t="s">
        <v>80</v>
      </c>
      <c r="I128" t="s">
        <v>22</v>
      </c>
      <c r="J128" s="7" t="str">
        <f t="shared" si="6"/>
        <v>High</v>
      </c>
      <c r="K128" s="4">
        <v>1848.39</v>
      </c>
      <c r="L128" s="4">
        <v>1848.39</v>
      </c>
      <c r="M128" s="4">
        <v>7.2999999999999995E-2</v>
      </c>
      <c r="N128" s="4">
        <v>38</v>
      </c>
      <c r="O128" s="4">
        <f t="shared" si="7"/>
        <v>29785.344300000001</v>
      </c>
    </row>
    <row r="129" spans="1:15" x14ac:dyDescent="0.3">
      <c r="A129" s="11">
        <v>45489</v>
      </c>
      <c r="B129" s="4" t="str">
        <f>TEXT(Data!B129,"MMM-YYYY")</f>
        <v>May-2024</v>
      </c>
      <c r="C129" s="4" t="str">
        <f t="shared" si="8"/>
        <v>Jul-2024</v>
      </c>
      <c r="D129" s="12">
        <f t="shared" si="9"/>
        <v>45489</v>
      </c>
      <c r="E129" s="4" t="str">
        <f t="shared" si="5"/>
        <v>Q3-2024</v>
      </c>
      <c r="F129" t="s">
        <v>78</v>
      </c>
      <c r="G129" t="s">
        <v>108</v>
      </c>
      <c r="H129" t="s">
        <v>152</v>
      </c>
      <c r="I129" t="s">
        <v>22</v>
      </c>
      <c r="J129" s="7" t="str">
        <f t="shared" si="6"/>
        <v>Low</v>
      </c>
      <c r="K129" s="4">
        <v>45.19</v>
      </c>
      <c r="L129" s="4">
        <v>45.19</v>
      </c>
      <c r="M129" s="4">
        <v>0.17899999999999999</v>
      </c>
      <c r="N129" s="4">
        <v>23</v>
      </c>
      <c r="O129" s="4">
        <f t="shared" si="7"/>
        <v>40507.245110000003</v>
      </c>
    </row>
    <row r="130" spans="1:15" x14ac:dyDescent="0.3">
      <c r="A130" s="11">
        <v>45490</v>
      </c>
      <c r="B130" s="4" t="str">
        <f>TEXT(Data!B130,"MMM-YYYY")</f>
        <v>Jan-2023</v>
      </c>
      <c r="C130" s="4" t="str">
        <f t="shared" si="8"/>
        <v>Jul-2024</v>
      </c>
      <c r="D130" s="12">
        <f t="shared" si="9"/>
        <v>45490</v>
      </c>
      <c r="E130" s="4" t="str">
        <f t="shared" ref="E130:E193" si="10">"Q"&amp;ROUNDUP(MONTH(A130)/3,0)&amp;"-"&amp;YEAR(A130)</f>
        <v>Q3-2024</v>
      </c>
      <c r="F130" t="s">
        <v>52</v>
      </c>
      <c r="G130" t="s">
        <v>122</v>
      </c>
      <c r="H130" t="s">
        <v>167</v>
      </c>
      <c r="I130" t="s">
        <v>42</v>
      </c>
      <c r="J130" s="7" t="str">
        <f t="shared" ref="J130:J193" si="11">IF(K130&lt;50, "Low", IF(K130&lt;200, "Medium", "High"))</f>
        <v>High</v>
      </c>
      <c r="K130" s="4">
        <v>361.1</v>
      </c>
      <c r="L130" s="4">
        <v>361.1</v>
      </c>
      <c r="M130" s="4">
        <v>0.187</v>
      </c>
      <c r="N130" s="4">
        <v>9</v>
      </c>
      <c r="O130" s="4">
        <f t="shared" ref="O130:O193" si="12">(L156*N130)*(1-M130)</f>
        <v>9877.5109800000009</v>
      </c>
    </row>
    <row r="131" spans="1:15" x14ac:dyDescent="0.3">
      <c r="A131" s="11">
        <v>45491</v>
      </c>
      <c r="B131" s="4" t="str">
        <f>TEXT(Data!B131,"MMM-YYYY")</f>
        <v>Feb-2025</v>
      </c>
      <c r="C131" s="4" t="str">
        <f t="shared" ref="C131:C194" si="13">TEXT(D131, "MMM-YYYY")</f>
        <v>Jul-2024</v>
      </c>
      <c r="D131" s="12">
        <f t="shared" ref="D131:D194" si="14">_xlfn.MINIFS(A131:A131, G131:G131,G131)</f>
        <v>45491</v>
      </c>
      <c r="E131" s="4" t="str">
        <f t="shared" si="10"/>
        <v>Q3-2024</v>
      </c>
      <c r="F131" t="s">
        <v>52</v>
      </c>
      <c r="G131" t="s">
        <v>122</v>
      </c>
      <c r="H131" t="s">
        <v>167</v>
      </c>
      <c r="I131" t="s">
        <v>35</v>
      </c>
      <c r="J131" s="7" t="str">
        <f t="shared" si="11"/>
        <v>High</v>
      </c>
      <c r="K131" s="4">
        <v>1004.34</v>
      </c>
      <c r="L131" s="4">
        <v>1004.34</v>
      </c>
      <c r="M131" s="4">
        <v>0.111</v>
      </c>
      <c r="N131" s="4">
        <v>18</v>
      </c>
      <c r="O131" s="4">
        <f t="shared" si="12"/>
        <v>8440.7349599999998</v>
      </c>
    </row>
    <row r="132" spans="1:15" x14ac:dyDescent="0.3">
      <c r="A132" s="11">
        <v>45492</v>
      </c>
      <c r="B132" s="4" t="str">
        <f>TEXT(Data!B132,"MMM-YYYY")</f>
        <v>Mar-2025</v>
      </c>
      <c r="C132" s="4" t="str">
        <f t="shared" si="13"/>
        <v>Jul-2024</v>
      </c>
      <c r="D132" s="12">
        <f t="shared" si="14"/>
        <v>45492</v>
      </c>
      <c r="E132" s="4" t="str">
        <f t="shared" si="10"/>
        <v>Q3-2024</v>
      </c>
      <c r="F132" t="s">
        <v>52</v>
      </c>
      <c r="G132" t="s">
        <v>73</v>
      </c>
      <c r="H132" t="s">
        <v>74</v>
      </c>
      <c r="I132" t="s">
        <v>64</v>
      </c>
      <c r="J132" s="7" t="str">
        <f t="shared" si="11"/>
        <v>High</v>
      </c>
      <c r="K132" s="4">
        <v>1027.73</v>
      </c>
      <c r="L132" s="4">
        <v>1027.73</v>
      </c>
      <c r="M132" s="4">
        <v>6.3E-2</v>
      </c>
      <c r="N132" s="4">
        <v>8</v>
      </c>
      <c r="O132" s="4">
        <f t="shared" si="12"/>
        <v>10997.906320000002</v>
      </c>
    </row>
    <row r="133" spans="1:15" x14ac:dyDescent="0.3">
      <c r="A133" s="11">
        <v>45493</v>
      </c>
      <c r="B133" s="4" t="str">
        <f>TEXT(Data!B133,"MMM-YYYY")</f>
        <v>Jan-2023</v>
      </c>
      <c r="C133" s="4" t="str">
        <f t="shared" si="13"/>
        <v>Jul-2024</v>
      </c>
      <c r="D133" s="12">
        <f t="shared" si="14"/>
        <v>45493</v>
      </c>
      <c r="E133" s="4" t="str">
        <f t="shared" si="10"/>
        <v>Q3-2024</v>
      </c>
      <c r="F133" t="s">
        <v>16</v>
      </c>
      <c r="G133" t="s">
        <v>25</v>
      </c>
      <c r="H133" t="s">
        <v>67</v>
      </c>
      <c r="I133" t="s">
        <v>81</v>
      </c>
      <c r="J133" s="7" t="str">
        <f t="shared" si="11"/>
        <v>High</v>
      </c>
      <c r="K133" s="4">
        <v>468.09</v>
      </c>
      <c r="L133" s="4">
        <v>468.09</v>
      </c>
      <c r="M133" s="4">
        <v>0.14199999999999999</v>
      </c>
      <c r="N133" s="4">
        <v>11</v>
      </c>
      <c r="O133" s="4">
        <f t="shared" si="12"/>
        <v>15583.45932</v>
      </c>
    </row>
    <row r="134" spans="1:15" x14ac:dyDescent="0.3">
      <c r="A134" s="11">
        <v>45494</v>
      </c>
      <c r="B134" s="4" t="str">
        <f>TEXT(Data!B134,"MMM-YYYY")</f>
        <v>Jan-2025</v>
      </c>
      <c r="C134" s="4" t="str">
        <f t="shared" si="13"/>
        <v>Jul-2024</v>
      </c>
      <c r="D134" s="12">
        <f t="shared" si="14"/>
        <v>45494</v>
      </c>
      <c r="E134" s="4" t="str">
        <f t="shared" si="10"/>
        <v>Q3-2024</v>
      </c>
      <c r="F134" t="s">
        <v>78</v>
      </c>
      <c r="G134" t="s">
        <v>108</v>
      </c>
      <c r="H134" t="s">
        <v>228</v>
      </c>
      <c r="I134" t="s">
        <v>57</v>
      </c>
      <c r="J134" s="7" t="str">
        <f t="shared" si="11"/>
        <v>High</v>
      </c>
      <c r="K134" s="4">
        <v>668.02</v>
      </c>
      <c r="L134" s="4">
        <v>668.02</v>
      </c>
      <c r="M134" s="4">
        <v>0.22</v>
      </c>
      <c r="N134" s="4">
        <v>16</v>
      </c>
      <c r="O134" s="4">
        <f t="shared" si="12"/>
        <v>24737.606400000001</v>
      </c>
    </row>
    <row r="135" spans="1:15" x14ac:dyDescent="0.3">
      <c r="A135" s="11">
        <v>45495</v>
      </c>
      <c r="B135" s="4" t="str">
        <f>TEXT(Data!B135,"MMM-YYYY")</f>
        <v>Dec-2024</v>
      </c>
      <c r="C135" s="4" t="str">
        <f t="shared" si="13"/>
        <v>Jul-2024</v>
      </c>
      <c r="D135" s="12">
        <f t="shared" si="14"/>
        <v>45495</v>
      </c>
      <c r="E135" s="4" t="str">
        <f t="shared" si="10"/>
        <v>Q3-2024</v>
      </c>
      <c r="F135" t="s">
        <v>45</v>
      </c>
      <c r="G135" t="s">
        <v>116</v>
      </c>
      <c r="H135" t="s">
        <v>338</v>
      </c>
      <c r="I135" t="s">
        <v>42</v>
      </c>
      <c r="J135" s="7" t="str">
        <f t="shared" si="11"/>
        <v>High</v>
      </c>
      <c r="K135" s="4">
        <v>537.27</v>
      </c>
      <c r="L135" s="4">
        <v>537.27</v>
      </c>
      <c r="M135" s="4">
        <v>0.187</v>
      </c>
      <c r="N135" s="4">
        <v>8</v>
      </c>
      <c r="O135" s="4">
        <f t="shared" si="12"/>
        <v>16599.638879999999</v>
      </c>
    </row>
    <row r="136" spans="1:15" x14ac:dyDescent="0.3">
      <c r="A136" s="11">
        <v>45496</v>
      </c>
      <c r="B136" s="4" t="str">
        <f>TEXT(Data!B136,"MMM-YYYY")</f>
        <v>Apr-2023</v>
      </c>
      <c r="C136" s="4" t="str">
        <f t="shared" si="13"/>
        <v>Jul-2024</v>
      </c>
      <c r="D136" s="12">
        <f t="shared" si="14"/>
        <v>45496</v>
      </c>
      <c r="E136" s="4" t="str">
        <f t="shared" si="10"/>
        <v>Q3-2024</v>
      </c>
      <c r="F136" t="s">
        <v>52</v>
      </c>
      <c r="G136" t="s">
        <v>122</v>
      </c>
      <c r="H136" t="s">
        <v>167</v>
      </c>
      <c r="I136" t="s">
        <v>30</v>
      </c>
      <c r="J136" s="7" t="str">
        <f t="shared" si="11"/>
        <v>High</v>
      </c>
      <c r="K136" s="4">
        <v>572.71</v>
      </c>
      <c r="L136" s="4">
        <v>572.71</v>
      </c>
      <c r="M136" s="4">
        <v>0.192</v>
      </c>
      <c r="N136" s="4">
        <v>26</v>
      </c>
      <c r="O136" s="4">
        <f t="shared" si="12"/>
        <v>10987.39408</v>
      </c>
    </row>
    <row r="137" spans="1:15" x14ac:dyDescent="0.3">
      <c r="A137" s="11">
        <v>45497</v>
      </c>
      <c r="B137" s="4" t="str">
        <f>TEXT(Data!B137,"MMM-YYYY")</f>
        <v>Dec-2024</v>
      </c>
      <c r="C137" s="4" t="str">
        <f t="shared" si="13"/>
        <v>Jul-2024</v>
      </c>
      <c r="D137" s="12">
        <f t="shared" si="14"/>
        <v>45497</v>
      </c>
      <c r="E137" s="4" t="str">
        <f t="shared" si="10"/>
        <v>Q3-2024</v>
      </c>
      <c r="F137" t="s">
        <v>78</v>
      </c>
      <c r="G137" t="s">
        <v>90</v>
      </c>
      <c r="H137" t="s">
        <v>138</v>
      </c>
      <c r="I137" t="s">
        <v>64</v>
      </c>
      <c r="J137" s="7" t="str">
        <f t="shared" si="11"/>
        <v>High</v>
      </c>
      <c r="K137" s="4">
        <v>2323.87</v>
      </c>
      <c r="L137" s="4">
        <v>2323.87</v>
      </c>
      <c r="M137" s="4">
        <v>9.4E-2</v>
      </c>
      <c r="N137" s="4">
        <v>13</v>
      </c>
      <c r="O137" s="4">
        <f t="shared" si="12"/>
        <v>14342.18838</v>
      </c>
    </row>
    <row r="138" spans="1:15" x14ac:dyDescent="0.3">
      <c r="A138" s="11">
        <v>45498</v>
      </c>
      <c r="B138" s="4" t="str">
        <f>TEXT(Data!B138,"MMM-YYYY")</f>
        <v>Mar-2023</v>
      </c>
      <c r="C138" s="4" t="str">
        <f t="shared" si="13"/>
        <v>Jul-2024</v>
      </c>
      <c r="D138" s="12">
        <f t="shared" si="14"/>
        <v>45498</v>
      </c>
      <c r="E138" s="4" t="str">
        <f t="shared" si="10"/>
        <v>Q3-2024</v>
      </c>
      <c r="F138" t="s">
        <v>45</v>
      </c>
      <c r="G138" t="s">
        <v>116</v>
      </c>
      <c r="H138" t="s">
        <v>117</v>
      </c>
      <c r="I138" t="s">
        <v>22</v>
      </c>
      <c r="J138" s="7" t="str">
        <f t="shared" si="11"/>
        <v>High</v>
      </c>
      <c r="K138" s="4">
        <v>1631.04</v>
      </c>
      <c r="L138" s="4">
        <v>1631.04</v>
      </c>
      <c r="M138" s="4">
        <v>8.9999999999999993E-3</v>
      </c>
      <c r="N138" s="4">
        <v>6</v>
      </c>
      <c r="O138" s="4">
        <f t="shared" si="12"/>
        <v>7989.2834400000002</v>
      </c>
    </row>
    <row r="139" spans="1:15" x14ac:dyDescent="0.3">
      <c r="A139" s="11">
        <v>45499</v>
      </c>
      <c r="B139" s="4" t="str">
        <f>TEXT(Data!B139,"MMM-YYYY")</f>
        <v>Nov-2024</v>
      </c>
      <c r="C139" s="4" t="str">
        <f t="shared" si="13"/>
        <v>Jul-2024</v>
      </c>
      <c r="D139" s="12">
        <f t="shared" si="14"/>
        <v>45499</v>
      </c>
      <c r="E139" s="4" t="str">
        <f t="shared" si="10"/>
        <v>Q3-2024</v>
      </c>
      <c r="F139" t="s">
        <v>16</v>
      </c>
      <c r="G139" t="s">
        <v>17</v>
      </c>
      <c r="H139" t="s">
        <v>113</v>
      </c>
      <c r="I139" t="s">
        <v>42</v>
      </c>
      <c r="J139" s="7" t="str">
        <f t="shared" si="11"/>
        <v>High</v>
      </c>
      <c r="K139" s="4">
        <v>393.31</v>
      </c>
      <c r="L139" s="4">
        <v>393.31</v>
      </c>
      <c r="M139" s="4">
        <v>0.26500000000000001</v>
      </c>
      <c r="N139" s="4">
        <v>15</v>
      </c>
      <c r="O139" s="4">
        <f t="shared" si="12"/>
        <v>3326.2424999999998</v>
      </c>
    </row>
    <row r="140" spans="1:15" x14ac:dyDescent="0.3">
      <c r="A140" s="11">
        <v>45500</v>
      </c>
      <c r="B140" s="4" t="str">
        <f>TEXT(Data!B140,"MMM-YYYY")</f>
        <v>Feb-2024</v>
      </c>
      <c r="C140" s="4" t="str">
        <f t="shared" si="13"/>
        <v>Jul-2024</v>
      </c>
      <c r="D140" s="12">
        <f t="shared" si="14"/>
        <v>45500</v>
      </c>
      <c r="E140" s="4" t="str">
        <f t="shared" si="10"/>
        <v>Q3-2024</v>
      </c>
      <c r="F140" t="s">
        <v>78</v>
      </c>
      <c r="G140" t="s">
        <v>90</v>
      </c>
      <c r="H140" t="s">
        <v>217</v>
      </c>
      <c r="I140" t="s">
        <v>30</v>
      </c>
      <c r="J140" s="7" t="str">
        <f t="shared" si="11"/>
        <v>High</v>
      </c>
      <c r="K140" s="4">
        <v>1856.16</v>
      </c>
      <c r="L140" s="4">
        <v>1856.16</v>
      </c>
      <c r="M140" s="4">
        <v>0.129</v>
      </c>
      <c r="N140" s="4">
        <v>22</v>
      </c>
      <c r="O140" s="4">
        <f t="shared" si="12"/>
        <v>28967.387020000002</v>
      </c>
    </row>
    <row r="141" spans="1:15" x14ac:dyDescent="0.3">
      <c r="A141" s="11">
        <v>45501</v>
      </c>
      <c r="B141" s="4" t="str">
        <f>TEXT(Data!B141,"MMM-YYYY")</f>
        <v>May-2023</v>
      </c>
      <c r="C141" s="4" t="str">
        <f t="shared" si="13"/>
        <v>Jul-2024</v>
      </c>
      <c r="D141" s="12">
        <f t="shared" si="14"/>
        <v>45501</v>
      </c>
      <c r="E141" s="4" t="str">
        <f t="shared" si="10"/>
        <v>Q3-2024</v>
      </c>
      <c r="F141" t="s">
        <v>45</v>
      </c>
      <c r="G141" t="s">
        <v>116</v>
      </c>
      <c r="H141" t="s">
        <v>338</v>
      </c>
      <c r="I141" t="s">
        <v>81</v>
      </c>
      <c r="J141" s="7" t="str">
        <f t="shared" si="11"/>
        <v>Medium</v>
      </c>
      <c r="K141" s="4">
        <v>84.9</v>
      </c>
      <c r="L141" s="4">
        <v>84.9</v>
      </c>
      <c r="M141" s="4">
        <v>0.25900000000000001</v>
      </c>
      <c r="N141" s="4">
        <v>23</v>
      </c>
      <c r="O141" s="4">
        <f t="shared" si="12"/>
        <v>35027.455319999994</v>
      </c>
    </row>
    <row r="142" spans="1:15" x14ac:dyDescent="0.3">
      <c r="A142" s="11">
        <v>45502</v>
      </c>
      <c r="B142" s="4" t="str">
        <f>TEXT(Data!B142,"MMM-YYYY")</f>
        <v>Dec-2024</v>
      </c>
      <c r="C142" s="4" t="str">
        <f t="shared" si="13"/>
        <v>Jul-2024</v>
      </c>
      <c r="D142" s="12">
        <f t="shared" si="14"/>
        <v>45502</v>
      </c>
      <c r="E142" s="4" t="str">
        <f t="shared" si="10"/>
        <v>Q3-2024</v>
      </c>
      <c r="F142" t="s">
        <v>45</v>
      </c>
      <c r="G142" t="s">
        <v>60</v>
      </c>
      <c r="H142" t="s">
        <v>141</v>
      </c>
      <c r="I142" t="s">
        <v>64</v>
      </c>
      <c r="J142" s="7" t="str">
        <f t="shared" si="11"/>
        <v>High</v>
      </c>
      <c r="K142" s="4">
        <v>2252.2399999999998</v>
      </c>
      <c r="L142" s="4">
        <v>2252.2399999999998</v>
      </c>
      <c r="M142" s="4">
        <v>0.11799999999999999</v>
      </c>
      <c r="N142" s="4">
        <v>44</v>
      </c>
      <c r="O142" s="4">
        <f t="shared" si="12"/>
        <v>15179.749199999998</v>
      </c>
    </row>
    <row r="143" spans="1:15" x14ac:dyDescent="0.3">
      <c r="A143" s="11">
        <v>45503</v>
      </c>
      <c r="B143" s="4" t="str">
        <f>TEXT(Data!B143,"MMM-YYYY")</f>
        <v>Jul-2023</v>
      </c>
      <c r="C143" s="4" t="str">
        <f t="shared" si="13"/>
        <v>Jul-2024</v>
      </c>
      <c r="D143" s="12">
        <f t="shared" si="14"/>
        <v>45503</v>
      </c>
      <c r="E143" s="4" t="str">
        <f t="shared" si="10"/>
        <v>Q3-2024</v>
      </c>
      <c r="F143" t="s">
        <v>78</v>
      </c>
      <c r="G143" t="s">
        <v>79</v>
      </c>
      <c r="H143" t="s">
        <v>80</v>
      </c>
      <c r="I143" t="s">
        <v>42</v>
      </c>
      <c r="J143" s="7" t="str">
        <f t="shared" si="11"/>
        <v>High</v>
      </c>
      <c r="K143" s="4">
        <v>921.62</v>
      </c>
      <c r="L143" s="4">
        <v>921.62</v>
      </c>
      <c r="M143" s="4">
        <v>0.01</v>
      </c>
      <c r="N143" s="4">
        <v>9</v>
      </c>
      <c r="O143" s="4">
        <f t="shared" si="12"/>
        <v>16474.322700000001</v>
      </c>
    </row>
    <row r="144" spans="1:15" x14ac:dyDescent="0.3">
      <c r="A144" s="11">
        <v>45504</v>
      </c>
      <c r="B144" s="4" t="str">
        <f>TEXT(Data!B144,"MMM-YYYY")</f>
        <v>Jun-2024</v>
      </c>
      <c r="C144" s="4" t="str">
        <f t="shared" si="13"/>
        <v>Jul-2024</v>
      </c>
      <c r="D144" s="12">
        <f t="shared" si="14"/>
        <v>45504</v>
      </c>
      <c r="E144" s="4" t="str">
        <f t="shared" si="10"/>
        <v>Q3-2024</v>
      </c>
      <c r="F144" t="s">
        <v>52</v>
      </c>
      <c r="G144" t="s">
        <v>122</v>
      </c>
      <c r="H144" t="s">
        <v>387</v>
      </c>
      <c r="I144" t="s">
        <v>81</v>
      </c>
      <c r="J144" s="7" t="str">
        <f t="shared" si="11"/>
        <v>High</v>
      </c>
      <c r="K144" s="4">
        <v>1643.18</v>
      </c>
      <c r="L144" s="4">
        <v>1643.18</v>
      </c>
      <c r="M144" s="4">
        <v>0.151</v>
      </c>
      <c r="N144" s="4">
        <v>23</v>
      </c>
      <c r="O144" s="4">
        <f t="shared" si="12"/>
        <v>27251.100119999996</v>
      </c>
    </row>
    <row r="145" spans="1:15" x14ac:dyDescent="0.3">
      <c r="A145" s="11">
        <v>45505</v>
      </c>
      <c r="B145" s="4" t="str">
        <f>TEXT(Data!B145,"MMM-YYYY")</f>
        <v>Jul-2023</v>
      </c>
      <c r="C145" s="4" t="str">
        <f t="shared" si="13"/>
        <v>Aug-2024</v>
      </c>
      <c r="D145" s="12">
        <f t="shared" si="14"/>
        <v>45505</v>
      </c>
      <c r="E145" s="4" t="str">
        <f t="shared" si="10"/>
        <v>Q3-2024</v>
      </c>
      <c r="F145" t="s">
        <v>52</v>
      </c>
      <c r="G145" t="s">
        <v>53</v>
      </c>
      <c r="H145" t="s">
        <v>54</v>
      </c>
      <c r="I145" t="s">
        <v>30</v>
      </c>
      <c r="J145" s="7" t="str">
        <f t="shared" si="11"/>
        <v>High</v>
      </c>
      <c r="K145" s="4">
        <v>1467.17</v>
      </c>
      <c r="L145" s="4">
        <v>1467.17</v>
      </c>
      <c r="M145" s="4">
        <v>0.245</v>
      </c>
      <c r="N145" s="4">
        <v>9</v>
      </c>
      <c r="O145" s="4">
        <f t="shared" si="12"/>
        <v>3655.9817999999996</v>
      </c>
    </row>
    <row r="146" spans="1:15" x14ac:dyDescent="0.3">
      <c r="A146" s="11">
        <v>45506</v>
      </c>
      <c r="B146" s="4" t="str">
        <f>TEXT(Data!B146,"MMM-YYYY")</f>
        <v>Nov-2023</v>
      </c>
      <c r="C146" s="4" t="str">
        <f t="shared" si="13"/>
        <v>Aug-2024</v>
      </c>
      <c r="D146" s="12">
        <f t="shared" si="14"/>
        <v>45506</v>
      </c>
      <c r="E146" s="4" t="str">
        <f t="shared" si="10"/>
        <v>Q3-2024</v>
      </c>
      <c r="F146" t="s">
        <v>52</v>
      </c>
      <c r="G146" t="s">
        <v>73</v>
      </c>
      <c r="H146" t="s">
        <v>87</v>
      </c>
      <c r="I146" t="s">
        <v>35</v>
      </c>
      <c r="J146" s="7" t="str">
        <f t="shared" si="11"/>
        <v>High</v>
      </c>
      <c r="K146" s="4">
        <v>998.76</v>
      </c>
      <c r="L146" s="4">
        <v>998.76</v>
      </c>
      <c r="M146" s="4">
        <v>8.2000000000000003E-2</v>
      </c>
      <c r="N146" s="4">
        <v>28</v>
      </c>
      <c r="O146" s="4">
        <f t="shared" si="12"/>
        <v>31331.119680000003</v>
      </c>
    </row>
    <row r="147" spans="1:15" x14ac:dyDescent="0.3">
      <c r="A147" s="11">
        <v>45507</v>
      </c>
      <c r="B147" s="4" t="str">
        <f>TEXT(Data!B147,"MMM-YYYY")</f>
        <v>Sep-2025</v>
      </c>
      <c r="C147" s="4" t="str">
        <f t="shared" si="13"/>
        <v>Aug-2024</v>
      </c>
      <c r="D147" s="12">
        <f t="shared" si="14"/>
        <v>45507</v>
      </c>
      <c r="E147" s="4" t="str">
        <f t="shared" si="10"/>
        <v>Q3-2024</v>
      </c>
      <c r="F147" t="s">
        <v>16</v>
      </c>
      <c r="G147" t="s">
        <v>148</v>
      </c>
      <c r="H147" t="s">
        <v>172</v>
      </c>
      <c r="I147" t="s">
        <v>57</v>
      </c>
      <c r="J147" s="7" t="str">
        <f t="shared" si="11"/>
        <v>High</v>
      </c>
      <c r="K147" s="4">
        <v>630.72</v>
      </c>
      <c r="L147" s="4">
        <v>630.72</v>
      </c>
      <c r="M147" s="4">
        <v>0.107</v>
      </c>
      <c r="N147" s="4">
        <v>23</v>
      </c>
      <c r="O147" s="4">
        <f t="shared" si="12"/>
        <v>42353.882679999995</v>
      </c>
    </row>
    <row r="148" spans="1:15" x14ac:dyDescent="0.3">
      <c r="A148" s="11">
        <v>45508</v>
      </c>
      <c r="B148" s="4" t="str">
        <f>TEXT(Data!B148,"MMM-YYYY")</f>
        <v>Apr-2024</v>
      </c>
      <c r="C148" s="4" t="str">
        <f t="shared" si="13"/>
        <v>Aug-2024</v>
      </c>
      <c r="D148" s="12">
        <f t="shared" si="14"/>
        <v>45508</v>
      </c>
      <c r="E148" s="4" t="str">
        <f t="shared" si="10"/>
        <v>Q3-2024</v>
      </c>
      <c r="F148" t="s">
        <v>16</v>
      </c>
      <c r="G148" t="s">
        <v>17</v>
      </c>
      <c r="H148" t="s">
        <v>33</v>
      </c>
      <c r="I148" t="s">
        <v>57</v>
      </c>
      <c r="J148" s="7" t="str">
        <f t="shared" si="11"/>
        <v>High</v>
      </c>
      <c r="K148" s="4">
        <v>728.61</v>
      </c>
      <c r="L148" s="4">
        <v>728.61</v>
      </c>
      <c r="M148" s="4">
        <v>0.185</v>
      </c>
      <c r="N148" s="4">
        <v>6</v>
      </c>
      <c r="O148" s="4">
        <f t="shared" si="12"/>
        <v>49.780199999999994</v>
      </c>
    </row>
    <row r="149" spans="1:15" x14ac:dyDescent="0.3">
      <c r="A149" s="11">
        <v>45509</v>
      </c>
      <c r="B149" s="4" t="str">
        <f>TEXT(Data!B149,"MMM-YYYY")</f>
        <v>Sep-2023</v>
      </c>
      <c r="C149" s="4" t="str">
        <f t="shared" si="13"/>
        <v>Aug-2024</v>
      </c>
      <c r="D149" s="12">
        <f t="shared" si="14"/>
        <v>45509</v>
      </c>
      <c r="E149" s="4" t="str">
        <f t="shared" si="10"/>
        <v>Q3-2024</v>
      </c>
      <c r="F149" t="s">
        <v>78</v>
      </c>
      <c r="G149" t="s">
        <v>79</v>
      </c>
      <c r="H149" t="s">
        <v>335</v>
      </c>
      <c r="I149" t="s">
        <v>81</v>
      </c>
      <c r="J149" s="7" t="str">
        <f t="shared" si="11"/>
        <v>High</v>
      </c>
      <c r="K149" s="4">
        <v>951.51</v>
      </c>
      <c r="L149" s="4">
        <v>951.51</v>
      </c>
      <c r="M149" s="4">
        <v>0</v>
      </c>
      <c r="N149" s="4">
        <v>14</v>
      </c>
      <c r="O149" s="4">
        <f t="shared" si="12"/>
        <v>31944.079999999998</v>
      </c>
    </row>
    <row r="150" spans="1:15" x14ac:dyDescent="0.3">
      <c r="A150" s="11">
        <v>45510</v>
      </c>
      <c r="B150" s="4" t="str">
        <f>TEXT(Data!B150,"MMM-YYYY")</f>
        <v>Sep-2024</v>
      </c>
      <c r="C150" s="4" t="str">
        <f t="shared" si="13"/>
        <v>Aug-2024</v>
      </c>
      <c r="D150" s="12">
        <f t="shared" si="14"/>
        <v>45510</v>
      </c>
      <c r="E150" s="4" t="str">
        <f t="shared" si="10"/>
        <v>Q3-2024</v>
      </c>
      <c r="F150" t="s">
        <v>78</v>
      </c>
      <c r="G150" t="s">
        <v>90</v>
      </c>
      <c r="H150" t="s">
        <v>138</v>
      </c>
      <c r="I150" t="s">
        <v>30</v>
      </c>
      <c r="J150" s="7" t="str">
        <f t="shared" si="11"/>
        <v>High</v>
      </c>
      <c r="K150" s="4">
        <v>732.88</v>
      </c>
      <c r="L150" s="4">
        <v>732.88</v>
      </c>
      <c r="M150" s="4">
        <v>0.188</v>
      </c>
      <c r="N150" s="4">
        <v>25</v>
      </c>
      <c r="O150" s="4">
        <f t="shared" si="12"/>
        <v>5066.2710000000006</v>
      </c>
    </row>
    <row r="151" spans="1:15" x14ac:dyDescent="0.3">
      <c r="A151" s="11">
        <v>45511</v>
      </c>
      <c r="B151" s="4" t="str">
        <f>TEXT(Data!B151,"MMM-YYYY")</f>
        <v>Apr-2025</v>
      </c>
      <c r="C151" s="4" t="str">
        <f t="shared" si="13"/>
        <v>Aug-2024</v>
      </c>
      <c r="D151" s="12">
        <f t="shared" si="14"/>
        <v>45511</v>
      </c>
      <c r="E151" s="4" t="str">
        <f t="shared" si="10"/>
        <v>Q3-2024</v>
      </c>
      <c r="F151" t="s">
        <v>52</v>
      </c>
      <c r="G151" t="s">
        <v>53</v>
      </c>
      <c r="H151" t="s">
        <v>179</v>
      </c>
      <c r="I151" t="s">
        <v>42</v>
      </c>
      <c r="J151" s="7" t="str">
        <f t="shared" si="11"/>
        <v>High</v>
      </c>
      <c r="K151" s="4">
        <v>2411.52</v>
      </c>
      <c r="L151" s="4">
        <v>2411.52</v>
      </c>
      <c r="M151" s="4">
        <v>2.1000000000000001E-2</v>
      </c>
      <c r="N151" s="4">
        <v>18</v>
      </c>
      <c r="O151" s="4">
        <f t="shared" si="12"/>
        <v>57712.049999999996</v>
      </c>
    </row>
    <row r="152" spans="1:15" x14ac:dyDescent="0.3">
      <c r="A152" s="11">
        <v>45512</v>
      </c>
      <c r="B152" s="4" t="str">
        <f>TEXT(Data!B152,"MMM-YYYY")</f>
        <v>Jul-2023</v>
      </c>
      <c r="C152" s="4" t="str">
        <f t="shared" si="13"/>
        <v>Aug-2024</v>
      </c>
      <c r="D152" s="12">
        <f t="shared" si="14"/>
        <v>45512</v>
      </c>
      <c r="E152" s="4" t="str">
        <f t="shared" si="10"/>
        <v>Q3-2024</v>
      </c>
      <c r="F152" t="s">
        <v>52</v>
      </c>
      <c r="G152" t="s">
        <v>53</v>
      </c>
      <c r="H152" t="s">
        <v>144</v>
      </c>
      <c r="I152" t="s">
        <v>30</v>
      </c>
      <c r="J152" s="7" t="str">
        <f t="shared" si="11"/>
        <v>High</v>
      </c>
      <c r="K152" s="4">
        <v>568.29</v>
      </c>
      <c r="L152" s="4">
        <v>568.29</v>
      </c>
      <c r="M152" s="4">
        <v>0.13100000000000001</v>
      </c>
      <c r="N152" s="4">
        <v>16</v>
      </c>
      <c r="O152" s="4">
        <f t="shared" si="12"/>
        <v>26608.919040000001</v>
      </c>
    </row>
    <row r="153" spans="1:15" x14ac:dyDescent="0.3">
      <c r="A153" s="11">
        <v>45513</v>
      </c>
      <c r="B153" s="4" t="str">
        <f>TEXT(Data!B153,"MMM-YYYY")</f>
        <v>Dec-2023</v>
      </c>
      <c r="C153" s="4" t="str">
        <f t="shared" si="13"/>
        <v>Aug-2024</v>
      </c>
      <c r="D153" s="12">
        <f t="shared" si="14"/>
        <v>45513</v>
      </c>
      <c r="E153" s="4" t="str">
        <f t="shared" si="10"/>
        <v>Q3-2024</v>
      </c>
      <c r="F153" t="s">
        <v>16</v>
      </c>
      <c r="G153" t="s">
        <v>148</v>
      </c>
      <c r="H153" t="s">
        <v>149</v>
      </c>
      <c r="I153" t="s">
        <v>57</v>
      </c>
      <c r="J153" s="7" t="str">
        <f t="shared" si="11"/>
        <v>High</v>
      </c>
      <c r="K153" s="4">
        <v>1254.95</v>
      </c>
      <c r="L153" s="4">
        <v>1254.95</v>
      </c>
      <c r="M153" s="4">
        <v>4.4999999999999998E-2</v>
      </c>
      <c r="N153" s="4">
        <v>18</v>
      </c>
      <c r="O153" s="4">
        <f t="shared" si="12"/>
        <v>517.24709999999993</v>
      </c>
    </row>
    <row r="154" spans="1:15" x14ac:dyDescent="0.3">
      <c r="A154" s="11">
        <v>45514</v>
      </c>
      <c r="B154" s="4" t="str">
        <f>TEXT(Data!B154,"MMM-YYYY")</f>
        <v>Feb-2024</v>
      </c>
      <c r="C154" s="4" t="str">
        <f t="shared" si="13"/>
        <v>Aug-2024</v>
      </c>
      <c r="D154" s="12">
        <f t="shared" si="14"/>
        <v>45514</v>
      </c>
      <c r="E154" s="4" t="str">
        <f t="shared" si="10"/>
        <v>Q3-2024</v>
      </c>
      <c r="F154" t="s">
        <v>45</v>
      </c>
      <c r="G154" t="s">
        <v>46</v>
      </c>
      <c r="H154" t="s">
        <v>214</v>
      </c>
      <c r="I154" t="s">
        <v>30</v>
      </c>
      <c r="J154" s="7" t="str">
        <f t="shared" si="11"/>
        <v>High</v>
      </c>
      <c r="K154" s="4">
        <v>845.55</v>
      </c>
      <c r="L154" s="4">
        <v>845.55</v>
      </c>
      <c r="M154" s="4">
        <v>0.184</v>
      </c>
      <c r="N154" s="4">
        <v>6</v>
      </c>
      <c r="O154" s="4">
        <f t="shared" si="12"/>
        <v>2454.4137600000004</v>
      </c>
    </row>
    <row r="155" spans="1:15" x14ac:dyDescent="0.3">
      <c r="A155" s="11">
        <v>45515</v>
      </c>
      <c r="B155" s="4" t="str">
        <f>TEXT(Data!B155,"MMM-YYYY")</f>
        <v>Oct-2023</v>
      </c>
      <c r="C155" s="4" t="str">
        <f t="shared" si="13"/>
        <v>Aug-2024</v>
      </c>
      <c r="D155" s="12">
        <f t="shared" si="14"/>
        <v>45515</v>
      </c>
      <c r="E155" s="4" t="str">
        <f t="shared" si="10"/>
        <v>Q3-2024</v>
      </c>
      <c r="F155" t="s">
        <v>16</v>
      </c>
      <c r="G155" t="s">
        <v>17</v>
      </c>
      <c r="H155" t="s">
        <v>18</v>
      </c>
      <c r="I155" t="s">
        <v>30</v>
      </c>
      <c r="J155" s="7" t="str">
        <f t="shared" si="11"/>
        <v>High</v>
      </c>
      <c r="K155" s="4">
        <v>2145.17</v>
      </c>
      <c r="L155" s="4">
        <v>2145.17</v>
      </c>
      <c r="M155" s="4">
        <v>0.13600000000000001</v>
      </c>
      <c r="N155" s="4">
        <v>16</v>
      </c>
      <c r="O155" s="4">
        <f t="shared" si="12"/>
        <v>5684.1523200000001</v>
      </c>
    </row>
    <row r="156" spans="1:15" x14ac:dyDescent="0.3">
      <c r="A156" s="11">
        <v>45516</v>
      </c>
      <c r="B156" s="4" t="str">
        <f>TEXT(Data!B156,"MMM-YYYY")</f>
        <v>Aug-2024</v>
      </c>
      <c r="C156" s="4" t="str">
        <f t="shared" si="13"/>
        <v>Aug-2024</v>
      </c>
      <c r="D156" s="12">
        <f t="shared" si="14"/>
        <v>45516</v>
      </c>
      <c r="E156" s="4" t="str">
        <f t="shared" si="10"/>
        <v>Q3-2024</v>
      </c>
      <c r="F156" t="s">
        <v>16</v>
      </c>
      <c r="G156" t="s">
        <v>17</v>
      </c>
      <c r="H156" t="s">
        <v>18</v>
      </c>
      <c r="I156" t="s">
        <v>81</v>
      </c>
      <c r="J156" s="7" t="str">
        <f t="shared" si="11"/>
        <v>High</v>
      </c>
      <c r="K156" s="4">
        <v>1349.94</v>
      </c>
      <c r="L156" s="4">
        <v>1349.94</v>
      </c>
      <c r="M156" s="4">
        <v>0.184</v>
      </c>
      <c r="N156" s="4">
        <v>10</v>
      </c>
      <c r="O156" s="4">
        <f t="shared" si="12"/>
        <v>48.307200000000009</v>
      </c>
    </row>
    <row r="157" spans="1:15" x14ac:dyDescent="0.3">
      <c r="A157" s="11">
        <v>45517</v>
      </c>
      <c r="B157" s="4" t="str">
        <f>TEXT(Data!B157,"MMM-YYYY")</f>
        <v>Feb-2024</v>
      </c>
      <c r="C157" s="4" t="str">
        <f t="shared" si="13"/>
        <v>Aug-2024</v>
      </c>
      <c r="D157" s="12">
        <f t="shared" si="14"/>
        <v>45517</v>
      </c>
      <c r="E157" s="4" t="str">
        <f t="shared" si="10"/>
        <v>Q3-2024</v>
      </c>
      <c r="F157" t="s">
        <v>45</v>
      </c>
      <c r="G157" t="s">
        <v>46</v>
      </c>
      <c r="H157" t="s">
        <v>47</v>
      </c>
      <c r="I157" t="s">
        <v>35</v>
      </c>
      <c r="J157" s="7" t="str">
        <f t="shared" si="11"/>
        <v>High</v>
      </c>
      <c r="K157" s="4">
        <v>527.48</v>
      </c>
      <c r="L157" s="4">
        <v>527.48</v>
      </c>
      <c r="M157" s="4">
        <v>0.111</v>
      </c>
      <c r="N157" s="4">
        <v>19</v>
      </c>
      <c r="O157" s="4">
        <f t="shared" si="12"/>
        <v>37272.187330000001</v>
      </c>
    </row>
    <row r="158" spans="1:15" x14ac:dyDescent="0.3">
      <c r="A158" s="11">
        <v>45518</v>
      </c>
      <c r="B158" s="4" t="str">
        <f>TEXT(Data!B158,"MMM-YYYY")</f>
        <v>Aug-2024</v>
      </c>
      <c r="C158" s="4" t="str">
        <f t="shared" si="13"/>
        <v>Aug-2024</v>
      </c>
      <c r="D158" s="12">
        <f t="shared" si="14"/>
        <v>45518</v>
      </c>
      <c r="E158" s="4" t="str">
        <f t="shared" si="10"/>
        <v>Q3-2024</v>
      </c>
      <c r="F158" t="s">
        <v>78</v>
      </c>
      <c r="G158" t="s">
        <v>90</v>
      </c>
      <c r="H158" t="s">
        <v>217</v>
      </c>
      <c r="I158" t="s">
        <v>35</v>
      </c>
      <c r="J158" s="7" t="str">
        <f t="shared" si="11"/>
        <v>High</v>
      </c>
      <c r="K158" s="4">
        <v>1467.17</v>
      </c>
      <c r="L158" s="4">
        <v>1467.17</v>
      </c>
      <c r="M158" s="4">
        <v>1.7999999999999999E-2</v>
      </c>
      <c r="N158" s="4">
        <v>5</v>
      </c>
      <c r="O158" s="4">
        <f t="shared" si="12"/>
        <v>9391.848</v>
      </c>
    </row>
    <row r="159" spans="1:15" x14ac:dyDescent="0.3">
      <c r="A159" s="11">
        <v>45519</v>
      </c>
      <c r="B159" s="4" t="str">
        <f>TEXT(Data!B159,"MMM-YYYY")</f>
        <v>Feb-2025</v>
      </c>
      <c r="C159" s="4" t="str">
        <f t="shared" si="13"/>
        <v>Aug-2024</v>
      </c>
      <c r="D159" s="12">
        <f t="shared" si="14"/>
        <v>45519</v>
      </c>
      <c r="E159" s="4" t="str">
        <f t="shared" si="10"/>
        <v>Q3-2024</v>
      </c>
      <c r="F159" t="s">
        <v>45</v>
      </c>
      <c r="G159" t="s">
        <v>60</v>
      </c>
      <c r="H159" t="s">
        <v>141</v>
      </c>
      <c r="I159" t="s">
        <v>22</v>
      </c>
      <c r="J159" s="7" t="str">
        <f t="shared" si="11"/>
        <v>High</v>
      </c>
      <c r="K159" s="4">
        <v>1651.14</v>
      </c>
      <c r="L159" s="4">
        <v>1651.14</v>
      </c>
      <c r="M159" s="4">
        <v>2.5000000000000001E-2</v>
      </c>
      <c r="N159" s="4">
        <v>15</v>
      </c>
      <c r="O159" s="4">
        <f t="shared" si="12"/>
        <v>20216.283749999999</v>
      </c>
    </row>
    <row r="160" spans="1:15" x14ac:dyDescent="0.3">
      <c r="A160" s="11">
        <v>45520</v>
      </c>
      <c r="B160" s="4" t="str">
        <f>TEXT(Data!B160,"MMM-YYYY")</f>
        <v>Aug-2025</v>
      </c>
      <c r="C160" s="4" t="str">
        <f t="shared" si="13"/>
        <v>Aug-2024</v>
      </c>
      <c r="D160" s="12">
        <f t="shared" si="14"/>
        <v>45520</v>
      </c>
      <c r="E160" s="4" t="str">
        <f t="shared" si="10"/>
        <v>Q3-2024</v>
      </c>
      <c r="F160" t="s">
        <v>78</v>
      </c>
      <c r="G160" t="s">
        <v>79</v>
      </c>
      <c r="H160" t="s">
        <v>335</v>
      </c>
      <c r="I160" t="s">
        <v>81</v>
      </c>
      <c r="J160" s="7" t="str">
        <f t="shared" si="11"/>
        <v>High</v>
      </c>
      <c r="K160" s="4">
        <v>1982.18</v>
      </c>
      <c r="L160" s="4">
        <v>1982.18</v>
      </c>
      <c r="M160" s="4">
        <v>0.127</v>
      </c>
      <c r="N160" s="4">
        <v>6</v>
      </c>
      <c r="O160" s="4">
        <f t="shared" si="12"/>
        <v>7100.6851799999995</v>
      </c>
    </row>
    <row r="161" spans="1:15" x14ac:dyDescent="0.3">
      <c r="A161" s="11">
        <v>45521</v>
      </c>
      <c r="B161" s="4" t="str">
        <f>TEXT(Data!B161,"MMM-YYYY")</f>
        <v>Feb-2023</v>
      </c>
      <c r="C161" s="4" t="str">
        <f t="shared" si="13"/>
        <v>Aug-2024</v>
      </c>
      <c r="D161" s="12">
        <f t="shared" si="14"/>
        <v>45521</v>
      </c>
      <c r="E161" s="4" t="str">
        <f t="shared" si="10"/>
        <v>Q3-2024</v>
      </c>
      <c r="F161" t="s">
        <v>45</v>
      </c>
      <c r="G161" t="s">
        <v>116</v>
      </c>
      <c r="H161" t="s">
        <v>162</v>
      </c>
      <c r="I161" t="s">
        <v>42</v>
      </c>
      <c r="J161" s="7" t="str">
        <f t="shared" si="11"/>
        <v>High</v>
      </c>
      <c r="K161" s="4">
        <v>2552.2199999999998</v>
      </c>
      <c r="L161" s="4">
        <v>2552.2199999999998</v>
      </c>
      <c r="M161" s="4">
        <v>0.18099999999999999</v>
      </c>
      <c r="N161" s="4">
        <v>14</v>
      </c>
      <c r="O161" s="4">
        <f t="shared" si="12"/>
        <v>10180.661399999999</v>
      </c>
    </row>
    <row r="162" spans="1:15" x14ac:dyDescent="0.3">
      <c r="A162" s="11">
        <v>45522</v>
      </c>
      <c r="B162" s="4" t="str">
        <f>TEXT(Data!B162,"MMM-YYYY")</f>
        <v>Oct-2024</v>
      </c>
      <c r="C162" s="4" t="str">
        <f t="shared" si="13"/>
        <v>Aug-2024</v>
      </c>
      <c r="D162" s="12">
        <f t="shared" si="14"/>
        <v>45522</v>
      </c>
      <c r="E162" s="4" t="str">
        <f t="shared" si="10"/>
        <v>Q3-2024</v>
      </c>
      <c r="F162" t="s">
        <v>45</v>
      </c>
      <c r="G162" t="s">
        <v>60</v>
      </c>
      <c r="H162" t="s">
        <v>141</v>
      </c>
      <c r="I162" t="s">
        <v>64</v>
      </c>
      <c r="J162" s="7" t="str">
        <f t="shared" si="11"/>
        <v>High</v>
      </c>
      <c r="K162" s="4">
        <v>523.01</v>
      </c>
      <c r="L162" s="4">
        <v>523.01</v>
      </c>
      <c r="M162" s="4">
        <v>0.157</v>
      </c>
      <c r="N162" s="4">
        <v>50</v>
      </c>
      <c r="O162" s="4">
        <f t="shared" si="12"/>
        <v>43022.083500000001</v>
      </c>
    </row>
    <row r="163" spans="1:15" x14ac:dyDescent="0.3">
      <c r="A163" s="11">
        <v>45523</v>
      </c>
      <c r="B163" s="4" t="str">
        <f>TEXT(Data!B163,"MMM-YYYY")</f>
        <v>Apr-2024</v>
      </c>
      <c r="C163" s="4" t="str">
        <f t="shared" si="13"/>
        <v>Aug-2024</v>
      </c>
      <c r="D163" s="12">
        <f t="shared" si="14"/>
        <v>45523</v>
      </c>
      <c r="E163" s="4" t="str">
        <f t="shared" si="10"/>
        <v>Q3-2024</v>
      </c>
      <c r="F163" t="s">
        <v>45</v>
      </c>
      <c r="G163" t="s">
        <v>116</v>
      </c>
      <c r="H163" t="s">
        <v>117</v>
      </c>
      <c r="I163" t="s">
        <v>22</v>
      </c>
      <c r="J163" s="7" t="str">
        <f t="shared" si="11"/>
        <v>High</v>
      </c>
      <c r="K163" s="4">
        <v>1217.71</v>
      </c>
      <c r="L163" s="4">
        <v>1217.71</v>
      </c>
      <c r="M163" s="4">
        <v>7.1999999999999995E-2</v>
      </c>
      <c r="N163" s="4">
        <v>5</v>
      </c>
      <c r="O163" s="4">
        <f t="shared" si="12"/>
        <v>6475.2592000000004</v>
      </c>
    </row>
    <row r="164" spans="1:15" x14ac:dyDescent="0.3">
      <c r="A164" s="11">
        <v>45524</v>
      </c>
      <c r="B164" s="4" t="str">
        <f>TEXT(Data!B164,"MMM-YYYY")</f>
        <v>Mar-2023</v>
      </c>
      <c r="C164" s="4" t="str">
        <f t="shared" si="13"/>
        <v>Aug-2024</v>
      </c>
      <c r="D164" s="12">
        <f t="shared" si="14"/>
        <v>45524</v>
      </c>
      <c r="E164" s="4" t="str">
        <f t="shared" si="10"/>
        <v>Q3-2024</v>
      </c>
      <c r="F164" t="s">
        <v>52</v>
      </c>
      <c r="G164" t="s">
        <v>73</v>
      </c>
      <c r="H164" t="s">
        <v>87</v>
      </c>
      <c r="I164" t="s">
        <v>42</v>
      </c>
      <c r="J164" s="7" t="str">
        <f t="shared" si="11"/>
        <v>High</v>
      </c>
      <c r="K164" s="4">
        <v>1343.64</v>
      </c>
      <c r="L164" s="4">
        <v>1343.64</v>
      </c>
      <c r="M164" s="4">
        <v>0.13300000000000001</v>
      </c>
      <c r="N164" s="4">
        <v>7</v>
      </c>
      <c r="O164" s="4">
        <f t="shared" si="12"/>
        <v>13797.385980000001</v>
      </c>
    </row>
    <row r="165" spans="1:15" x14ac:dyDescent="0.3">
      <c r="A165" s="11">
        <v>45525</v>
      </c>
      <c r="B165" s="4" t="str">
        <f>TEXT(Data!B165,"MMM-YYYY")</f>
        <v>Jun-2024</v>
      </c>
      <c r="C165" s="4" t="str">
        <f t="shared" si="13"/>
        <v>Aug-2024</v>
      </c>
      <c r="D165" s="12">
        <f t="shared" si="14"/>
        <v>45525</v>
      </c>
      <c r="E165" s="4" t="str">
        <f t="shared" si="10"/>
        <v>Q3-2024</v>
      </c>
      <c r="F165" t="s">
        <v>45</v>
      </c>
      <c r="G165" t="s">
        <v>46</v>
      </c>
      <c r="H165" t="s">
        <v>47</v>
      </c>
      <c r="I165" t="s">
        <v>64</v>
      </c>
      <c r="J165" s="7" t="str">
        <f t="shared" si="11"/>
        <v>High</v>
      </c>
      <c r="K165" s="4">
        <v>301.7</v>
      </c>
      <c r="L165" s="4">
        <v>301.7</v>
      </c>
      <c r="M165" s="4">
        <v>0.14000000000000001</v>
      </c>
      <c r="N165" s="4">
        <v>47</v>
      </c>
      <c r="O165" s="4">
        <f t="shared" si="12"/>
        <v>50207.703000000001</v>
      </c>
    </row>
    <row r="166" spans="1:15" x14ac:dyDescent="0.3">
      <c r="A166" s="11">
        <v>45526</v>
      </c>
      <c r="B166" s="4" t="str">
        <f>TEXT(Data!B166,"MMM-YYYY")</f>
        <v>Feb-2023</v>
      </c>
      <c r="C166" s="4" t="str">
        <f t="shared" si="13"/>
        <v>Aug-2024</v>
      </c>
      <c r="D166" s="12">
        <f t="shared" si="14"/>
        <v>45526</v>
      </c>
      <c r="E166" s="4" t="str">
        <f t="shared" si="10"/>
        <v>Q3-2024</v>
      </c>
      <c r="F166" t="s">
        <v>45</v>
      </c>
      <c r="G166" t="s">
        <v>116</v>
      </c>
      <c r="H166" t="s">
        <v>162</v>
      </c>
      <c r="I166" t="s">
        <v>30</v>
      </c>
      <c r="J166" s="7" t="str">
        <f t="shared" si="11"/>
        <v>High</v>
      </c>
      <c r="K166" s="4">
        <v>1511.71</v>
      </c>
      <c r="L166" s="4">
        <v>1511.71</v>
      </c>
      <c r="M166" s="4">
        <v>0.02</v>
      </c>
      <c r="N166" s="4">
        <v>8</v>
      </c>
      <c r="O166" s="4">
        <f t="shared" si="12"/>
        <v>10272.6736</v>
      </c>
    </row>
    <row r="167" spans="1:15" x14ac:dyDescent="0.3">
      <c r="A167" s="11">
        <v>45527</v>
      </c>
      <c r="B167" s="4" t="str">
        <f>TEXT(Data!B167,"MMM-YYYY")</f>
        <v>Apr-2023</v>
      </c>
      <c r="C167" s="4" t="str">
        <f t="shared" si="13"/>
        <v>Aug-2024</v>
      </c>
      <c r="D167" s="12">
        <f t="shared" si="14"/>
        <v>45527</v>
      </c>
      <c r="E167" s="4" t="str">
        <f t="shared" si="10"/>
        <v>Q3-2024</v>
      </c>
      <c r="F167" t="s">
        <v>78</v>
      </c>
      <c r="G167" t="s">
        <v>79</v>
      </c>
      <c r="H167" t="s">
        <v>80</v>
      </c>
      <c r="I167" t="s">
        <v>64</v>
      </c>
      <c r="J167" s="7" t="str">
        <f t="shared" si="11"/>
        <v>High</v>
      </c>
      <c r="K167" s="4">
        <v>2055.2399999999998</v>
      </c>
      <c r="L167" s="4">
        <v>2055.2399999999998</v>
      </c>
      <c r="M167" s="4">
        <v>5.2999999999999999E-2</v>
      </c>
      <c r="N167" s="4">
        <v>44</v>
      </c>
      <c r="O167" s="4">
        <f t="shared" si="12"/>
        <v>40303.373</v>
      </c>
    </row>
    <row r="168" spans="1:15" x14ac:dyDescent="0.3">
      <c r="A168" s="11">
        <v>45528</v>
      </c>
      <c r="B168" s="4" t="str">
        <f>TEXT(Data!B168,"MMM-YYYY")</f>
        <v>May-2024</v>
      </c>
      <c r="C168" s="4" t="str">
        <f t="shared" si="13"/>
        <v>Aug-2024</v>
      </c>
      <c r="D168" s="12">
        <f t="shared" si="14"/>
        <v>45528</v>
      </c>
      <c r="E168" s="4" t="str">
        <f t="shared" si="10"/>
        <v>Q3-2024</v>
      </c>
      <c r="F168" t="s">
        <v>45</v>
      </c>
      <c r="G168" t="s">
        <v>116</v>
      </c>
      <c r="H168" t="s">
        <v>117</v>
      </c>
      <c r="I168" t="s">
        <v>57</v>
      </c>
      <c r="J168" s="7" t="str">
        <f t="shared" si="11"/>
        <v>High</v>
      </c>
      <c r="K168" s="4">
        <v>391.15</v>
      </c>
      <c r="L168" s="4">
        <v>391.15</v>
      </c>
      <c r="M168" s="4">
        <v>0.19700000000000001</v>
      </c>
      <c r="N168" s="4">
        <v>46</v>
      </c>
      <c r="O168" s="4">
        <f t="shared" si="12"/>
        <v>32735.194359999998</v>
      </c>
    </row>
    <row r="169" spans="1:15" x14ac:dyDescent="0.3">
      <c r="A169" s="11">
        <v>45529</v>
      </c>
      <c r="B169" s="4" t="str">
        <f>TEXT(Data!B169,"MMM-YYYY")</f>
        <v>Oct-2023</v>
      </c>
      <c r="C169" s="4" t="str">
        <f t="shared" si="13"/>
        <v>Aug-2024</v>
      </c>
      <c r="D169" s="12">
        <f t="shared" si="14"/>
        <v>45529</v>
      </c>
      <c r="E169" s="4" t="str">
        <f t="shared" si="10"/>
        <v>Q3-2024</v>
      </c>
      <c r="F169" t="s">
        <v>78</v>
      </c>
      <c r="G169" t="s">
        <v>90</v>
      </c>
      <c r="H169" t="s">
        <v>91</v>
      </c>
      <c r="I169" t="s">
        <v>64</v>
      </c>
      <c r="J169" s="7" t="str">
        <f t="shared" si="11"/>
        <v>High</v>
      </c>
      <c r="K169" s="4">
        <v>1848.97</v>
      </c>
      <c r="L169" s="4">
        <v>1848.97</v>
      </c>
      <c r="M169" s="4">
        <v>0.254</v>
      </c>
      <c r="N169" s="4">
        <v>9</v>
      </c>
      <c r="O169" s="4">
        <f t="shared" si="12"/>
        <v>5308.1555399999997</v>
      </c>
    </row>
    <row r="170" spans="1:15" x14ac:dyDescent="0.3">
      <c r="A170" s="11">
        <v>45530</v>
      </c>
      <c r="B170" s="4" t="str">
        <f>TEXT(Data!B170,"MMM-YYYY")</f>
        <v>Oct-2024</v>
      </c>
      <c r="C170" s="4" t="str">
        <f t="shared" si="13"/>
        <v>Aug-2024</v>
      </c>
      <c r="D170" s="12">
        <f t="shared" si="14"/>
        <v>45530</v>
      </c>
      <c r="E170" s="4" t="str">
        <f t="shared" si="10"/>
        <v>Q3-2024</v>
      </c>
      <c r="F170" t="s">
        <v>45</v>
      </c>
      <c r="G170" t="s">
        <v>60</v>
      </c>
      <c r="H170" t="s">
        <v>281</v>
      </c>
      <c r="I170" t="s">
        <v>64</v>
      </c>
      <c r="J170" s="7" t="str">
        <f t="shared" si="11"/>
        <v>High</v>
      </c>
      <c r="K170" s="4">
        <v>1395.56</v>
      </c>
      <c r="L170" s="4">
        <v>1395.56</v>
      </c>
      <c r="M170" s="4">
        <v>0.185</v>
      </c>
      <c r="N170" s="4">
        <v>6</v>
      </c>
      <c r="O170" s="4">
        <f t="shared" si="12"/>
        <v>1766.9036999999998</v>
      </c>
    </row>
    <row r="171" spans="1:15" x14ac:dyDescent="0.3">
      <c r="A171" s="11">
        <v>45531</v>
      </c>
      <c r="B171" s="4" t="str">
        <f>TEXT(Data!B171,"MMM-YYYY")</f>
        <v>Jul-2024</v>
      </c>
      <c r="C171" s="4" t="str">
        <f t="shared" si="13"/>
        <v>Aug-2024</v>
      </c>
      <c r="D171" s="12">
        <f t="shared" si="14"/>
        <v>45531</v>
      </c>
      <c r="E171" s="4" t="str">
        <f t="shared" si="10"/>
        <v>Q3-2024</v>
      </c>
      <c r="F171" t="s">
        <v>78</v>
      </c>
      <c r="G171" t="s">
        <v>108</v>
      </c>
      <c r="H171" t="s">
        <v>228</v>
      </c>
      <c r="I171" t="s">
        <v>22</v>
      </c>
      <c r="J171" s="7" t="str">
        <f t="shared" si="11"/>
        <v>High</v>
      </c>
      <c r="K171" s="4">
        <v>538.04</v>
      </c>
      <c r="L171" s="4">
        <v>538.04</v>
      </c>
      <c r="M171" s="4">
        <v>0.13900000000000001</v>
      </c>
      <c r="N171" s="4">
        <v>5</v>
      </c>
      <c r="O171" s="4">
        <f t="shared" si="12"/>
        <v>8403.5321999999996</v>
      </c>
    </row>
    <row r="172" spans="1:15" x14ac:dyDescent="0.3">
      <c r="A172" s="11">
        <v>45532</v>
      </c>
      <c r="B172" s="4" t="str">
        <f>TEXT(Data!B172,"MMM-YYYY")</f>
        <v>Sep-2023</v>
      </c>
      <c r="C172" s="4" t="str">
        <f t="shared" si="13"/>
        <v>Aug-2024</v>
      </c>
      <c r="D172" s="12">
        <f t="shared" si="14"/>
        <v>45532</v>
      </c>
      <c r="E172" s="4" t="str">
        <f t="shared" si="10"/>
        <v>Q3-2024</v>
      </c>
      <c r="F172" t="s">
        <v>45</v>
      </c>
      <c r="G172" t="s">
        <v>46</v>
      </c>
      <c r="H172" t="s">
        <v>214</v>
      </c>
      <c r="I172" t="s">
        <v>81</v>
      </c>
      <c r="J172" s="7" t="str">
        <f t="shared" si="11"/>
        <v>High</v>
      </c>
      <c r="K172" s="4">
        <v>1218.92</v>
      </c>
      <c r="L172" s="4">
        <v>1218.92</v>
      </c>
      <c r="M172" s="4">
        <v>0.254</v>
      </c>
      <c r="N172" s="4">
        <v>16</v>
      </c>
      <c r="O172" s="4">
        <f t="shared" si="12"/>
        <v>18676.97536</v>
      </c>
    </row>
    <row r="173" spans="1:15" x14ac:dyDescent="0.3">
      <c r="A173" s="11">
        <v>45533</v>
      </c>
      <c r="B173" s="4" t="str">
        <f>TEXT(Data!B173,"MMM-YYYY")</f>
        <v>Feb-2023</v>
      </c>
      <c r="C173" s="4" t="str">
        <f t="shared" si="13"/>
        <v>Aug-2024</v>
      </c>
      <c r="D173" s="12">
        <f t="shared" si="14"/>
        <v>45533</v>
      </c>
      <c r="E173" s="4" t="str">
        <f t="shared" si="10"/>
        <v>Q3-2024</v>
      </c>
      <c r="F173" t="s">
        <v>45</v>
      </c>
      <c r="G173" t="s">
        <v>46</v>
      </c>
      <c r="H173" t="s">
        <v>214</v>
      </c>
      <c r="I173" t="s">
        <v>22</v>
      </c>
      <c r="J173" s="7" t="str">
        <f t="shared" si="11"/>
        <v>High</v>
      </c>
      <c r="K173" s="4">
        <v>2062.12</v>
      </c>
      <c r="L173" s="4">
        <v>2062.12</v>
      </c>
      <c r="M173" s="4">
        <v>0.13400000000000001</v>
      </c>
      <c r="N173" s="4">
        <v>5</v>
      </c>
      <c r="O173" s="4">
        <f t="shared" si="12"/>
        <v>3691.4982</v>
      </c>
    </row>
    <row r="174" spans="1:15" x14ac:dyDescent="0.3">
      <c r="A174" s="11">
        <v>45534</v>
      </c>
      <c r="B174" s="4" t="str">
        <f>TEXT(Data!B174,"MMM-YYYY")</f>
        <v>May-2025</v>
      </c>
      <c r="C174" s="4" t="str">
        <f t="shared" si="13"/>
        <v>Aug-2024</v>
      </c>
      <c r="D174" s="12">
        <f t="shared" si="14"/>
        <v>45534</v>
      </c>
      <c r="E174" s="4" t="str">
        <f t="shared" si="10"/>
        <v>Q3-2024</v>
      </c>
      <c r="F174" t="s">
        <v>52</v>
      </c>
      <c r="G174" t="s">
        <v>122</v>
      </c>
      <c r="H174" t="s">
        <v>387</v>
      </c>
      <c r="I174" t="s">
        <v>22</v>
      </c>
      <c r="J174" s="7" t="str">
        <f t="shared" si="11"/>
        <v>Low</v>
      </c>
      <c r="K174" s="4">
        <v>10.18</v>
      </c>
      <c r="L174" s="4">
        <v>10.18</v>
      </c>
      <c r="M174" s="4">
        <v>4.7E-2</v>
      </c>
      <c r="N174" s="4">
        <v>10</v>
      </c>
      <c r="O174" s="4">
        <f t="shared" si="12"/>
        <v>13964.213699999998</v>
      </c>
    </row>
    <row r="175" spans="1:15" x14ac:dyDescent="0.3">
      <c r="A175" s="11">
        <v>45535</v>
      </c>
      <c r="B175" s="4" t="str">
        <f>TEXT(Data!B175,"MMM-YYYY")</f>
        <v>May-2024</v>
      </c>
      <c r="C175" s="4" t="str">
        <f t="shared" si="13"/>
        <v>Aug-2024</v>
      </c>
      <c r="D175" s="12">
        <f t="shared" si="14"/>
        <v>45535</v>
      </c>
      <c r="E175" s="4" t="str">
        <f t="shared" si="10"/>
        <v>Q3-2024</v>
      </c>
      <c r="F175" t="s">
        <v>16</v>
      </c>
      <c r="G175" t="s">
        <v>148</v>
      </c>
      <c r="H175" t="s">
        <v>149</v>
      </c>
      <c r="I175" t="s">
        <v>57</v>
      </c>
      <c r="J175" s="7" t="str">
        <f t="shared" si="11"/>
        <v>High</v>
      </c>
      <c r="K175" s="4">
        <v>2281.7199999999998</v>
      </c>
      <c r="L175" s="4">
        <v>2281.7199999999998</v>
      </c>
      <c r="M175" s="4">
        <v>7.8E-2</v>
      </c>
      <c r="N175" s="4">
        <v>15</v>
      </c>
      <c r="O175" s="4">
        <f t="shared" si="12"/>
        <v>36583.530899999998</v>
      </c>
    </row>
    <row r="176" spans="1:15" x14ac:dyDescent="0.3">
      <c r="A176" s="11">
        <v>45536</v>
      </c>
      <c r="B176" s="4" t="str">
        <f>TEXT(Data!B176,"MMM-YYYY")</f>
        <v>Apr-2025</v>
      </c>
      <c r="C176" s="4" t="str">
        <f t="shared" si="13"/>
        <v>Sep-2024</v>
      </c>
      <c r="D176" s="12">
        <f t="shared" si="14"/>
        <v>45536</v>
      </c>
      <c r="E176" s="4" t="str">
        <f t="shared" si="10"/>
        <v>Q3-2024</v>
      </c>
      <c r="F176" t="s">
        <v>16</v>
      </c>
      <c r="G176" t="s">
        <v>148</v>
      </c>
      <c r="H176" t="s">
        <v>149</v>
      </c>
      <c r="I176" t="s">
        <v>30</v>
      </c>
      <c r="J176" s="7" t="str">
        <f t="shared" si="11"/>
        <v>High</v>
      </c>
      <c r="K176" s="4">
        <v>249.57</v>
      </c>
      <c r="L176" s="4">
        <v>249.57</v>
      </c>
      <c r="M176" s="4">
        <v>2.1999999999999999E-2</v>
      </c>
      <c r="N176" s="4">
        <v>8</v>
      </c>
      <c r="O176" s="4">
        <f t="shared" si="12"/>
        <v>6897.4036800000003</v>
      </c>
    </row>
    <row r="177" spans="1:15" x14ac:dyDescent="0.3">
      <c r="A177" s="11">
        <v>45537</v>
      </c>
      <c r="B177" s="4" t="str">
        <f>TEXT(Data!B177,"MMM-YYYY")</f>
        <v>Aug-2023</v>
      </c>
      <c r="C177" s="4" t="str">
        <f t="shared" si="13"/>
        <v>Sep-2024</v>
      </c>
      <c r="D177" s="12">
        <f t="shared" si="14"/>
        <v>45537</v>
      </c>
      <c r="E177" s="4" t="str">
        <f t="shared" si="10"/>
        <v>Q3-2024</v>
      </c>
      <c r="F177" t="s">
        <v>78</v>
      </c>
      <c r="G177" t="s">
        <v>108</v>
      </c>
      <c r="H177" t="s">
        <v>109</v>
      </c>
      <c r="I177" t="s">
        <v>64</v>
      </c>
      <c r="J177" s="7" t="str">
        <f t="shared" si="11"/>
        <v>High</v>
      </c>
      <c r="K177" s="4">
        <v>3275</v>
      </c>
      <c r="L177" s="4">
        <v>3275</v>
      </c>
      <c r="M177" s="4">
        <v>0.255</v>
      </c>
      <c r="N177" s="4">
        <v>38</v>
      </c>
      <c r="O177" s="4">
        <f t="shared" si="12"/>
        <v>17694.882399999999</v>
      </c>
    </row>
    <row r="178" spans="1:15" x14ac:dyDescent="0.3">
      <c r="A178" s="11">
        <v>45538</v>
      </c>
      <c r="B178" s="4" t="str">
        <f>TEXT(Data!B178,"MMM-YYYY")</f>
        <v>Feb-2024</v>
      </c>
      <c r="C178" s="4" t="str">
        <f t="shared" si="13"/>
        <v>Sep-2024</v>
      </c>
      <c r="D178" s="12">
        <f t="shared" si="14"/>
        <v>45538</v>
      </c>
      <c r="E178" s="4" t="str">
        <f t="shared" si="10"/>
        <v>Q3-2024</v>
      </c>
      <c r="F178" t="s">
        <v>78</v>
      </c>
      <c r="G178" t="s">
        <v>108</v>
      </c>
      <c r="H178" t="s">
        <v>152</v>
      </c>
      <c r="I178" t="s">
        <v>30</v>
      </c>
      <c r="J178" s="7" t="str">
        <f t="shared" si="11"/>
        <v>High</v>
      </c>
      <c r="K178" s="4">
        <v>1913.76</v>
      </c>
      <c r="L178" s="4">
        <v>1913.76</v>
      </c>
      <c r="M178" s="4">
        <v>9.0999999999999998E-2</v>
      </c>
      <c r="N178" s="4">
        <v>9</v>
      </c>
      <c r="O178" s="4">
        <f t="shared" si="12"/>
        <v>7960.4402400000008</v>
      </c>
    </row>
    <row r="179" spans="1:15" x14ac:dyDescent="0.3">
      <c r="A179" s="11">
        <v>45539</v>
      </c>
      <c r="B179" s="4" t="str">
        <f>TEXT(Data!B179,"MMM-YYYY")</f>
        <v>Apr-2023</v>
      </c>
      <c r="C179" s="4" t="str">
        <f t="shared" si="13"/>
        <v>Sep-2024</v>
      </c>
      <c r="D179" s="12">
        <f t="shared" si="14"/>
        <v>45539</v>
      </c>
      <c r="E179" s="4" t="str">
        <f t="shared" si="10"/>
        <v>Q3-2024</v>
      </c>
      <c r="F179" t="s">
        <v>78</v>
      </c>
      <c r="G179" t="s">
        <v>79</v>
      </c>
      <c r="H179" t="s">
        <v>335</v>
      </c>
      <c r="I179" t="s">
        <v>22</v>
      </c>
      <c r="J179" s="7" t="str">
        <f t="shared" si="11"/>
        <v>Low</v>
      </c>
      <c r="K179" s="4">
        <v>30.09</v>
      </c>
      <c r="L179" s="4">
        <v>30.09</v>
      </c>
      <c r="M179" s="4">
        <v>0.17699999999999999</v>
      </c>
      <c r="N179" s="4">
        <v>13</v>
      </c>
      <c r="O179" s="4">
        <f t="shared" si="12"/>
        <v>16533.592659999998</v>
      </c>
    </row>
    <row r="180" spans="1:15" x14ac:dyDescent="0.3">
      <c r="A180" s="11">
        <v>45540</v>
      </c>
      <c r="B180" s="4" t="str">
        <f>TEXT(Data!B180,"MMM-YYYY")</f>
        <v>Aug-2025</v>
      </c>
      <c r="C180" s="4" t="str">
        <f t="shared" si="13"/>
        <v>Sep-2024</v>
      </c>
      <c r="D180" s="12">
        <f t="shared" si="14"/>
        <v>45540</v>
      </c>
      <c r="E180" s="4" t="str">
        <f t="shared" si="10"/>
        <v>Q3-2024</v>
      </c>
      <c r="F180" t="s">
        <v>52</v>
      </c>
      <c r="G180" t="s">
        <v>53</v>
      </c>
      <c r="H180" t="s">
        <v>179</v>
      </c>
      <c r="I180" t="s">
        <v>64</v>
      </c>
      <c r="J180" s="7" t="str">
        <f t="shared" si="11"/>
        <v>High</v>
      </c>
      <c r="K180" s="4">
        <v>501.31</v>
      </c>
      <c r="L180" s="4">
        <v>501.31</v>
      </c>
      <c r="M180" s="4">
        <v>5.6000000000000001E-2</v>
      </c>
      <c r="N180" s="4">
        <v>15</v>
      </c>
      <c r="O180" s="4">
        <f t="shared" si="12"/>
        <v>31908.427200000002</v>
      </c>
    </row>
    <row r="181" spans="1:15" x14ac:dyDescent="0.3">
      <c r="A181" s="11">
        <v>45541</v>
      </c>
      <c r="B181" s="4" t="str">
        <f>TEXT(Data!B181,"MMM-YYYY")</f>
        <v>Sep-2025</v>
      </c>
      <c r="C181" s="4" t="str">
        <f t="shared" si="13"/>
        <v>Sep-2024</v>
      </c>
      <c r="D181" s="12">
        <f t="shared" si="14"/>
        <v>45541</v>
      </c>
      <c r="E181" s="4" t="str">
        <f t="shared" si="10"/>
        <v>Q3-2024</v>
      </c>
      <c r="F181" t="s">
        <v>45</v>
      </c>
      <c r="G181" t="s">
        <v>116</v>
      </c>
      <c r="H181" t="s">
        <v>117</v>
      </c>
      <c r="I181" t="s">
        <v>30</v>
      </c>
      <c r="J181" s="7" t="str">
        <f t="shared" si="11"/>
        <v>High</v>
      </c>
      <c r="K181" s="4">
        <v>411.18</v>
      </c>
      <c r="L181" s="4">
        <v>411.18</v>
      </c>
      <c r="M181" s="4">
        <v>0.17299999999999999</v>
      </c>
      <c r="N181" s="4">
        <v>13</v>
      </c>
      <c r="O181" s="4">
        <f t="shared" si="12"/>
        <v>26302.966559999997</v>
      </c>
    </row>
    <row r="182" spans="1:15" x14ac:dyDescent="0.3">
      <c r="A182" s="11">
        <v>45542</v>
      </c>
      <c r="B182" s="4" t="str">
        <f>TEXT(Data!B182,"MMM-YYYY")</f>
        <v>Oct-2024</v>
      </c>
      <c r="C182" s="4" t="str">
        <f t="shared" si="13"/>
        <v>Sep-2024</v>
      </c>
      <c r="D182" s="12">
        <f t="shared" si="14"/>
        <v>45542</v>
      </c>
      <c r="E182" s="4" t="str">
        <f t="shared" si="10"/>
        <v>Q3-2024</v>
      </c>
      <c r="F182" t="s">
        <v>52</v>
      </c>
      <c r="G182" t="s">
        <v>73</v>
      </c>
      <c r="H182" t="s">
        <v>225</v>
      </c>
      <c r="I182" t="s">
        <v>81</v>
      </c>
      <c r="J182" s="7" t="str">
        <f t="shared" si="11"/>
        <v>Low</v>
      </c>
      <c r="K182" s="4">
        <v>5.92</v>
      </c>
      <c r="L182" s="4">
        <v>5.92</v>
      </c>
      <c r="M182" s="4">
        <v>0.21199999999999999</v>
      </c>
      <c r="N182" s="4">
        <v>4</v>
      </c>
      <c r="O182" s="4">
        <f t="shared" si="12"/>
        <v>593.52160000000003</v>
      </c>
    </row>
    <row r="183" spans="1:15" x14ac:dyDescent="0.3">
      <c r="A183" s="11">
        <v>45543</v>
      </c>
      <c r="B183" s="4" t="str">
        <f>TEXT(Data!B183,"MMM-YYYY")</f>
        <v>Feb-2025</v>
      </c>
      <c r="C183" s="4" t="str">
        <f t="shared" si="13"/>
        <v>Sep-2024</v>
      </c>
      <c r="D183" s="12">
        <f t="shared" si="14"/>
        <v>45543</v>
      </c>
      <c r="E183" s="4" t="str">
        <f t="shared" si="10"/>
        <v>Q3-2024</v>
      </c>
      <c r="F183" t="s">
        <v>45</v>
      </c>
      <c r="G183" t="s">
        <v>116</v>
      </c>
      <c r="H183" t="s">
        <v>338</v>
      </c>
      <c r="I183" t="s">
        <v>42</v>
      </c>
      <c r="J183" s="7" t="str">
        <f t="shared" si="11"/>
        <v>High</v>
      </c>
      <c r="K183" s="4">
        <v>2206.63</v>
      </c>
      <c r="L183" s="4">
        <v>2206.63</v>
      </c>
      <c r="M183" s="4">
        <v>6.3E-2</v>
      </c>
      <c r="N183" s="4">
        <v>20</v>
      </c>
      <c r="O183" s="4">
        <f t="shared" si="12"/>
        <v>48027.621600000006</v>
      </c>
    </row>
    <row r="184" spans="1:15" x14ac:dyDescent="0.3">
      <c r="A184" s="11">
        <v>45544</v>
      </c>
      <c r="B184" s="4" t="str">
        <f>TEXT(Data!B184,"MMM-YYYY")</f>
        <v>Aug-2023</v>
      </c>
      <c r="C184" s="4" t="str">
        <f t="shared" si="13"/>
        <v>Sep-2024</v>
      </c>
      <c r="D184" s="12">
        <f t="shared" si="14"/>
        <v>45544</v>
      </c>
      <c r="E184" s="4" t="str">
        <f t="shared" si="10"/>
        <v>Q3-2024</v>
      </c>
      <c r="F184" t="s">
        <v>45</v>
      </c>
      <c r="G184" t="s">
        <v>46</v>
      </c>
      <c r="H184" t="s">
        <v>47</v>
      </c>
      <c r="I184" t="s">
        <v>81</v>
      </c>
      <c r="J184" s="7" t="str">
        <f t="shared" si="11"/>
        <v>High</v>
      </c>
      <c r="K184" s="4">
        <v>1912.8</v>
      </c>
      <c r="L184" s="4">
        <v>1912.8</v>
      </c>
      <c r="M184" s="4">
        <v>0.19600000000000001</v>
      </c>
      <c r="N184" s="4">
        <v>5</v>
      </c>
      <c r="O184" s="4">
        <f t="shared" si="12"/>
        <v>7256.5421999999999</v>
      </c>
    </row>
    <row r="185" spans="1:15" x14ac:dyDescent="0.3">
      <c r="A185" s="11">
        <v>45545</v>
      </c>
      <c r="B185" s="4" t="str">
        <f>TEXT(Data!B185,"MMM-YYYY")</f>
        <v>Oct-2024</v>
      </c>
      <c r="C185" s="4" t="str">
        <f t="shared" si="13"/>
        <v>Sep-2024</v>
      </c>
      <c r="D185" s="12">
        <f t="shared" si="14"/>
        <v>45545</v>
      </c>
      <c r="E185" s="4" t="str">
        <f t="shared" si="10"/>
        <v>Q3-2024</v>
      </c>
      <c r="F185" t="s">
        <v>16</v>
      </c>
      <c r="G185" t="s">
        <v>25</v>
      </c>
      <c r="H185" t="s">
        <v>67</v>
      </c>
      <c r="I185" t="s">
        <v>64</v>
      </c>
      <c r="J185" s="7" t="str">
        <f t="shared" si="11"/>
        <v>High</v>
      </c>
      <c r="K185" s="4">
        <v>1382.31</v>
      </c>
      <c r="L185" s="4">
        <v>1382.31</v>
      </c>
      <c r="M185" s="4">
        <v>0.10100000000000001</v>
      </c>
      <c r="N185" s="4">
        <v>7</v>
      </c>
      <c r="O185" s="4">
        <f t="shared" si="12"/>
        <v>12999.63889</v>
      </c>
    </row>
    <row r="186" spans="1:15" x14ac:dyDescent="0.3">
      <c r="A186" s="11">
        <v>45546</v>
      </c>
      <c r="B186" s="4" t="str">
        <f>TEXT(Data!B186,"MMM-YYYY")</f>
        <v>Jun-2023</v>
      </c>
      <c r="C186" s="4" t="str">
        <f t="shared" si="13"/>
        <v>Sep-2024</v>
      </c>
      <c r="D186" s="12">
        <f t="shared" si="14"/>
        <v>45546</v>
      </c>
      <c r="E186" s="4" t="str">
        <f t="shared" si="10"/>
        <v>Q3-2024</v>
      </c>
      <c r="F186" t="s">
        <v>16</v>
      </c>
      <c r="G186" t="s">
        <v>25</v>
      </c>
      <c r="H186" t="s">
        <v>26</v>
      </c>
      <c r="I186" t="s">
        <v>64</v>
      </c>
      <c r="J186" s="7" t="str">
        <f t="shared" si="11"/>
        <v>High</v>
      </c>
      <c r="K186" s="4">
        <v>1355.61</v>
      </c>
      <c r="L186" s="4">
        <v>1355.61</v>
      </c>
      <c r="M186" s="4">
        <v>0.153</v>
      </c>
      <c r="N186" s="4">
        <v>23</v>
      </c>
      <c r="O186" s="4">
        <f t="shared" si="12"/>
        <v>46101.981310000003</v>
      </c>
    </row>
    <row r="187" spans="1:15" x14ac:dyDescent="0.3">
      <c r="A187" s="11">
        <v>45547</v>
      </c>
      <c r="B187" s="4" t="str">
        <f>TEXT(Data!B187,"MMM-YYYY")</f>
        <v>Jan-2025</v>
      </c>
      <c r="C187" s="4" t="str">
        <f t="shared" si="13"/>
        <v>Sep-2024</v>
      </c>
      <c r="D187" s="12">
        <f t="shared" si="14"/>
        <v>45547</v>
      </c>
      <c r="E187" s="4" t="str">
        <f t="shared" si="10"/>
        <v>Q3-2024</v>
      </c>
      <c r="F187" t="s">
        <v>78</v>
      </c>
      <c r="G187" t="s">
        <v>90</v>
      </c>
      <c r="H187" t="s">
        <v>138</v>
      </c>
      <c r="I187" t="s">
        <v>81</v>
      </c>
      <c r="J187" s="7" t="str">
        <f t="shared" si="11"/>
        <v>High</v>
      </c>
      <c r="K187" s="4">
        <v>887.9</v>
      </c>
      <c r="L187" s="4">
        <v>887.9</v>
      </c>
      <c r="M187" s="4">
        <v>2.5000000000000001E-2</v>
      </c>
      <c r="N187" s="4">
        <v>12</v>
      </c>
      <c r="O187" s="4">
        <f t="shared" si="12"/>
        <v>1541.5919999999999</v>
      </c>
    </row>
    <row r="188" spans="1:15" x14ac:dyDescent="0.3">
      <c r="A188" s="11">
        <v>45548</v>
      </c>
      <c r="B188" s="4" t="str">
        <f>TEXT(Data!B188,"MMM-YYYY")</f>
        <v>Jan-2023</v>
      </c>
      <c r="C188" s="4" t="str">
        <f t="shared" si="13"/>
        <v>Sep-2024</v>
      </c>
      <c r="D188" s="12">
        <f t="shared" si="14"/>
        <v>45548</v>
      </c>
      <c r="E188" s="4" t="str">
        <f t="shared" si="10"/>
        <v>Q3-2024</v>
      </c>
      <c r="F188" t="s">
        <v>78</v>
      </c>
      <c r="G188" t="s">
        <v>90</v>
      </c>
      <c r="H188" t="s">
        <v>217</v>
      </c>
      <c r="I188" t="s">
        <v>64</v>
      </c>
      <c r="J188" s="7" t="str">
        <f t="shared" si="11"/>
        <v>High</v>
      </c>
      <c r="K188" s="4">
        <v>1020.69</v>
      </c>
      <c r="L188" s="4">
        <v>1020.69</v>
      </c>
      <c r="M188" s="4">
        <v>0.21099999999999999</v>
      </c>
      <c r="N188" s="4">
        <v>6</v>
      </c>
      <c r="O188" s="4">
        <f t="shared" si="12"/>
        <v>6319.9846800000005</v>
      </c>
    </row>
    <row r="189" spans="1:15" x14ac:dyDescent="0.3">
      <c r="A189" s="11">
        <v>45549</v>
      </c>
      <c r="B189" s="4" t="str">
        <f>TEXT(Data!B189,"MMM-YYYY")</f>
        <v>Jul-2023</v>
      </c>
      <c r="C189" s="4" t="str">
        <f t="shared" si="13"/>
        <v>Sep-2024</v>
      </c>
      <c r="D189" s="12">
        <f t="shared" si="14"/>
        <v>45549</v>
      </c>
      <c r="E189" s="4" t="str">
        <f t="shared" si="10"/>
        <v>Q3-2024</v>
      </c>
      <c r="F189" t="s">
        <v>45</v>
      </c>
      <c r="G189" t="s">
        <v>60</v>
      </c>
      <c r="H189" t="s">
        <v>61</v>
      </c>
      <c r="I189" t="s">
        <v>81</v>
      </c>
      <c r="J189" s="7" t="str">
        <f t="shared" si="11"/>
        <v>High</v>
      </c>
      <c r="K189" s="4">
        <v>1395.53</v>
      </c>
      <c r="L189" s="4">
        <v>1395.53</v>
      </c>
      <c r="M189" s="4">
        <v>0.23300000000000001</v>
      </c>
      <c r="N189" s="4">
        <v>25</v>
      </c>
      <c r="O189" s="4">
        <f t="shared" si="12"/>
        <v>51608.553749999999</v>
      </c>
    </row>
    <row r="190" spans="1:15" x14ac:dyDescent="0.3">
      <c r="A190" s="11">
        <v>45550</v>
      </c>
      <c r="B190" s="4" t="str">
        <f>TEXT(Data!B190,"MMM-YYYY")</f>
        <v>May-2024</v>
      </c>
      <c r="C190" s="4" t="str">
        <f t="shared" si="13"/>
        <v>Sep-2024</v>
      </c>
      <c r="D190" s="12">
        <f t="shared" si="14"/>
        <v>45550</v>
      </c>
      <c r="E190" s="4" t="str">
        <f t="shared" si="10"/>
        <v>Q3-2024</v>
      </c>
      <c r="F190" t="s">
        <v>52</v>
      </c>
      <c r="G190" t="s">
        <v>73</v>
      </c>
      <c r="H190" t="s">
        <v>225</v>
      </c>
      <c r="I190" t="s">
        <v>64</v>
      </c>
      <c r="J190" s="7" t="str">
        <f t="shared" si="11"/>
        <v>High</v>
      </c>
      <c r="K190" s="4">
        <v>2273.42</v>
      </c>
      <c r="L190" s="4">
        <v>2273.42</v>
      </c>
      <c r="M190" s="4">
        <v>0.11799999999999999</v>
      </c>
      <c r="N190" s="4">
        <v>14</v>
      </c>
      <c r="O190" s="4">
        <f t="shared" si="12"/>
        <v>9587.7280800000008</v>
      </c>
    </row>
    <row r="191" spans="1:15" x14ac:dyDescent="0.3">
      <c r="A191" s="11">
        <v>45551</v>
      </c>
      <c r="B191" s="4" t="str">
        <f>TEXT(Data!B191,"MMM-YYYY")</f>
        <v>Feb-2024</v>
      </c>
      <c r="C191" s="4" t="str">
        <f t="shared" si="13"/>
        <v>Sep-2024</v>
      </c>
      <c r="D191" s="12">
        <f t="shared" si="14"/>
        <v>45551</v>
      </c>
      <c r="E191" s="4" t="str">
        <f t="shared" si="10"/>
        <v>Q3-2024</v>
      </c>
      <c r="F191" t="s">
        <v>52</v>
      </c>
      <c r="G191" t="s">
        <v>73</v>
      </c>
      <c r="H191" t="s">
        <v>87</v>
      </c>
      <c r="I191" t="s">
        <v>64</v>
      </c>
      <c r="J191" s="7" t="str">
        <f t="shared" si="11"/>
        <v>High</v>
      </c>
      <c r="K191" s="4">
        <v>1242.1500000000001</v>
      </c>
      <c r="L191" s="4">
        <v>1242.1500000000001</v>
      </c>
      <c r="M191" s="4">
        <v>1.2E-2</v>
      </c>
      <c r="N191" s="4">
        <v>7</v>
      </c>
      <c r="O191" s="4">
        <f t="shared" si="12"/>
        <v>2200.4637200000002</v>
      </c>
    </row>
    <row r="192" spans="1:15" x14ac:dyDescent="0.3">
      <c r="A192" s="11">
        <v>45552</v>
      </c>
      <c r="B192" s="4" t="str">
        <f>TEXT(Data!B192,"MMM-YYYY")</f>
        <v>Aug-2023</v>
      </c>
      <c r="C192" s="4" t="str">
        <f t="shared" si="13"/>
        <v>Sep-2024</v>
      </c>
      <c r="D192" s="12">
        <f t="shared" si="14"/>
        <v>45552</v>
      </c>
      <c r="E192" s="4" t="str">
        <f t="shared" si="10"/>
        <v>Q3-2024</v>
      </c>
      <c r="F192" t="s">
        <v>45</v>
      </c>
      <c r="G192" t="s">
        <v>116</v>
      </c>
      <c r="H192" t="s">
        <v>117</v>
      </c>
      <c r="I192" t="s">
        <v>57</v>
      </c>
      <c r="J192" s="7" t="str">
        <f t="shared" si="11"/>
        <v>High</v>
      </c>
      <c r="K192" s="4">
        <v>1310.29</v>
      </c>
      <c r="L192" s="4">
        <v>1310.29</v>
      </c>
      <c r="M192" s="4">
        <v>0.215</v>
      </c>
      <c r="N192" s="4">
        <v>19</v>
      </c>
      <c r="O192" s="4">
        <f t="shared" si="12"/>
        <v>18590.205150000002</v>
      </c>
    </row>
    <row r="193" spans="1:15" x14ac:dyDescent="0.3">
      <c r="A193" s="11">
        <v>45553</v>
      </c>
      <c r="B193" s="4" t="str">
        <f>TEXT(Data!B193,"MMM-YYYY")</f>
        <v>Aug-2024</v>
      </c>
      <c r="C193" s="4" t="str">
        <f t="shared" si="13"/>
        <v>Sep-2024</v>
      </c>
      <c r="D193" s="12">
        <f t="shared" si="14"/>
        <v>45553</v>
      </c>
      <c r="E193" s="4" t="str">
        <f t="shared" si="10"/>
        <v>Q3-2024</v>
      </c>
      <c r="F193" t="s">
        <v>78</v>
      </c>
      <c r="G193" t="s">
        <v>108</v>
      </c>
      <c r="H193" t="s">
        <v>109</v>
      </c>
      <c r="I193" t="s">
        <v>64</v>
      </c>
      <c r="J193" s="7" t="str">
        <f t="shared" si="11"/>
        <v>High</v>
      </c>
      <c r="K193" s="4">
        <v>967.25</v>
      </c>
      <c r="L193" s="4">
        <v>967.25</v>
      </c>
      <c r="M193" s="4">
        <v>9.4E-2</v>
      </c>
      <c r="N193" s="4">
        <v>10</v>
      </c>
      <c r="O193" s="4">
        <f t="shared" si="12"/>
        <v>3143.4576000000002</v>
      </c>
    </row>
    <row r="194" spans="1:15" x14ac:dyDescent="0.3">
      <c r="A194" s="11">
        <v>45554</v>
      </c>
      <c r="B194" s="4" t="str">
        <f>TEXT(Data!B194,"MMM-YYYY")</f>
        <v>Oct-2023</v>
      </c>
      <c r="C194" s="4" t="str">
        <f t="shared" si="13"/>
        <v>Sep-2024</v>
      </c>
      <c r="D194" s="12">
        <f t="shared" si="14"/>
        <v>45554</v>
      </c>
      <c r="E194" s="4" t="str">
        <f t="shared" ref="E194:E257" si="15">"Q"&amp;ROUNDUP(MONTH(A194)/3,0)&amp;"-"&amp;YEAR(A194)</f>
        <v>Q3-2024</v>
      </c>
      <c r="F194" t="s">
        <v>52</v>
      </c>
      <c r="G194" t="s">
        <v>122</v>
      </c>
      <c r="H194" t="s">
        <v>326</v>
      </c>
      <c r="I194" t="s">
        <v>57</v>
      </c>
      <c r="J194" s="7" t="str">
        <f t="shared" ref="J194:J257" si="16">IF(K194&lt;50, "Low", IF(K194&lt;200, "Medium", "High"))</f>
        <v>High</v>
      </c>
      <c r="K194" s="4">
        <v>886.22</v>
      </c>
      <c r="L194" s="4">
        <v>886.22</v>
      </c>
      <c r="M194" s="4">
        <v>0.23599999999999999</v>
      </c>
      <c r="N194" s="4">
        <v>36</v>
      </c>
      <c r="O194" s="4">
        <f t="shared" ref="O194:O257" si="17">(L220*N194)*(1-M194)</f>
        <v>13882.919040000001</v>
      </c>
    </row>
    <row r="195" spans="1:15" x14ac:dyDescent="0.3">
      <c r="A195" s="11">
        <v>45555</v>
      </c>
      <c r="B195" s="4" t="str">
        <f>TEXT(Data!B195,"MMM-YYYY")</f>
        <v>May-2023</v>
      </c>
      <c r="C195" s="4" t="str">
        <f t="shared" ref="C195:C258" si="18">TEXT(D195, "MMM-YYYY")</f>
        <v>Sep-2024</v>
      </c>
      <c r="D195" s="12">
        <f t="shared" ref="D195:D258" si="19">_xlfn.MINIFS(A195:A195, G195:G195,G195)</f>
        <v>45555</v>
      </c>
      <c r="E195" s="4" t="str">
        <f t="shared" si="15"/>
        <v>Q3-2024</v>
      </c>
      <c r="F195" t="s">
        <v>45</v>
      </c>
      <c r="G195" t="s">
        <v>116</v>
      </c>
      <c r="H195" t="s">
        <v>117</v>
      </c>
      <c r="I195" t="s">
        <v>30</v>
      </c>
      <c r="J195" s="7" t="str">
        <f t="shared" si="16"/>
        <v>High</v>
      </c>
      <c r="K195" s="4">
        <v>790.61</v>
      </c>
      <c r="L195" s="4">
        <v>790.61</v>
      </c>
      <c r="M195" s="4">
        <v>7.1999999999999995E-2</v>
      </c>
      <c r="N195" s="4">
        <v>6</v>
      </c>
      <c r="O195" s="4">
        <f t="shared" si="17"/>
        <v>5219.7772800000002</v>
      </c>
    </row>
    <row r="196" spans="1:15" x14ac:dyDescent="0.3">
      <c r="A196" s="11">
        <v>45556</v>
      </c>
      <c r="B196" s="4" t="str">
        <f>TEXT(Data!B196,"MMM-YYYY")</f>
        <v>Sep-2024</v>
      </c>
      <c r="C196" s="4" t="str">
        <f t="shared" si="18"/>
        <v>Sep-2024</v>
      </c>
      <c r="D196" s="12">
        <f t="shared" si="19"/>
        <v>45556</v>
      </c>
      <c r="E196" s="4" t="str">
        <f t="shared" si="15"/>
        <v>Q3-2024</v>
      </c>
      <c r="F196" t="s">
        <v>52</v>
      </c>
      <c r="G196" t="s">
        <v>122</v>
      </c>
      <c r="H196" t="s">
        <v>167</v>
      </c>
      <c r="I196" t="s">
        <v>35</v>
      </c>
      <c r="J196" s="7" t="str">
        <f t="shared" si="16"/>
        <v>High</v>
      </c>
      <c r="K196" s="4">
        <v>361.33</v>
      </c>
      <c r="L196" s="4">
        <v>361.33</v>
      </c>
      <c r="M196" s="4">
        <v>9.4E-2</v>
      </c>
      <c r="N196" s="4">
        <v>12</v>
      </c>
      <c r="O196" s="4">
        <f t="shared" si="17"/>
        <v>14139.90576</v>
      </c>
    </row>
    <row r="197" spans="1:15" x14ac:dyDescent="0.3">
      <c r="A197" s="11">
        <v>45557</v>
      </c>
      <c r="B197" s="4" t="str">
        <f>TEXT(Data!B197,"MMM-YYYY")</f>
        <v>Oct-2024</v>
      </c>
      <c r="C197" s="4" t="str">
        <f t="shared" si="18"/>
        <v>Sep-2024</v>
      </c>
      <c r="D197" s="12">
        <f t="shared" si="19"/>
        <v>45557</v>
      </c>
      <c r="E197" s="4" t="str">
        <f t="shared" si="15"/>
        <v>Q3-2024</v>
      </c>
      <c r="F197" t="s">
        <v>52</v>
      </c>
      <c r="G197" t="s">
        <v>73</v>
      </c>
      <c r="H197" t="s">
        <v>74</v>
      </c>
      <c r="I197" t="s">
        <v>64</v>
      </c>
      <c r="J197" s="7" t="str">
        <f t="shared" si="16"/>
        <v>High</v>
      </c>
      <c r="K197" s="4">
        <v>1952.04</v>
      </c>
      <c r="L197" s="4">
        <v>1952.04</v>
      </c>
      <c r="M197" s="4">
        <v>0.159</v>
      </c>
      <c r="N197" s="4">
        <v>19</v>
      </c>
      <c r="O197" s="4">
        <f t="shared" si="17"/>
        <v>3645.6088500000001</v>
      </c>
    </row>
    <row r="198" spans="1:15" x14ac:dyDescent="0.3">
      <c r="A198" s="11">
        <v>45558</v>
      </c>
      <c r="B198" s="4" t="str">
        <f>TEXT(Data!B198,"MMM-YYYY")</f>
        <v>Feb-2024</v>
      </c>
      <c r="C198" s="4" t="str">
        <f t="shared" si="18"/>
        <v>Sep-2024</v>
      </c>
      <c r="D198" s="12">
        <f t="shared" si="19"/>
        <v>45558</v>
      </c>
      <c r="E198" s="4" t="str">
        <f t="shared" si="15"/>
        <v>Q3-2024</v>
      </c>
      <c r="F198" t="s">
        <v>45</v>
      </c>
      <c r="G198" t="s">
        <v>46</v>
      </c>
      <c r="H198" t="s">
        <v>47</v>
      </c>
      <c r="I198" t="s">
        <v>42</v>
      </c>
      <c r="J198" s="7" t="str">
        <f t="shared" si="16"/>
        <v>High</v>
      </c>
      <c r="K198" s="4">
        <v>1564.76</v>
      </c>
      <c r="L198" s="4">
        <v>1564.76</v>
      </c>
      <c r="M198" s="4">
        <v>0.185</v>
      </c>
      <c r="N198" s="4">
        <v>17</v>
      </c>
      <c r="O198" s="4">
        <f t="shared" si="17"/>
        <v>6879.2846</v>
      </c>
    </row>
    <row r="199" spans="1:15" x14ac:dyDescent="0.3">
      <c r="A199" s="11">
        <v>45559</v>
      </c>
      <c r="B199" s="4" t="str">
        <f>TEXT(Data!B199,"MMM-YYYY")</f>
        <v>Jan-2023</v>
      </c>
      <c r="C199" s="4" t="str">
        <f t="shared" si="18"/>
        <v>Sep-2024</v>
      </c>
      <c r="D199" s="12">
        <f t="shared" si="19"/>
        <v>45559</v>
      </c>
      <c r="E199" s="4" t="str">
        <f t="shared" si="15"/>
        <v>Q3-2024</v>
      </c>
      <c r="F199" t="s">
        <v>16</v>
      </c>
      <c r="G199" t="s">
        <v>17</v>
      </c>
      <c r="H199" t="s">
        <v>18</v>
      </c>
      <c r="I199" t="s">
        <v>42</v>
      </c>
      <c r="J199" s="7" t="str">
        <f t="shared" si="16"/>
        <v>High</v>
      </c>
      <c r="K199" s="4">
        <v>852.54</v>
      </c>
      <c r="L199" s="4">
        <v>852.54</v>
      </c>
      <c r="M199" s="4">
        <v>5.0999999999999997E-2</v>
      </c>
      <c r="N199" s="4">
        <v>14</v>
      </c>
      <c r="O199" s="4">
        <f t="shared" si="17"/>
        <v>39076.783199999991</v>
      </c>
    </row>
    <row r="200" spans="1:15" x14ac:dyDescent="0.3">
      <c r="A200" s="11">
        <v>45560</v>
      </c>
      <c r="B200" s="4" t="str">
        <f>TEXT(Data!B200,"MMM-YYYY")</f>
        <v>Apr-2023</v>
      </c>
      <c r="C200" s="4" t="str">
        <f t="shared" si="18"/>
        <v>Sep-2024</v>
      </c>
      <c r="D200" s="12">
        <f t="shared" si="19"/>
        <v>45560</v>
      </c>
      <c r="E200" s="4" t="str">
        <f t="shared" si="15"/>
        <v>Q3-2024</v>
      </c>
      <c r="F200" t="s">
        <v>78</v>
      </c>
      <c r="G200" t="s">
        <v>79</v>
      </c>
      <c r="H200" t="s">
        <v>159</v>
      </c>
      <c r="I200" t="s">
        <v>35</v>
      </c>
      <c r="J200" s="7" t="str">
        <f t="shared" si="16"/>
        <v>High</v>
      </c>
      <c r="K200" s="4">
        <v>1465.29</v>
      </c>
      <c r="L200" s="4">
        <v>1465.29</v>
      </c>
      <c r="M200" s="4">
        <v>0.186</v>
      </c>
      <c r="N200" s="4">
        <v>7</v>
      </c>
      <c r="O200" s="4">
        <f t="shared" si="17"/>
        <v>6200.5636000000013</v>
      </c>
    </row>
    <row r="201" spans="1:15" x14ac:dyDescent="0.3">
      <c r="A201" s="11">
        <v>45561</v>
      </c>
      <c r="B201" s="4" t="str">
        <f>TEXT(Data!B201,"MMM-YYYY")</f>
        <v>Jan-2023</v>
      </c>
      <c r="C201" s="4" t="str">
        <f t="shared" si="18"/>
        <v>Sep-2024</v>
      </c>
      <c r="D201" s="12">
        <f t="shared" si="19"/>
        <v>45561</v>
      </c>
      <c r="E201" s="4" t="str">
        <f t="shared" si="15"/>
        <v>Q3-2024</v>
      </c>
      <c r="F201" t="s">
        <v>78</v>
      </c>
      <c r="G201" t="s">
        <v>79</v>
      </c>
      <c r="H201" t="s">
        <v>335</v>
      </c>
      <c r="I201" t="s">
        <v>30</v>
      </c>
      <c r="J201" s="7" t="str">
        <f t="shared" si="16"/>
        <v>High</v>
      </c>
      <c r="K201" s="4">
        <v>2645.23</v>
      </c>
      <c r="L201" s="4">
        <v>2645.23</v>
      </c>
      <c r="M201" s="4">
        <v>0.155</v>
      </c>
      <c r="N201" s="4">
        <v>25</v>
      </c>
      <c r="O201" s="4">
        <f t="shared" si="17"/>
        <v>53428.293749999997</v>
      </c>
    </row>
    <row r="202" spans="1:15" x14ac:dyDescent="0.3">
      <c r="A202" s="11">
        <v>45562</v>
      </c>
      <c r="B202" s="4" t="str">
        <f>TEXT(Data!B202,"MMM-YYYY")</f>
        <v>Jan-2024</v>
      </c>
      <c r="C202" s="4" t="str">
        <f t="shared" si="18"/>
        <v>Sep-2024</v>
      </c>
      <c r="D202" s="12">
        <f t="shared" si="19"/>
        <v>45562</v>
      </c>
      <c r="E202" s="4" t="str">
        <f t="shared" si="15"/>
        <v>Q3-2024</v>
      </c>
      <c r="F202" t="s">
        <v>52</v>
      </c>
      <c r="G202" t="s">
        <v>122</v>
      </c>
      <c r="H202" t="s">
        <v>123</v>
      </c>
      <c r="I202" t="s">
        <v>42</v>
      </c>
      <c r="J202" s="7" t="str">
        <f t="shared" si="16"/>
        <v>High</v>
      </c>
      <c r="K202" s="4">
        <v>881.57</v>
      </c>
      <c r="L202" s="4">
        <v>881.57</v>
      </c>
      <c r="M202" s="4">
        <v>5.7000000000000002E-2</v>
      </c>
      <c r="N202" s="4">
        <v>18</v>
      </c>
      <c r="O202" s="4">
        <f t="shared" si="17"/>
        <v>45796.021740000004</v>
      </c>
    </row>
    <row r="203" spans="1:15" x14ac:dyDescent="0.3">
      <c r="A203" s="11">
        <v>45563</v>
      </c>
      <c r="B203" s="4" t="str">
        <f>TEXT(Data!B203,"MMM-YYYY")</f>
        <v>Aug-2023</v>
      </c>
      <c r="C203" s="4" t="str">
        <f t="shared" si="18"/>
        <v>Sep-2024</v>
      </c>
      <c r="D203" s="12">
        <f t="shared" si="19"/>
        <v>45563</v>
      </c>
      <c r="E203" s="4" t="str">
        <f t="shared" si="15"/>
        <v>Q3-2024</v>
      </c>
      <c r="F203" t="s">
        <v>52</v>
      </c>
      <c r="G203" t="s">
        <v>122</v>
      </c>
      <c r="H203" t="s">
        <v>123</v>
      </c>
      <c r="I203" t="s">
        <v>30</v>
      </c>
      <c r="J203" s="7" t="str">
        <f t="shared" si="16"/>
        <v>High</v>
      </c>
      <c r="K203" s="4">
        <v>625.04</v>
      </c>
      <c r="L203" s="4">
        <v>625.04</v>
      </c>
      <c r="M203" s="4">
        <v>0.25800000000000001</v>
      </c>
      <c r="N203" s="4">
        <v>10</v>
      </c>
      <c r="O203" s="4">
        <f t="shared" si="17"/>
        <v>11002.004999999999</v>
      </c>
    </row>
    <row r="204" spans="1:15" x14ac:dyDescent="0.3">
      <c r="A204" s="11">
        <v>45564</v>
      </c>
      <c r="B204" s="4" t="str">
        <f>TEXT(Data!B204,"MMM-YYYY")</f>
        <v>Jan-2023</v>
      </c>
      <c r="C204" s="4" t="str">
        <f t="shared" si="18"/>
        <v>Sep-2024</v>
      </c>
      <c r="D204" s="12">
        <f t="shared" si="19"/>
        <v>45564</v>
      </c>
      <c r="E204" s="4" t="str">
        <f t="shared" si="15"/>
        <v>Q3-2024</v>
      </c>
      <c r="F204" t="s">
        <v>52</v>
      </c>
      <c r="G204" t="s">
        <v>122</v>
      </c>
      <c r="H204" t="s">
        <v>387</v>
      </c>
      <c r="I204" t="s">
        <v>42</v>
      </c>
      <c r="J204" s="7" t="str">
        <f t="shared" si="16"/>
        <v>High</v>
      </c>
      <c r="K204" s="4">
        <v>973.04</v>
      </c>
      <c r="L204" s="4">
        <v>973.04</v>
      </c>
      <c r="M204" s="4">
        <v>0</v>
      </c>
      <c r="N204" s="4">
        <v>26</v>
      </c>
      <c r="O204" s="4">
        <f t="shared" si="17"/>
        <v>37877.06</v>
      </c>
    </row>
    <row r="205" spans="1:15" x14ac:dyDescent="0.3">
      <c r="A205" s="11">
        <v>45565</v>
      </c>
      <c r="B205" s="4" t="str">
        <f>TEXT(Data!B205,"MMM-YYYY")</f>
        <v>Feb-2025</v>
      </c>
      <c r="C205" s="4" t="str">
        <f t="shared" si="18"/>
        <v>Sep-2024</v>
      </c>
      <c r="D205" s="12">
        <f t="shared" si="19"/>
        <v>45565</v>
      </c>
      <c r="E205" s="4" t="str">
        <f t="shared" si="15"/>
        <v>Q3-2024</v>
      </c>
      <c r="F205" t="s">
        <v>16</v>
      </c>
      <c r="G205" t="s">
        <v>17</v>
      </c>
      <c r="H205" t="s">
        <v>18</v>
      </c>
      <c r="I205" t="s">
        <v>35</v>
      </c>
      <c r="J205" s="7" t="str">
        <f t="shared" si="16"/>
        <v>High</v>
      </c>
      <c r="K205" s="4">
        <v>1545.34</v>
      </c>
      <c r="L205" s="4">
        <v>1545.34</v>
      </c>
      <c r="M205" s="4">
        <v>0.24299999999999999</v>
      </c>
      <c r="N205" s="4">
        <v>41</v>
      </c>
      <c r="O205" s="4">
        <f t="shared" si="17"/>
        <v>28497.86303</v>
      </c>
    </row>
    <row r="206" spans="1:15" x14ac:dyDescent="0.3">
      <c r="A206" s="11">
        <v>45566</v>
      </c>
      <c r="B206" s="4" t="str">
        <f>TEXT(Data!B206,"MMM-YYYY")</f>
        <v>Apr-2023</v>
      </c>
      <c r="C206" s="4" t="str">
        <f t="shared" si="18"/>
        <v>Oct-2024</v>
      </c>
      <c r="D206" s="12">
        <f t="shared" si="19"/>
        <v>45566</v>
      </c>
      <c r="E206" s="4" t="str">
        <f t="shared" si="15"/>
        <v>Q4-2024</v>
      </c>
      <c r="F206" t="s">
        <v>78</v>
      </c>
      <c r="G206" t="s">
        <v>108</v>
      </c>
      <c r="H206" t="s">
        <v>109</v>
      </c>
      <c r="I206" t="s">
        <v>64</v>
      </c>
      <c r="J206" s="7" t="str">
        <f t="shared" si="16"/>
        <v>High</v>
      </c>
      <c r="K206" s="4">
        <v>2253.42</v>
      </c>
      <c r="L206" s="4">
        <v>2253.42</v>
      </c>
      <c r="M206" s="4">
        <v>5.5E-2</v>
      </c>
      <c r="N206" s="4">
        <v>12</v>
      </c>
      <c r="O206" s="4">
        <f t="shared" si="17"/>
        <v>554.97959999999989</v>
      </c>
    </row>
    <row r="207" spans="1:15" x14ac:dyDescent="0.3">
      <c r="A207" s="11">
        <v>45567</v>
      </c>
      <c r="B207" s="4" t="str">
        <f>TEXT(Data!B207,"MMM-YYYY")</f>
        <v>Jul-2023</v>
      </c>
      <c r="C207" s="4" t="str">
        <f t="shared" si="18"/>
        <v>Oct-2024</v>
      </c>
      <c r="D207" s="12">
        <f t="shared" si="19"/>
        <v>45567</v>
      </c>
      <c r="E207" s="4" t="str">
        <f t="shared" si="15"/>
        <v>Q4-2024</v>
      </c>
      <c r="F207" t="s">
        <v>78</v>
      </c>
      <c r="G207" t="s">
        <v>79</v>
      </c>
      <c r="H207" t="s">
        <v>80</v>
      </c>
      <c r="I207" t="s">
        <v>64</v>
      </c>
      <c r="J207" s="7" t="str">
        <f t="shared" si="16"/>
        <v>High</v>
      </c>
      <c r="K207" s="4">
        <v>2446.56</v>
      </c>
      <c r="L207" s="4">
        <v>2446.56</v>
      </c>
      <c r="M207" s="4">
        <v>2.9000000000000001E-2</v>
      </c>
      <c r="N207" s="4">
        <v>11</v>
      </c>
      <c r="O207" s="4">
        <f t="shared" si="17"/>
        <v>9957.7894899999992</v>
      </c>
    </row>
    <row r="208" spans="1:15" x14ac:dyDescent="0.3">
      <c r="A208" s="11">
        <v>45568</v>
      </c>
      <c r="B208" s="4" t="str">
        <f>TEXT(Data!B208,"MMM-YYYY")</f>
        <v>Jan-2025</v>
      </c>
      <c r="C208" s="4" t="str">
        <f t="shared" si="18"/>
        <v>Oct-2024</v>
      </c>
      <c r="D208" s="12">
        <f t="shared" si="19"/>
        <v>45568</v>
      </c>
      <c r="E208" s="4" t="str">
        <f t="shared" si="15"/>
        <v>Q4-2024</v>
      </c>
      <c r="F208" t="s">
        <v>78</v>
      </c>
      <c r="G208" t="s">
        <v>108</v>
      </c>
      <c r="H208" t="s">
        <v>109</v>
      </c>
      <c r="I208" t="s">
        <v>22</v>
      </c>
      <c r="J208" s="7" t="str">
        <f t="shared" si="16"/>
        <v>Medium</v>
      </c>
      <c r="K208" s="4">
        <v>188.3</v>
      </c>
      <c r="L208" s="4">
        <v>188.3</v>
      </c>
      <c r="M208" s="4">
        <v>3.7999999999999999E-2</v>
      </c>
      <c r="N208" s="4">
        <v>37</v>
      </c>
      <c r="O208" s="4">
        <f t="shared" si="17"/>
        <v>11596.169260000001</v>
      </c>
    </row>
    <row r="209" spans="1:15" x14ac:dyDescent="0.3">
      <c r="A209" s="11">
        <v>45569</v>
      </c>
      <c r="B209" s="4" t="str">
        <f>TEXT(Data!B209,"MMM-YYYY")</f>
        <v>Sep-2024</v>
      </c>
      <c r="C209" s="4" t="str">
        <f t="shared" si="18"/>
        <v>Oct-2024</v>
      </c>
      <c r="D209" s="12">
        <f t="shared" si="19"/>
        <v>45569</v>
      </c>
      <c r="E209" s="4" t="str">
        <f t="shared" si="15"/>
        <v>Q4-2024</v>
      </c>
      <c r="F209" t="s">
        <v>16</v>
      </c>
      <c r="G209" t="s">
        <v>17</v>
      </c>
      <c r="H209" t="s">
        <v>33</v>
      </c>
      <c r="I209" t="s">
        <v>81</v>
      </c>
      <c r="J209" s="7" t="str">
        <f t="shared" si="16"/>
        <v>High</v>
      </c>
      <c r="K209" s="4">
        <v>2562.84</v>
      </c>
      <c r="L209" s="4">
        <v>2562.84</v>
      </c>
      <c r="M209" s="4">
        <v>0.14799999999999999</v>
      </c>
      <c r="N209" s="4">
        <v>13</v>
      </c>
      <c r="O209" s="4">
        <f t="shared" si="17"/>
        <v>4496.5237200000001</v>
      </c>
    </row>
    <row r="210" spans="1:15" x14ac:dyDescent="0.3">
      <c r="A210" s="11">
        <v>45570</v>
      </c>
      <c r="B210" s="4" t="str">
        <f>TEXT(Data!B210,"MMM-YYYY")</f>
        <v>Jul-2025</v>
      </c>
      <c r="C210" s="4" t="str">
        <f t="shared" si="18"/>
        <v>Oct-2024</v>
      </c>
      <c r="D210" s="12">
        <f t="shared" si="19"/>
        <v>45570</v>
      </c>
      <c r="E210" s="4" t="str">
        <f t="shared" si="15"/>
        <v>Q4-2024</v>
      </c>
      <c r="F210" t="s">
        <v>16</v>
      </c>
      <c r="G210" t="s">
        <v>17</v>
      </c>
      <c r="H210" t="s">
        <v>18</v>
      </c>
      <c r="I210" t="s">
        <v>30</v>
      </c>
      <c r="J210" s="7" t="str">
        <f t="shared" si="16"/>
        <v>High</v>
      </c>
      <c r="K210" s="4">
        <v>1805.11</v>
      </c>
      <c r="L210" s="4">
        <v>1805.11</v>
      </c>
      <c r="M210" s="4">
        <v>0.20300000000000001</v>
      </c>
      <c r="N210" s="4">
        <v>11</v>
      </c>
      <c r="O210" s="4">
        <f t="shared" si="17"/>
        <v>13931.376689999999</v>
      </c>
    </row>
    <row r="211" spans="1:15" x14ac:dyDescent="0.3">
      <c r="A211" s="11">
        <v>45571</v>
      </c>
      <c r="B211" s="4" t="str">
        <f>TEXT(Data!B211,"MMM-YYYY")</f>
        <v>Oct-2024</v>
      </c>
      <c r="C211" s="4" t="str">
        <f t="shared" si="18"/>
        <v>Oct-2024</v>
      </c>
      <c r="D211" s="12">
        <f t="shared" si="19"/>
        <v>45571</v>
      </c>
      <c r="E211" s="4" t="str">
        <f t="shared" si="15"/>
        <v>Q4-2024</v>
      </c>
      <c r="F211" t="s">
        <v>16</v>
      </c>
      <c r="G211" t="s">
        <v>25</v>
      </c>
      <c r="H211" t="s">
        <v>38</v>
      </c>
      <c r="I211" t="s">
        <v>81</v>
      </c>
      <c r="J211" s="7" t="str">
        <f t="shared" si="16"/>
        <v>High</v>
      </c>
      <c r="K211" s="4">
        <v>2065.73</v>
      </c>
      <c r="L211" s="4">
        <v>2065.73</v>
      </c>
      <c r="M211" s="4">
        <v>0.13600000000000001</v>
      </c>
      <c r="N211" s="4">
        <v>10</v>
      </c>
      <c r="O211" s="4">
        <f t="shared" si="17"/>
        <v>12379.392</v>
      </c>
    </row>
    <row r="212" spans="1:15" x14ac:dyDescent="0.3">
      <c r="A212" s="11">
        <v>45572</v>
      </c>
      <c r="B212" s="4" t="str">
        <f>TEXT(Data!B212,"MMM-YYYY")</f>
        <v>Jul-2025</v>
      </c>
      <c r="C212" s="4" t="str">
        <f t="shared" si="18"/>
        <v>Oct-2024</v>
      </c>
      <c r="D212" s="12">
        <f t="shared" si="19"/>
        <v>45572</v>
      </c>
      <c r="E212" s="4" t="str">
        <f t="shared" si="15"/>
        <v>Q4-2024</v>
      </c>
      <c r="F212" t="s">
        <v>16</v>
      </c>
      <c r="G212" t="s">
        <v>148</v>
      </c>
      <c r="H212" t="s">
        <v>172</v>
      </c>
      <c r="I212" t="s">
        <v>22</v>
      </c>
      <c r="J212" s="7" t="str">
        <f t="shared" si="16"/>
        <v>High</v>
      </c>
      <c r="K212" s="4">
        <v>2366.5100000000002</v>
      </c>
      <c r="L212" s="4">
        <v>2366.5100000000002</v>
      </c>
      <c r="M212" s="4">
        <v>0.152</v>
      </c>
      <c r="N212" s="4">
        <v>9</v>
      </c>
      <c r="O212" s="4">
        <f t="shared" si="17"/>
        <v>13476.28032</v>
      </c>
    </row>
    <row r="213" spans="1:15" x14ac:dyDescent="0.3">
      <c r="A213" s="11">
        <v>45573</v>
      </c>
      <c r="B213" s="4" t="str">
        <f>TEXT(Data!B213,"MMM-YYYY")</f>
        <v>Sep-2024</v>
      </c>
      <c r="C213" s="4" t="str">
        <f t="shared" si="18"/>
        <v>Oct-2024</v>
      </c>
      <c r="D213" s="12">
        <f t="shared" si="19"/>
        <v>45573</v>
      </c>
      <c r="E213" s="4" t="str">
        <f t="shared" si="15"/>
        <v>Q4-2024</v>
      </c>
      <c r="F213" t="s">
        <v>52</v>
      </c>
      <c r="G213" t="s">
        <v>53</v>
      </c>
      <c r="H213" t="s">
        <v>144</v>
      </c>
      <c r="I213" t="s">
        <v>64</v>
      </c>
      <c r="J213" s="7" t="str">
        <f t="shared" si="16"/>
        <v>Medium</v>
      </c>
      <c r="K213" s="4">
        <v>131.76</v>
      </c>
      <c r="L213" s="4">
        <v>131.76</v>
      </c>
      <c r="M213" s="4">
        <v>0.10199999999999999</v>
      </c>
      <c r="N213" s="4">
        <v>15</v>
      </c>
      <c r="O213" s="4">
        <f t="shared" si="17"/>
        <v>37144.063799999996</v>
      </c>
    </row>
    <row r="214" spans="1:15" x14ac:dyDescent="0.3">
      <c r="A214" s="11">
        <v>45574</v>
      </c>
      <c r="B214" s="4" t="str">
        <f>TEXT(Data!B214,"MMM-YYYY")</f>
        <v>Jan-2025</v>
      </c>
      <c r="C214" s="4" t="str">
        <f t="shared" si="18"/>
        <v>Oct-2024</v>
      </c>
      <c r="D214" s="12">
        <f t="shared" si="19"/>
        <v>45574</v>
      </c>
      <c r="E214" s="4" t="str">
        <f t="shared" si="15"/>
        <v>Q4-2024</v>
      </c>
      <c r="F214" t="s">
        <v>45</v>
      </c>
      <c r="G214" t="s">
        <v>116</v>
      </c>
      <c r="H214" t="s">
        <v>117</v>
      </c>
      <c r="I214" t="s">
        <v>30</v>
      </c>
      <c r="J214" s="7" t="str">
        <f t="shared" si="16"/>
        <v>High</v>
      </c>
      <c r="K214" s="4">
        <v>1335.02</v>
      </c>
      <c r="L214" s="4">
        <v>1335.02</v>
      </c>
      <c r="M214" s="4">
        <v>0.128</v>
      </c>
      <c r="N214" s="4">
        <v>6</v>
      </c>
      <c r="O214" s="4">
        <f t="shared" si="17"/>
        <v>4571.46</v>
      </c>
    </row>
    <row r="215" spans="1:15" x14ac:dyDescent="0.3">
      <c r="A215" s="11">
        <v>45575</v>
      </c>
      <c r="B215" s="4" t="str">
        <f>TEXT(Data!B215,"MMM-YYYY")</f>
        <v>Nov-2023</v>
      </c>
      <c r="C215" s="4" t="str">
        <f t="shared" si="18"/>
        <v>Oct-2024</v>
      </c>
      <c r="D215" s="12">
        <f t="shared" si="19"/>
        <v>45575</v>
      </c>
      <c r="E215" s="4" t="str">
        <f t="shared" si="15"/>
        <v>Q4-2024</v>
      </c>
      <c r="F215" t="s">
        <v>16</v>
      </c>
      <c r="G215" t="s">
        <v>17</v>
      </c>
      <c r="H215" t="s">
        <v>18</v>
      </c>
      <c r="I215" t="s">
        <v>42</v>
      </c>
      <c r="J215" s="7" t="str">
        <f t="shared" si="16"/>
        <v>High</v>
      </c>
      <c r="K215" s="4">
        <v>2691.45</v>
      </c>
      <c r="L215" s="4">
        <v>2691.45</v>
      </c>
      <c r="M215" s="4">
        <v>0</v>
      </c>
      <c r="N215" s="4">
        <v>9</v>
      </c>
      <c r="O215" s="4">
        <f t="shared" si="17"/>
        <v>2326.6799999999998</v>
      </c>
    </row>
    <row r="216" spans="1:15" x14ac:dyDescent="0.3">
      <c r="A216" s="11">
        <v>45576</v>
      </c>
      <c r="B216" s="4" t="str">
        <f>TEXT(Data!B216,"MMM-YYYY")</f>
        <v>Feb-2024</v>
      </c>
      <c r="C216" s="4" t="str">
        <f t="shared" si="18"/>
        <v>Oct-2024</v>
      </c>
      <c r="D216" s="12">
        <f t="shared" si="19"/>
        <v>45576</v>
      </c>
      <c r="E216" s="4" t="str">
        <f t="shared" si="15"/>
        <v>Q4-2024</v>
      </c>
      <c r="F216" t="s">
        <v>52</v>
      </c>
      <c r="G216" t="s">
        <v>73</v>
      </c>
      <c r="H216" t="s">
        <v>87</v>
      </c>
      <c r="I216" t="s">
        <v>81</v>
      </c>
      <c r="J216" s="7" t="str">
        <f t="shared" si="16"/>
        <v>High</v>
      </c>
      <c r="K216" s="4">
        <v>776.46</v>
      </c>
      <c r="L216" s="4">
        <v>776.46</v>
      </c>
      <c r="M216" s="4">
        <v>0.157</v>
      </c>
      <c r="N216" s="4">
        <v>12</v>
      </c>
      <c r="O216" s="4">
        <f t="shared" si="17"/>
        <v>6137.98416</v>
      </c>
    </row>
    <row r="217" spans="1:15" x14ac:dyDescent="0.3">
      <c r="A217" s="11">
        <v>45577</v>
      </c>
      <c r="B217" s="4" t="str">
        <f>TEXT(Data!B217,"MMM-YYYY")</f>
        <v>Dec-2023</v>
      </c>
      <c r="C217" s="4" t="str">
        <f t="shared" si="18"/>
        <v>Oct-2024</v>
      </c>
      <c r="D217" s="12">
        <f t="shared" si="19"/>
        <v>45577</v>
      </c>
      <c r="E217" s="4" t="str">
        <f t="shared" si="15"/>
        <v>Q4-2024</v>
      </c>
      <c r="F217" t="s">
        <v>45</v>
      </c>
      <c r="G217" t="s">
        <v>46</v>
      </c>
      <c r="H217" t="s">
        <v>231</v>
      </c>
      <c r="I217" t="s">
        <v>35</v>
      </c>
      <c r="J217" s="7" t="str">
        <f t="shared" si="16"/>
        <v>High</v>
      </c>
      <c r="K217" s="4">
        <v>318.17</v>
      </c>
      <c r="L217" s="4">
        <v>318.17</v>
      </c>
      <c r="M217" s="4">
        <v>0.20100000000000001</v>
      </c>
      <c r="N217" s="4">
        <v>60</v>
      </c>
      <c r="O217" s="4">
        <f t="shared" si="17"/>
        <v>64128.8586</v>
      </c>
    </row>
    <row r="218" spans="1:15" x14ac:dyDescent="0.3">
      <c r="A218" s="11">
        <v>45578</v>
      </c>
      <c r="B218" s="4" t="str">
        <f>TEXT(Data!B218,"MMM-YYYY")</f>
        <v>Jan-2023</v>
      </c>
      <c r="C218" s="4" t="str">
        <f t="shared" si="18"/>
        <v>Oct-2024</v>
      </c>
      <c r="D218" s="12">
        <f t="shared" si="19"/>
        <v>45578</v>
      </c>
      <c r="E218" s="4" t="str">
        <f t="shared" si="15"/>
        <v>Q4-2024</v>
      </c>
      <c r="F218" t="s">
        <v>45</v>
      </c>
      <c r="G218" t="s">
        <v>60</v>
      </c>
      <c r="H218" t="s">
        <v>220</v>
      </c>
      <c r="I218" t="s">
        <v>64</v>
      </c>
      <c r="J218" s="7" t="str">
        <f t="shared" si="16"/>
        <v>High</v>
      </c>
      <c r="K218" s="4">
        <v>1246.4100000000001</v>
      </c>
      <c r="L218" s="4">
        <v>1246.4100000000001</v>
      </c>
      <c r="M218" s="4">
        <v>0.113</v>
      </c>
      <c r="N218" s="4">
        <v>7</v>
      </c>
      <c r="O218" s="4">
        <f t="shared" si="17"/>
        <v>11133.23372</v>
      </c>
    </row>
    <row r="219" spans="1:15" x14ac:dyDescent="0.3">
      <c r="A219" s="11">
        <v>45579</v>
      </c>
      <c r="B219" s="4" t="str">
        <f>TEXT(Data!B219,"MMM-YYYY")</f>
        <v>Oct-2024</v>
      </c>
      <c r="C219" s="4" t="str">
        <f t="shared" si="18"/>
        <v>Oct-2024</v>
      </c>
      <c r="D219" s="12">
        <f t="shared" si="19"/>
        <v>45579</v>
      </c>
      <c r="E219" s="4" t="str">
        <f t="shared" si="15"/>
        <v>Q4-2024</v>
      </c>
      <c r="F219" t="s">
        <v>78</v>
      </c>
      <c r="G219" t="s">
        <v>79</v>
      </c>
      <c r="H219" t="s">
        <v>159</v>
      </c>
      <c r="I219" t="s">
        <v>64</v>
      </c>
      <c r="J219" s="7" t="str">
        <f t="shared" si="16"/>
        <v>High</v>
      </c>
      <c r="K219" s="4">
        <v>346.96</v>
      </c>
      <c r="L219" s="4">
        <v>346.96</v>
      </c>
      <c r="M219" s="4">
        <v>0.19600000000000001</v>
      </c>
      <c r="N219" s="4">
        <v>8</v>
      </c>
      <c r="O219" s="4">
        <f t="shared" si="17"/>
        <v>789.46368000000007</v>
      </c>
    </row>
    <row r="220" spans="1:15" x14ac:dyDescent="0.3">
      <c r="A220" s="11">
        <v>45580</v>
      </c>
      <c r="B220" s="4" t="str">
        <f>TEXT(Data!B220,"MMM-YYYY")</f>
        <v>Sep-2024</v>
      </c>
      <c r="C220" s="4" t="str">
        <f t="shared" si="18"/>
        <v>Oct-2024</v>
      </c>
      <c r="D220" s="12">
        <f t="shared" si="19"/>
        <v>45580</v>
      </c>
      <c r="E220" s="4" t="str">
        <f t="shared" si="15"/>
        <v>Q4-2024</v>
      </c>
      <c r="F220" t="s">
        <v>45</v>
      </c>
      <c r="G220" t="s">
        <v>116</v>
      </c>
      <c r="H220" t="s">
        <v>162</v>
      </c>
      <c r="I220" t="s">
        <v>30</v>
      </c>
      <c r="J220" s="7" t="str">
        <f t="shared" si="16"/>
        <v>High</v>
      </c>
      <c r="K220" s="4">
        <v>504.76</v>
      </c>
      <c r="L220" s="4">
        <v>504.76</v>
      </c>
      <c r="M220" s="4">
        <v>4.0000000000000001E-3</v>
      </c>
      <c r="N220" s="4">
        <v>13</v>
      </c>
      <c r="O220" s="4">
        <f t="shared" si="17"/>
        <v>12014.83764</v>
      </c>
    </row>
    <row r="221" spans="1:15" x14ac:dyDescent="0.3">
      <c r="A221" s="11">
        <v>45581</v>
      </c>
      <c r="B221" s="4" t="str">
        <f>TEXT(Data!B221,"MMM-YYYY")</f>
        <v>Aug-2025</v>
      </c>
      <c r="C221" s="4" t="str">
        <f t="shared" si="18"/>
        <v>Oct-2024</v>
      </c>
      <c r="D221" s="12">
        <f t="shared" si="19"/>
        <v>45581</v>
      </c>
      <c r="E221" s="4" t="str">
        <f t="shared" si="15"/>
        <v>Q4-2024</v>
      </c>
      <c r="F221" t="s">
        <v>52</v>
      </c>
      <c r="G221" t="s">
        <v>73</v>
      </c>
      <c r="H221" t="s">
        <v>225</v>
      </c>
      <c r="I221" t="s">
        <v>30</v>
      </c>
      <c r="J221" s="7" t="str">
        <f t="shared" si="16"/>
        <v>High</v>
      </c>
      <c r="K221" s="4">
        <v>937.46</v>
      </c>
      <c r="L221" s="4">
        <v>937.46</v>
      </c>
      <c r="M221" s="4">
        <v>0.26600000000000001</v>
      </c>
      <c r="N221" s="4">
        <v>41</v>
      </c>
      <c r="O221" s="4">
        <f t="shared" si="17"/>
        <v>4570.6767199999995</v>
      </c>
    </row>
    <row r="222" spans="1:15" x14ac:dyDescent="0.3">
      <c r="A222" s="11">
        <v>45582</v>
      </c>
      <c r="B222" s="4" t="str">
        <f>TEXT(Data!B222,"MMM-YYYY")</f>
        <v>Sep-2023</v>
      </c>
      <c r="C222" s="4" t="str">
        <f t="shared" si="18"/>
        <v>Oct-2024</v>
      </c>
      <c r="D222" s="12">
        <f t="shared" si="19"/>
        <v>45582</v>
      </c>
      <c r="E222" s="4" t="str">
        <f t="shared" si="15"/>
        <v>Q4-2024</v>
      </c>
      <c r="F222" t="s">
        <v>16</v>
      </c>
      <c r="G222" t="s">
        <v>17</v>
      </c>
      <c r="H222" t="s">
        <v>33</v>
      </c>
      <c r="I222" t="s">
        <v>22</v>
      </c>
      <c r="J222" s="7" t="str">
        <f t="shared" si="16"/>
        <v>High</v>
      </c>
      <c r="K222" s="4">
        <v>1300.58</v>
      </c>
      <c r="L222" s="4">
        <v>1300.58</v>
      </c>
      <c r="M222" s="4">
        <v>5.5E-2</v>
      </c>
      <c r="N222" s="4">
        <v>11</v>
      </c>
      <c r="O222" s="4">
        <f t="shared" si="17"/>
        <v>22977.108</v>
      </c>
    </row>
    <row r="223" spans="1:15" x14ac:dyDescent="0.3">
      <c r="A223" s="11">
        <v>45583</v>
      </c>
      <c r="B223" s="4" t="str">
        <f>TEXT(Data!B223,"MMM-YYYY")</f>
        <v>Aug-2023</v>
      </c>
      <c r="C223" s="4" t="str">
        <f t="shared" si="18"/>
        <v>Oct-2024</v>
      </c>
      <c r="D223" s="12">
        <f t="shared" si="19"/>
        <v>45583</v>
      </c>
      <c r="E223" s="4" t="str">
        <f t="shared" si="15"/>
        <v>Q4-2024</v>
      </c>
      <c r="F223" t="s">
        <v>52</v>
      </c>
      <c r="G223" t="s">
        <v>122</v>
      </c>
      <c r="H223" t="s">
        <v>387</v>
      </c>
      <c r="I223" t="s">
        <v>81</v>
      </c>
      <c r="J223" s="7" t="str">
        <f t="shared" si="16"/>
        <v>High</v>
      </c>
      <c r="K223" s="4">
        <v>228.15</v>
      </c>
      <c r="L223" s="4">
        <v>228.15</v>
      </c>
      <c r="M223" s="4">
        <v>0.20399999999999999</v>
      </c>
      <c r="N223" s="4">
        <v>5</v>
      </c>
      <c r="O223" s="4">
        <f t="shared" si="17"/>
        <v>158.16520000000003</v>
      </c>
    </row>
    <row r="224" spans="1:15" x14ac:dyDescent="0.3">
      <c r="A224" s="11">
        <v>45584</v>
      </c>
      <c r="B224" s="4" t="str">
        <f>TEXT(Data!B224,"MMM-YYYY")</f>
        <v>Jul-2025</v>
      </c>
      <c r="C224" s="4" t="str">
        <f t="shared" si="18"/>
        <v>Oct-2024</v>
      </c>
      <c r="D224" s="12">
        <f t="shared" si="19"/>
        <v>45584</v>
      </c>
      <c r="E224" s="4" t="str">
        <f t="shared" si="15"/>
        <v>Q4-2024</v>
      </c>
      <c r="F224" t="s">
        <v>16</v>
      </c>
      <c r="G224" t="s">
        <v>148</v>
      </c>
      <c r="H224" t="s">
        <v>258</v>
      </c>
      <c r="I224" t="s">
        <v>22</v>
      </c>
      <c r="J224" s="7" t="str">
        <f t="shared" si="16"/>
        <v>High</v>
      </c>
      <c r="K224" s="4">
        <v>496.52</v>
      </c>
      <c r="L224" s="4">
        <v>496.52</v>
      </c>
      <c r="M224" s="4">
        <v>9.2999999999999999E-2</v>
      </c>
      <c r="N224" s="4">
        <v>10</v>
      </c>
      <c r="O224" s="4">
        <f t="shared" si="17"/>
        <v>9151.630000000001</v>
      </c>
    </row>
    <row r="225" spans="1:15" x14ac:dyDescent="0.3">
      <c r="A225" s="11">
        <v>45585</v>
      </c>
      <c r="B225" s="4" t="str">
        <f>TEXT(Data!B225,"MMM-YYYY")</f>
        <v>Apr-2023</v>
      </c>
      <c r="C225" s="4" t="str">
        <f t="shared" si="18"/>
        <v>Oct-2024</v>
      </c>
      <c r="D225" s="12">
        <f t="shared" si="19"/>
        <v>45585</v>
      </c>
      <c r="E225" s="4" t="str">
        <f t="shared" si="15"/>
        <v>Q4-2024</v>
      </c>
      <c r="F225" t="s">
        <v>16</v>
      </c>
      <c r="G225" t="s">
        <v>148</v>
      </c>
      <c r="H225" t="s">
        <v>172</v>
      </c>
      <c r="I225" t="s">
        <v>35</v>
      </c>
      <c r="J225" s="7" t="str">
        <f t="shared" si="16"/>
        <v>High</v>
      </c>
      <c r="K225" s="4">
        <v>2941.2</v>
      </c>
      <c r="L225" s="4">
        <v>2941.2</v>
      </c>
      <c r="M225" s="4">
        <v>5.0999999999999997E-2</v>
      </c>
      <c r="N225" s="4">
        <v>24</v>
      </c>
      <c r="O225" s="4">
        <f t="shared" si="17"/>
        <v>37663.304640000002</v>
      </c>
    </row>
    <row r="226" spans="1:15" x14ac:dyDescent="0.3">
      <c r="A226" s="11">
        <v>45586</v>
      </c>
      <c r="B226" s="4" t="str">
        <f>TEXT(Data!B226,"MMM-YYYY")</f>
        <v>Dec-2023</v>
      </c>
      <c r="C226" s="4" t="str">
        <f t="shared" si="18"/>
        <v>Oct-2024</v>
      </c>
      <c r="D226" s="12">
        <f t="shared" si="19"/>
        <v>45586</v>
      </c>
      <c r="E226" s="4" t="str">
        <f t="shared" si="15"/>
        <v>Q4-2024</v>
      </c>
      <c r="F226" t="s">
        <v>78</v>
      </c>
      <c r="G226" t="s">
        <v>108</v>
      </c>
      <c r="H226" t="s">
        <v>109</v>
      </c>
      <c r="I226" t="s">
        <v>57</v>
      </c>
      <c r="J226" s="7" t="str">
        <f t="shared" si="16"/>
        <v>High</v>
      </c>
      <c r="K226" s="4">
        <v>1088.2</v>
      </c>
      <c r="L226" s="4">
        <v>1088.2</v>
      </c>
      <c r="M226" s="4">
        <v>5.0999999999999997E-2</v>
      </c>
      <c r="N226" s="4">
        <v>15</v>
      </c>
      <c r="O226" s="4">
        <f t="shared" si="17"/>
        <v>14458.4895</v>
      </c>
    </row>
    <row r="227" spans="1:15" x14ac:dyDescent="0.3">
      <c r="A227" s="11">
        <v>45587</v>
      </c>
      <c r="B227" s="4" t="str">
        <f>TEXT(Data!B227,"MMM-YYYY")</f>
        <v>Jul-2023</v>
      </c>
      <c r="C227" s="4" t="str">
        <f t="shared" si="18"/>
        <v>Oct-2024</v>
      </c>
      <c r="D227" s="12">
        <f t="shared" si="19"/>
        <v>45587</v>
      </c>
      <c r="E227" s="4" t="str">
        <f t="shared" si="15"/>
        <v>Q4-2024</v>
      </c>
      <c r="F227" t="s">
        <v>52</v>
      </c>
      <c r="G227" t="s">
        <v>73</v>
      </c>
      <c r="H227" t="s">
        <v>225</v>
      </c>
      <c r="I227" t="s">
        <v>42</v>
      </c>
      <c r="J227" s="7" t="str">
        <f t="shared" si="16"/>
        <v>High</v>
      </c>
      <c r="K227" s="4">
        <v>2529.15</v>
      </c>
      <c r="L227" s="4">
        <v>2529.15</v>
      </c>
      <c r="M227" s="4">
        <v>0.14699999999999999</v>
      </c>
      <c r="N227" s="4">
        <v>10</v>
      </c>
      <c r="O227" s="4">
        <f t="shared" si="17"/>
        <v>7783.1984999999995</v>
      </c>
    </row>
    <row r="228" spans="1:15" x14ac:dyDescent="0.3">
      <c r="A228" s="11">
        <v>45588</v>
      </c>
      <c r="B228" s="4" t="str">
        <f>TEXT(Data!B228,"MMM-YYYY")</f>
        <v>Oct-2023</v>
      </c>
      <c r="C228" s="4" t="str">
        <f t="shared" si="18"/>
        <v>Oct-2024</v>
      </c>
      <c r="D228" s="12">
        <f t="shared" si="19"/>
        <v>45588</v>
      </c>
      <c r="E228" s="4" t="str">
        <f t="shared" si="15"/>
        <v>Q4-2024</v>
      </c>
      <c r="F228" t="s">
        <v>45</v>
      </c>
      <c r="G228" t="s">
        <v>46</v>
      </c>
      <c r="H228" t="s">
        <v>231</v>
      </c>
      <c r="I228" t="s">
        <v>35</v>
      </c>
      <c r="J228" s="7" t="str">
        <f t="shared" si="16"/>
        <v>High</v>
      </c>
      <c r="K228" s="4">
        <v>2698.01</v>
      </c>
      <c r="L228" s="4">
        <v>2698.01</v>
      </c>
      <c r="M228" s="4">
        <v>0.13100000000000001</v>
      </c>
      <c r="N228" s="4">
        <v>13</v>
      </c>
      <c r="O228" s="4">
        <f t="shared" si="17"/>
        <v>9209.201430000001</v>
      </c>
    </row>
    <row r="229" spans="1:15" x14ac:dyDescent="0.3">
      <c r="A229" s="11">
        <v>45589</v>
      </c>
      <c r="B229" s="4" t="str">
        <f>TEXT(Data!B229,"MMM-YYYY")</f>
        <v>Aug-2025</v>
      </c>
      <c r="C229" s="4" t="str">
        <f t="shared" si="18"/>
        <v>Oct-2024</v>
      </c>
      <c r="D229" s="12">
        <f t="shared" si="19"/>
        <v>45589</v>
      </c>
      <c r="E229" s="4" t="str">
        <f t="shared" si="15"/>
        <v>Q4-2024</v>
      </c>
      <c r="F229" t="s">
        <v>52</v>
      </c>
      <c r="G229" t="s">
        <v>122</v>
      </c>
      <c r="H229" t="s">
        <v>167</v>
      </c>
      <c r="I229" t="s">
        <v>81</v>
      </c>
      <c r="J229" s="7" t="str">
        <f t="shared" si="16"/>
        <v>High</v>
      </c>
      <c r="K229" s="4">
        <v>1482.75</v>
      </c>
      <c r="L229" s="4">
        <v>1482.75</v>
      </c>
      <c r="M229" s="4">
        <v>6.7000000000000004E-2</v>
      </c>
      <c r="N229" s="4">
        <v>4</v>
      </c>
      <c r="O229" s="4">
        <f t="shared" si="17"/>
        <v>6770.0719200000003</v>
      </c>
    </row>
    <row r="230" spans="1:15" x14ac:dyDescent="0.3">
      <c r="A230" s="11">
        <v>45590</v>
      </c>
      <c r="B230" s="4" t="str">
        <f>TEXT(Data!B230,"MMM-YYYY")</f>
        <v>Mar-2023</v>
      </c>
      <c r="C230" s="4" t="str">
        <f t="shared" si="18"/>
        <v>Oct-2024</v>
      </c>
      <c r="D230" s="12">
        <f t="shared" si="19"/>
        <v>45590</v>
      </c>
      <c r="E230" s="4" t="str">
        <f t="shared" si="15"/>
        <v>Q4-2024</v>
      </c>
      <c r="F230" t="s">
        <v>52</v>
      </c>
      <c r="G230" t="s">
        <v>122</v>
      </c>
      <c r="H230" t="s">
        <v>167</v>
      </c>
      <c r="I230" t="s">
        <v>30</v>
      </c>
      <c r="J230" s="7" t="str">
        <f t="shared" si="16"/>
        <v>High</v>
      </c>
      <c r="K230" s="4">
        <v>1456.81</v>
      </c>
      <c r="L230" s="4">
        <v>1456.81</v>
      </c>
      <c r="M230" s="4">
        <v>0.123</v>
      </c>
      <c r="N230" s="4">
        <v>13</v>
      </c>
      <c r="O230" s="4">
        <f t="shared" si="17"/>
        <v>8652.4469199999985</v>
      </c>
    </row>
    <row r="231" spans="1:15" x14ac:dyDescent="0.3">
      <c r="A231" s="11">
        <v>45591</v>
      </c>
      <c r="B231" s="4" t="str">
        <f>TEXT(Data!B231,"MMM-YYYY")</f>
        <v>May-2023</v>
      </c>
      <c r="C231" s="4" t="str">
        <f t="shared" si="18"/>
        <v>Oct-2024</v>
      </c>
      <c r="D231" s="12">
        <f t="shared" si="19"/>
        <v>45591</v>
      </c>
      <c r="E231" s="4" t="str">
        <f t="shared" si="15"/>
        <v>Q4-2024</v>
      </c>
      <c r="F231" t="s">
        <v>16</v>
      </c>
      <c r="G231" t="s">
        <v>17</v>
      </c>
      <c r="H231" t="s">
        <v>33</v>
      </c>
      <c r="I231" t="s">
        <v>30</v>
      </c>
      <c r="J231" s="7" t="str">
        <f t="shared" si="16"/>
        <v>High</v>
      </c>
      <c r="K231" s="4">
        <v>918.19</v>
      </c>
      <c r="L231" s="4">
        <v>918.19</v>
      </c>
      <c r="M231" s="4">
        <v>0.189</v>
      </c>
      <c r="N231" s="4">
        <v>10</v>
      </c>
      <c r="O231" s="4">
        <f t="shared" si="17"/>
        <v>13522.938400000001</v>
      </c>
    </row>
    <row r="232" spans="1:15" x14ac:dyDescent="0.3">
      <c r="A232" s="11">
        <v>45592</v>
      </c>
      <c r="B232" s="4" t="str">
        <f>TEXT(Data!B232,"MMM-YYYY")</f>
        <v>Apr-2025</v>
      </c>
      <c r="C232" s="4" t="str">
        <f t="shared" si="18"/>
        <v>Oct-2024</v>
      </c>
      <c r="D232" s="12">
        <f t="shared" si="19"/>
        <v>45592</v>
      </c>
      <c r="E232" s="4" t="str">
        <f t="shared" si="15"/>
        <v>Q4-2024</v>
      </c>
      <c r="F232" t="s">
        <v>45</v>
      </c>
      <c r="G232" t="s">
        <v>116</v>
      </c>
      <c r="H232" t="s">
        <v>162</v>
      </c>
      <c r="I232" t="s">
        <v>22</v>
      </c>
      <c r="J232" s="7" t="str">
        <f t="shared" si="16"/>
        <v>Low</v>
      </c>
      <c r="K232" s="4">
        <v>48.94</v>
      </c>
      <c r="L232" s="4">
        <v>48.94</v>
      </c>
      <c r="M232" s="4">
        <v>0.14799999999999999</v>
      </c>
      <c r="N232" s="4">
        <v>16</v>
      </c>
      <c r="O232" s="4">
        <f t="shared" si="17"/>
        <v>34932.681600000004</v>
      </c>
    </row>
    <row r="233" spans="1:15" x14ac:dyDescent="0.3">
      <c r="A233" s="11">
        <v>45593</v>
      </c>
      <c r="B233" s="4" t="str">
        <f>TEXT(Data!B233,"MMM-YYYY")</f>
        <v>Sep-2024</v>
      </c>
      <c r="C233" s="4" t="str">
        <f t="shared" si="18"/>
        <v>Oct-2024</v>
      </c>
      <c r="D233" s="12">
        <f t="shared" si="19"/>
        <v>45593</v>
      </c>
      <c r="E233" s="4" t="str">
        <f t="shared" si="15"/>
        <v>Q4-2024</v>
      </c>
      <c r="F233" t="s">
        <v>52</v>
      </c>
      <c r="G233" t="s">
        <v>73</v>
      </c>
      <c r="H233" t="s">
        <v>87</v>
      </c>
      <c r="I233" t="s">
        <v>42</v>
      </c>
      <c r="J233" s="7" t="str">
        <f t="shared" si="16"/>
        <v>High</v>
      </c>
      <c r="K233" s="4">
        <v>932.29</v>
      </c>
      <c r="L233" s="4">
        <v>932.29</v>
      </c>
      <c r="M233" s="4">
        <v>0.109</v>
      </c>
      <c r="N233" s="4">
        <v>7</v>
      </c>
      <c r="O233" s="4">
        <f t="shared" si="17"/>
        <v>4648.9350599999998</v>
      </c>
    </row>
    <row r="234" spans="1:15" x14ac:dyDescent="0.3">
      <c r="A234" s="11">
        <v>45594</v>
      </c>
      <c r="B234" s="4" t="str">
        <f>TEXT(Data!B234,"MMM-YYYY")</f>
        <v>Sep-2024</v>
      </c>
      <c r="C234" s="4" t="str">
        <f t="shared" si="18"/>
        <v>Oct-2024</v>
      </c>
      <c r="D234" s="12">
        <f t="shared" si="19"/>
        <v>45594</v>
      </c>
      <c r="E234" s="4" t="str">
        <f t="shared" si="15"/>
        <v>Q4-2024</v>
      </c>
      <c r="F234" t="s">
        <v>16</v>
      </c>
      <c r="G234" t="s">
        <v>25</v>
      </c>
      <c r="H234" t="s">
        <v>38</v>
      </c>
      <c r="I234" t="s">
        <v>30</v>
      </c>
      <c r="J234" s="7" t="str">
        <f t="shared" si="16"/>
        <v>High</v>
      </c>
      <c r="K234" s="4">
        <v>325.79000000000002</v>
      </c>
      <c r="L234" s="4">
        <v>325.79000000000002</v>
      </c>
      <c r="M234" s="4">
        <v>0.11600000000000001</v>
      </c>
      <c r="N234" s="4">
        <v>10</v>
      </c>
      <c r="O234" s="4">
        <f t="shared" si="17"/>
        <v>6081.4780000000001</v>
      </c>
    </row>
    <row r="235" spans="1:15" x14ac:dyDescent="0.3">
      <c r="A235" s="11">
        <v>45595</v>
      </c>
      <c r="B235" s="4" t="str">
        <f>TEXT(Data!B235,"MMM-YYYY")</f>
        <v>Mar-2023</v>
      </c>
      <c r="C235" s="4" t="str">
        <f t="shared" si="18"/>
        <v>Oct-2024</v>
      </c>
      <c r="D235" s="12">
        <f t="shared" si="19"/>
        <v>45595</v>
      </c>
      <c r="E235" s="4" t="str">
        <f t="shared" si="15"/>
        <v>Q4-2024</v>
      </c>
      <c r="F235" t="s">
        <v>45</v>
      </c>
      <c r="G235" t="s">
        <v>46</v>
      </c>
      <c r="H235" t="s">
        <v>47</v>
      </c>
      <c r="I235" t="s">
        <v>64</v>
      </c>
      <c r="J235" s="7" t="str">
        <f t="shared" si="16"/>
        <v>High</v>
      </c>
      <c r="K235" s="4">
        <v>405.97</v>
      </c>
      <c r="L235" s="4">
        <v>405.97</v>
      </c>
      <c r="M235" s="4">
        <v>0.187</v>
      </c>
      <c r="N235" s="4">
        <v>16</v>
      </c>
      <c r="O235" s="4">
        <f t="shared" si="17"/>
        <v>7155.3105599999999</v>
      </c>
    </row>
    <row r="236" spans="1:15" x14ac:dyDescent="0.3">
      <c r="A236" s="11">
        <v>45596</v>
      </c>
      <c r="B236" s="4" t="str">
        <f>TEXT(Data!B236,"MMM-YYYY")</f>
        <v>Jan-2024</v>
      </c>
      <c r="C236" s="4" t="str">
        <f t="shared" si="18"/>
        <v>Oct-2024</v>
      </c>
      <c r="D236" s="12">
        <f t="shared" si="19"/>
        <v>45596</v>
      </c>
      <c r="E236" s="4" t="str">
        <f t="shared" si="15"/>
        <v>Q4-2024</v>
      </c>
      <c r="F236" t="s">
        <v>16</v>
      </c>
      <c r="G236" t="s">
        <v>148</v>
      </c>
      <c r="H236" t="s">
        <v>258</v>
      </c>
      <c r="I236" t="s">
        <v>22</v>
      </c>
      <c r="J236" s="7" t="str">
        <f t="shared" si="16"/>
        <v>High</v>
      </c>
      <c r="K236" s="4">
        <v>1589.07</v>
      </c>
      <c r="L236" s="4">
        <v>1589.07</v>
      </c>
      <c r="M236" s="4">
        <v>0.10199999999999999</v>
      </c>
      <c r="N236" s="4">
        <v>10</v>
      </c>
      <c r="O236" s="4">
        <f t="shared" si="17"/>
        <v>18572.525799999999</v>
      </c>
    </row>
    <row r="237" spans="1:15" x14ac:dyDescent="0.3">
      <c r="A237" s="11">
        <v>45597</v>
      </c>
      <c r="B237" s="4" t="str">
        <f>TEXT(Data!B237,"MMM-YYYY")</f>
        <v>Sep-2024</v>
      </c>
      <c r="C237" s="4" t="str">
        <f t="shared" si="18"/>
        <v>Nov-2024</v>
      </c>
      <c r="D237" s="12">
        <f t="shared" si="19"/>
        <v>45597</v>
      </c>
      <c r="E237" s="4" t="str">
        <f t="shared" si="15"/>
        <v>Q4-2024</v>
      </c>
      <c r="F237" t="s">
        <v>45</v>
      </c>
      <c r="G237" t="s">
        <v>46</v>
      </c>
      <c r="H237" t="s">
        <v>231</v>
      </c>
      <c r="I237" t="s">
        <v>30</v>
      </c>
      <c r="J237" s="7" t="str">
        <f t="shared" si="16"/>
        <v>High</v>
      </c>
      <c r="K237" s="4">
        <v>1432.8</v>
      </c>
      <c r="L237" s="4">
        <v>1432.8</v>
      </c>
      <c r="M237" s="4">
        <v>6.8000000000000005E-2</v>
      </c>
      <c r="N237" s="4">
        <v>13</v>
      </c>
      <c r="O237" s="4">
        <f t="shared" si="17"/>
        <v>31218.691400000003</v>
      </c>
    </row>
    <row r="238" spans="1:15" x14ac:dyDescent="0.3">
      <c r="A238" s="11">
        <v>45598</v>
      </c>
      <c r="B238" s="4" t="str">
        <f>TEXT(Data!B238,"MMM-YYYY")</f>
        <v>Jul-2025</v>
      </c>
      <c r="C238" s="4" t="str">
        <f t="shared" si="18"/>
        <v>Nov-2024</v>
      </c>
      <c r="D238" s="12">
        <f t="shared" si="19"/>
        <v>45598</v>
      </c>
      <c r="E238" s="4" t="str">
        <f t="shared" si="15"/>
        <v>Q4-2024</v>
      </c>
      <c r="F238" t="s">
        <v>16</v>
      </c>
      <c r="G238" t="s">
        <v>17</v>
      </c>
      <c r="H238" t="s">
        <v>113</v>
      </c>
      <c r="I238" t="s">
        <v>42</v>
      </c>
      <c r="J238" s="7" t="str">
        <f t="shared" si="16"/>
        <v>High</v>
      </c>
      <c r="K238" s="4">
        <v>1765.76</v>
      </c>
      <c r="L238" s="4">
        <v>1765.76</v>
      </c>
      <c r="M238" s="4">
        <v>0.126</v>
      </c>
      <c r="N238" s="4">
        <v>24</v>
      </c>
      <c r="O238" s="4">
        <f t="shared" si="17"/>
        <v>21901.880639999999</v>
      </c>
    </row>
    <row r="239" spans="1:15" x14ac:dyDescent="0.3">
      <c r="A239" s="11">
        <v>45599</v>
      </c>
      <c r="B239" s="4" t="str">
        <f>TEXT(Data!B239,"MMM-YYYY")</f>
        <v>Nov-2023</v>
      </c>
      <c r="C239" s="4" t="str">
        <f t="shared" si="18"/>
        <v>Nov-2024</v>
      </c>
      <c r="D239" s="12">
        <f t="shared" si="19"/>
        <v>45599</v>
      </c>
      <c r="E239" s="4" t="str">
        <f t="shared" si="15"/>
        <v>Q4-2024</v>
      </c>
      <c r="F239" t="s">
        <v>52</v>
      </c>
      <c r="G239" t="s">
        <v>53</v>
      </c>
      <c r="H239" t="s">
        <v>179</v>
      </c>
      <c r="I239" t="s">
        <v>22</v>
      </c>
      <c r="J239" s="7" t="str">
        <f t="shared" si="16"/>
        <v>High</v>
      </c>
      <c r="K239" s="4">
        <v>2757.54</v>
      </c>
      <c r="L239" s="4">
        <v>2757.54</v>
      </c>
      <c r="M239" s="4">
        <v>0.17199999999999999</v>
      </c>
      <c r="N239" s="4">
        <v>61</v>
      </c>
      <c r="O239" s="4">
        <f t="shared" si="17"/>
        <v>5002.3123200000009</v>
      </c>
    </row>
    <row r="240" spans="1:15" x14ac:dyDescent="0.3">
      <c r="A240" s="11">
        <v>45600</v>
      </c>
      <c r="B240" s="4" t="str">
        <f>TEXT(Data!B240,"MMM-YYYY")</f>
        <v>Mar-2024</v>
      </c>
      <c r="C240" s="4" t="str">
        <f t="shared" si="18"/>
        <v>Nov-2024</v>
      </c>
      <c r="D240" s="12">
        <f t="shared" si="19"/>
        <v>45600</v>
      </c>
      <c r="E240" s="4" t="str">
        <f t="shared" si="15"/>
        <v>Q4-2024</v>
      </c>
      <c r="F240" t="s">
        <v>45</v>
      </c>
      <c r="G240" t="s">
        <v>60</v>
      </c>
      <c r="H240" t="s">
        <v>141</v>
      </c>
      <c r="I240" t="s">
        <v>42</v>
      </c>
      <c r="J240" s="7" t="str">
        <f t="shared" si="16"/>
        <v>High</v>
      </c>
      <c r="K240" s="4">
        <v>873.75</v>
      </c>
      <c r="L240" s="4">
        <v>873.75</v>
      </c>
      <c r="M240" s="4">
        <v>0.23499999999999999</v>
      </c>
      <c r="N240" s="4">
        <v>10</v>
      </c>
      <c r="O240" s="4">
        <f t="shared" si="17"/>
        <v>15275.5965</v>
      </c>
    </row>
    <row r="241" spans="1:15" x14ac:dyDescent="0.3">
      <c r="A241" s="11">
        <v>45601</v>
      </c>
      <c r="B241" s="4" t="str">
        <f>TEXT(Data!B241,"MMM-YYYY")</f>
        <v>Sep-2023</v>
      </c>
      <c r="C241" s="4" t="str">
        <f t="shared" si="18"/>
        <v>Nov-2024</v>
      </c>
      <c r="D241" s="12">
        <f t="shared" si="19"/>
        <v>45601</v>
      </c>
      <c r="E241" s="4" t="str">
        <f t="shared" si="15"/>
        <v>Q4-2024</v>
      </c>
      <c r="F241" t="s">
        <v>52</v>
      </c>
      <c r="G241" t="s">
        <v>122</v>
      </c>
      <c r="H241" t="s">
        <v>326</v>
      </c>
      <c r="I241" t="s">
        <v>57</v>
      </c>
      <c r="J241" s="7" t="str">
        <f t="shared" si="16"/>
        <v>High</v>
      </c>
      <c r="K241" s="4">
        <v>258.52</v>
      </c>
      <c r="L241" s="4">
        <v>258.52</v>
      </c>
      <c r="M241" s="4">
        <v>0.13</v>
      </c>
      <c r="N241" s="4">
        <v>17</v>
      </c>
      <c r="O241" s="4">
        <f t="shared" si="17"/>
        <v>13631.647199999999</v>
      </c>
    </row>
    <row r="242" spans="1:15" x14ac:dyDescent="0.3">
      <c r="A242" s="11">
        <v>45602</v>
      </c>
      <c r="B242" s="4" t="str">
        <f>TEXT(Data!B242,"MMM-YYYY")</f>
        <v>May-2025</v>
      </c>
      <c r="C242" s="4" t="str">
        <f t="shared" si="18"/>
        <v>Nov-2024</v>
      </c>
      <c r="D242" s="12">
        <f t="shared" si="19"/>
        <v>45602</v>
      </c>
      <c r="E242" s="4" t="str">
        <f t="shared" si="15"/>
        <v>Q4-2024</v>
      </c>
      <c r="F242" t="s">
        <v>45</v>
      </c>
      <c r="G242" t="s">
        <v>60</v>
      </c>
      <c r="H242" t="s">
        <v>61</v>
      </c>
      <c r="I242" t="s">
        <v>30</v>
      </c>
      <c r="J242" s="7" t="str">
        <f t="shared" si="16"/>
        <v>High</v>
      </c>
      <c r="K242" s="4">
        <v>606.76</v>
      </c>
      <c r="L242" s="4">
        <v>606.76</v>
      </c>
      <c r="M242" s="4">
        <v>8.5999999999999993E-2</v>
      </c>
      <c r="N242" s="4">
        <v>8</v>
      </c>
      <c r="O242" s="4">
        <f t="shared" si="17"/>
        <v>18307.712480000002</v>
      </c>
    </row>
    <row r="243" spans="1:15" x14ac:dyDescent="0.3">
      <c r="A243" s="11">
        <v>45603</v>
      </c>
      <c r="B243" s="4" t="str">
        <f>TEXT(Data!B243,"MMM-YYYY")</f>
        <v>Aug-2025</v>
      </c>
      <c r="C243" s="4" t="str">
        <f t="shared" si="18"/>
        <v>Nov-2024</v>
      </c>
      <c r="D243" s="12">
        <f t="shared" si="19"/>
        <v>45603</v>
      </c>
      <c r="E243" s="4" t="str">
        <f t="shared" si="15"/>
        <v>Q4-2024</v>
      </c>
      <c r="F243" t="s">
        <v>45</v>
      </c>
      <c r="G243" t="s">
        <v>116</v>
      </c>
      <c r="H243" t="s">
        <v>338</v>
      </c>
      <c r="I243" t="s">
        <v>42</v>
      </c>
      <c r="J243" s="7" t="str">
        <f t="shared" si="16"/>
        <v>High</v>
      </c>
      <c r="K243" s="4">
        <v>1337.69</v>
      </c>
      <c r="L243" s="4">
        <v>1337.69</v>
      </c>
      <c r="M243" s="4">
        <v>9.5000000000000001E-2</v>
      </c>
      <c r="N243" s="4">
        <v>8</v>
      </c>
      <c r="O243" s="4">
        <f t="shared" si="17"/>
        <v>17830.4548</v>
      </c>
    </row>
    <row r="244" spans="1:15" x14ac:dyDescent="0.3">
      <c r="A244" s="11">
        <v>45604</v>
      </c>
      <c r="B244" s="4" t="str">
        <f>TEXT(Data!B244,"MMM-YYYY")</f>
        <v>Dec-2024</v>
      </c>
      <c r="C244" s="4" t="str">
        <f t="shared" si="18"/>
        <v>Nov-2024</v>
      </c>
      <c r="D244" s="12">
        <f t="shared" si="19"/>
        <v>45604</v>
      </c>
      <c r="E244" s="4" t="str">
        <f t="shared" si="15"/>
        <v>Q4-2024</v>
      </c>
      <c r="F244" t="s">
        <v>45</v>
      </c>
      <c r="G244" t="s">
        <v>46</v>
      </c>
      <c r="H244" t="s">
        <v>47</v>
      </c>
      <c r="I244" t="s">
        <v>57</v>
      </c>
      <c r="J244" s="7" t="str">
        <f t="shared" si="16"/>
        <v>High</v>
      </c>
      <c r="K244" s="4">
        <v>1793.08</v>
      </c>
      <c r="L244" s="4">
        <v>1793.08</v>
      </c>
      <c r="M244" s="4">
        <v>0.13600000000000001</v>
      </c>
      <c r="N244" s="4">
        <v>22</v>
      </c>
      <c r="O244" s="4">
        <f t="shared" si="17"/>
        <v>9431.7695999999996</v>
      </c>
    </row>
    <row r="245" spans="1:15" x14ac:dyDescent="0.3">
      <c r="A245" s="11">
        <v>45605</v>
      </c>
      <c r="B245" s="4" t="str">
        <f>TEXT(Data!B245,"MMM-YYYY")</f>
        <v>Apr-2023</v>
      </c>
      <c r="C245" s="4" t="str">
        <f t="shared" si="18"/>
        <v>Nov-2024</v>
      </c>
      <c r="D245" s="12">
        <f t="shared" si="19"/>
        <v>45605</v>
      </c>
      <c r="E245" s="4" t="str">
        <f t="shared" si="15"/>
        <v>Q4-2024</v>
      </c>
      <c r="F245" t="s">
        <v>78</v>
      </c>
      <c r="G245" t="s">
        <v>79</v>
      </c>
      <c r="H245" t="s">
        <v>335</v>
      </c>
      <c r="I245" t="s">
        <v>30</v>
      </c>
      <c r="J245" s="7" t="str">
        <f t="shared" si="16"/>
        <v>Medium</v>
      </c>
      <c r="K245" s="4">
        <v>122.74</v>
      </c>
      <c r="L245" s="4">
        <v>122.74</v>
      </c>
      <c r="M245" s="4">
        <v>0.23799999999999999</v>
      </c>
      <c r="N245" s="4">
        <v>8</v>
      </c>
      <c r="O245" s="4">
        <f t="shared" si="17"/>
        <v>5532.6686399999999</v>
      </c>
    </row>
    <row r="246" spans="1:15" x14ac:dyDescent="0.3">
      <c r="A246" s="11">
        <v>45606</v>
      </c>
      <c r="B246" s="4" t="str">
        <f>TEXT(Data!B246,"MMM-YYYY")</f>
        <v>Mar-2024</v>
      </c>
      <c r="C246" s="4" t="str">
        <f t="shared" si="18"/>
        <v>Nov-2024</v>
      </c>
      <c r="D246" s="12">
        <f t="shared" si="19"/>
        <v>45606</v>
      </c>
      <c r="E246" s="4" t="str">
        <f t="shared" si="15"/>
        <v>Q4-2024</v>
      </c>
      <c r="F246" t="s">
        <v>52</v>
      </c>
      <c r="G246" t="s">
        <v>73</v>
      </c>
      <c r="H246" t="s">
        <v>225</v>
      </c>
      <c r="I246" t="s">
        <v>42</v>
      </c>
      <c r="J246" s="7" t="str">
        <f t="shared" si="16"/>
        <v>High</v>
      </c>
      <c r="K246" s="4">
        <v>927.93</v>
      </c>
      <c r="L246" s="4">
        <v>927.93</v>
      </c>
      <c r="M246" s="4">
        <v>0.17499999999999999</v>
      </c>
      <c r="N246" s="4">
        <v>16</v>
      </c>
      <c r="O246" s="4">
        <f t="shared" si="17"/>
        <v>4411.308</v>
      </c>
    </row>
    <row r="247" spans="1:15" x14ac:dyDescent="0.3">
      <c r="A247" s="11">
        <v>45607</v>
      </c>
      <c r="B247" s="4" t="str">
        <f>TEXT(Data!B247,"MMM-YYYY")</f>
        <v>Feb-2024</v>
      </c>
      <c r="C247" s="4" t="str">
        <f t="shared" si="18"/>
        <v>Nov-2024</v>
      </c>
      <c r="D247" s="12">
        <f t="shared" si="19"/>
        <v>45607</v>
      </c>
      <c r="E247" s="4" t="str">
        <f t="shared" si="15"/>
        <v>Q4-2024</v>
      </c>
      <c r="F247" t="s">
        <v>16</v>
      </c>
      <c r="G247" t="s">
        <v>25</v>
      </c>
      <c r="H247" t="s">
        <v>26</v>
      </c>
      <c r="I247" t="s">
        <v>42</v>
      </c>
      <c r="J247" s="7" t="str">
        <f t="shared" si="16"/>
        <v>Medium</v>
      </c>
      <c r="K247" s="4">
        <v>151.88</v>
      </c>
      <c r="L247" s="4">
        <v>151.88</v>
      </c>
      <c r="M247" s="4">
        <v>0.16700000000000001</v>
      </c>
      <c r="N247" s="4">
        <v>23</v>
      </c>
      <c r="O247" s="4">
        <f t="shared" si="17"/>
        <v>10322.677609999999</v>
      </c>
    </row>
    <row r="248" spans="1:15" x14ac:dyDescent="0.3">
      <c r="A248" s="11">
        <v>45608</v>
      </c>
      <c r="B248" s="4" t="str">
        <f>TEXT(Data!B248,"MMM-YYYY")</f>
        <v>Apr-2025</v>
      </c>
      <c r="C248" s="4" t="str">
        <f t="shared" si="18"/>
        <v>Nov-2024</v>
      </c>
      <c r="D248" s="12">
        <f t="shared" si="19"/>
        <v>45608</v>
      </c>
      <c r="E248" s="4" t="str">
        <f t="shared" si="15"/>
        <v>Q4-2024</v>
      </c>
      <c r="F248" t="s">
        <v>52</v>
      </c>
      <c r="G248" t="s">
        <v>53</v>
      </c>
      <c r="H248" t="s">
        <v>144</v>
      </c>
      <c r="I248" t="s">
        <v>57</v>
      </c>
      <c r="J248" s="7" t="str">
        <f t="shared" si="16"/>
        <v>High</v>
      </c>
      <c r="K248" s="4">
        <v>2210.4</v>
      </c>
      <c r="L248" s="4">
        <v>2210.4</v>
      </c>
      <c r="M248" s="4">
        <v>0.26300000000000001</v>
      </c>
      <c r="N248" s="4">
        <v>6</v>
      </c>
      <c r="O248" s="4">
        <f t="shared" si="17"/>
        <v>6352.3798799999995</v>
      </c>
    </row>
    <row r="249" spans="1:15" x14ac:dyDescent="0.3">
      <c r="A249" s="11">
        <v>45609</v>
      </c>
      <c r="B249" s="4" t="str">
        <f>TEXT(Data!B249,"MMM-YYYY")</f>
        <v>Nov-2024</v>
      </c>
      <c r="C249" s="4" t="str">
        <f t="shared" si="18"/>
        <v>Nov-2024</v>
      </c>
      <c r="D249" s="12">
        <f t="shared" si="19"/>
        <v>45609</v>
      </c>
      <c r="E249" s="4" t="str">
        <f t="shared" si="15"/>
        <v>Q4-2024</v>
      </c>
      <c r="F249" t="s">
        <v>78</v>
      </c>
      <c r="G249" t="s">
        <v>79</v>
      </c>
      <c r="H249" t="s">
        <v>80</v>
      </c>
      <c r="I249" t="s">
        <v>64</v>
      </c>
      <c r="J249" s="7" t="str">
        <f t="shared" si="16"/>
        <v>Low</v>
      </c>
      <c r="K249" s="4">
        <v>39.74</v>
      </c>
      <c r="L249" s="4">
        <v>39.74</v>
      </c>
      <c r="M249" s="4">
        <v>0.151</v>
      </c>
      <c r="N249" s="4">
        <v>18</v>
      </c>
      <c r="O249" s="4">
        <f t="shared" si="17"/>
        <v>26996.417099999999</v>
      </c>
    </row>
    <row r="250" spans="1:15" x14ac:dyDescent="0.3">
      <c r="A250" s="11">
        <v>45610</v>
      </c>
      <c r="B250" s="4" t="str">
        <f>TEXT(Data!B250,"MMM-YYYY")</f>
        <v>Sep-2025</v>
      </c>
      <c r="C250" s="4" t="str">
        <f t="shared" si="18"/>
        <v>Nov-2024</v>
      </c>
      <c r="D250" s="12">
        <f t="shared" si="19"/>
        <v>45610</v>
      </c>
      <c r="E250" s="4" t="str">
        <f t="shared" si="15"/>
        <v>Q4-2024</v>
      </c>
      <c r="F250" t="s">
        <v>16</v>
      </c>
      <c r="G250" t="s">
        <v>17</v>
      </c>
      <c r="H250" t="s">
        <v>135</v>
      </c>
      <c r="I250" t="s">
        <v>35</v>
      </c>
      <c r="J250" s="7" t="str">
        <f t="shared" si="16"/>
        <v>High</v>
      </c>
      <c r="K250" s="4">
        <v>1009</v>
      </c>
      <c r="L250" s="4">
        <v>1009</v>
      </c>
      <c r="M250" s="4">
        <v>0.11</v>
      </c>
      <c r="N250" s="4">
        <v>4</v>
      </c>
      <c r="O250" s="4">
        <f t="shared" si="17"/>
        <v>2237.6023999999998</v>
      </c>
    </row>
    <row r="251" spans="1:15" x14ac:dyDescent="0.3">
      <c r="A251" s="11">
        <v>45611</v>
      </c>
      <c r="B251" s="4" t="str">
        <f>TEXT(Data!B251,"MMM-YYYY")</f>
        <v>Sep-2024</v>
      </c>
      <c r="C251" s="4" t="str">
        <f t="shared" si="18"/>
        <v>Nov-2024</v>
      </c>
      <c r="D251" s="12">
        <f t="shared" si="19"/>
        <v>45611</v>
      </c>
      <c r="E251" s="4" t="str">
        <f t="shared" si="15"/>
        <v>Q4-2024</v>
      </c>
      <c r="F251" t="s">
        <v>45</v>
      </c>
      <c r="G251" t="s">
        <v>46</v>
      </c>
      <c r="H251" t="s">
        <v>231</v>
      </c>
      <c r="I251" t="s">
        <v>64</v>
      </c>
      <c r="J251" s="7" t="str">
        <f t="shared" si="16"/>
        <v>High</v>
      </c>
      <c r="K251" s="4">
        <v>1653.64</v>
      </c>
      <c r="L251" s="4">
        <v>1653.64</v>
      </c>
      <c r="M251" s="4">
        <v>0.107</v>
      </c>
      <c r="N251" s="4">
        <v>8</v>
      </c>
      <c r="O251" s="4">
        <f t="shared" si="17"/>
        <v>11792.958000000001</v>
      </c>
    </row>
    <row r="252" spans="1:15" x14ac:dyDescent="0.3">
      <c r="A252" s="11">
        <v>45612</v>
      </c>
      <c r="B252" s="4" t="str">
        <f>TEXT(Data!B252,"MMM-YYYY")</f>
        <v>Mar-2023</v>
      </c>
      <c r="C252" s="4" t="str">
        <f t="shared" si="18"/>
        <v>Nov-2024</v>
      </c>
      <c r="D252" s="12">
        <f t="shared" si="19"/>
        <v>45612</v>
      </c>
      <c r="E252" s="4" t="str">
        <f t="shared" si="15"/>
        <v>Q4-2024</v>
      </c>
      <c r="F252" t="s">
        <v>52</v>
      </c>
      <c r="G252" t="s">
        <v>122</v>
      </c>
      <c r="H252" t="s">
        <v>326</v>
      </c>
      <c r="I252" t="s">
        <v>22</v>
      </c>
      <c r="J252" s="7" t="str">
        <f t="shared" si="16"/>
        <v>High</v>
      </c>
      <c r="K252" s="4">
        <v>1015.7</v>
      </c>
      <c r="L252" s="4">
        <v>1015.7</v>
      </c>
      <c r="M252" s="4">
        <v>0.14299999999999999</v>
      </c>
      <c r="N252" s="4">
        <v>14</v>
      </c>
      <c r="O252" s="4">
        <f t="shared" si="17"/>
        <v>26961.185719999998</v>
      </c>
    </row>
    <row r="253" spans="1:15" x14ac:dyDescent="0.3">
      <c r="A253" s="11">
        <v>45613</v>
      </c>
      <c r="B253" s="4" t="str">
        <f>TEXT(Data!B253,"MMM-YYYY")</f>
        <v>Mar-2024</v>
      </c>
      <c r="C253" s="4" t="str">
        <f t="shared" si="18"/>
        <v>Nov-2024</v>
      </c>
      <c r="D253" s="12">
        <f t="shared" si="19"/>
        <v>45613</v>
      </c>
      <c r="E253" s="4" t="str">
        <f t="shared" si="15"/>
        <v>Q4-2024</v>
      </c>
      <c r="F253" t="s">
        <v>52</v>
      </c>
      <c r="G253" t="s">
        <v>53</v>
      </c>
      <c r="H253" t="s">
        <v>144</v>
      </c>
      <c r="I253" t="s">
        <v>57</v>
      </c>
      <c r="J253" s="7" t="str">
        <f t="shared" si="16"/>
        <v>High</v>
      </c>
      <c r="K253" s="4">
        <v>912.45</v>
      </c>
      <c r="L253" s="4">
        <v>912.45</v>
      </c>
      <c r="M253" s="4">
        <v>0.20300000000000001</v>
      </c>
      <c r="N253" s="4">
        <v>24</v>
      </c>
      <c r="O253" s="4">
        <f t="shared" si="17"/>
        <v>17084.938320000001</v>
      </c>
    </row>
    <row r="254" spans="1:15" x14ac:dyDescent="0.3">
      <c r="A254" s="11">
        <v>45614</v>
      </c>
      <c r="B254" s="4" t="str">
        <f>TEXT(Data!B254,"MMM-YYYY")</f>
        <v>Jul-2024</v>
      </c>
      <c r="C254" s="4" t="str">
        <f t="shared" si="18"/>
        <v>Nov-2024</v>
      </c>
      <c r="D254" s="12">
        <f t="shared" si="19"/>
        <v>45614</v>
      </c>
      <c r="E254" s="4" t="str">
        <f t="shared" si="15"/>
        <v>Q4-2024</v>
      </c>
      <c r="F254" t="s">
        <v>52</v>
      </c>
      <c r="G254" t="s">
        <v>53</v>
      </c>
      <c r="H254" t="s">
        <v>179</v>
      </c>
      <c r="I254" t="s">
        <v>64</v>
      </c>
      <c r="J254" s="7" t="str">
        <f t="shared" si="16"/>
        <v>High</v>
      </c>
      <c r="K254" s="4">
        <v>815.19</v>
      </c>
      <c r="L254" s="4">
        <v>815.19</v>
      </c>
      <c r="M254" s="4">
        <v>0.22500000000000001</v>
      </c>
      <c r="N254" s="4">
        <v>28</v>
      </c>
      <c r="O254" s="4">
        <f t="shared" si="17"/>
        <v>50537.130000000005</v>
      </c>
    </row>
    <row r="255" spans="1:15" x14ac:dyDescent="0.3">
      <c r="A255" s="11">
        <v>45615</v>
      </c>
      <c r="B255" s="4" t="str">
        <f>TEXT(Data!B255,"MMM-YYYY")</f>
        <v>Oct-2024</v>
      </c>
      <c r="C255" s="4" t="str">
        <f t="shared" si="18"/>
        <v>Nov-2024</v>
      </c>
      <c r="D255" s="12">
        <f t="shared" si="19"/>
        <v>45615</v>
      </c>
      <c r="E255" s="4" t="str">
        <f t="shared" si="15"/>
        <v>Q4-2024</v>
      </c>
      <c r="F255" t="s">
        <v>52</v>
      </c>
      <c r="G255" t="s">
        <v>122</v>
      </c>
      <c r="H255" t="s">
        <v>387</v>
      </c>
      <c r="I255" t="s">
        <v>30</v>
      </c>
      <c r="J255" s="7" t="str">
        <f t="shared" si="16"/>
        <v>High</v>
      </c>
      <c r="K255" s="4">
        <v>1814.06</v>
      </c>
      <c r="L255" s="4">
        <v>1814.06</v>
      </c>
      <c r="M255" s="4">
        <v>0.122</v>
      </c>
      <c r="N255" s="4">
        <v>16</v>
      </c>
      <c r="O255" s="4">
        <f t="shared" si="17"/>
        <v>29033.704000000002</v>
      </c>
    </row>
    <row r="256" spans="1:15" x14ac:dyDescent="0.3">
      <c r="A256" s="11">
        <v>45616</v>
      </c>
      <c r="B256" s="4" t="str">
        <f>TEXT(Data!B256,"MMM-YYYY")</f>
        <v>Apr-2024</v>
      </c>
      <c r="C256" s="4" t="str">
        <f t="shared" si="18"/>
        <v>Nov-2024</v>
      </c>
      <c r="D256" s="12">
        <f t="shared" si="19"/>
        <v>45616</v>
      </c>
      <c r="E256" s="4" t="str">
        <f t="shared" si="15"/>
        <v>Q4-2024</v>
      </c>
      <c r="F256" t="s">
        <v>45</v>
      </c>
      <c r="G256" t="s">
        <v>46</v>
      </c>
      <c r="H256" t="s">
        <v>231</v>
      </c>
      <c r="I256" t="s">
        <v>64</v>
      </c>
      <c r="J256" s="7" t="str">
        <f t="shared" si="16"/>
        <v>High</v>
      </c>
      <c r="K256" s="4">
        <v>758.92</v>
      </c>
      <c r="L256" s="4">
        <v>758.92</v>
      </c>
      <c r="M256" s="4">
        <v>5.2999999999999999E-2</v>
      </c>
      <c r="N256" s="4">
        <v>9</v>
      </c>
      <c r="O256" s="4">
        <f t="shared" si="17"/>
        <v>18599.828130000002</v>
      </c>
    </row>
    <row r="257" spans="1:15" x14ac:dyDescent="0.3">
      <c r="A257" s="11">
        <v>45617</v>
      </c>
      <c r="B257" s="4" t="str">
        <f>TEXT(Data!B257,"MMM-YYYY")</f>
        <v>Oct-2023</v>
      </c>
      <c r="C257" s="4" t="str">
        <f t="shared" si="18"/>
        <v>Nov-2024</v>
      </c>
      <c r="D257" s="12">
        <f t="shared" si="19"/>
        <v>45617</v>
      </c>
      <c r="E257" s="4" t="str">
        <f t="shared" si="15"/>
        <v>Q4-2024</v>
      </c>
      <c r="F257" t="s">
        <v>78</v>
      </c>
      <c r="G257" t="s">
        <v>79</v>
      </c>
      <c r="H257" t="s">
        <v>335</v>
      </c>
      <c r="I257" t="s">
        <v>57</v>
      </c>
      <c r="J257" s="7" t="str">
        <f t="shared" si="16"/>
        <v>High</v>
      </c>
      <c r="K257" s="4">
        <v>1667.44</v>
      </c>
      <c r="L257" s="4">
        <v>1667.44</v>
      </c>
      <c r="M257" s="4">
        <v>3.4000000000000002E-2</v>
      </c>
      <c r="N257" s="4">
        <v>15</v>
      </c>
      <c r="O257" s="4">
        <f t="shared" si="17"/>
        <v>39508.723799999992</v>
      </c>
    </row>
    <row r="258" spans="1:15" x14ac:dyDescent="0.3">
      <c r="A258" s="11">
        <v>45618</v>
      </c>
      <c r="B258" s="4" t="str">
        <f>TEXT(Data!B258,"MMM-YYYY")</f>
        <v>Apr-2023</v>
      </c>
      <c r="C258" s="4" t="str">
        <f t="shared" si="18"/>
        <v>Nov-2024</v>
      </c>
      <c r="D258" s="12">
        <f t="shared" si="19"/>
        <v>45618</v>
      </c>
      <c r="E258" s="4" t="str">
        <f t="shared" ref="E258:E321" si="20">"Q"&amp;ROUNDUP(MONTH(A258)/3,0)&amp;"-"&amp;YEAR(A258)</f>
        <v>Q4-2024</v>
      </c>
      <c r="F258" t="s">
        <v>45</v>
      </c>
      <c r="G258" t="s">
        <v>60</v>
      </c>
      <c r="H258" t="s">
        <v>61</v>
      </c>
      <c r="I258" t="s">
        <v>22</v>
      </c>
      <c r="J258" s="7" t="str">
        <f t="shared" ref="J258:J321" si="21">IF(K258&lt;50, "Low", IF(K258&lt;200, "Medium", "High"))</f>
        <v>High</v>
      </c>
      <c r="K258" s="4">
        <v>2562.5500000000002</v>
      </c>
      <c r="L258" s="4">
        <v>2562.5500000000002</v>
      </c>
      <c r="M258" s="4">
        <v>0.17299999999999999</v>
      </c>
      <c r="N258" s="4">
        <v>9</v>
      </c>
      <c r="O258" s="4">
        <f t="shared" ref="O258:O321" si="22">(L284*N258)*(1-M258)</f>
        <v>828.33146999999997</v>
      </c>
    </row>
    <row r="259" spans="1:15" x14ac:dyDescent="0.3">
      <c r="A259" s="11">
        <v>45619</v>
      </c>
      <c r="B259" s="4" t="str">
        <f>TEXT(Data!B259,"MMM-YYYY")</f>
        <v>Jun-2025</v>
      </c>
      <c r="C259" s="4" t="str">
        <f t="shared" ref="C259:C322" si="23">TEXT(D259, "MMM-YYYY")</f>
        <v>Nov-2024</v>
      </c>
      <c r="D259" s="12">
        <f t="shared" ref="D259:D322" si="24">_xlfn.MINIFS(A259:A259, G259:G259,G259)</f>
        <v>45619</v>
      </c>
      <c r="E259" s="4" t="str">
        <f t="shared" si="20"/>
        <v>Q4-2024</v>
      </c>
      <c r="F259" t="s">
        <v>78</v>
      </c>
      <c r="G259" t="s">
        <v>108</v>
      </c>
      <c r="H259" t="s">
        <v>152</v>
      </c>
      <c r="I259" t="s">
        <v>35</v>
      </c>
      <c r="J259" s="7" t="str">
        <f t="shared" si="21"/>
        <v>High</v>
      </c>
      <c r="K259" s="4">
        <v>745.38</v>
      </c>
      <c r="L259" s="4">
        <v>745.38</v>
      </c>
      <c r="M259" s="4">
        <v>0.19700000000000001</v>
      </c>
      <c r="N259" s="4">
        <v>4</v>
      </c>
      <c r="O259" s="4">
        <f t="shared" si="22"/>
        <v>3533.4890799999994</v>
      </c>
    </row>
    <row r="260" spans="1:15" x14ac:dyDescent="0.3">
      <c r="A260" s="11">
        <v>45620</v>
      </c>
      <c r="B260" s="4" t="str">
        <f>TEXT(Data!B260,"MMM-YYYY")</f>
        <v>Oct-2023</v>
      </c>
      <c r="C260" s="4" t="str">
        <f t="shared" si="23"/>
        <v>Nov-2024</v>
      </c>
      <c r="D260" s="12">
        <f t="shared" si="24"/>
        <v>45620</v>
      </c>
      <c r="E260" s="4" t="str">
        <f t="shared" si="20"/>
        <v>Q4-2024</v>
      </c>
      <c r="F260" t="s">
        <v>78</v>
      </c>
      <c r="G260" t="s">
        <v>79</v>
      </c>
      <c r="H260" t="s">
        <v>159</v>
      </c>
      <c r="I260" t="s">
        <v>64</v>
      </c>
      <c r="J260" s="7" t="str">
        <f t="shared" si="21"/>
        <v>High</v>
      </c>
      <c r="K260" s="4">
        <v>687.95</v>
      </c>
      <c r="L260" s="4">
        <v>687.95</v>
      </c>
      <c r="M260" s="4">
        <v>0.20499999999999999</v>
      </c>
      <c r="N260" s="4">
        <v>8</v>
      </c>
      <c r="O260" s="4">
        <f t="shared" si="22"/>
        <v>9725.3304000000007</v>
      </c>
    </row>
    <row r="261" spans="1:15" x14ac:dyDescent="0.3">
      <c r="A261" s="11">
        <v>45621</v>
      </c>
      <c r="B261" s="4" t="str">
        <f>TEXT(Data!B261,"MMM-YYYY")</f>
        <v>May-2023</v>
      </c>
      <c r="C261" s="4" t="str">
        <f t="shared" si="23"/>
        <v>Nov-2024</v>
      </c>
      <c r="D261" s="12">
        <f t="shared" si="24"/>
        <v>45621</v>
      </c>
      <c r="E261" s="4" t="str">
        <f t="shared" si="20"/>
        <v>Q4-2024</v>
      </c>
      <c r="F261" t="s">
        <v>52</v>
      </c>
      <c r="G261" t="s">
        <v>73</v>
      </c>
      <c r="H261" t="s">
        <v>87</v>
      </c>
      <c r="I261" t="s">
        <v>81</v>
      </c>
      <c r="J261" s="7" t="str">
        <f t="shared" si="21"/>
        <v>High</v>
      </c>
      <c r="K261" s="4">
        <v>550.07000000000005</v>
      </c>
      <c r="L261" s="4">
        <v>550.07000000000005</v>
      </c>
      <c r="M261" s="4">
        <v>0.14000000000000001</v>
      </c>
      <c r="N261" s="4">
        <v>16</v>
      </c>
      <c r="O261" s="4">
        <f t="shared" si="22"/>
        <v>10026.7744</v>
      </c>
    </row>
    <row r="262" spans="1:15" x14ac:dyDescent="0.3">
      <c r="A262" s="11">
        <v>45622</v>
      </c>
      <c r="B262" s="4" t="str">
        <f>TEXT(Data!B262,"MMM-YYYY")</f>
        <v>May-2023</v>
      </c>
      <c r="C262" s="4" t="str">
        <f t="shared" si="23"/>
        <v>Nov-2024</v>
      </c>
      <c r="D262" s="12">
        <f t="shared" si="24"/>
        <v>45622</v>
      </c>
      <c r="E262" s="4" t="str">
        <f t="shared" si="20"/>
        <v>Q4-2024</v>
      </c>
      <c r="F262" t="s">
        <v>16</v>
      </c>
      <c r="G262" t="s">
        <v>25</v>
      </c>
      <c r="H262" t="s">
        <v>26</v>
      </c>
      <c r="I262" t="s">
        <v>22</v>
      </c>
      <c r="J262" s="7" t="str">
        <f t="shared" si="21"/>
        <v>High</v>
      </c>
      <c r="K262" s="4">
        <v>2068.21</v>
      </c>
      <c r="L262" s="4">
        <v>2068.21</v>
      </c>
      <c r="M262" s="4">
        <v>7.8E-2</v>
      </c>
      <c r="N262" s="4">
        <v>12</v>
      </c>
      <c r="O262" s="4">
        <f t="shared" si="22"/>
        <v>69.481920000000002</v>
      </c>
    </row>
    <row r="263" spans="1:15" x14ac:dyDescent="0.3">
      <c r="A263" s="11">
        <v>45623</v>
      </c>
      <c r="B263" s="4" t="str">
        <f>TEXT(Data!B263,"MMM-YYYY")</f>
        <v>Aug-2023</v>
      </c>
      <c r="C263" s="4" t="str">
        <f t="shared" si="23"/>
        <v>Nov-2024</v>
      </c>
      <c r="D263" s="12">
        <f t="shared" si="24"/>
        <v>45623</v>
      </c>
      <c r="E263" s="4" t="str">
        <f t="shared" si="20"/>
        <v>Q4-2024</v>
      </c>
      <c r="F263" t="s">
        <v>78</v>
      </c>
      <c r="G263" t="s">
        <v>79</v>
      </c>
      <c r="H263" t="s">
        <v>80</v>
      </c>
      <c r="I263" t="s">
        <v>81</v>
      </c>
      <c r="J263" s="7" t="str">
        <f t="shared" si="21"/>
        <v>High</v>
      </c>
      <c r="K263" s="4">
        <v>2576.65</v>
      </c>
      <c r="L263" s="4">
        <v>2576.65</v>
      </c>
      <c r="M263" s="4">
        <v>4.0000000000000001E-3</v>
      </c>
      <c r="N263" s="4">
        <v>7</v>
      </c>
      <c r="O263" s="4">
        <f t="shared" si="22"/>
        <v>17916.436439999998</v>
      </c>
    </row>
    <row r="264" spans="1:15" x14ac:dyDescent="0.3">
      <c r="A264" s="11">
        <v>45624</v>
      </c>
      <c r="B264" s="4" t="str">
        <f>TEXT(Data!B264,"MMM-YYYY")</f>
        <v>Jun-2025</v>
      </c>
      <c r="C264" s="4" t="str">
        <f t="shared" si="23"/>
        <v>Nov-2024</v>
      </c>
      <c r="D264" s="12">
        <f t="shared" si="24"/>
        <v>45624</v>
      </c>
      <c r="E264" s="4" t="str">
        <f t="shared" si="20"/>
        <v>Q4-2024</v>
      </c>
      <c r="F264" t="s">
        <v>52</v>
      </c>
      <c r="G264" t="s">
        <v>73</v>
      </c>
      <c r="H264" t="s">
        <v>87</v>
      </c>
      <c r="I264" t="s">
        <v>35</v>
      </c>
      <c r="J264" s="7" t="str">
        <f t="shared" si="21"/>
        <v>High</v>
      </c>
      <c r="K264" s="4">
        <v>1044.1400000000001</v>
      </c>
      <c r="L264" s="4">
        <v>1044.1400000000001</v>
      </c>
      <c r="M264" s="4">
        <v>0.216</v>
      </c>
      <c r="N264" s="4">
        <v>10</v>
      </c>
      <c r="O264" s="4">
        <f t="shared" si="22"/>
        <v>12481.436800000001</v>
      </c>
    </row>
    <row r="265" spans="1:15" x14ac:dyDescent="0.3">
      <c r="A265" s="11">
        <v>45625</v>
      </c>
      <c r="B265" s="4" t="str">
        <f>TEXT(Data!B265,"MMM-YYYY")</f>
        <v>Apr-2025</v>
      </c>
      <c r="C265" s="4" t="str">
        <f t="shared" si="23"/>
        <v>Nov-2024</v>
      </c>
      <c r="D265" s="12">
        <f t="shared" si="24"/>
        <v>45625</v>
      </c>
      <c r="E265" s="4" t="str">
        <f t="shared" si="20"/>
        <v>Q4-2024</v>
      </c>
      <c r="F265" t="s">
        <v>16</v>
      </c>
      <c r="G265" t="s">
        <v>148</v>
      </c>
      <c r="H265" t="s">
        <v>172</v>
      </c>
      <c r="I265" t="s">
        <v>42</v>
      </c>
      <c r="J265" s="7" t="str">
        <f t="shared" si="21"/>
        <v>Medium</v>
      </c>
      <c r="K265" s="4">
        <v>99.04</v>
      </c>
      <c r="L265" s="4">
        <v>99.04</v>
      </c>
      <c r="M265" s="4">
        <v>5.7000000000000002E-2</v>
      </c>
      <c r="N265" s="4">
        <v>6</v>
      </c>
      <c r="O265" s="4">
        <f t="shared" si="22"/>
        <v>5632.3692599999995</v>
      </c>
    </row>
    <row r="266" spans="1:15" x14ac:dyDescent="0.3">
      <c r="A266" s="11">
        <v>45626</v>
      </c>
      <c r="B266" s="4" t="str">
        <f>TEXT(Data!B266,"MMM-YYYY")</f>
        <v>Sep-2025</v>
      </c>
      <c r="C266" s="4" t="str">
        <f t="shared" si="23"/>
        <v>Nov-2024</v>
      </c>
      <c r="D266" s="12">
        <f t="shared" si="24"/>
        <v>45626</v>
      </c>
      <c r="E266" s="4" t="str">
        <f t="shared" si="20"/>
        <v>Q4-2024</v>
      </c>
      <c r="F266" t="s">
        <v>16</v>
      </c>
      <c r="G266" t="s">
        <v>25</v>
      </c>
      <c r="H266" t="s">
        <v>26</v>
      </c>
      <c r="I266" t="s">
        <v>57</v>
      </c>
      <c r="J266" s="7" t="str">
        <f t="shared" si="21"/>
        <v>High</v>
      </c>
      <c r="K266" s="4">
        <v>1996.81</v>
      </c>
      <c r="L266" s="4">
        <v>1996.81</v>
      </c>
      <c r="M266" s="4">
        <v>0.126</v>
      </c>
      <c r="N266" s="4">
        <v>23</v>
      </c>
      <c r="O266" s="4">
        <f t="shared" si="22"/>
        <v>24932.711619999998</v>
      </c>
    </row>
    <row r="267" spans="1:15" x14ac:dyDescent="0.3">
      <c r="A267" s="11">
        <v>45627</v>
      </c>
      <c r="B267" s="4" t="str">
        <f>TEXT(Data!B267,"MMM-YYYY")</f>
        <v>Oct-2024</v>
      </c>
      <c r="C267" s="4" t="str">
        <f t="shared" si="23"/>
        <v>Dec-2024</v>
      </c>
      <c r="D267" s="12">
        <f t="shared" si="24"/>
        <v>45627</v>
      </c>
      <c r="E267" s="4" t="str">
        <f t="shared" si="20"/>
        <v>Q4-2024</v>
      </c>
      <c r="F267" t="s">
        <v>52</v>
      </c>
      <c r="G267" t="s">
        <v>53</v>
      </c>
      <c r="H267" t="s">
        <v>54</v>
      </c>
      <c r="I267" t="s">
        <v>30</v>
      </c>
      <c r="J267" s="7" t="str">
        <f t="shared" si="21"/>
        <v>High</v>
      </c>
      <c r="K267" s="4">
        <v>921.68</v>
      </c>
      <c r="L267" s="4">
        <v>921.68</v>
      </c>
      <c r="M267" s="4">
        <v>0.19600000000000001</v>
      </c>
      <c r="N267" s="4">
        <v>17</v>
      </c>
      <c r="O267" s="4">
        <f t="shared" si="22"/>
        <v>1617.8811600000001</v>
      </c>
    </row>
    <row r="268" spans="1:15" x14ac:dyDescent="0.3">
      <c r="A268" s="11">
        <v>45628</v>
      </c>
      <c r="B268" s="4" t="str">
        <f>TEXT(Data!B268,"MMM-YYYY")</f>
        <v>May-2023</v>
      </c>
      <c r="C268" s="4" t="str">
        <f t="shared" si="23"/>
        <v>Dec-2024</v>
      </c>
      <c r="D268" s="12">
        <f t="shared" si="24"/>
        <v>45628</v>
      </c>
      <c r="E268" s="4" t="str">
        <f t="shared" si="20"/>
        <v>Q4-2024</v>
      </c>
      <c r="F268" t="s">
        <v>78</v>
      </c>
      <c r="G268" t="s">
        <v>108</v>
      </c>
      <c r="H268" t="s">
        <v>152</v>
      </c>
      <c r="I268" t="s">
        <v>64</v>
      </c>
      <c r="J268" s="7" t="str">
        <f t="shared" si="21"/>
        <v>High</v>
      </c>
      <c r="K268" s="4">
        <v>2503.79</v>
      </c>
      <c r="L268" s="4">
        <v>2503.79</v>
      </c>
      <c r="M268" s="4">
        <v>0.184</v>
      </c>
      <c r="N268" s="4">
        <v>19</v>
      </c>
      <c r="O268" s="4">
        <f t="shared" si="22"/>
        <v>32644.137120000007</v>
      </c>
    </row>
    <row r="269" spans="1:15" x14ac:dyDescent="0.3">
      <c r="A269" s="11">
        <v>45629</v>
      </c>
      <c r="B269" s="4" t="str">
        <f>TEXT(Data!B269,"MMM-YYYY")</f>
        <v>Dec-2023</v>
      </c>
      <c r="C269" s="4" t="str">
        <f t="shared" si="23"/>
        <v>Dec-2024</v>
      </c>
      <c r="D269" s="12">
        <f t="shared" si="24"/>
        <v>45629</v>
      </c>
      <c r="E269" s="4" t="str">
        <f t="shared" si="20"/>
        <v>Q4-2024</v>
      </c>
      <c r="F269" t="s">
        <v>16</v>
      </c>
      <c r="G269" t="s">
        <v>25</v>
      </c>
      <c r="H269" t="s">
        <v>26</v>
      </c>
      <c r="I269" t="s">
        <v>22</v>
      </c>
      <c r="J269" s="7" t="str">
        <f t="shared" si="21"/>
        <v>High</v>
      </c>
      <c r="K269" s="4">
        <v>2462.77</v>
      </c>
      <c r="L269" s="4">
        <v>2462.77</v>
      </c>
      <c r="M269" s="4">
        <v>0.107</v>
      </c>
      <c r="N269" s="4">
        <v>8</v>
      </c>
      <c r="O269" s="4">
        <f t="shared" si="22"/>
        <v>3736.3119999999999</v>
      </c>
    </row>
    <row r="270" spans="1:15" x14ac:dyDescent="0.3">
      <c r="A270" s="11">
        <v>45630</v>
      </c>
      <c r="B270" s="4" t="str">
        <f>TEXT(Data!B270,"MMM-YYYY")</f>
        <v>Jan-2024</v>
      </c>
      <c r="C270" s="4" t="str">
        <f t="shared" si="23"/>
        <v>Dec-2024</v>
      </c>
      <c r="D270" s="12">
        <f t="shared" si="24"/>
        <v>45630</v>
      </c>
      <c r="E270" s="4" t="str">
        <f t="shared" si="20"/>
        <v>Q4-2024</v>
      </c>
      <c r="F270" t="s">
        <v>52</v>
      </c>
      <c r="G270" t="s">
        <v>73</v>
      </c>
      <c r="H270" t="s">
        <v>74</v>
      </c>
      <c r="I270" t="s">
        <v>42</v>
      </c>
      <c r="J270" s="7" t="str">
        <f t="shared" si="21"/>
        <v>High</v>
      </c>
      <c r="K270" s="4">
        <v>496.2</v>
      </c>
      <c r="L270" s="4">
        <v>496.2</v>
      </c>
      <c r="M270" s="4">
        <v>0</v>
      </c>
      <c r="N270" s="4">
        <v>14</v>
      </c>
      <c r="O270" s="4">
        <f t="shared" si="22"/>
        <v>15054.199999999999</v>
      </c>
    </row>
    <row r="271" spans="1:15" x14ac:dyDescent="0.3">
      <c r="A271" s="11">
        <v>45631</v>
      </c>
      <c r="B271" s="4" t="str">
        <f>TEXT(Data!B271,"MMM-YYYY")</f>
        <v>Aug-2023</v>
      </c>
      <c r="C271" s="4" t="str">
        <f t="shared" si="23"/>
        <v>Dec-2024</v>
      </c>
      <c r="D271" s="12">
        <f t="shared" si="24"/>
        <v>45631</v>
      </c>
      <c r="E271" s="4" t="str">
        <f t="shared" si="20"/>
        <v>Q4-2024</v>
      </c>
      <c r="F271" t="s">
        <v>78</v>
      </c>
      <c r="G271" t="s">
        <v>90</v>
      </c>
      <c r="H271" t="s">
        <v>91</v>
      </c>
      <c r="I271" t="s">
        <v>30</v>
      </c>
      <c r="J271" s="7" t="str">
        <f t="shared" si="21"/>
        <v>High</v>
      </c>
      <c r="K271" s="4">
        <v>907.59</v>
      </c>
      <c r="L271" s="4">
        <v>907.59</v>
      </c>
      <c r="M271" s="4">
        <v>0.154</v>
      </c>
      <c r="N271" s="4">
        <v>10</v>
      </c>
      <c r="O271" s="4">
        <f t="shared" si="22"/>
        <v>27872.062200000004</v>
      </c>
    </row>
    <row r="272" spans="1:15" x14ac:dyDescent="0.3">
      <c r="A272" s="11">
        <v>45632</v>
      </c>
      <c r="B272" s="4" t="str">
        <f>TEXT(Data!B272,"MMM-YYYY")</f>
        <v>Feb-2025</v>
      </c>
      <c r="C272" s="4" t="str">
        <f t="shared" si="23"/>
        <v>Dec-2024</v>
      </c>
      <c r="D272" s="12">
        <f t="shared" si="24"/>
        <v>45632</v>
      </c>
      <c r="E272" s="4" t="str">
        <f t="shared" si="20"/>
        <v>Q4-2024</v>
      </c>
      <c r="F272" t="s">
        <v>52</v>
      </c>
      <c r="G272" t="s">
        <v>73</v>
      </c>
      <c r="H272" t="s">
        <v>87</v>
      </c>
      <c r="I272" t="s">
        <v>81</v>
      </c>
      <c r="J272" s="7" t="str">
        <f t="shared" si="21"/>
        <v>High</v>
      </c>
      <c r="K272" s="4">
        <v>334.19</v>
      </c>
      <c r="L272" s="4">
        <v>334.19</v>
      </c>
      <c r="M272" s="4">
        <v>0.13400000000000001</v>
      </c>
      <c r="N272" s="4">
        <v>25</v>
      </c>
      <c r="O272" s="4">
        <f t="shared" si="22"/>
        <v>10046.682500000001</v>
      </c>
    </row>
    <row r="273" spans="1:15" x14ac:dyDescent="0.3">
      <c r="A273" s="11">
        <v>45633</v>
      </c>
      <c r="B273" s="4" t="str">
        <f>TEXT(Data!B273,"MMM-YYYY")</f>
        <v>Mar-2024</v>
      </c>
      <c r="C273" s="4" t="str">
        <f t="shared" si="23"/>
        <v>Dec-2024</v>
      </c>
      <c r="D273" s="12">
        <f t="shared" si="24"/>
        <v>45633</v>
      </c>
      <c r="E273" s="4" t="str">
        <f t="shared" si="20"/>
        <v>Q4-2024</v>
      </c>
      <c r="F273" t="s">
        <v>45</v>
      </c>
      <c r="G273" t="s">
        <v>60</v>
      </c>
      <c r="H273" t="s">
        <v>141</v>
      </c>
      <c r="I273" t="s">
        <v>64</v>
      </c>
      <c r="J273" s="7" t="str">
        <f t="shared" si="21"/>
        <v>High</v>
      </c>
      <c r="K273" s="4">
        <v>538.79</v>
      </c>
      <c r="L273" s="4">
        <v>538.79</v>
      </c>
      <c r="M273" s="4">
        <v>0.17399999999999999</v>
      </c>
      <c r="N273" s="4">
        <v>16</v>
      </c>
      <c r="O273" s="4">
        <f t="shared" si="22"/>
        <v>6753.7724800000005</v>
      </c>
    </row>
    <row r="274" spans="1:15" x14ac:dyDescent="0.3">
      <c r="A274" s="11">
        <v>45634</v>
      </c>
      <c r="B274" s="4" t="str">
        <f>TEXT(Data!B274,"MMM-YYYY")</f>
        <v>Jul-2023</v>
      </c>
      <c r="C274" s="4" t="str">
        <f t="shared" si="23"/>
        <v>Dec-2024</v>
      </c>
      <c r="D274" s="12">
        <f t="shared" si="24"/>
        <v>45634</v>
      </c>
      <c r="E274" s="4" t="str">
        <f t="shared" si="20"/>
        <v>Q4-2024</v>
      </c>
      <c r="F274" t="s">
        <v>78</v>
      </c>
      <c r="G274" t="s">
        <v>79</v>
      </c>
      <c r="H274" t="s">
        <v>335</v>
      </c>
      <c r="I274" t="s">
        <v>64</v>
      </c>
      <c r="J274" s="7" t="str">
        <f t="shared" si="21"/>
        <v>High</v>
      </c>
      <c r="K274" s="4">
        <v>1436.54</v>
      </c>
      <c r="L274" s="4">
        <v>1436.54</v>
      </c>
      <c r="M274" s="4">
        <v>0.13900000000000001</v>
      </c>
      <c r="N274" s="4">
        <v>28</v>
      </c>
      <c r="O274" s="4">
        <f t="shared" si="22"/>
        <v>101.73576</v>
      </c>
    </row>
    <row r="275" spans="1:15" x14ac:dyDescent="0.3">
      <c r="A275" s="11">
        <v>45635</v>
      </c>
      <c r="B275" s="4" t="str">
        <f>TEXT(Data!B275,"MMM-YYYY")</f>
        <v>Mar-2024</v>
      </c>
      <c r="C275" s="4" t="str">
        <f t="shared" si="23"/>
        <v>Dec-2024</v>
      </c>
      <c r="D275" s="12">
        <f t="shared" si="24"/>
        <v>45635</v>
      </c>
      <c r="E275" s="4" t="str">
        <f t="shared" si="20"/>
        <v>Q4-2024</v>
      </c>
      <c r="F275" t="s">
        <v>52</v>
      </c>
      <c r="G275" t="s">
        <v>53</v>
      </c>
      <c r="H275" t="s">
        <v>144</v>
      </c>
      <c r="I275" t="s">
        <v>64</v>
      </c>
      <c r="J275" s="7" t="str">
        <f t="shared" si="21"/>
        <v>High</v>
      </c>
      <c r="K275" s="4">
        <v>1766.55</v>
      </c>
      <c r="L275" s="4">
        <v>1766.55</v>
      </c>
      <c r="M275" s="4">
        <v>0.16400000000000001</v>
      </c>
      <c r="N275" s="4">
        <v>20</v>
      </c>
      <c r="O275" s="4">
        <f t="shared" si="22"/>
        <v>9651.4527999999991</v>
      </c>
    </row>
    <row r="276" spans="1:15" x14ac:dyDescent="0.3">
      <c r="A276" s="11">
        <v>45636</v>
      </c>
      <c r="B276" s="4" t="str">
        <f>TEXT(Data!B276,"MMM-YYYY")</f>
        <v>Jan-2024</v>
      </c>
      <c r="C276" s="4" t="str">
        <f t="shared" si="23"/>
        <v>Dec-2024</v>
      </c>
      <c r="D276" s="12">
        <f t="shared" si="24"/>
        <v>45636</v>
      </c>
      <c r="E276" s="4" t="str">
        <f t="shared" si="20"/>
        <v>Q4-2024</v>
      </c>
      <c r="F276" t="s">
        <v>78</v>
      </c>
      <c r="G276" t="s">
        <v>90</v>
      </c>
      <c r="H276" t="s">
        <v>217</v>
      </c>
      <c r="I276" t="s">
        <v>30</v>
      </c>
      <c r="J276" s="7" t="str">
        <f t="shared" si="21"/>
        <v>High</v>
      </c>
      <c r="K276" s="4">
        <v>628.54</v>
      </c>
      <c r="L276" s="4">
        <v>628.54</v>
      </c>
      <c r="M276" s="4">
        <v>0.13500000000000001</v>
      </c>
      <c r="N276" s="4">
        <v>21</v>
      </c>
      <c r="O276" s="4">
        <f t="shared" si="22"/>
        <v>25903.83495</v>
      </c>
    </row>
    <row r="277" spans="1:15" x14ac:dyDescent="0.3">
      <c r="A277" s="11">
        <v>45637</v>
      </c>
      <c r="B277" s="4" t="str">
        <f>TEXT(Data!B277,"MMM-YYYY")</f>
        <v>Mar-2024</v>
      </c>
      <c r="C277" s="4" t="str">
        <f t="shared" si="23"/>
        <v>Dec-2024</v>
      </c>
      <c r="D277" s="12">
        <f t="shared" si="24"/>
        <v>45637</v>
      </c>
      <c r="E277" s="4" t="str">
        <f t="shared" si="20"/>
        <v>Q4-2024</v>
      </c>
      <c r="F277" t="s">
        <v>52</v>
      </c>
      <c r="G277" t="s">
        <v>73</v>
      </c>
      <c r="H277" t="s">
        <v>74</v>
      </c>
      <c r="I277" t="s">
        <v>57</v>
      </c>
      <c r="J277" s="7" t="str">
        <f t="shared" si="21"/>
        <v>High</v>
      </c>
      <c r="K277" s="4">
        <v>1650.75</v>
      </c>
      <c r="L277" s="4">
        <v>1650.75</v>
      </c>
      <c r="M277" s="4">
        <v>0.13500000000000001</v>
      </c>
      <c r="N277" s="4">
        <v>6</v>
      </c>
      <c r="O277" s="4">
        <f t="shared" si="22"/>
        <v>7059.0227999999997</v>
      </c>
    </row>
    <row r="278" spans="1:15" x14ac:dyDescent="0.3">
      <c r="A278" s="11">
        <v>45638</v>
      </c>
      <c r="B278" s="4" t="str">
        <f>TEXT(Data!B278,"MMM-YYYY")</f>
        <v>Jun-2025</v>
      </c>
      <c r="C278" s="4" t="str">
        <f t="shared" si="23"/>
        <v>Dec-2024</v>
      </c>
      <c r="D278" s="12">
        <f t="shared" si="24"/>
        <v>45638</v>
      </c>
      <c r="E278" s="4" t="str">
        <f t="shared" si="20"/>
        <v>Q4-2024</v>
      </c>
      <c r="F278" t="s">
        <v>52</v>
      </c>
      <c r="G278" t="s">
        <v>122</v>
      </c>
      <c r="H278" t="s">
        <v>167</v>
      </c>
      <c r="I278" t="s">
        <v>35</v>
      </c>
      <c r="J278" s="7" t="str">
        <f t="shared" si="21"/>
        <v>High</v>
      </c>
      <c r="K278" s="4">
        <v>2247.14</v>
      </c>
      <c r="L278" s="4">
        <v>2247.14</v>
      </c>
      <c r="M278" s="4">
        <v>0.115</v>
      </c>
      <c r="N278" s="4">
        <v>40</v>
      </c>
      <c r="O278" s="4">
        <f t="shared" si="22"/>
        <v>73316.94</v>
      </c>
    </row>
    <row r="279" spans="1:15" x14ac:dyDescent="0.3">
      <c r="A279" s="11">
        <v>45639</v>
      </c>
      <c r="B279" s="4" t="str">
        <f>TEXT(Data!B279,"MMM-YYYY")</f>
        <v>Jun-2024</v>
      </c>
      <c r="C279" s="4" t="str">
        <f t="shared" si="23"/>
        <v>Dec-2024</v>
      </c>
      <c r="D279" s="12">
        <f t="shared" si="24"/>
        <v>45639</v>
      </c>
      <c r="E279" s="4" t="str">
        <f t="shared" si="20"/>
        <v>Q4-2024</v>
      </c>
      <c r="F279" t="s">
        <v>78</v>
      </c>
      <c r="G279" t="s">
        <v>79</v>
      </c>
      <c r="H279" t="s">
        <v>80</v>
      </c>
      <c r="I279" t="s">
        <v>81</v>
      </c>
      <c r="J279" s="7" t="str">
        <f t="shared" si="21"/>
        <v>High</v>
      </c>
      <c r="K279" s="4">
        <v>893.19</v>
      </c>
      <c r="L279" s="4">
        <v>893.19</v>
      </c>
      <c r="M279" s="4">
        <v>0.151</v>
      </c>
      <c r="N279" s="4">
        <v>8</v>
      </c>
      <c r="O279" s="4">
        <f t="shared" si="22"/>
        <v>6655.0732799999996</v>
      </c>
    </row>
    <row r="280" spans="1:15" x14ac:dyDescent="0.3">
      <c r="A280" s="11">
        <v>45640</v>
      </c>
      <c r="B280" s="4" t="str">
        <f>TEXT(Data!B280,"MMM-YYYY")</f>
        <v>Oct-2023</v>
      </c>
      <c r="C280" s="4" t="str">
        <f t="shared" si="23"/>
        <v>Dec-2024</v>
      </c>
      <c r="D280" s="12">
        <f t="shared" si="24"/>
        <v>45640</v>
      </c>
      <c r="E280" s="4" t="str">
        <f t="shared" si="20"/>
        <v>Q4-2024</v>
      </c>
      <c r="F280" t="s">
        <v>16</v>
      </c>
      <c r="G280" t="s">
        <v>148</v>
      </c>
      <c r="H280" t="s">
        <v>149</v>
      </c>
      <c r="I280" t="s">
        <v>42</v>
      </c>
      <c r="J280" s="7" t="str">
        <f t="shared" si="21"/>
        <v>High</v>
      </c>
      <c r="K280" s="4">
        <v>2328.9</v>
      </c>
      <c r="L280" s="4">
        <v>2328.9</v>
      </c>
      <c r="M280" s="4">
        <v>0.12</v>
      </c>
      <c r="N280" s="4">
        <v>17</v>
      </c>
      <c r="O280" s="4">
        <f t="shared" si="22"/>
        <v>8039.3543999999993</v>
      </c>
    </row>
    <row r="281" spans="1:15" x14ac:dyDescent="0.3">
      <c r="A281" s="11">
        <v>45641</v>
      </c>
      <c r="B281" s="4" t="str">
        <f>TEXT(Data!B281,"MMM-YYYY")</f>
        <v>Jun-2023</v>
      </c>
      <c r="C281" s="4" t="str">
        <f t="shared" si="23"/>
        <v>Dec-2024</v>
      </c>
      <c r="D281" s="12">
        <f t="shared" si="24"/>
        <v>45641</v>
      </c>
      <c r="E281" s="4" t="str">
        <f t="shared" si="20"/>
        <v>Q4-2024</v>
      </c>
      <c r="F281" t="s">
        <v>45</v>
      </c>
      <c r="G281" t="s">
        <v>60</v>
      </c>
      <c r="H281" t="s">
        <v>61</v>
      </c>
      <c r="I281" t="s">
        <v>57</v>
      </c>
      <c r="J281" s="7" t="str">
        <f t="shared" si="21"/>
        <v>High</v>
      </c>
      <c r="K281" s="4">
        <v>2066.75</v>
      </c>
      <c r="L281" s="4">
        <v>2066.75</v>
      </c>
      <c r="M281" s="4">
        <v>0.13800000000000001</v>
      </c>
      <c r="N281" s="4">
        <v>5</v>
      </c>
      <c r="O281" s="4">
        <f t="shared" si="22"/>
        <v>919.40919999999994</v>
      </c>
    </row>
    <row r="282" spans="1:15" x14ac:dyDescent="0.3">
      <c r="A282" s="11">
        <v>45642</v>
      </c>
      <c r="B282" s="4" t="str">
        <f>TEXT(Data!B282,"MMM-YYYY")</f>
        <v>Mar-2025</v>
      </c>
      <c r="C282" s="4" t="str">
        <f t="shared" si="23"/>
        <v>Dec-2024</v>
      </c>
      <c r="D282" s="12">
        <f t="shared" si="24"/>
        <v>45642</v>
      </c>
      <c r="E282" s="4" t="str">
        <f t="shared" si="20"/>
        <v>Q4-2024</v>
      </c>
      <c r="F282" t="s">
        <v>52</v>
      </c>
      <c r="G282" t="s">
        <v>122</v>
      </c>
      <c r="H282" t="s">
        <v>167</v>
      </c>
      <c r="I282" t="s">
        <v>64</v>
      </c>
      <c r="J282" s="7" t="str">
        <f t="shared" si="21"/>
        <v>High</v>
      </c>
      <c r="K282" s="4">
        <v>2182.31</v>
      </c>
      <c r="L282" s="4">
        <v>2182.31</v>
      </c>
      <c r="M282" s="4">
        <v>0.112</v>
      </c>
      <c r="N282" s="4">
        <v>9</v>
      </c>
      <c r="O282" s="4">
        <f t="shared" si="22"/>
        <v>15941.402639999998</v>
      </c>
    </row>
    <row r="283" spans="1:15" x14ac:dyDescent="0.3">
      <c r="A283" s="11">
        <v>45643</v>
      </c>
      <c r="B283" s="4" t="str">
        <f>TEXT(Data!B283,"MMM-YYYY")</f>
        <v>Aug-2023</v>
      </c>
      <c r="C283" s="4" t="str">
        <f t="shared" si="23"/>
        <v>Dec-2024</v>
      </c>
      <c r="D283" s="12">
        <f t="shared" si="24"/>
        <v>45643</v>
      </c>
      <c r="E283" s="4" t="str">
        <f t="shared" si="20"/>
        <v>Q4-2024</v>
      </c>
      <c r="F283" t="s">
        <v>45</v>
      </c>
      <c r="G283" t="s">
        <v>46</v>
      </c>
      <c r="H283" t="s">
        <v>214</v>
      </c>
      <c r="I283" t="s">
        <v>35</v>
      </c>
      <c r="J283" s="7" t="str">
        <f t="shared" si="21"/>
        <v>High</v>
      </c>
      <c r="K283" s="4">
        <v>2726.62</v>
      </c>
      <c r="L283" s="4">
        <v>2726.62</v>
      </c>
      <c r="M283" s="4">
        <v>0.317</v>
      </c>
      <c r="N283" s="4">
        <v>7</v>
      </c>
      <c r="O283" s="4">
        <f t="shared" si="22"/>
        <v>2643.1280400000001</v>
      </c>
    </row>
    <row r="284" spans="1:15" x14ac:dyDescent="0.3">
      <c r="A284" s="11">
        <v>45644</v>
      </c>
      <c r="B284" s="4" t="str">
        <f>TEXT(Data!B284,"MMM-YYYY")</f>
        <v>May-2025</v>
      </c>
      <c r="C284" s="4" t="str">
        <f t="shared" si="23"/>
        <v>Dec-2024</v>
      </c>
      <c r="D284" s="12">
        <f t="shared" si="24"/>
        <v>45644</v>
      </c>
      <c r="E284" s="4" t="str">
        <f t="shared" si="20"/>
        <v>Q4-2024</v>
      </c>
      <c r="F284" t="s">
        <v>16</v>
      </c>
      <c r="G284" t="s">
        <v>17</v>
      </c>
      <c r="H284" t="s">
        <v>33</v>
      </c>
      <c r="I284" t="s">
        <v>42</v>
      </c>
      <c r="J284" s="7" t="str">
        <f t="shared" si="21"/>
        <v>Medium</v>
      </c>
      <c r="K284" s="4">
        <v>111.29</v>
      </c>
      <c r="L284" s="4">
        <v>111.29</v>
      </c>
      <c r="M284" s="4">
        <v>0</v>
      </c>
      <c r="N284" s="4">
        <v>6</v>
      </c>
      <c r="O284" s="4">
        <f t="shared" si="22"/>
        <v>1349.6999999999998</v>
      </c>
    </row>
    <row r="285" spans="1:15" x14ac:dyDescent="0.3">
      <c r="A285" s="11">
        <v>45645</v>
      </c>
      <c r="B285" s="4" t="str">
        <f>TEXT(Data!B285,"MMM-YYYY")</f>
        <v>Jan-2024</v>
      </c>
      <c r="C285" s="4" t="str">
        <f t="shared" si="23"/>
        <v>Dec-2024</v>
      </c>
      <c r="D285" s="12">
        <f t="shared" si="24"/>
        <v>45645</v>
      </c>
      <c r="E285" s="4" t="str">
        <f t="shared" si="20"/>
        <v>Q4-2024</v>
      </c>
      <c r="F285" t="s">
        <v>45</v>
      </c>
      <c r="G285" t="s">
        <v>60</v>
      </c>
      <c r="H285" t="s">
        <v>61</v>
      </c>
      <c r="I285" t="s">
        <v>57</v>
      </c>
      <c r="J285" s="7" t="str">
        <f t="shared" si="21"/>
        <v>High</v>
      </c>
      <c r="K285" s="4">
        <v>1100.0899999999999</v>
      </c>
      <c r="L285" s="4">
        <v>1100.0899999999999</v>
      </c>
      <c r="M285" s="4">
        <v>0.114</v>
      </c>
      <c r="N285" s="4">
        <v>12</v>
      </c>
      <c r="O285" s="4">
        <f t="shared" si="22"/>
        <v>8208.8608800000002</v>
      </c>
    </row>
    <row r="286" spans="1:15" x14ac:dyDescent="0.3">
      <c r="A286" s="11">
        <v>45646</v>
      </c>
      <c r="B286" s="4" t="str">
        <f>TEXT(Data!B286,"MMM-YYYY")</f>
        <v>Jun-2023</v>
      </c>
      <c r="C286" s="4" t="str">
        <f t="shared" si="23"/>
        <v>Dec-2024</v>
      </c>
      <c r="D286" s="12">
        <f t="shared" si="24"/>
        <v>45646</v>
      </c>
      <c r="E286" s="4" t="str">
        <f t="shared" si="20"/>
        <v>Q4-2024</v>
      </c>
      <c r="F286" t="s">
        <v>78</v>
      </c>
      <c r="G286" t="s">
        <v>79</v>
      </c>
      <c r="H286" t="s">
        <v>335</v>
      </c>
      <c r="I286" t="s">
        <v>57</v>
      </c>
      <c r="J286" s="7" t="str">
        <f t="shared" si="21"/>
        <v>High</v>
      </c>
      <c r="K286" s="4">
        <v>1529.14</v>
      </c>
      <c r="L286" s="4">
        <v>1529.14</v>
      </c>
      <c r="M286" s="4">
        <v>0.155</v>
      </c>
      <c r="N286" s="4">
        <v>12</v>
      </c>
      <c r="O286" s="4">
        <f t="shared" si="22"/>
        <v>31932.989400000002</v>
      </c>
    </row>
    <row r="287" spans="1:15" x14ac:dyDescent="0.3">
      <c r="A287" s="11">
        <v>45647</v>
      </c>
      <c r="B287" s="4" t="str">
        <f>TEXT(Data!B287,"MMM-YYYY")</f>
        <v>Apr-2025</v>
      </c>
      <c r="C287" s="4" t="str">
        <f t="shared" si="23"/>
        <v>Dec-2024</v>
      </c>
      <c r="D287" s="12">
        <f t="shared" si="24"/>
        <v>45647</v>
      </c>
      <c r="E287" s="4" t="str">
        <f t="shared" si="20"/>
        <v>Q4-2024</v>
      </c>
      <c r="F287" t="s">
        <v>45</v>
      </c>
      <c r="G287" t="s">
        <v>46</v>
      </c>
      <c r="H287" t="s">
        <v>231</v>
      </c>
      <c r="I287" t="s">
        <v>42</v>
      </c>
      <c r="J287" s="7" t="str">
        <f t="shared" si="21"/>
        <v>High</v>
      </c>
      <c r="K287" s="4">
        <v>728.69</v>
      </c>
      <c r="L287" s="4">
        <v>728.69</v>
      </c>
      <c r="M287" s="4">
        <v>0.22</v>
      </c>
      <c r="N287" s="4">
        <v>7</v>
      </c>
      <c r="O287" s="4">
        <f t="shared" si="22"/>
        <v>314.11380000000003</v>
      </c>
    </row>
    <row r="288" spans="1:15" x14ac:dyDescent="0.3">
      <c r="A288" s="11">
        <v>45648</v>
      </c>
      <c r="B288" s="4" t="str">
        <f>TEXT(Data!B288,"MMM-YYYY")</f>
        <v>Sep-2024</v>
      </c>
      <c r="C288" s="4" t="str">
        <f t="shared" si="23"/>
        <v>Dec-2024</v>
      </c>
      <c r="D288" s="12">
        <f t="shared" si="24"/>
        <v>45648</v>
      </c>
      <c r="E288" s="4" t="str">
        <f t="shared" si="20"/>
        <v>Q4-2024</v>
      </c>
      <c r="F288" t="s">
        <v>78</v>
      </c>
      <c r="G288" t="s">
        <v>79</v>
      </c>
      <c r="H288" t="s">
        <v>159</v>
      </c>
      <c r="I288" t="s">
        <v>42</v>
      </c>
      <c r="J288" s="7" t="str">
        <f t="shared" si="21"/>
        <v>Low</v>
      </c>
      <c r="K288" s="4">
        <v>6.28</v>
      </c>
      <c r="L288" s="4">
        <v>6.28</v>
      </c>
      <c r="M288" s="4">
        <v>0.13400000000000001</v>
      </c>
      <c r="N288" s="4">
        <v>14</v>
      </c>
      <c r="O288" s="4">
        <f t="shared" si="22"/>
        <v>9999.9964400000008</v>
      </c>
    </row>
    <row r="289" spans="1:15" x14ac:dyDescent="0.3">
      <c r="A289" s="11">
        <v>45649</v>
      </c>
      <c r="B289" s="4" t="str">
        <f>TEXT(Data!B289,"MMM-YYYY")</f>
        <v>Jan-2024</v>
      </c>
      <c r="C289" s="4" t="str">
        <f t="shared" si="23"/>
        <v>Dec-2024</v>
      </c>
      <c r="D289" s="12">
        <f t="shared" si="24"/>
        <v>45649</v>
      </c>
      <c r="E289" s="4" t="str">
        <f t="shared" si="20"/>
        <v>Q4-2024</v>
      </c>
      <c r="F289" t="s">
        <v>45</v>
      </c>
      <c r="G289" t="s">
        <v>60</v>
      </c>
      <c r="H289" t="s">
        <v>220</v>
      </c>
      <c r="I289" t="s">
        <v>35</v>
      </c>
      <c r="J289" s="7" t="str">
        <f t="shared" si="21"/>
        <v>High</v>
      </c>
      <c r="K289" s="4">
        <v>2569.77</v>
      </c>
      <c r="L289" s="4">
        <v>2569.77</v>
      </c>
      <c r="M289" s="4">
        <v>0.13400000000000001</v>
      </c>
      <c r="N289" s="4">
        <v>9</v>
      </c>
      <c r="O289" s="4">
        <f t="shared" si="22"/>
        <v>11640.572819999999</v>
      </c>
    </row>
    <row r="290" spans="1:15" x14ac:dyDescent="0.3">
      <c r="A290" s="11">
        <v>45650</v>
      </c>
      <c r="B290" s="4" t="str">
        <f>TEXT(Data!B290,"MMM-YYYY")</f>
        <v>Jul-2023</v>
      </c>
      <c r="C290" s="4" t="str">
        <f t="shared" si="23"/>
        <v>Dec-2024</v>
      </c>
      <c r="D290" s="12">
        <f t="shared" si="24"/>
        <v>45650</v>
      </c>
      <c r="E290" s="4" t="str">
        <f t="shared" si="20"/>
        <v>Q4-2024</v>
      </c>
      <c r="F290" t="s">
        <v>16</v>
      </c>
      <c r="G290" t="s">
        <v>148</v>
      </c>
      <c r="H290" t="s">
        <v>258</v>
      </c>
      <c r="I290" t="s">
        <v>81</v>
      </c>
      <c r="J290" s="7" t="str">
        <f t="shared" si="21"/>
        <v>High</v>
      </c>
      <c r="K290" s="4">
        <v>1592.02</v>
      </c>
      <c r="L290" s="4">
        <v>1592.02</v>
      </c>
      <c r="M290" s="4">
        <v>6.6000000000000003E-2</v>
      </c>
      <c r="N290" s="4">
        <v>18</v>
      </c>
      <c r="O290" s="4">
        <f t="shared" si="22"/>
        <v>12473.159039999999</v>
      </c>
    </row>
    <row r="291" spans="1:15" x14ac:dyDescent="0.3">
      <c r="A291" s="11">
        <v>45651</v>
      </c>
      <c r="B291" s="4" t="str">
        <f>TEXT(Data!B291,"MMM-YYYY")</f>
        <v>Aug-2025</v>
      </c>
      <c r="C291" s="4" t="str">
        <f t="shared" si="23"/>
        <v>Dec-2024</v>
      </c>
      <c r="D291" s="12">
        <f t="shared" si="24"/>
        <v>45651</v>
      </c>
      <c r="E291" s="4" t="str">
        <f t="shared" si="20"/>
        <v>Q4-2024</v>
      </c>
      <c r="F291" t="s">
        <v>16</v>
      </c>
      <c r="G291" t="s">
        <v>148</v>
      </c>
      <c r="H291" t="s">
        <v>149</v>
      </c>
      <c r="I291" t="s">
        <v>22</v>
      </c>
      <c r="J291" s="7" t="str">
        <f t="shared" si="21"/>
        <v>High</v>
      </c>
      <c r="K291" s="4">
        <v>995.47</v>
      </c>
      <c r="L291" s="4">
        <v>995.47</v>
      </c>
      <c r="M291" s="4">
        <v>0.192</v>
      </c>
      <c r="N291" s="4">
        <v>13</v>
      </c>
      <c r="O291" s="4">
        <f t="shared" si="22"/>
        <v>7796.3839200000002</v>
      </c>
    </row>
    <row r="292" spans="1:15" x14ac:dyDescent="0.3">
      <c r="A292" s="11">
        <v>45652</v>
      </c>
      <c r="B292" s="4" t="str">
        <f>TEXT(Data!B292,"MMM-YYYY")</f>
        <v>Mar-2025</v>
      </c>
      <c r="C292" s="4" t="str">
        <f t="shared" si="23"/>
        <v>Dec-2024</v>
      </c>
      <c r="D292" s="12">
        <f t="shared" si="24"/>
        <v>45652</v>
      </c>
      <c r="E292" s="4" t="str">
        <f t="shared" si="20"/>
        <v>Q4-2024</v>
      </c>
      <c r="F292" t="s">
        <v>16</v>
      </c>
      <c r="G292" t="s">
        <v>25</v>
      </c>
      <c r="H292" t="s">
        <v>26</v>
      </c>
      <c r="I292" t="s">
        <v>81</v>
      </c>
      <c r="J292" s="7" t="str">
        <f t="shared" si="21"/>
        <v>High</v>
      </c>
      <c r="K292" s="4">
        <v>1240.31</v>
      </c>
      <c r="L292" s="4">
        <v>1240.31</v>
      </c>
      <c r="M292" s="4">
        <v>0.14599999999999999</v>
      </c>
      <c r="N292" s="4">
        <v>18</v>
      </c>
      <c r="O292" s="4">
        <f t="shared" si="22"/>
        <v>7371.4888800000008</v>
      </c>
    </row>
    <row r="293" spans="1:15" x14ac:dyDescent="0.3">
      <c r="A293" s="11">
        <v>45653</v>
      </c>
      <c r="B293" s="4" t="str">
        <f>TEXT(Data!B293,"MMM-YYYY")</f>
        <v>Oct-2023</v>
      </c>
      <c r="C293" s="4" t="str">
        <f t="shared" si="23"/>
        <v>Dec-2024</v>
      </c>
      <c r="D293" s="12">
        <f t="shared" si="24"/>
        <v>45653</v>
      </c>
      <c r="E293" s="4" t="str">
        <f t="shared" si="20"/>
        <v>Q4-2024</v>
      </c>
      <c r="F293" t="s">
        <v>52</v>
      </c>
      <c r="G293" t="s">
        <v>73</v>
      </c>
      <c r="H293" t="s">
        <v>74</v>
      </c>
      <c r="I293" t="s">
        <v>30</v>
      </c>
      <c r="J293" s="7" t="str">
        <f t="shared" si="21"/>
        <v>Medium</v>
      </c>
      <c r="K293" s="4">
        <v>118.37</v>
      </c>
      <c r="L293" s="4">
        <v>118.37</v>
      </c>
      <c r="M293" s="4">
        <v>0.156</v>
      </c>
      <c r="N293" s="4">
        <v>11</v>
      </c>
      <c r="O293" s="4">
        <f t="shared" si="22"/>
        <v>10911.020999999999</v>
      </c>
    </row>
    <row r="294" spans="1:15" x14ac:dyDescent="0.3">
      <c r="A294" s="11">
        <v>45654</v>
      </c>
      <c r="B294" s="4" t="str">
        <f>TEXT(Data!B294,"MMM-YYYY")</f>
        <v>Aug-2023</v>
      </c>
      <c r="C294" s="4" t="str">
        <f t="shared" si="23"/>
        <v>Dec-2024</v>
      </c>
      <c r="D294" s="12">
        <f t="shared" si="24"/>
        <v>45654</v>
      </c>
      <c r="E294" s="4" t="str">
        <f t="shared" si="20"/>
        <v>Q4-2024</v>
      </c>
      <c r="F294" t="s">
        <v>78</v>
      </c>
      <c r="G294" t="s">
        <v>108</v>
      </c>
      <c r="H294" t="s">
        <v>152</v>
      </c>
      <c r="I294" t="s">
        <v>81</v>
      </c>
      <c r="J294" s="7" t="str">
        <f t="shared" si="21"/>
        <v>High</v>
      </c>
      <c r="K294" s="4">
        <v>2105.5300000000002</v>
      </c>
      <c r="L294" s="4">
        <v>2105.5300000000002</v>
      </c>
      <c r="M294" s="4">
        <v>0.20699999999999999</v>
      </c>
      <c r="N294" s="4">
        <v>14</v>
      </c>
      <c r="O294" s="4">
        <f t="shared" si="22"/>
        <v>2525.1498999999999</v>
      </c>
    </row>
    <row r="295" spans="1:15" x14ac:dyDescent="0.3">
      <c r="A295" s="11">
        <v>45655</v>
      </c>
      <c r="B295" s="4" t="str">
        <f>TEXT(Data!B295,"MMM-YYYY")</f>
        <v>Apr-2025</v>
      </c>
      <c r="C295" s="4" t="str">
        <f t="shared" si="23"/>
        <v>Dec-2024</v>
      </c>
      <c r="D295" s="12">
        <f t="shared" si="24"/>
        <v>45655</v>
      </c>
      <c r="E295" s="4" t="str">
        <f t="shared" si="20"/>
        <v>Q4-2024</v>
      </c>
      <c r="F295" t="s">
        <v>78</v>
      </c>
      <c r="G295" t="s">
        <v>108</v>
      </c>
      <c r="H295" t="s">
        <v>152</v>
      </c>
      <c r="I295" t="s">
        <v>81</v>
      </c>
      <c r="J295" s="7" t="str">
        <f t="shared" si="21"/>
        <v>High</v>
      </c>
      <c r="K295" s="4">
        <v>523</v>
      </c>
      <c r="L295" s="4">
        <v>523</v>
      </c>
      <c r="M295" s="4">
        <v>5.8999999999999997E-2</v>
      </c>
      <c r="N295" s="4">
        <v>15</v>
      </c>
      <c r="O295" s="4">
        <f t="shared" si="22"/>
        <v>16636.221300000001</v>
      </c>
    </row>
    <row r="296" spans="1:15" x14ac:dyDescent="0.3">
      <c r="A296" s="11">
        <v>45656</v>
      </c>
      <c r="B296" s="4" t="str">
        <f>TEXT(Data!B296,"MMM-YYYY")</f>
        <v>Jun-2025</v>
      </c>
      <c r="C296" s="4" t="str">
        <f t="shared" si="23"/>
        <v>Dec-2024</v>
      </c>
      <c r="D296" s="12">
        <f t="shared" si="24"/>
        <v>45656</v>
      </c>
      <c r="E296" s="4" t="str">
        <f t="shared" si="20"/>
        <v>Q4-2024</v>
      </c>
      <c r="F296" t="s">
        <v>45</v>
      </c>
      <c r="G296" t="s">
        <v>46</v>
      </c>
      <c r="H296" t="s">
        <v>47</v>
      </c>
      <c r="I296" t="s">
        <v>22</v>
      </c>
      <c r="J296" s="7" t="str">
        <f t="shared" si="21"/>
        <v>High</v>
      </c>
      <c r="K296" s="4">
        <v>1075.3</v>
      </c>
      <c r="L296" s="4">
        <v>1075.3</v>
      </c>
      <c r="M296" s="4">
        <v>0.08</v>
      </c>
      <c r="N296" s="4">
        <v>9</v>
      </c>
      <c r="O296" s="4">
        <f t="shared" si="22"/>
        <v>20054.987999999998</v>
      </c>
    </row>
    <row r="297" spans="1:15" x14ac:dyDescent="0.3">
      <c r="A297" s="11">
        <v>45657</v>
      </c>
      <c r="B297" s="4" t="str">
        <f>TEXT(Data!B297,"MMM-YYYY")</f>
        <v>Mar-2024</v>
      </c>
      <c r="C297" s="4" t="str">
        <f t="shared" si="23"/>
        <v>Dec-2024</v>
      </c>
      <c r="D297" s="12">
        <f t="shared" si="24"/>
        <v>45657</v>
      </c>
      <c r="E297" s="4" t="str">
        <f t="shared" si="20"/>
        <v>Q4-2024</v>
      </c>
      <c r="F297" t="s">
        <v>78</v>
      </c>
      <c r="G297" t="s">
        <v>79</v>
      </c>
      <c r="H297" t="s">
        <v>159</v>
      </c>
      <c r="I297" t="s">
        <v>57</v>
      </c>
      <c r="J297" s="7" t="str">
        <f t="shared" si="21"/>
        <v>High</v>
      </c>
      <c r="K297" s="4">
        <v>3294.57</v>
      </c>
      <c r="L297" s="4">
        <v>3294.57</v>
      </c>
      <c r="M297" s="4">
        <v>0.113</v>
      </c>
      <c r="N297" s="4">
        <v>7</v>
      </c>
      <c r="O297" s="4">
        <f t="shared" si="22"/>
        <v>2693.96092</v>
      </c>
    </row>
    <row r="298" spans="1:15" x14ac:dyDescent="0.3">
      <c r="A298" s="11">
        <v>45658</v>
      </c>
      <c r="B298" s="4" t="str">
        <f>TEXT(Data!B298,"MMM-YYYY")</f>
        <v>Jun-2023</v>
      </c>
      <c r="C298" s="4" t="str">
        <f t="shared" si="23"/>
        <v>Jan-2025</v>
      </c>
      <c r="D298" s="12">
        <f t="shared" si="24"/>
        <v>45658</v>
      </c>
      <c r="E298" s="4" t="str">
        <f t="shared" si="20"/>
        <v>Q1-2025</v>
      </c>
      <c r="F298" t="s">
        <v>52</v>
      </c>
      <c r="G298" t="s">
        <v>53</v>
      </c>
      <c r="H298" t="s">
        <v>179</v>
      </c>
      <c r="I298" t="s">
        <v>30</v>
      </c>
      <c r="J298" s="7" t="str">
        <f t="shared" si="21"/>
        <v>High</v>
      </c>
      <c r="K298" s="4">
        <v>464.05</v>
      </c>
      <c r="L298" s="4">
        <v>464.05</v>
      </c>
      <c r="M298" s="4">
        <v>0.16900000000000001</v>
      </c>
      <c r="N298" s="4">
        <v>11</v>
      </c>
      <c r="O298" s="4">
        <f t="shared" si="22"/>
        <v>28786.197329999999</v>
      </c>
    </row>
    <row r="299" spans="1:15" x14ac:dyDescent="0.3">
      <c r="A299" s="11">
        <v>45659</v>
      </c>
      <c r="B299" s="4" t="str">
        <f>TEXT(Data!B299,"MMM-YYYY")</f>
        <v>Mar-2024</v>
      </c>
      <c r="C299" s="4" t="str">
        <f t="shared" si="23"/>
        <v>Jan-2025</v>
      </c>
      <c r="D299" s="12">
        <f t="shared" si="24"/>
        <v>45659</v>
      </c>
      <c r="E299" s="4" t="str">
        <f t="shared" si="20"/>
        <v>Q1-2025</v>
      </c>
      <c r="F299" t="s">
        <v>52</v>
      </c>
      <c r="G299" t="s">
        <v>122</v>
      </c>
      <c r="H299" t="s">
        <v>326</v>
      </c>
      <c r="I299" t="s">
        <v>64</v>
      </c>
      <c r="J299" s="7" t="str">
        <f t="shared" si="21"/>
        <v>High</v>
      </c>
      <c r="K299" s="4">
        <v>511.03</v>
      </c>
      <c r="L299" s="4">
        <v>511.03</v>
      </c>
      <c r="M299" s="4">
        <v>0.108</v>
      </c>
      <c r="N299" s="4">
        <v>7</v>
      </c>
      <c r="O299" s="4">
        <f t="shared" si="22"/>
        <v>409.91860000000008</v>
      </c>
    </row>
    <row r="300" spans="1:15" x14ac:dyDescent="0.3">
      <c r="A300" s="11">
        <v>45660</v>
      </c>
      <c r="B300" s="4" t="str">
        <f>TEXT(Data!B300,"MMM-YYYY")</f>
        <v>Jan-2025</v>
      </c>
      <c r="C300" s="4" t="str">
        <f t="shared" si="23"/>
        <v>Jan-2025</v>
      </c>
      <c r="D300" s="12">
        <f t="shared" si="24"/>
        <v>45660</v>
      </c>
      <c r="E300" s="4" t="str">
        <f t="shared" si="20"/>
        <v>Q1-2025</v>
      </c>
      <c r="F300" t="s">
        <v>52</v>
      </c>
      <c r="G300" t="s">
        <v>122</v>
      </c>
      <c r="H300" t="s">
        <v>326</v>
      </c>
      <c r="I300" t="s">
        <v>64</v>
      </c>
      <c r="J300" s="7" t="str">
        <f t="shared" si="21"/>
        <v>Low</v>
      </c>
      <c r="K300" s="4">
        <v>4.22</v>
      </c>
      <c r="L300" s="4">
        <v>4.22</v>
      </c>
      <c r="M300" s="4">
        <v>0.11899999999999999</v>
      </c>
      <c r="N300" s="4">
        <v>18</v>
      </c>
      <c r="O300" s="4">
        <f t="shared" si="22"/>
        <v>39520.356119999997</v>
      </c>
    </row>
    <row r="301" spans="1:15" x14ac:dyDescent="0.3">
      <c r="A301" s="11">
        <v>45661</v>
      </c>
      <c r="B301" s="4" t="str">
        <f>TEXT(Data!B301,"MMM-YYYY")</f>
        <v>May-2025</v>
      </c>
      <c r="C301" s="4" t="str">
        <f t="shared" si="23"/>
        <v>Jan-2025</v>
      </c>
      <c r="D301" s="12">
        <f t="shared" si="24"/>
        <v>45661</v>
      </c>
      <c r="E301" s="4" t="str">
        <f t="shared" si="20"/>
        <v>Q1-2025</v>
      </c>
      <c r="F301" t="s">
        <v>78</v>
      </c>
      <c r="G301" t="s">
        <v>90</v>
      </c>
      <c r="H301" t="s">
        <v>138</v>
      </c>
      <c r="I301" t="s">
        <v>81</v>
      </c>
      <c r="J301" s="7" t="str">
        <f t="shared" si="21"/>
        <v>High</v>
      </c>
      <c r="K301" s="4">
        <v>577.24</v>
      </c>
      <c r="L301" s="4">
        <v>577.24</v>
      </c>
      <c r="M301" s="4">
        <v>0</v>
      </c>
      <c r="N301" s="4">
        <v>22</v>
      </c>
      <c r="O301" s="4">
        <f t="shared" si="22"/>
        <v>20500.48</v>
      </c>
    </row>
    <row r="302" spans="1:15" x14ac:dyDescent="0.3">
      <c r="A302" s="11">
        <v>45662</v>
      </c>
      <c r="B302" s="4" t="str">
        <f>TEXT(Data!B302,"MMM-YYYY")</f>
        <v>Oct-2023</v>
      </c>
      <c r="C302" s="4" t="str">
        <f t="shared" si="23"/>
        <v>Jan-2025</v>
      </c>
      <c r="D302" s="12">
        <f t="shared" si="24"/>
        <v>45662</v>
      </c>
      <c r="E302" s="4" t="str">
        <f t="shared" si="20"/>
        <v>Q1-2025</v>
      </c>
      <c r="F302" t="s">
        <v>52</v>
      </c>
      <c r="G302" t="s">
        <v>53</v>
      </c>
      <c r="H302" t="s">
        <v>179</v>
      </c>
      <c r="I302" t="s">
        <v>22</v>
      </c>
      <c r="J302" s="7" t="str">
        <f t="shared" si="21"/>
        <v>High</v>
      </c>
      <c r="K302" s="4">
        <v>1426.03</v>
      </c>
      <c r="L302" s="4">
        <v>1426.03</v>
      </c>
      <c r="M302" s="4">
        <v>5.6000000000000001E-2</v>
      </c>
      <c r="N302" s="4">
        <v>19</v>
      </c>
      <c r="O302" s="4">
        <f t="shared" si="22"/>
        <v>11111.531359999999</v>
      </c>
    </row>
    <row r="303" spans="1:15" x14ac:dyDescent="0.3">
      <c r="A303" s="11">
        <v>45663</v>
      </c>
      <c r="B303" s="4" t="str">
        <f>TEXT(Data!B303,"MMM-YYYY")</f>
        <v>Jul-2023</v>
      </c>
      <c r="C303" s="4" t="str">
        <f t="shared" si="23"/>
        <v>Jan-2025</v>
      </c>
      <c r="D303" s="12">
        <f t="shared" si="24"/>
        <v>45663</v>
      </c>
      <c r="E303" s="4" t="str">
        <f t="shared" si="20"/>
        <v>Q1-2025</v>
      </c>
      <c r="F303" t="s">
        <v>45</v>
      </c>
      <c r="G303" t="s">
        <v>116</v>
      </c>
      <c r="H303" t="s">
        <v>162</v>
      </c>
      <c r="I303" t="s">
        <v>30</v>
      </c>
      <c r="J303" s="7" t="str">
        <f t="shared" si="21"/>
        <v>High</v>
      </c>
      <c r="K303" s="4">
        <v>1360.12</v>
      </c>
      <c r="L303" s="4">
        <v>1360.12</v>
      </c>
      <c r="M303" s="4">
        <v>0.19400000000000001</v>
      </c>
      <c r="N303" s="4">
        <v>9</v>
      </c>
      <c r="O303" s="4">
        <f t="shared" si="22"/>
        <v>10311.923699999999</v>
      </c>
    </row>
    <row r="304" spans="1:15" x14ac:dyDescent="0.3">
      <c r="A304" s="11">
        <v>45664</v>
      </c>
      <c r="B304" s="4" t="str">
        <f>TEXT(Data!B304,"MMM-YYYY")</f>
        <v>Jun-2025</v>
      </c>
      <c r="C304" s="4" t="str">
        <f t="shared" si="23"/>
        <v>Jan-2025</v>
      </c>
      <c r="D304" s="12">
        <f t="shared" si="24"/>
        <v>45664</v>
      </c>
      <c r="E304" s="4" t="str">
        <f t="shared" si="20"/>
        <v>Q1-2025</v>
      </c>
      <c r="F304" t="s">
        <v>52</v>
      </c>
      <c r="G304" t="s">
        <v>73</v>
      </c>
      <c r="H304" t="s">
        <v>74</v>
      </c>
      <c r="I304" t="s">
        <v>35</v>
      </c>
      <c r="J304" s="7" t="str">
        <f t="shared" si="21"/>
        <v>High</v>
      </c>
      <c r="K304" s="4">
        <v>2071.1</v>
      </c>
      <c r="L304" s="4">
        <v>2071.1</v>
      </c>
      <c r="M304" s="4">
        <v>0.129</v>
      </c>
      <c r="N304" s="4">
        <v>22</v>
      </c>
      <c r="O304" s="4">
        <f t="shared" si="22"/>
        <v>18252.954719999998</v>
      </c>
    </row>
    <row r="305" spans="1:15" x14ac:dyDescent="0.3">
      <c r="A305" s="11">
        <v>45665</v>
      </c>
      <c r="B305" s="4" t="str">
        <f>TEXT(Data!B305,"MMM-YYYY")</f>
        <v>Jun-2024</v>
      </c>
      <c r="C305" s="4" t="str">
        <f t="shared" si="23"/>
        <v>Jan-2025</v>
      </c>
      <c r="D305" s="12">
        <f t="shared" si="24"/>
        <v>45665</v>
      </c>
      <c r="E305" s="4" t="str">
        <f t="shared" si="20"/>
        <v>Q1-2025</v>
      </c>
      <c r="F305" t="s">
        <v>78</v>
      </c>
      <c r="G305" t="s">
        <v>108</v>
      </c>
      <c r="H305" t="s">
        <v>152</v>
      </c>
      <c r="I305" t="s">
        <v>42</v>
      </c>
      <c r="J305" s="7" t="str">
        <f t="shared" si="21"/>
        <v>High</v>
      </c>
      <c r="K305" s="4">
        <v>979.84</v>
      </c>
      <c r="L305" s="4">
        <v>979.84</v>
      </c>
      <c r="M305" s="4">
        <v>0.17399999999999999</v>
      </c>
      <c r="N305" s="4">
        <v>10</v>
      </c>
      <c r="O305" s="4">
        <f t="shared" si="22"/>
        <v>26053.196400000001</v>
      </c>
    </row>
    <row r="306" spans="1:15" x14ac:dyDescent="0.3">
      <c r="A306" s="11">
        <v>45666</v>
      </c>
      <c r="B306" s="4" t="str">
        <f>TEXT(Data!B306,"MMM-YYYY")</f>
        <v>Apr-2025</v>
      </c>
      <c r="C306" s="4" t="str">
        <f t="shared" si="23"/>
        <v>Jan-2025</v>
      </c>
      <c r="D306" s="12">
        <f t="shared" si="24"/>
        <v>45666</v>
      </c>
      <c r="E306" s="4" t="str">
        <f t="shared" si="20"/>
        <v>Q1-2025</v>
      </c>
      <c r="F306" t="s">
        <v>16</v>
      </c>
      <c r="G306" t="s">
        <v>17</v>
      </c>
      <c r="H306" t="s">
        <v>18</v>
      </c>
      <c r="I306" t="s">
        <v>57</v>
      </c>
      <c r="J306" s="7" t="str">
        <f t="shared" si="21"/>
        <v>High</v>
      </c>
      <c r="K306" s="4">
        <v>537.39</v>
      </c>
      <c r="L306" s="4">
        <v>537.39</v>
      </c>
      <c r="M306" s="4">
        <v>0.08</v>
      </c>
      <c r="N306" s="4">
        <v>12</v>
      </c>
      <c r="O306" s="4">
        <f t="shared" si="22"/>
        <v>2496.5855999999999</v>
      </c>
    </row>
    <row r="307" spans="1:15" x14ac:dyDescent="0.3">
      <c r="A307" s="11">
        <v>45667</v>
      </c>
      <c r="B307" s="4" t="str">
        <f>TEXT(Data!B307,"MMM-YYYY")</f>
        <v>Mar-2025</v>
      </c>
      <c r="C307" s="4" t="str">
        <f t="shared" si="23"/>
        <v>Jan-2025</v>
      </c>
      <c r="D307" s="12">
        <f t="shared" si="24"/>
        <v>45667</v>
      </c>
      <c r="E307" s="4" t="str">
        <f t="shared" si="20"/>
        <v>Q1-2025</v>
      </c>
      <c r="F307" t="s">
        <v>78</v>
      </c>
      <c r="G307" t="s">
        <v>90</v>
      </c>
      <c r="H307" t="s">
        <v>138</v>
      </c>
      <c r="I307" t="s">
        <v>64</v>
      </c>
      <c r="J307" s="7" t="str">
        <f t="shared" si="21"/>
        <v>High</v>
      </c>
      <c r="K307" s="4">
        <v>213.32</v>
      </c>
      <c r="L307" s="4">
        <v>213.32</v>
      </c>
      <c r="M307" s="4">
        <v>3.7999999999999999E-2</v>
      </c>
      <c r="N307" s="4">
        <v>8</v>
      </c>
      <c r="O307" s="4">
        <f t="shared" si="22"/>
        <v>6818.0403199999992</v>
      </c>
    </row>
    <row r="308" spans="1:15" x14ac:dyDescent="0.3">
      <c r="A308" s="11">
        <v>45668</v>
      </c>
      <c r="B308" s="4" t="str">
        <f>TEXT(Data!B308,"MMM-YYYY")</f>
        <v>May-2025</v>
      </c>
      <c r="C308" s="4" t="str">
        <f t="shared" si="23"/>
        <v>Jan-2025</v>
      </c>
      <c r="D308" s="12">
        <f t="shared" si="24"/>
        <v>45668</v>
      </c>
      <c r="E308" s="4" t="str">
        <f t="shared" si="20"/>
        <v>Q1-2025</v>
      </c>
      <c r="F308" t="s">
        <v>16</v>
      </c>
      <c r="G308" t="s">
        <v>25</v>
      </c>
      <c r="H308" t="s">
        <v>38</v>
      </c>
      <c r="I308" t="s">
        <v>81</v>
      </c>
      <c r="J308" s="7" t="str">
        <f t="shared" si="21"/>
        <v>High</v>
      </c>
      <c r="K308" s="4">
        <v>1994.67</v>
      </c>
      <c r="L308" s="4">
        <v>1994.67</v>
      </c>
      <c r="M308" s="4">
        <v>0.1</v>
      </c>
      <c r="N308" s="4">
        <v>24</v>
      </c>
      <c r="O308" s="4">
        <f t="shared" si="22"/>
        <v>52560.144000000008</v>
      </c>
    </row>
    <row r="309" spans="1:15" x14ac:dyDescent="0.3">
      <c r="A309" s="11">
        <v>45669</v>
      </c>
      <c r="B309" s="4" t="str">
        <f>TEXT(Data!B309,"MMM-YYYY")</f>
        <v>Jan-2025</v>
      </c>
      <c r="C309" s="4" t="str">
        <f t="shared" si="23"/>
        <v>Jan-2025</v>
      </c>
      <c r="D309" s="12">
        <f t="shared" si="24"/>
        <v>45669</v>
      </c>
      <c r="E309" s="4" t="str">
        <f t="shared" si="20"/>
        <v>Q1-2025</v>
      </c>
      <c r="F309" t="s">
        <v>52</v>
      </c>
      <c r="G309" t="s">
        <v>122</v>
      </c>
      <c r="H309" t="s">
        <v>387</v>
      </c>
      <c r="I309" t="s">
        <v>35</v>
      </c>
      <c r="J309" s="7" t="str">
        <f t="shared" si="21"/>
        <v>High</v>
      </c>
      <c r="K309" s="4">
        <v>552.84</v>
      </c>
      <c r="L309" s="4">
        <v>552.84</v>
      </c>
      <c r="M309" s="4">
        <v>0.17599999999999999</v>
      </c>
      <c r="N309" s="4">
        <v>8</v>
      </c>
      <c r="O309" s="4">
        <f t="shared" si="22"/>
        <v>7609.4092799999999</v>
      </c>
    </row>
    <row r="310" spans="1:15" x14ac:dyDescent="0.3">
      <c r="A310" s="11">
        <v>45670</v>
      </c>
      <c r="B310" s="4" t="str">
        <f>TEXT(Data!B310,"MMM-YYYY")</f>
        <v>Jan-2023</v>
      </c>
      <c r="C310" s="4" t="str">
        <f t="shared" si="23"/>
        <v>Jan-2025</v>
      </c>
      <c r="D310" s="12">
        <f t="shared" si="24"/>
        <v>45670</v>
      </c>
      <c r="E310" s="4" t="str">
        <f t="shared" si="20"/>
        <v>Q1-2025</v>
      </c>
      <c r="F310" t="s">
        <v>45</v>
      </c>
      <c r="G310" t="s">
        <v>46</v>
      </c>
      <c r="H310" t="s">
        <v>214</v>
      </c>
      <c r="I310" t="s">
        <v>30</v>
      </c>
      <c r="J310" s="7" t="str">
        <f t="shared" si="21"/>
        <v>High</v>
      </c>
      <c r="K310" s="4">
        <v>224.95</v>
      </c>
      <c r="L310" s="4">
        <v>224.95</v>
      </c>
      <c r="M310" s="4">
        <v>0.153</v>
      </c>
      <c r="N310" s="4">
        <v>28</v>
      </c>
      <c r="O310" s="4">
        <f t="shared" si="22"/>
        <v>26941.13884</v>
      </c>
    </row>
    <row r="311" spans="1:15" x14ac:dyDescent="0.3">
      <c r="A311" s="11">
        <v>45671</v>
      </c>
      <c r="B311" s="4" t="str">
        <f>TEXT(Data!B311,"MMM-YYYY")</f>
        <v>Dec-2024</v>
      </c>
      <c r="C311" s="4" t="str">
        <f t="shared" si="23"/>
        <v>Jan-2025</v>
      </c>
      <c r="D311" s="12">
        <f t="shared" si="24"/>
        <v>45671</v>
      </c>
      <c r="E311" s="4" t="str">
        <f t="shared" si="20"/>
        <v>Q1-2025</v>
      </c>
      <c r="F311" t="s">
        <v>78</v>
      </c>
      <c r="G311" t="s">
        <v>90</v>
      </c>
      <c r="H311" t="s">
        <v>138</v>
      </c>
      <c r="I311" t="s">
        <v>57</v>
      </c>
      <c r="J311" s="7" t="str">
        <f t="shared" si="21"/>
        <v>High</v>
      </c>
      <c r="K311" s="4">
        <v>772.09</v>
      </c>
      <c r="L311" s="4">
        <v>772.09</v>
      </c>
      <c r="M311" s="4">
        <v>8.8999999999999996E-2</v>
      </c>
      <c r="N311" s="4">
        <v>14</v>
      </c>
      <c r="O311" s="4">
        <f t="shared" si="22"/>
        <v>35096.967360000002</v>
      </c>
    </row>
    <row r="312" spans="1:15" x14ac:dyDescent="0.3">
      <c r="A312" s="11">
        <v>45672</v>
      </c>
      <c r="B312" s="4" t="str">
        <f>TEXT(Data!B312,"MMM-YYYY")</f>
        <v>May-2024</v>
      </c>
      <c r="C312" s="4" t="str">
        <f t="shared" si="23"/>
        <v>Jan-2025</v>
      </c>
      <c r="D312" s="12">
        <f t="shared" si="24"/>
        <v>45672</v>
      </c>
      <c r="E312" s="4" t="str">
        <f t="shared" si="20"/>
        <v>Q1-2025</v>
      </c>
      <c r="F312" t="s">
        <v>78</v>
      </c>
      <c r="G312" t="s">
        <v>108</v>
      </c>
      <c r="H312" t="s">
        <v>228</v>
      </c>
      <c r="I312" t="s">
        <v>64</v>
      </c>
      <c r="J312" s="7" t="str">
        <f t="shared" si="21"/>
        <v>High</v>
      </c>
      <c r="K312" s="4">
        <v>3149.21</v>
      </c>
      <c r="L312" s="4">
        <v>3149.21</v>
      </c>
      <c r="M312" s="4">
        <v>0.185</v>
      </c>
      <c r="N312" s="4">
        <v>12</v>
      </c>
      <c r="O312" s="4">
        <f t="shared" si="22"/>
        <v>13444.761599999998</v>
      </c>
    </row>
    <row r="313" spans="1:15" x14ac:dyDescent="0.3">
      <c r="A313" s="11">
        <v>45673</v>
      </c>
      <c r="B313" s="4" t="str">
        <f>TEXT(Data!B313,"MMM-YYYY")</f>
        <v>Jun-2023</v>
      </c>
      <c r="C313" s="4" t="str">
        <f t="shared" si="23"/>
        <v>Jan-2025</v>
      </c>
      <c r="D313" s="12">
        <f t="shared" si="24"/>
        <v>45673</v>
      </c>
      <c r="E313" s="4" t="str">
        <f t="shared" si="20"/>
        <v>Q1-2025</v>
      </c>
      <c r="F313" t="s">
        <v>52</v>
      </c>
      <c r="G313" t="s">
        <v>73</v>
      </c>
      <c r="H313" t="s">
        <v>225</v>
      </c>
      <c r="I313" t="s">
        <v>35</v>
      </c>
      <c r="J313" s="7" t="str">
        <f t="shared" si="21"/>
        <v>Medium</v>
      </c>
      <c r="K313" s="4">
        <v>57.53</v>
      </c>
      <c r="L313" s="4">
        <v>57.53</v>
      </c>
      <c r="M313" s="4">
        <v>4.4999999999999998E-2</v>
      </c>
      <c r="N313" s="4">
        <v>16</v>
      </c>
      <c r="O313" s="4">
        <f t="shared" si="22"/>
        <v>20144.693599999999</v>
      </c>
    </row>
    <row r="314" spans="1:15" x14ac:dyDescent="0.3">
      <c r="A314" s="11">
        <v>45674</v>
      </c>
      <c r="B314" s="4" t="str">
        <f>TEXT(Data!B314,"MMM-YYYY")</f>
        <v>Nov-2024</v>
      </c>
      <c r="C314" s="4" t="str">
        <f t="shared" si="23"/>
        <v>Jan-2025</v>
      </c>
      <c r="D314" s="12">
        <f t="shared" si="24"/>
        <v>45674</v>
      </c>
      <c r="E314" s="4" t="str">
        <f t="shared" si="20"/>
        <v>Q1-2025</v>
      </c>
      <c r="F314" t="s">
        <v>52</v>
      </c>
      <c r="G314" t="s">
        <v>53</v>
      </c>
      <c r="H314" t="s">
        <v>54</v>
      </c>
      <c r="I314" t="s">
        <v>81</v>
      </c>
      <c r="J314" s="7" t="str">
        <f t="shared" si="21"/>
        <v>High</v>
      </c>
      <c r="K314" s="4">
        <v>824.81</v>
      </c>
      <c r="L314" s="4">
        <v>824.81</v>
      </c>
      <c r="M314" s="4">
        <v>8.7999999999999995E-2</v>
      </c>
      <c r="N314" s="4">
        <v>15</v>
      </c>
      <c r="O314" s="4">
        <f t="shared" si="22"/>
        <v>6043.0032000000001</v>
      </c>
    </row>
    <row r="315" spans="1:15" x14ac:dyDescent="0.3">
      <c r="A315" s="11">
        <v>45675</v>
      </c>
      <c r="B315" s="4" t="str">
        <f>TEXT(Data!B315,"MMM-YYYY")</f>
        <v>Jun-2024</v>
      </c>
      <c r="C315" s="4" t="str">
        <f t="shared" si="23"/>
        <v>Jan-2025</v>
      </c>
      <c r="D315" s="12">
        <f t="shared" si="24"/>
        <v>45675</v>
      </c>
      <c r="E315" s="4" t="str">
        <f t="shared" si="20"/>
        <v>Q1-2025</v>
      </c>
      <c r="F315" t="s">
        <v>78</v>
      </c>
      <c r="G315" t="s">
        <v>108</v>
      </c>
      <c r="H315" t="s">
        <v>152</v>
      </c>
      <c r="I315" t="s">
        <v>30</v>
      </c>
      <c r="J315" s="7" t="str">
        <f t="shared" si="21"/>
        <v>High</v>
      </c>
      <c r="K315" s="4">
        <v>1493.53</v>
      </c>
      <c r="L315" s="4">
        <v>1493.53</v>
      </c>
      <c r="M315" s="4">
        <v>0</v>
      </c>
      <c r="N315" s="4">
        <v>27</v>
      </c>
      <c r="O315" s="4">
        <f t="shared" si="22"/>
        <v>35911.89</v>
      </c>
    </row>
    <row r="316" spans="1:15" x14ac:dyDescent="0.3">
      <c r="A316" s="11">
        <v>45676</v>
      </c>
      <c r="B316" s="4" t="str">
        <f>TEXT(Data!B316,"MMM-YYYY")</f>
        <v>Jun-2025</v>
      </c>
      <c r="C316" s="4" t="str">
        <f t="shared" si="23"/>
        <v>Jan-2025</v>
      </c>
      <c r="D316" s="12">
        <f t="shared" si="24"/>
        <v>45676</v>
      </c>
      <c r="E316" s="4" t="str">
        <f t="shared" si="20"/>
        <v>Q1-2025</v>
      </c>
      <c r="F316" t="s">
        <v>16</v>
      </c>
      <c r="G316" t="s">
        <v>148</v>
      </c>
      <c r="H316" t="s">
        <v>172</v>
      </c>
      <c r="I316" t="s">
        <v>64</v>
      </c>
      <c r="J316" s="7" t="str">
        <f t="shared" si="21"/>
        <v>High</v>
      </c>
      <c r="K316" s="4">
        <v>741.92</v>
      </c>
      <c r="L316" s="4">
        <v>741.92</v>
      </c>
      <c r="M316" s="4">
        <v>3.1E-2</v>
      </c>
      <c r="N316" s="4">
        <v>7</v>
      </c>
      <c r="O316" s="4">
        <f t="shared" si="22"/>
        <v>11089.255379999999</v>
      </c>
    </row>
    <row r="317" spans="1:15" x14ac:dyDescent="0.3">
      <c r="A317" s="11">
        <v>45677</v>
      </c>
      <c r="B317" s="4" t="str">
        <f>TEXT(Data!B317,"MMM-YYYY")</f>
        <v>May-2023</v>
      </c>
      <c r="C317" s="4" t="str">
        <f t="shared" si="23"/>
        <v>Jan-2025</v>
      </c>
      <c r="D317" s="12">
        <f t="shared" si="24"/>
        <v>45677</v>
      </c>
      <c r="E317" s="4" t="str">
        <f t="shared" si="20"/>
        <v>Q1-2025</v>
      </c>
      <c r="F317" t="s">
        <v>78</v>
      </c>
      <c r="G317" t="s">
        <v>90</v>
      </c>
      <c r="H317" t="s">
        <v>217</v>
      </c>
      <c r="I317" t="s">
        <v>22</v>
      </c>
      <c r="J317" s="7" t="str">
        <f t="shared" si="21"/>
        <v>High</v>
      </c>
      <c r="K317" s="4">
        <v>742.23</v>
      </c>
      <c r="L317" s="4">
        <v>742.23</v>
      </c>
      <c r="M317" s="4">
        <v>0.09</v>
      </c>
      <c r="N317" s="4">
        <v>13</v>
      </c>
      <c r="O317" s="4">
        <f t="shared" si="22"/>
        <v>835.19799999999998</v>
      </c>
    </row>
    <row r="318" spans="1:15" x14ac:dyDescent="0.3">
      <c r="A318" s="11">
        <v>45678</v>
      </c>
      <c r="B318" s="4" t="str">
        <f>TEXT(Data!B318,"MMM-YYYY")</f>
        <v>Nov-2023</v>
      </c>
      <c r="C318" s="4" t="str">
        <f t="shared" si="23"/>
        <v>Jan-2025</v>
      </c>
      <c r="D318" s="12">
        <f t="shared" si="24"/>
        <v>45678</v>
      </c>
      <c r="E318" s="4" t="str">
        <f t="shared" si="20"/>
        <v>Q1-2025</v>
      </c>
      <c r="F318" t="s">
        <v>45</v>
      </c>
      <c r="G318" t="s">
        <v>46</v>
      </c>
      <c r="H318" t="s">
        <v>47</v>
      </c>
      <c r="I318" t="s">
        <v>42</v>
      </c>
      <c r="J318" s="7" t="str">
        <f t="shared" si="21"/>
        <v>High</v>
      </c>
      <c r="K318" s="4">
        <v>479.54</v>
      </c>
      <c r="L318" s="4">
        <v>479.54</v>
      </c>
      <c r="M318" s="4">
        <v>0.14099999999999999</v>
      </c>
      <c r="N318" s="4">
        <v>22</v>
      </c>
      <c r="O318" s="4">
        <f t="shared" si="22"/>
        <v>34451.80992</v>
      </c>
    </row>
    <row r="319" spans="1:15" x14ac:dyDescent="0.3">
      <c r="A319" s="11">
        <v>45679</v>
      </c>
      <c r="B319" s="4" t="str">
        <f>TEXT(Data!B319,"MMM-YYYY")</f>
        <v>Apr-2025</v>
      </c>
      <c r="C319" s="4" t="str">
        <f t="shared" si="23"/>
        <v>Jan-2025</v>
      </c>
      <c r="D319" s="12">
        <f t="shared" si="24"/>
        <v>45679</v>
      </c>
      <c r="E319" s="4" t="str">
        <f t="shared" si="20"/>
        <v>Q1-2025</v>
      </c>
      <c r="F319" t="s">
        <v>52</v>
      </c>
      <c r="G319" t="s">
        <v>73</v>
      </c>
      <c r="H319" t="s">
        <v>74</v>
      </c>
      <c r="I319" t="s">
        <v>35</v>
      </c>
      <c r="J319" s="7" t="str">
        <f t="shared" si="21"/>
        <v>High</v>
      </c>
      <c r="K319" s="4">
        <v>1175.25</v>
      </c>
      <c r="L319" s="4">
        <v>1175.25</v>
      </c>
      <c r="M319" s="4">
        <v>7.4999999999999997E-2</v>
      </c>
      <c r="N319" s="4">
        <v>15</v>
      </c>
      <c r="O319" s="4">
        <f t="shared" si="22"/>
        <v>27971.861250000002</v>
      </c>
    </row>
    <row r="320" spans="1:15" x14ac:dyDescent="0.3">
      <c r="A320" s="11">
        <v>45680</v>
      </c>
      <c r="B320" s="4" t="str">
        <f>TEXT(Data!B320,"MMM-YYYY")</f>
        <v>Mar-2023</v>
      </c>
      <c r="C320" s="4" t="str">
        <f t="shared" si="23"/>
        <v>Jan-2025</v>
      </c>
      <c r="D320" s="12">
        <f t="shared" si="24"/>
        <v>45680</v>
      </c>
      <c r="E320" s="4" t="str">
        <f t="shared" si="20"/>
        <v>Q1-2025</v>
      </c>
      <c r="F320" t="s">
        <v>52</v>
      </c>
      <c r="G320" t="s">
        <v>122</v>
      </c>
      <c r="H320" t="s">
        <v>167</v>
      </c>
      <c r="I320" t="s">
        <v>64</v>
      </c>
      <c r="J320" s="7" t="str">
        <f t="shared" si="21"/>
        <v>High</v>
      </c>
      <c r="K320" s="4">
        <v>227.45</v>
      </c>
      <c r="L320" s="4">
        <v>227.45</v>
      </c>
      <c r="M320" s="4">
        <v>1.4E-2</v>
      </c>
      <c r="N320" s="4">
        <v>13</v>
      </c>
      <c r="O320" s="4">
        <f t="shared" si="22"/>
        <v>3129.2583399999999</v>
      </c>
    </row>
    <row r="321" spans="1:15" x14ac:dyDescent="0.3">
      <c r="A321" s="11">
        <v>45681</v>
      </c>
      <c r="B321" s="4" t="str">
        <f>TEXT(Data!B321,"MMM-YYYY")</f>
        <v>May-2024</v>
      </c>
      <c r="C321" s="4" t="str">
        <f t="shared" si="23"/>
        <v>Jan-2025</v>
      </c>
      <c r="D321" s="12">
        <f t="shared" si="24"/>
        <v>45681</v>
      </c>
      <c r="E321" s="4" t="str">
        <f t="shared" si="20"/>
        <v>Q1-2025</v>
      </c>
      <c r="F321" t="s">
        <v>16</v>
      </c>
      <c r="G321" t="s">
        <v>17</v>
      </c>
      <c r="H321" t="s">
        <v>113</v>
      </c>
      <c r="I321" t="s">
        <v>81</v>
      </c>
      <c r="J321" s="7" t="str">
        <f t="shared" si="21"/>
        <v>High</v>
      </c>
      <c r="K321" s="4">
        <v>1178.6199999999999</v>
      </c>
      <c r="L321" s="4">
        <v>1178.6199999999999</v>
      </c>
      <c r="M321" s="4">
        <v>0.151</v>
      </c>
      <c r="N321" s="4">
        <v>53</v>
      </c>
      <c r="O321" s="4">
        <f t="shared" si="22"/>
        <v>125232.05063999999</v>
      </c>
    </row>
    <row r="322" spans="1:15" x14ac:dyDescent="0.3">
      <c r="A322" s="11">
        <v>45682</v>
      </c>
      <c r="B322" s="4" t="str">
        <f>TEXT(Data!B322,"MMM-YYYY")</f>
        <v>Jan-2024</v>
      </c>
      <c r="C322" s="4" t="str">
        <f t="shared" si="23"/>
        <v>Jan-2025</v>
      </c>
      <c r="D322" s="12">
        <f t="shared" si="24"/>
        <v>45682</v>
      </c>
      <c r="E322" s="4" t="str">
        <f t="shared" ref="E322:E385" si="25">"Q"&amp;ROUNDUP(MONTH(A322)/3,0)&amp;"-"&amp;YEAR(A322)</f>
        <v>Q1-2025</v>
      </c>
      <c r="F322" t="s">
        <v>78</v>
      </c>
      <c r="G322" t="s">
        <v>79</v>
      </c>
      <c r="H322" t="s">
        <v>335</v>
      </c>
      <c r="I322" t="s">
        <v>42</v>
      </c>
      <c r="J322" s="7" t="str">
        <f t="shared" ref="J322:J385" si="26">IF(K322&lt;50, "Low", IF(K322&lt;200, "Medium", "High"))</f>
        <v>High</v>
      </c>
      <c r="K322" s="4">
        <v>2422.1</v>
      </c>
      <c r="L322" s="4">
        <v>2422.1</v>
      </c>
      <c r="M322" s="4">
        <v>7.5999999999999998E-2</v>
      </c>
      <c r="N322" s="4">
        <v>10</v>
      </c>
      <c r="O322" s="4">
        <f t="shared" ref="O322:O385" si="27">(L348*N322)*(1-M322)</f>
        <v>18944.864399999999</v>
      </c>
    </row>
    <row r="323" spans="1:15" x14ac:dyDescent="0.3">
      <c r="A323" s="11">
        <v>45683</v>
      </c>
      <c r="B323" s="4" t="str">
        <f>TEXT(Data!B323,"MMM-YYYY")</f>
        <v>Feb-2023</v>
      </c>
      <c r="C323" s="4" t="str">
        <f t="shared" ref="C323:C386" si="28">TEXT(D323, "MMM-YYYY")</f>
        <v>Jan-2025</v>
      </c>
      <c r="D323" s="12">
        <f t="shared" ref="D323:D386" si="29">_xlfn.MINIFS(A323:A323, G323:G323,G323)</f>
        <v>45683</v>
      </c>
      <c r="E323" s="4" t="str">
        <f t="shared" si="25"/>
        <v>Q1-2025</v>
      </c>
      <c r="F323" t="s">
        <v>52</v>
      </c>
      <c r="G323" t="s">
        <v>122</v>
      </c>
      <c r="H323" t="s">
        <v>123</v>
      </c>
      <c r="I323" t="s">
        <v>35</v>
      </c>
      <c r="J323" s="7" t="str">
        <f t="shared" si="26"/>
        <v>High</v>
      </c>
      <c r="K323" s="4">
        <v>433.88</v>
      </c>
      <c r="L323" s="4">
        <v>433.88</v>
      </c>
      <c r="M323" s="4">
        <v>0.215</v>
      </c>
      <c r="N323" s="4">
        <v>22</v>
      </c>
      <c r="O323" s="4">
        <f t="shared" si="27"/>
        <v>2540.7624000000005</v>
      </c>
    </row>
    <row r="324" spans="1:15" x14ac:dyDescent="0.3">
      <c r="A324" s="11">
        <v>45684</v>
      </c>
      <c r="B324" s="4" t="str">
        <f>TEXT(Data!B324,"MMM-YYYY")</f>
        <v>Feb-2024</v>
      </c>
      <c r="C324" s="4" t="str">
        <f t="shared" si="28"/>
        <v>Jan-2025</v>
      </c>
      <c r="D324" s="12">
        <f t="shared" si="29"/>
        <v>45684</v>
      </c>
      <c r="E324" s="4" t="str">
        <f t="shared" si="25"/>
        <v>Q1-2025</v>
      </c>
      <c r="F324" t="s">
        <v>78</v>
      </c>
      <c r="G324" t="s">
        <v>90</v>
      </c>
      <c r="H324" t="s">
        <v>91</v>
      </c>
      <c r="I324" t="s">
        <v>35</v>
      </c>
      <c r="J324" s="7" t="str">
        <f t="shared" si="26"/>
        <v>High</v>
      </c>
      <c r="K324" s="4">
        <v>3149.13</v>
      </c>
      <c r="L324" s="4">
        <v>3149.13</v>
      </c>
      <c r="M324" s="4">
        <v>0.10299999999999999</v>
      </c>
      <c r="N324" s="4">
        <v>14</v>
      </c>
      <c r="O324" s="4">
        <f t="shared" si="27"/>
        <v>24902.262840000003</v>
      </c>
    </row>
    <row r="325" spans="1:15" x14ac:dyDescent="0.3">
      <c r="A325" s="11">
        <v>45685</v>
      </c>
      <c r="B325" s="4" t="str">
        <f>TEXT(Data!B325,"MMM-YYYY")</f>
        <v>Sep-2024</v>
      </c>
      <c r="C325" s="4" t="str">
        <f t="shared" si="28"/>
        <v>Jan-2025</v>
      </c>
      <c r="D325" s="12">
        <f t="shared" si="29"/>
        <v>45685</v>
      </c>
      <c r="E325" s="4" t="str">
        <f t="shared" si="25"/>
        <v>Q1-2025</v>
      </c>
      <c r="F325" t="s">
        <v>52</v>
      </c>
      <c r="G325" t="s">
        <v>73</v>
      </c>
      <c r="H325" t="s">
        <v>74</v>
      </c>
      <c r="I325" t="s">
        <v>22</v>
      </c>
      <c r="J325" s="7" t="str">
        <f t="shared" si="26"/>
        <v>Medium</v>
      </c>
      <c r="K325" s="4">
        <v>65.650000000000006</v>
      </c>
      <c r="L325" s="4">
        <v>65.650000000000006</v>
      </c>
      <c r="M325" s="4">
        <v>0.17599999999999999</v>
      </c>
      <c r="N325" s="4">
        <v>13</v>
      </c>
      <c r="O325" s="4">
        <f t="shared" si="27"/>
        <v>24630.101600000002</v>
      </c>
    </row>
    <row r="326" spans="1:15" x14ac:dyDescent="0.3">
      <c r="A326" s="11">
        <v>45686</v>
      </c>
      <c r="B326" s="4" t="str">
        <f>TEXT(Data!B326,"MMM-YYYY")</f>
        <v>May-2023</v>
      </c>
      <c r="C326" s="4" t="str">
        <f t="shared" si="28"/>
        <v>Jan-2025</v>
      </c>
      <c r="D326" s="12">
        <f t="shared" si="29"/>
        <v>45686</v>
      </c>
      <c r="E326" s="4" t="str">
        <f t="shared" si="25"/>
        <v>Q1-2025</v>
      </c>
      <c r="F326" t="s">
        <v>52</v>
      </c>
      <c r="G326" t="s">
        <v>73</v>
      </c>
      <c r="H326" t="s">
        <v>74</v>
      </c>
      <c r="I326" t="s">
        <v>22</v>
      </c>
      <c r="J326" s="7" t="str">
        <f t="shared" si="26"/>
        <v>High</v>
      </c>
      <c r="K326" s="4">
        <v>2492.14</v>
      </c>
      <c r="L326" s="4">
        <v>2492.14</v>
      </c>
      <c r="M326" s="4">
        <v>5.0999999999999997E-2</v>
      </c>
      <c r="N326" s="4">
        <v>11</v>
      </c>
      <c r="O326" s="4">
        <f t="shared" si="27"/>
        <v>4829.1857899999995</v>
      </c>
    </row>
    <row r="327" spans="1:15" x14ac:dyDescent="0.3">
      <c r="A327" s="11">
        <v>45687</v>
      </c>
      <c r="B327" s="4" t="str">
        <f>TEXT(Data!B327,"MMM-YYYY")</f>
        <v>Jan-2024</v>
      </c>
      <c r="C327" s="4" t="str">
        <f t="shared" si="28"/>
        <v>Jan-2025</v>
      </c>
      <c r="D327" s="12">
        <f t="shared" si="29"/>
        <v>45687</v>
      </c>
      <c r="E327" s="4" t="str">
        <f t="shared" si="25"/>
        <v>Q1-2025</v>
      </c>
      <c r="F327" t="s">
        <v>16</v>
      </c>
      <c r="G327" t="s">
        <v>148</v>
      </c>
      <c r="H327" t="s">
        <v>172</v>
      </c>
      <c r="I327" t="s">
        <v>81</v>
      </c>
      <c r="J327" s="7" t="str">
        <f t="shared" si="26"/>
        <v>High</v>
      </c>
      <c r="K327" s="4">
        <v>931.84</v>
      </c>
      <c r="L327" s="4">
        <v>931.84</v>
      </c>
      <c r="M327" s="4">
        <v>0.121</v>
      </c>
      <c r="N327" s="4">
        <v>12</v>
      </c>
      <c r="O327" s="4">
        <f t="shared" si="27"/>
        <v>11533.077720000001</v>
      </c>
    </row>
    <row r="328" spans="1:15" x14ac:dyDescent="0.3">
      <c r="A328" s="11">
        <v>45688</v>
      </c>
      <c r="B328" s="4" t="str">
        <f>TEXT(Data!B328,"MMM-YYYY")</f>
        <v>Jun-2023</v>
      </c>
      <c r="C328" s="4" t="str">
        <f t="shared" si="28"/>
        <v>Jan-2025</v>
      </c>
      <c r="D328" s="12">
        <f t="shared" si="29"/>
        <v>45688</v>
      </c>
      <c r="E328" s="4" t="str">
        <f t="shared" si="25"/>
        <v>Q1-2025</v>
      </c>
      <c r="F328" t="s">
        <v>45</v>
      </c>
      <c r="G328" t="s">
        <v>60</v>
      </c>
      <c r="H328" t="s">
        <v>281</v>
      </c>
      <c r="I328" t="s">
        <v>22</v>
      </c>
      <c r="J328" s="7" t="str">
        <f t="shared" si="26"/>
        <v>High</v>
      </c>
      <c r="K328" s="4">
        <v>619.51</v>
      </c>
      <c r="L328" s="4">
        <v>619.51</v>
      </c>
      <c r="M328" s="4">
        <v>4.2000000000000003E-2</v>
      </c>
      <c r="N328" s="4">
        <v>4</v>
      </c>
      <c r="O328" s="4">
        <f t="shared" si="27"/>
        <v>5572.5710399999998</v>
      </c>
    </row>
    <row r="329" spans="1:15" x14ac:dyDescent="0.3">
      <c r="A329" s="11">
        <v>45689</v>
      </c>
      <c r="B329" s="4" t="str">
        <f>TEXT(Data!B329,"MMM-YYYY")</f>
        <v>May-2025</v>
      </c>
      <c r="C329" s="4" t="str">
        <f t="shared" si="28"/>
        <v>Feb-2025</v>
      </c>
      <c r="D329" s="12">
        <f t="shared" si="29"/>
        <v>45689</v>
      </c>
      <c r="E329" s="4" t="str">
        <f t="shared" si="25"/>
        <v>Q1-2025</v>
      </c>
      <c r="F329" t="s">
        <v>16</v>
      </c>
      <c r="G329" t="s">
        <v>17</v>
      </c>
      <c r="H329" t="s">
        <v>135</v>
      </c>
      <c r="I329" t="s">
        <v>42</v>
      </c>
      <c r="J329" s="7" t="str">
        <f t="shared" si="26"/>
        <v>High</v>
      </c>
      <c r="K329" s="4">
        <v>1421.55</v>
      </c>
      <c r="L329" s="4">
        <v>1421.55</v>
      </c>
      <c r="M329" s="4">
        <v>0.109</v>
      </c>
      <c r="N329" s="4">
        <v>3</v>
      </c>
      <c r="O329" s="4">
        <f t="shared" si="27"/>
        <v>5667.829200000001</v>
      </c>
    </row>
    <row r="330" spans="1:15" x14ac:dyDescent="0.3">
      <c r="A330" s="11">
        <v>45690</v>
      </c>
      <c r="B330" s="4" t="str">
        <f>TEXT(Data!B330,"MMM-YYYY")</f>
        <v>Oct-2023</v>
      </c>
      <c r="C330" s="4" t="str">
        <f t="shared" si="28"/>
        <v>Feb-2025</v>
      </c>
      <c r="D330" s="12">
        <f t="shared" si="29"/>
        <v>45690</v>
      </c>
      <c r="E330" s="4" t="str">
        <f t="shared" si="25"/>
        <v>Q1-2025</v>
      </c>
      <c r="F330" t="s">
        <v>52</v>
      </c>
      <c r="G330" t="s">
        <v>73</v>
      </c>
      <c r="H330" t="s">
        <v>74</v>
      </c>
      <c r="I330" t="s">
        <v>64</v>
      </c>
      <c r="J330" s="7" t="str">
        <f t="shared" si="26"/>
        <v>High</v>
      </c>
      <c r="K330" s="4">
        <v>952.56</v>
      </c>
      <c r="L330" s="4">
        <v>952.56</v>
      </c>
      <c r="M330" s="4">
        <v>0.34599999999999997</v>
      </c>
      <c r="N330" s="4">
        <v>10</v>
      </c>
      <c r="O330" s="4">
        <f t="shared" si="27"/>
        <v>841.56720000000018</v>
      </c>
    </row>
    <row r="331" spans="1:15" x14ac:dyDescent="0.3">
      <c r="A331" s="11">
        <v>45691</v>
      </c>
      <c r="B331" s="4" t="str">
        <f>TEXT(Data!B331,"MMM-YYYY")</f>
        <v>Jan-2025</v>
      </c>
      <c r="C331" s="4" t="str">
        <f t="shared" si="28"/>
        <v>Feb-2025</v>
      </c>
      <c r="D331" s="12">
        <f t="shared" si="29"/>
        <v>45691</v>
      </c>
      <c r="E331" s="4" t="str">
        <f t="shared" si="25"/>
        <v>Q1-2025</v>
      </c>
      <c r="F331" t="s">
        <v>52</v>
      </c>
      <c r="G331" t="s">
        <v>53</v>
      </c>
      <c r="H331" t="s">
        <v>54</v>
      </c>
      <c r="I331" t="s">
        <v>57</v>
      </c>
      <c r="J331" s="7" t="str">
        <f t="shared" si="26"/>
        <v>High</v>
      </c>
      <c r="K331" s="4">
        <v>3154.14</v>
      </c>
      <c r="L331" s="4">
        <v>3154.14</v>
      </c>
      <c r="M331" s="4">
        <v>0.2</v>
      </c>
      <c r="N331" s="4">
        <v>11</v>
      </c>
      <c r="O331" s="4">
        <f t="shared" si="27"/>
        <v>11668.448000000002</v>
      </c>
    </row>
    <row r="332" spans="1:15" x14ac:dyDescent="0.3">
      <c r="A332" s="11">
        <v>45692</v>
      </c>
      <c r="B332" s="4" t="str">
        <f>TEXT(Data!B332,"MMM-YYYY")</f>
        <v>Sep-2025</v>
      </c>
      <c r="C332" s="4" t="str">
        <f t="shared" si="28"/>
        <v>Feb-2025</v>
      </c>
      <c r="D332" s="12">
        <f t="shared" si="29"/>
        <v>45692</v>
      </c>
      <c r="E332" s="4" t="str">
        <f t="shared" si="25"/>
        <v>Q1-2025</v>
      </c>
      <c r="F332" t="s">
        <v>52</v>
      </c>
      <c r="G332" t="s">
        <v>122</v>
      </c>
      <c r="H332" t="s">
        <v>326</v>
      </c>
      <c r="I332" t="s">
        <v>42</v>
      </c>
      <c r="J332" s="7" t="str">
        <f t="shared" si="26"/>
        <v>High</v>
      </c>
      <c r="K332" s="4">
        <v>226.14</v>
      </c>
      <c r="L332" s="4">
        <v>226.14</v>
      </c>
      <c r="M332" s="4">
        <v>6.5000000000000002E-2</v>
      </c>
      <c r="N332" s="4">
        <v>12</v>
      </c>
      <c r="O332" s="4">
        <f t="shared" si="27"/>
        <v>27369.282600000002</v>
      </c>
    </row>
    <row r="333" spans="1:15" x14ac:dyDescent="0.3">
      <c r="A333" s="11">
        <v>45693</v>
      </c>
      <c r="B333" s="4" t="str">
        <f>TEXT(Data!B333,"MMM-YYYY")</f>
        <v>Aug-2023</v>
      </c>
      <c r="C333" s="4" t="str">
        <f t="shared" si="28"/>
        <v>Feb-2025</v>
      </c>
      <c r="D333" s="12">
        <f t="shared" si="29"/>
        <v>45693</v>
      </c>
      <c r="E333" s="4" t="str">
        <f t="shared" si="25"/>
        <v>Q1-2025</v>
      </c>
      <c r="F333" t="s">
        <v>78</v>
      </c>
      <c r="G333" t="s">
        <v>108</v>
      </c>
      <c r="H333" t="s">
        <v>152</v>
      </c>
      <c r="I333" t="s">
        <v>35</v>
      </c>
      <c r="J333" s="7" t="str">
        <f t="shared" si="26"/>
        <v>High</v>
      </c>
      <c r="K333" s="4">
        <v>885.92</v>
      </c>
      <c r="L333" s="4">
        <v>885.92</v>
      </c>
      <c r="M333" s="4">
        <v>0.23899999999999999</v>
      </c>
      <c r="N333" s="4">
        <v>13</v>
      </c>
      <c r="O333" s="4">
        <f t="shared" si="27"/>
        <v>21779.835220000001</v>
      </c>
    </row>
    <row r="334" spans="1:15" x14ac:dyDescent="0.3">
      <c r="A334" s="11">
        <v>45694</v>
      </c>
      <c r="B334" s="4" t="str">
        <f>TEXT(Data!B334,"MMM-YYYY")</f>
        <v>Nov-2023</v>
      </c>
      <c r="C334" s="4" t="str">
        <f t="shared" si="28"/>
        <v>Feb-2025</v>
      </c>
      <c r="D334" s="12">
        <f t="shared" si="29"/>
        <v>45694</v>
      </c>
      <c r="E334" s="4" t="str">
        <f t="shared" si="25"/>
        <v>Q1-2025</v>
      </c>
      <c r="F334" t="s">
        <v>45</v>
      </c>
      <c r="G334" t="s">
        <v>60</v>
      </c>
      <c r="H334" t="s">
        <v>141</v>
      </c>
      <c r="I334" t="s">
        <v>81</v>
      </c>
      <c r="J334" s="7" t="str">
        <f t="shared" si="26"/>
        <v>High</v>
      </c>
      <c r="K334" s="4">
        <v>2433.34</v>
      </c>
      <c r="L334" s="4">
        <v>2433.34</v>
      </c>
      <c r="M334" s="4">
        <v>0.27</v>
      </c>
      <c r="N334" s="4">
        <v>4</v>
      </c>
      <c r="O334" s="4">
        <f t="shared" si="27"/>
        <v>2377.9312</v>
      </c>
    </row>
    <row r="335" spans="1:15" x14ac:dyDescent="0.3">
      <c r="A335" s="11">
        <v>45695</v>
      </c>
      <c r="B335" s="4" t="str">
        <f>TEXT(Data!B335,"MMM-YYYY")</f>
        <v>Apr-2025</v>
      </c>
      <c r="C335" s="4" t="str">
        <f t="shared" si="28"/>
        <v>Feb-2025</v>
      </c>
      <c r="D335" s="12">
        <f t="shared" si="29"/>
        <v>45695</v>
      </c>
      <c r="E335" s="4" t="str">
        <f t="shared" si="25"/>
        <v>Q1-2025</v>
      </c>
      <c r="F335" t="s">
        <v>78</v>
      </c>
      <c r="G335" t="s">
        <v>108</v>
      </c>
      <c r="H335" t="s">
        <v>228</v>
      </c>
      <c r="I335" t="s">
        <v>81</v>
      </c>
      <c r="J335" s="7" t="str">
        <f t="shared" si="26"/>
        <v>High</v>
      </c>
      <c r="K335" s="4">
        <v>1154.3399999999999</v>
      </c>
      <c r="L335" s="4">
        <v>1154.3399999999999</v>
      </c>
      <c r="M335" s="4">
        <v>2.8000000000000001E-2</v>
      </c>
      <c r="N335" s="4">
        <v>5</v>
      </c>
      <c r="O335" s="4">
        <f t="shared" si="27"/>
        <v>6720.9426000000003</v>
      </c>
    </row>
    <row r="336" spans="1:15" x14ac:dyDescent="0.3">
      <c r="A336" s="11">
        <v>45696</v>
      </c>
      <c r="B336" s="4" t="str">
        <f>TEXT(Data!B336,"MMM-YYYY")</f>
        <v>Apr-2024</v>
      </c>
      <c r="C336" s="4" t="str">
        <f t="shared" si="28"/>
        <v>Feb-2025</v>
      </c>
      <c r="D336" s="12">
        <f t="shared" si="29"/>
        <v>45696</v>
      </c>
      <c r="E336" s="4" t="str">
        <f t="shared" si="25"/>
        <v>Q1-2025</v>
      </c>
      <c r="F336" t="s">
        <v>45</v>
      </c>
      <c r="G336" t="s">
        <v>60</v>
      </c>
      <c r="H336" t="s">
        <v>1364</v>
      </c>
      <c r="I336" t="s">
        <v>42</v>
      </c>
      <c r="J336" s="7" t="str">
        <f t="shared" si="26"/>
        <v>High</v>
      </c>
      <c r="K336" s="4">
        <v>1135.99</v>
      </c>
      <c r="L336" s="4">
        <v>1135.99</v>
      </c>
      <c r="M336" s="4">
        <v>0.14499999999999999</v>
      </c>
      <c r="N336" s="4">
        <v>5</v>
      </c>
      <c r="O336" s="4">
        <f t="shared" si="27"/>
        <v>7038.4882499999994</v>
      </c>
    </row>
    <row r="337" spans="1:15" x14ac:dyDescent="0.3">
      <c r="A337" s="11">
        <v>45697</v>
      </c>
      <c r="B337" s="4" t="str">
        <f>TEXT(Data!B337,"MMM-YYYY")</f>
        <v>Jul-2024</v>
      </c>
      <c r="C337" s="4" t="str">
        <f t="shared" si="28"/>
        <v>Feb-2025</v>
      </c>
      <c r="D337" s="12">
        <f t="shared" si="29"/>
        <v>45697</v>
      </c>
      <c r="E337" s="4" t="str">
        <f t="shared" si="25"/>
        <v>Q1-2025</v>
      </c>
      <c r="F337" t="s">
        <v>78</v>
      </c>
      <c r="G337" t="s">
        <v>90</v>
      </c>
      <c r="H337" t="s">
        <v>138</v>
      </c>
      <c r="I337" t="s">
        <v>30</v>
      </c>
      <c r="J337" s="7" t="str">
        <f t="shared" si="26"/>
        <v>High</v>
      </c>
      <c r="K337" s="4">
        <v>2751.84</v>
      </c>
      <c r="L337" s="4">
        <v>2751.84</v>
      </c>
      <c r="M337" s="4">
        <v>0.158</v>
      </c>
      <c r="N337" s="4">
        <v>7</v>
      </c>
      <c r="O337" s="4">
        <f t="shared" si="27"/>
        <v>2362.5509599999996</v>
      </c>
    </row>
    <row r="338" spans="1:15" x14ac:dyDescent="0.3">
      <c r="A338" s="11">
        <v>45698</v>
      </c>
      <c r="B338" s="4" t="str">
        <f>TEXT(Data!B338,"MMM-YYYY")</f>
        <v>Feb-2024</v>
      </c>
      <c r="C338" s="4" t="str">
        <f t="shared" si="28"/>
        <v>Feb-2025</v>
      </c>
      <c r="D338" s="12">
        <f t="shared" si="29"/>
        <v>45698</v>
      </c>
      <c r="E338" s="4" t="str">
        <f t="shared" si="25"/>
        <v>Q1-2025</v>
      </c>
      <c r="F338" t="s">
        <v>45</v>
      </c>
      <c r="G338" t="s">
        <v>116</v>
      </c>
      <c r="H338" t="s">
        <v>117</v>
      </c>
      <c r="I338" t="s">
        <v>42</v>
      </c>
      <c r="J338" s="7" t="str">
        <f t="shared" si="26"/>
        <v>High</v>
      </c>
      <c r="K338" s="4">
        <v>1374.72</v>
      </c>
      <c r="L338" s="4">
        <v>1374.72</v>
      </c>
      <c r="M338" s="4">
        <v>6.6000000000000003E-2</v>
      </c>
      <c r="N338" s="4">
        <v>22</v>
      </c>
      <c r="O338" s="4">
        <f t="shared" si="27"/>
        <v>36586.946879999996</v>
      </c>
    </row>
    <row r="339" spans="1:15" x14ac:dyDescent="0.3">
      <c r="A339" s="11">
        <v>45699</v>
      </c>
      <c r="B339" s="4" t="str">
        <f>TEXT(Data!B339,"MMM-YYYY")</f>
        <v>Jul-2023</v>
      </c>
      <c r="C339" s="4" t="str">
        <f t="shared" si="28"/>
        <v>Feb-2025</v>
      </c>
      <c r="D339" s="12">
        <f t="shared" si="29"/>
        <v>45699</v>
      </c>
      <c r="E339" s="4" t="str">
        <f t="shared" si="25"/>
        <v>Q1-2025</v>
      </c>
      <c r="F339" t="s">
        <v>52</v>
      </c>
      <c r="G339" t="s">
        <v>73</v>
      </c>
      <c r="H339" t="s">
        <v>1364</v>
      </c>
      <c r="I339" t="s">
        <v>30</v>
      </c>
      <c r="J339" s="7" t="str">
        <f t="shared" si="26"/>
        <v>High</v>
      </c>
      <c r="K339" s="4">
        <v>1318.37</v>
      </c>
      <c r="L339" s="4">
        <v>1318.37</v>
      </c>
      <c r="M339" s="4">
        <v>0.21</v>
      </c>
      <c r="N339" s="4">
        <v>37</v>
      </c>
      <c r="O339" s="4">
        <f t="shared" si="27"/>
        <v>32691.708900000005</v>
      </c>
    </row>
    <row r="340" spans="1:15" x14ac:dyDescent="0.3">
      <c r="A340" s="11">
        <v>45700</v>
      </c>
      <c r="B340" s="4" t="str">
        <f>TEXT(Data!B340,"MMM-YYYY")</f>
        <v>Jul-2023</v>
      </c>
      <c r="C340" s="4" t="str">
        <f t="shared" si="28"/>
        <v>Feb-2025</v>
      </c>
      <c r="D340" s="12">
        <f t="shared" si="29"/>
        <v>45700</v>
      </c>
      <c r="E340" s="4" t="str">
        <f t="shared" si="25"/>
        <v>Q1-2025</v>
      </c>
      <c r="F340" t="s">
        <v>16</v>
      </c>
      <c r="G340" t="s">
        <v>25</v>
      </c>
      <c r="H340" t="s">
        <v>26</v>
      </c>
      <c r="I340" t="s">
        <v>81</v>
      </c>
      <c r="J340" s="7" t="str">
        <f t="shared" si="26"/>
        <v>High</v>
      </c>
      <c r="K340" s="4">
        <v>441.74</v>
      </c>
      <c r="L340" s="4">
        <v>441.74</v>
      </c>
      <c r="M340" s="4">
        <v>0.24</v>
      </c>
      <c r="N340" s="4">
        <v>9</v>
      </c>
      <c r="O340" s="4">
        <f t="shared" si="27"/>
        <v>5274.4607999999998</v>
      </c>
    </row>
    <row r="341" spans="1:15" x14ac:dyDescent="0.3">
      <c r="A341" s="11">
        <v>45701</v>
      </c>
      <c r="B341" s="4" t="str">
        <f>TEXT(Data!B341,"MMM-YYYY")</f>
        <v>Jul-2023</v>
      </c>
      <c r="C341" s="4" t="str">
        <f t="shared" si="28"/>
        <v>Feb-2025</v>
      </c>
      <c r="D341" s="12">
        <f t="shared" si="29"/>
        <v>45701</v>
      </c>
      <c r="E341" s="4" t="str">
        <f t="shared" si="25"/>
        <v>Q1-2025</v>
      </c>
      <c r="F341" t="s">
        <v>16</v>
      </c>
      <c r="G341" t="s">
        <v>148</v>
      </c>
      <c r="H341" t="s">
        <v>172</v>
      </c>
      <c r="I341" t="s">
        <v>64</v>
      </c>
      <c r="J341" s="7" t="str">
        <f t="shared" si="26"/>
        <v>High</v>
      </c>
      <c r="K341" s="4">
        <v>1330.07</v>
      </c>
      <c r="L341" s="4">
        <v>1330.07</v>
      </c>
      <c r="M341" s="4">
        <v>0.29899999999999999</v>
      </c>
      <c r="N341" s="4">
        <v>28</v>
      </c>
      <c r="O341" s="4">
        <f t="shared" si="27"/>
        <v>23750.665119999998</v>
      </c>
    </row>
    <row r="342" spans="1:15" x14ac:dyDescent="0.3">
      <c r="A342" s="11">
        <v>45702</v>
      </c>
      <c r="B342" s="4" t="str">
        <f>TEXT(Data!B342,"MMM-YYYY")</f>
        <v>Apr-2023</v>
      </c>
      <c r="C342" s="4" t="str">
        <f t="shared" si="28"/>
        <v>Feb-2025</v>
      </c>
      <c r="D342" s="12">
        <f t="shared" si="29"/>
        <v>45702</v>
      </c>
      <c r="E342" s="4" t="str">
        <f t="shared" si="25"/>
        <v>Q1-2025</v>
      </c>
      <c r="F342" t="s">
        <v>16</v>
      </c>
      <c r="G342" t="s">
        <v>17</v>
      </c>
      <c r="H342" t="s">
        <v>33</v>
      </c>
      <c r="I342" t="s">
        <v>81</v>
      </c>
      <c r="J342" s="7" t="str">
        <f t="shared" si="26"/>
        <v>High</v>
      </c>
      <c r="K342" s="4">
        <v>1634.86</v>
      </c>
      <c r="L342" s="4">
        <v>1634.86</v>
      </c>
      <c r="M342" s="4">
        <v>0.56499999999999995</v>
      </c>
      <c r="N342" s="4">
        <v>24</v>
      </c>
      <c r="O342" s="4">
        <f t="shared" si="27"/>
        <v>31570.873200000005</v>
      </c>
    </row>
    <row r="343" spans="1:15" x14ac:dyDescent="0.3">
      <c r="A343" s="11">
        <v>45703</v>
      </c>
      <c r="B343" s="4" t="str">
        <f>TEXT(Data!B343,"MMM-YYYY")</f>
        <v>Oct-2024</v>
      </c>
      <c r="C343" s="4" t="str">
        <f t="shared" si="28"/>
        <v>Feb-2025</v>
      </c>
      <c r="D343" s="12">
        <f t="shared" si="29"/>
        <v>45703</v>
      </c>
      <c r="E343" s="4" t="str">
        <f t="shared" si="25"/>
        <v>Q1-2025</v>
      </c>
      <c r="F343" t="s">
        <v>52</v>
      </c>
      <c r="G343" t="s">
        <v>122</v>
      </c>
      <c r="H343" t="s">
        <v>167</v>
      </c>
      <c r="I343" t="s">
        <v>35</v>
      </c>
      <c r="J343" s="7" t="str">
        <f t="shared" si="26"/>
        <v>Medium</v>
      </c>
      <c r="K343" s="4">
        <v>70.599999999999994</v>
      </c>
      <c r="L343" s="4">
        <v>70.599999999999994</v>
      </c>
      <c r="M343" s="4">
        <v>0.28199999999999997</v>
      </c>
      <c r="N343" s="4">
        <v>22</v>
      </c>
      <c r="O343" s="4">
        <f t="shared" si="27"/>
        <v>36385.454160000001</v>
      </c>
    </row>
    <row r="344" spans="1:15" x14ac:dyDescent="0.3">
      <c r="A344" s="11">
        <v>45704</v>
      </c>
      <c r="B344" s="4" t="str">
        <f>TEXT(Data!B344,"MMM-YYYY")</f>
        <v>Feb-2024</v>
      </c>
      <c r="C344" s="4" t="str">
        <f t="shared" si="28"/>
        <v>Feb-2025</v>
      </c>
      <c r="D344" s="12">
        <f t="shared" si="29"/>
        <v>45704</v>
      </c>
      <c r="E344" s="4" t="str">
        <f t="shared" si="25"/>
        <v>Q1-2025</v>
      </c>
      <c r="F344" t="s">
        <v>16</v>
      </c>
      <c r="G344" t="s">
        <v>17</v>
      </c>
      <c r="H344" t="s">
        <v>33</v>
      </c>
      <c r="I344" t="s">
        <v>30</v>
      </c>
      <c r="J344" s="7" t="str">
        <f t="shared" si="26"/>
        <v>High</v>
      </c>
      <c r="K344" s="4">
        <v>1823.04</v>
      </c>
      <c r="L344" s="4">
        <v>1823.04</v>
      </c>
      <c r="M344" s="4">
        <v>0</v>
      </c>
      <c r="N344" s="4">
        <v>11</v>
      </c>
      <c r="O344" s="4">
        <f t="shared" si="27"/>
        <v>33921.800000000003</v>
      </c>
    </row>
    <row r="345" spans="1:15" x14ac:dyDescent="0.3">
      <c r="A345" s="11">
        <v>45705</v>
      </c>
      <c r="B345" s="4" t="str">
        <f>TEXT(Data!B345,"MMM-YYYY")</f>
        <v>Jul-2024</v>
      </c>
      <c r="C345" s="4" t="str">
        <f t="shared" si="28"/>
        <v>Feb-2025</v>
      </c>
      <c r="D345" s="12">
        <f t="shared" si="29"/>
        <v>45705</v>
      </c>
      <c r="E345" s="4" t="str">
        <f t="shared" si="25"/>
        <v>Q1-2025</v>
      </c>
      <c r="F345" t="s">
        <v>45</v>
      </c>
      <c r="G345" t="s">
        <v>60</v>
      </c>
      <c r="H345" t="s">
        <v>141</v>
      </c>
      <c r="I345" t="s">
        <v>42</v>
      </c>
      <c r="J345" s="7" t="str">
        <f t="shared" si="26"/>
        <v>High</v>
      </c>
      <c r="K345" s="4">
        <v>2015.99</v>
      </c>
      <c r="L345" s="4">
        <v>2015.99</v>
      </c>
      <c r="M345" s="4">
        <v>0.26100000000000001</v>
      </c>
      <c r="N345" s="4">
        <v>6</v>
      </c>
      <c r="O345" s="4">
        <f t="shared" si="27"/>
        <v>1430.8961399999998</v>
      </c>
    </row>
    <row r="346" spans="1:15" x14ac:dyDescent="0.3">
      <c r="A346" s="11">
        <v>45706</v>
      </c>
      <c r="B346" s="4" t="str">
        <f>TEXT(Data!B346,"MMM-YYYY")</f>
        <v>Dec-2023</v>
      </c>
      <c r="C346" s="4" t="str">
        <f t="shared" si="28"/>
        <v>Feb-2025</v>
      </c>
      <c r="D346" s="12">
        <f t="shared" si="29"/>
        <v>45706</v>
      </c>
      <c r="E346" s="4" t="str">
        <f t="shared" si="25"/>
        <v>Q1-2025</v>
      </c>
      <c r="F346" t="s">
        <v>45</v>
      </c>
      <c r="G346" t="s">
        <v>46</v>
      </c>
      <c r="H346" t="s">
        <v>231</v>
      </c>
      <c r="I346" t="s">
        <v>35</v>
      </c>
      <c r="J346" s="7" t="str">
        <f t="shared" si="26"/>
        <v>High</v>
      </c>
      <c r="K346" s="4">
        <v>244.13</v>
      </c>
      <c r="L346" s="4">
        <v>244.13</v>
      </c>
      <c r="M346" s="4">
        <v>7.0999999999999994E-2</v>
      </c>
      <c r="N346" s="4">
        <v>14</v>
      </c>
      <c r="O346" s="4">
        <f t="shared" si="27"/>
        <v>9511.1577400000006</v>
      </c>
    </row>
    <row r="347" spans="1:15" x14ac:dyDescent="0.3">
      <c r="A347" s="11">
        <v>45707</v>
      </c>
      <c r="B347" s="4" t="str">
        <f>TEXT(Data!B347,"MMM-YYYY")</f>
        <v>Jul-2024</v>
      </c>
      <c r="C347" s="4" t="str">
        <f t="shared" si="28"/>
        <v>Feb-2025</v>
      </c>
      <c r="D347" s="12">
        <f t="shared" si="29"/>
        <v>45707</v>
      </c>
      <c r="E347" s="4" t="str">
        <f t="shared" si="25"/>
        <v>Q1-2025</v>
      </c>
      <c r="F347" t="s">
        <v>45</v>
      </c>
      <c r="G347" t="s">
        <v>46</v>
      </c>
      <c r="H347" t="s">
        <v>231</v>
      </c>
      <c r="I347" t="s">
        <v>57</v>
      </c>
      <c r="J347" s="7" t="str">
        <f t="shared" si="26"/>
        <v>High</v>
      </c>
      <c r="K347" s="4">
        <v>2783.12</v>
      </c>
      <c r="L347" s="4">
        <v>2783.12</v>
      </c>
      <c r="M347" s="4">
        <v>0.02</v>
      </c>
      <c r="N347" s="4">
        <v>5</v>
      </c>
      <c r="O347" s="4">
        <f t="shared" si="27"/>
        <v>7516.3549999999996</v>
      </c>
    </row>
    <row r="348" spans="1:15" x14ac:dyDescent="0.3">
      <c r="A348" s="11">
        <v>45708</v>
      </c>
      <c r="B348" s="4" t="str">
        <f>TEXT(Data!B348,"MMM-YYYY")</f>
        <v>May-2023</v>
      </c>
      <c r="C348" s="4" t="str">
        <f t="shared" si="28"/>
        <v>Feb-2025</v>
      </c>
      <c r="D348" s="12">
        <f t="shared" si="29"/>
        <v>45708</v>
      </c>
      <c r="E348" s="4" t="str">
        <f t="shared" si="25"/>
        <v>Q1-2025</v>
      </c>
      <c r="F348" t="s">
        <v>52</v>
      </c>
      <c r="G348" t="s">
        <v>53</v>
      </c>
      <c r="H348" t="s">
        <v>144</v>
      </c>
      <c r="I348" t="s">
        <v>81</v>
      </c>
      <c r="J348" s="7" t="str">
        <f t="shared" si="26"/>
        <v>High</v>
      </c>
      <c r="K348" s="4">
        <v>2050.31</v>
      </c>
      <c r="L348" s="4">
        <v>2050.31</v>
      </c>
      <c r="M348" s="4">
        <v>0.10299999999999999</v>
      </c>
      <c r="N348" s="4">
        <v>43</v>
      </c>
      <c r="O348" s="4">
        <f t="shared" si="27"/>
        <v>60620.497860000003</v>
      </c>
    </row>
    <row r="349" spans="1:15" x14ac:dyDescent="0.3">
      <c r="A349" s="11">
        <v>45709</v>
      </c>
      <c r="B349" s="4" t="str">
        <f>TEXT(Data!B349,"MMM-YYYY")</f>
        <v>Dec-2023</v>
      </c>
      <c r="C349" s="4" t="str">
        <f t="shared" si="28"/>
        <v>Feb-2025</v>
      </c>
      <c r="D349" s="12">
        <f t="shared" si="29"/>
        <v>45709</v>
      </c>
      <c r="E349" s="4" t="str">
        <f t="shared" si="25"/>
        <v>Q1-2025</v>
      </c>
      <c r="F349" t="s">
        <v>16</v>
      </c>
      <c r="G349" t="s">
        <v>25</v>
      </c>
      <c r="H349" t="s">
        <v>67</v>
      </c>
      <c r="I349" t="s">
        <v>42</v>
      </c>
      <c r="J349" s="7" t="str">
        <f t="shared" si="26"/>
        <v>Medium</v>
      </c>
      <c r="K349" s="4">
        <v>147.12</v>
      </c>
      <c r="L349" s="4">
        <v>147.12</v>
      </c>
      <c r="M349" s="4">
        <v>0</v>
      </c>
      <c r="N349" s="4">
        <v>15</v>
      </c>
      <c r="O349" s="4">
        <f t="shared" si="27"/>
        <v>3760.95</v>
      </c>
    </row>
    <row r="350" spans="1:15" x14ac:dyDescent="0.3">
      <c r="A350" s="11">
        <v>45710</v>
      </c>
      <c r="B350" s="4" t="str">
        <f>TEXT(Data!B350,"MMM-YYYY")</f>
        <v>Jun-2025</v>
      </c>
      <c r="C350" s="4" t="str">
        <f t="shared" si="28"/>
        <v>Feb-2025</v>
      </c>
      <c r="D350" s="12">
        <f t="shared" si="29"/>
        <v>45710</v>
      </c>
      <c r="E350" s="4" t="str">
        <f t="shared" si="25"/>
        <v>Q1-2025</v>
      </c>
      <c r="F350" t="s">
        <v>16</v>
      </c>
      <c r="G350" t="s">
        <v>25</v>
      </c>
      <c r="H350" t="s">
        <v>1364</v>
      </c>
      <c r="I350" t="s">
        <v>22</v>
      </c>
      <c r="J350" s="7" t="str">
        <f t="shared" si="26"/>
        <v>High</v>
      </c>
      <c r="K350" s="4">
        <v>1982.98</v>
      </c>
      <c r="L350" s="4">
        <v>1982.98</v>
      </c>
      <c r="M350" s="4">
        <v>0.14399999999999999</v>
      </c>
      <c r="N350" s="4">
        <v>16</v>
      </c>
      <c r="O350" s="4">
        <f t="shared" si="27"/>
        <v>47563.605759999999</v>
      </c>
    </row>
    <row r="351" spans="1:15" x14ac:dyDescent="0.3">
      <c r="A351" s="11">
        <v>45711</v>
      </c>
      <c r="B351" s="4" t="str">
        <f>TEXT(Data!B351,"MMM-YYYY")</f>
        <v>Feb-2023</v>
      </c>
      <c r="C351" s="4" t="str">
        <f t="shared" si="28"/>
        <v>Feb-2025</v>
      </c>
      <c r="D351" s="12">
        <f t="shared" si="29"/>
        <v>45711</v>
      </c>
      <c r="E351" s="4" t="str">
        <f t="shared" si="25"/>
        <v>Q1-2025</v>
      </c>
      <c r="F351" t="s">
        <v>45</v>
      </c>
      <c r="G351" t="s">
        <v>60</v>
      </c>
      <c r="H351" t="s">
        <v>141</v>
      </c>
      <c r="I351" t="s">
        <v>57</v>
      </c>
      <c r="J351" s="7" t="str">
        <f t="shared" si="26"/>
        <v>High</v>
      </c>
      <c r="K351" s="4">
        <v>2299.3000000000002</v>
      </c>
      <c r="L351" s="4">
        <v>2299.3000000000002</v>
      </c>
      <c r="M351" s="4">
        <v>0.113</v>
      </c>
      <c r="N351" s="4">
        <v>6</v>
      </c>
      <c r="O351" s="4">
        <f t="shared" si="27"/>
        <v>6418.5448799999995</v>
      </c>
    </row>
    <row r="352" spans="1:15" x14ac:dyDescent="0.3">
      <c r="A352" s="11">
        <v>45712</v>
      </c>
      <c r="B352" s="4" t="str">
        <f>TEXT(Data!B352,"MMM-YYYY")</f>
        <v>Dec-2023</v>
      </c>
      <c r="C352" s="4" t="str">
        <f t="shared" si="28"/>
        <v>Feb-2025</v>
      </c>
      <c r="D352" s="12">
        <f t="shared" si="29"/>
        <v>45712</v>
      </c>
      <c r="E352" s="4" t="str">
        <f t="shared" si="25"/>
        <v>Q1-2025</v>
      </c>
      <c r="F352" t="s">
        <v>78</v>
      </c>
      <c r="G352" t="s">
        <v>108</v>
      </c>
      <c r="H352" t="s">
        <v>228</v>
      </c>
      <c r="I352" t="s">
        <v>30</v>
      </c>
      <c r="J352" s="7" t="str">
        <f t="shared" si="26"/>
        <v>High</v>
      </c>
      <c r="K352" s="4">
        <v>462.61</v>
      </c>
      <c r="L352" s="4">
        <v>462.61</v>
      </c>
      <c r="M352" s="4">
        <v>0.188</v>
      </c>
      <c r="N352" s="4">
        <v>11</v>
      </c>
      <c r="O352" s="4">
        <f t="shared" si="27"/>
        <v>19625.658360000001</v>
      </c>
    </row>
    <row r="353" spans="1:15" x14ac:dyDescent="0.3">
      <c r="A353" s="11">
        <v>45713</v>
      </c>
      <c r="B353" s="4" t="str">
        <f>TEXT(Data!B353,"MMM-YYYY")</f>
        <v>Jul-2023</v>
      </c>
      <c r="C353" s="4" t="str">
        <f t="shared" si="28"/>
        <v>Feb-2025</v>
      </c>
      <c r="D353" s="12">
        <f t="shared" si="29"/>
        <v>45713</v>
      </c>
      <c r="E353" s="4" t="str">
        <f t="shared" si="25"/>
        <v>Q1-2025</v>
      </c>
      <c r="F353" t="s">
        <v>78</v>
      </c>
      <c r="G353" t="s">
        <v>79</v>
      </c>
      <c r="H353" t="s">
        <v>335</v>
      </c>
      <c r="I353" t="s">
        <v>64</v>
      </c>
      <c r="J353" s="7" t="str">
        <f t="shared" si="26"/>
        <v>High</v>
      </c>
      <c r="K353" s="4">
        <v>1093.3900000000001</v>
      </c>
      <c r="L353" s="4">
        <v>1093.3900000000001</v>
      </c>
      <c r="M353" s="4">
        <v>0.113</v>
      </c>
      <c r="N353" s="4">
        <v>17</v>
      </c>
      <c r="O353" s="4">
        <f t="shared" si="27"/>
        <v>24437.027399999999</v>
      </c>
    </row>
    <row r="354" spans="1:15" x14ac:dyDescent="0.3">
      <c r="A354" s="11">
        <v>45714</v>
      </c>
      <c r="B354" s="4" t="str">
        <f>TEXT(Data!B354,"MMM-YYYY")</f>
        <v>Aug-2024</v>
      </c>
      <c r="C354" s="4" t="str">
        <f t="shared" si="28"/>
        <v>Feb-2025</v>
      </c>
      <c r="D354" s="12">
        <f t="shared" si="29"/>
        <v>45714</v>
      </c>
      <c r="E354" s="4" t="str">
        <f t="shared" si="25"/>
        <v>Q1-2025</v>
      </c>
      <c r="F354" t="s">
        <v>16</v>
      </c>
      <c r="G354" t="s">
        <v>25</v>
      </c>
      <c r="H354" t="s">
        <v>38</v>
      </c>
      <c r="I354" t="s">
        <v>81</v>
      </c>
      <c r="J354" s="7" t="str">
        <f t="shared" si="26"/>
        <v>High</v>
      </c>
      <c r="K354" s="4">
        <v>1454.22</v>
      </c>
      <c r="L354" s="4">
        <v>1454.22</v>
      </c>
      <c r="M354" s="4">
        <v>3.9E-2</v>
      </c>
      <c r="N354" s="4">
        <v>19</v>
      </c>
      <c r="O354" s="4">
        <f t="shared" si="27"/>
        <v>18891.856940000001</v>
      </c>
    </row>
    <row r="355" spans="1:15" x14ac:dyDescent="0.3">
      <c r="A355" s="11">
        <v>45715</v>
      </c>
      <c r="B355" s="4" t="str">
        <f>TEXT(Data!B355,"MMM-YYYY")</f>
        <v>Nov-2024</v>
      </c>
      <c r="C355" s="4" t="str">
        <f t="shared" si="28"/>
        <v>Feb-2025</v>
      </c>
      <c r="D355" s="12">
        <f t="shared" si="29"/>
        <v>45715</v>
      </c>
      <c r="E355" s="4" t="str">
        <f t="shared" si="25"/>
        <v>Q1-2025</v>
      </c>
      <c r="F355" t="s">
        <v>45</v>
      </c>
      <c r="G355" t="s">
        <v>46</v>
      </c>
      <c r="H355" t="s">
        <v>47</v>
      </c>
      <c r="I355" t="s">
        <v>35</v>
      </c>
      <c r="J355" s="7" t="str">
        <f t="shared" si="26"/>
        <v>High</v>
      </c>
      <c r="K355" s="4">
        <v>2120.4</v>
      </c>
      <c r="L355" s="4">
        <v>2120.4</v>
      </c>
      <c r="M355" s="4">
        <v>0.17899999999999999</v>
      </c>
      <c r="N355" s="4">
        <v>20</v>
      </c>
      <c r="O355" s="4">
        <f t="shared" si="27"/>
        <v>31286.9964</v>
      </c>
    </row>
    <row r="356" spans="1:15" x14ac:dyDescent="0.3">
      <c r="A356" s="11">
        <v>45716</v>
      </c>
      <c r="B356" s="4" t="str">
        <f>TEXT(Data!B356,"MMM-YYYY")</f>
        <v>Jan-2024</v>
      </c>
      <c r="C356" s="4" t="str">
        <f t="shared" si="28"/>
        <v>Feb-2025</v>
      </c>
      <c r="D356" s="12">
        <f t="shared" si="29"/>
        <v>45716</v>
      </c>
      <c r="E356" s="4" t="str">
        <f t="shared" si="25"/>
        <v>Q1-2025</v>
      </c>
      <c r="F356" t="s">
        <v>52</v>
      </c>
      <c r="G356" t="s">
        <v>73</v>
      </c>
      <c r="H356" t="s">
        <v>225</v>
      </c>
      <c r="I356" t="s">
        <v>30</v>
      </c>
      <c r="J356" s="7" t="str">
        <f t="shared" si="26"/>
        <v>Medium</v>
      </c>
      <c r="K356" s="4">
        <v>128.68</v>
      </c>
      <c r="L356" s="4">
        <v>128.68</v>
      </c>
      <c r="M356" s="4">
        <v>0.128</v>
      </c>
      <c r="N356" s="4">
        <v>10</v>
      </c>
      <c r="O356" s="4">
        <f t="shared" si="27"/>
        <v>4722.4031999999997</v>
      </c>
    </row>
    <row r="357" spans="1:15" x14ac:dyDescent="0.3">
      <c r="A357" s="11">
        <v>45717</v>
      </c>
      <c r="B357" s="4" t="str">
        <f>TEXT(Data!B357,"MMM-YYYY")</f>
        <v>Aug-2025</v>
      </c>
      <c r="C357" s="4" t="str">
        <f t="shared" si="28"/>
        <v>Mar-2025</v>
      </c>
      <c r="D357" s="12">
        <f t="shared" si="29"/>
        <v>45717</v>
      </c>
      <c r="E357" s="4" t="str">
        <f t="shared" si="25"/>
        <v>Q1-2025</v>
      </c>
      <c r="F357" t="s">
        <v>78</v>
      </c>
      <c r="G357" t="s">
        <v>108</v>
      </c>
      <c r="H357" t="s">
        <v>228</v>
      </c>
      <c r="I357" t="s">
        <v>81</v>
      </c>
      <c r="J357" s="7" t="str">
        <f t="shared" si="26"/>
        <v>High</v>
      </c>
      <c r="K357" s="4">
        <v>1325.96</v>
      </c>
      <c r="L357" s="4">
        <v>1325.96</v>
      </c>
      <c r="M357" s="4">
        <v>0.16700000000000001</v>
      </c>
      <c r="N357" s="4">
        <v>21</v>
      </c>
      <c r="O357" s="4">
        <f t="shared" si="27"/>
        <v>19532.683799999999</v>
      </c>
    </row>
    <row r="358" spans="1:15" x14ac:dyDescent="0.3">
      <c r="A358" s="11">
        <v>45718</v>
      </c>
      <c r="B358" s="4" t="str">
        <f>TEXT(Data!B358,"MMM-YYYY")</f>
        <v>Apr-2024</v>
      </c>
      <c r="C358" s="4" t="str">
        <f t="shared" si="28"/>
        <v>Mar-2025</v>
      </c>
      <c r="D358" s="12">
        <f t="shared" si="29"/>
        <v>45718</v>
      </c>
      <c r="E358" s="4" t="str">
        <f t="shared" si="25"/>
        <v>Q1-2025</v>
      </c>
      <c r="F358" t="s">
        <v>52</v>
      </c>
      <c r="G358" t="s">
        <v>73</v>
      </c>
      <c r="H358" t="s">
        <v>74</v>
      </c>
      <c r="I358" t="s">
        <v>30</v>
      </c>
      <c r="J358" s="7" t="str">
        <f t="shared" si="26"/>
        <v>High</v>
      </c>
      <c r="K358" s="4">
        <v>2439.33</v>
      </c>
      <c r="L358" s="4">
        <v>2439.33</v>
      </c>
      <c r="M358" s="4">
        <v>0</v>
      </c>
      <c r="N358" s="4">
        <v>18</v>
      </c>
      <c r="O358" s="4">
        <f t="shared" si="27"/>
        <v>26190</v>
      </c>
    </row>
    <row r="359" spans="1:15" x14ac:dyDescent="0.3">
      <c r="A359" s="11">
        <v>45719</v>
      </c>
      <c r="B359" s="4" t="str">
        <f>TEXT(Data!B359,"MMM-YYYY")</f>
        <v>Nov-2024</v>
      </c>
      <c r="C359" s="4" t="str">
        <f t="shared" si="28"/>
        <v>Mar-2025</v>
      </c>
      <c r="D359" s="12">
        <f t="shared" si="29"/>
        <v>45719</v>
      </c>
      <c r="E359" s="4" t="str">
        <f t="shared" si="25"/>
        <v>Q1-2025</v>
      </c>
      <c r="F359" t="s">
        <v>52</v>
      </c>
      <c r="G359" t="s">
        <v>73</v>
      </c>
      <c r="H359" t="s">
        <v>87</v>
      </c>
      <c r="I359" t="s">
        <v>35</v>
      </c>
      <c r="J359" s="7" t="str">
        <f t="shared" si="26"/>
        <v>High</v>
      </c>
      <c r="K359" s="4">
        <v>2201.54</v>
      </c>
      <c r="L359" s="4">
        <v>2201.54</v>
      </c>
      <c r="M359" s="4">
        <v>0.17</v>
      </c>
      <c r="N359" s="4">
        <v>27</v>
      </c>
      <c r="O359" s="4">
        <f t="shared" si="27"/>
        <v>28646.702999999998</v>
      </c>
    </row>
    <row r="360" spans="1:15" x14ac:dyDescent="0.3">
      <c r="A360" s="11">
        <v>45720</v>
      </c>
      <c r="B360" s="4" t="str">
        <f>TEXT(Data!B360,"MMM-YYYY")</f>
        <v>Jan-2024</v>
      </c>
      <c r="C360" s="4" t="str">
        <f t="shared" si="28"/>
        <v>Mar-2025</v>
      </c>
      <c r="D360" s="12">
        <f t="shared" si="29"/>
        <v>45720</v>
      </c>
      <c r="E360" s="4" t="str">
        <f t="shared" si="25"/>
        <v>Q1-2025</v>
      </c>
      <c r="F360" t="s">
        <v>45</v>
      </c>
      <c r="G360" t="s">
        <v>116</v>
      </c>
      <c r="H360" t="s">
        <v>162</v>
      </c>
      <c r="I360" t="s">
        <v>81</v>
      </c>
      <c r="J360" s="7" t="str">
        <f t="shared" si="26"/>
        <v>High</v>
      </c>
      <c r="K360" s="4">
        <v>814.36</v>
      </c>
      <c r="L360" s="4">
        <v>814.36</v>
      </c>
      <c r="M360" s="4">
        <v>0</v>
      </c>
      <c r="N360" s="4">
        <v>5</v>
      </c>
      <c r="O360" s="4">
        <f t="shared" si="27"/>
        <v>4499.1500000000005</v>
      </c>
    </row>
    <row r="361" spans="1:15" x14ac:dyDescent="0.3">
      <c r="A361" s="11">
        <v>45721</v>
      </c>
      <c r="B361" s="4" t="str">
        <f>TEXT(Data!B361,"MMM-YYYY")</f>
        <v>Jun-2024</v>
      </c>
      <c r="C361" s="4" t="str">
        <f t="shared" si="28"/>
        <v>Mar-2025</v>
      </c>
      <c r="D361" s="12">
        <f t="shared" si="29"/>
        <v>45721</v>
      </c>
      <c r="E361" s="4" t="str">
        <f t="shared" si="25"/>
        <v>Q1-2025</v>
      </c>
      <c r="F361" t="s">
        <v>16</v>
      </c>
      <c r="G361" t="s">
        <v>148</v>
      </c>
      <c r="H361" t="s">
        <v>258</v>
      </c>
      <c r="I361" t="s">
        <v>30</v>
      </c>
      <c r="J361" s="7" t="str">
        <f t="shared" si="26"/>
        <v>High</v>
      </c>
      <c r="K361" s="4">
        <v>1382.91</v>
      </c>
      <c r="L361" s="4">
        <v>1382.91</v>
      </c>
      <c r="M361" s="4">
        <v>0.17599999999999999</v>
      </c>
      <c r="N361" s="4">
        <v>13</v>
      </c>
      <c r="O361" s="4">
        <f t="shared" si="27"/>
        <v>9412.9557600000007</v>
      </c>
    </row>
    <row r="362" spans="1:15" x14ac:dyDescent="0.3">
      <c r="A362" s="11">
        <v>45722</v>
      </c>
      <c r="B362" s="4" t="str">
        <f>TEXT(Data!B362,"MMM-YYYY")</f>
        <v>Jun-2025</v>
      </c>
      <c r="C362" s="4" t="str">
        <f t="shared" si="28"/>
        <v>Mar-2025</v>
      </c>
      <c r="D362" s="12">
        <f t="shared" si="29"/>
        <v>45722</v>
      </c>
      <c r="E362" s="4" t="str">
        <f t="shared" si="25"/>
        <v>Q1-2025</v>
      </c>
      <c r="F362" t="s">
        <v>78</v>
      </c>
      <c r="G362" t="s">
        <v>108</v>
      </c>
      <c r="H362" t="s">
        <v>109</v>
      </c>
      <c r="I362" t="s">
        <v>81</v>
      </c>
      <c r="J362" s="7" t="str">
        <f t="shared" si="26"/>
        <v>High</v>
      </c>
      <c r="K362" s="4">
        <v>1646.43</v>
      </c>
      <c r="L362" s="4">
        <v>1646.43</v>
      </c>
      <c r="M362" s="4">
        <v>0.11</v>
      </c>
      <c r="N362" s="4">
        <v>24</v>
      </c>
      <c r="O362" s="4">
        <f t="shared" si="27"/>
        <v>12696.811199999998</v>
      </c>
    </row>
    <row r="363" spans="1:15" x14ac:dyDescent="0.3">
      <c r="A363" s="11">
        <v>45723</v>
      </c>
      <c r="B363" s="4" t="str">
        <f>TEXT(Data!B363,"MMM-YYYY")</f>
        <v>Jul-2023</v>
      </c>
      <c r="C363" s="4" t="str">
        <f t="shared" si="28"/>
        <v>Mar-2025</v>
      </c>
      <c r="D363" s="12">
        <f t="shared" si="29"/>
        <v>45723</v>
      </c>
      <c r="E363" s="4" t="str">
        <f t="shared" si="25"/>
        <v>Q1-2025</v>
      </c>
      <c r="F363" t="s">
        <v>78</v>
      </c>
      <c r="G363" t="s">
        <v>108</v>
      </c>
      <c r="H363" t="s">
        <v>109</v>
      </c>
      <c r="I363" t="s">
        <v>42</v>
      </c>
      <c r="J363" s="7" t="str">
        <f t="shared" si="26"/>
        <v>High</v>
      </c>
      <c r="K363" s="4">
        <v>400.84</v>
      </c>
      <c r="L363" s="4">
        <v>400.84</v>
      </c>
      <c r="M363" s="4">
        <v>7.8E-2</v>
      </c>
      <c r="N363" s="4">
        <v>13</v>
      </c>
      <c r="O363" s="4">
        <f t="shared" si="27"/>
        <v>19391.5501</v>
      </c>
    </row>
    <row r="364" spans="1:15" x14ac:dyDescent="0.3">
      <c r="A364" s="11">
        <v>45724</v>
      </c>
      <c r="B364" s="4" t="str">
        <f>TEXT(Data!B364,"MMM-YYYY")</f>
        <v>Mar-2024</v>
      </c>
      <c r="C364" s="4" t="str">
        <f t="shared" si="28"/>
        <v>Mar-2025</v>
      </c>
      <c r="D364" s="12">
        <f t="shared" si="29"/>
        <v>45724</v>
      </c>
      <c r="E364" s="4" t="str">
        <f t="shared" si="25"/>
        <v>Q1-2025</v>
      </c>
      <c r="F364" t="s">
        <v>16</v>
      </c>
      <c r="G364" t="s">
        <v>25</v>
      </c>
      <c r="H364" t="s">
        <v>26</v>
      </c>
      <c r="I364" t="s">
        <v>57</v>
      </c>
      <c r="J364" s="7" t="str">
        <f t="shared" si="26"/>
        <v>High</v>
      </c>
      <c r="K364" s="4">
        <v>1780.56</v>
      </c>
      <c r="L364" s="4">
        <v>1780.56</v>
      </c>
      <c r="M364" s="4">
        <v>1.4E-2</v>
      </c>
      <c r="N364" s="4">
        <v>47</v>
      </c>
      <c r="O364" s="4">
        <f t="shared" si="27"/>
        <v>45086.595219999996</v>
      </c>
    </row>
    <row r="365" spans="1:15" x14ac:dyDescent="0.3">
      <c r="A365" s="11">
        <v>45725</v>
      </c>
      <c r="B365" s="4" t="str">
        <f>TEXT(Data!B365,"MMM-YYYY")</f>
        <v>Jun-2023</v>
      </c>
      <c r="C365" s="4" t="str">
        <f t="shared" si="28"/>
        <v>Mar-2025</v>
      </c>
      <c r="D365" s="12">
        <f t="shared" si="29"/>
        <v>45725</v>
      </c>
      <c r="E365" s="4" t="str">
        <f t="shared" si="25"/>
        <v>Q1-2025</v>
      </c>
      <c r="F365" t="s">
        <v>45</v>
      </c>
      <c r="G365" t="s">
        <v>116</v>
      </c>
      <c r="H365" t="s">
        <v>117</v>
      </c>
      <c r="I365" t="s">
        <v>64</v>
      </c>
      <c r="J365" s="7" t="str">
        <f t="shared" si="26"/>
        <v>High</v>
      </c>
      <c r="K365" s="4">
        <v>1118.43</v>
      </c>
      <c r="L365" s="4">
        <v>1118.43</v>
      </c>
      <c r="M365" s="4">
        <v>0.27200000000000002</v>
      </c>
      <c r="N365" s="4">
        <v>9</v>
      </c>
      <c r="O365" s="4">
        <f t="shared" si="27"/>
        <v>278.85311999999999</v>
      </c>
    </row>
    <row r="366" spans="1:15" x14ac:dyDescent="0.3">
      <c r="A366" s="11">
        <v>45726</v>
      </c>
      <c r="B366" s="4" t="str">
        <f>TEXT(Data!B366,"MMM-YYYY")</f>
        <v>Mar-2025</v>
      </c>
      <c r="C366" s="4" t="str">
        <f t="shared" si="28"/>
        <v>Mar-2025</v>
      </c>
      <c r="D366" s="12">
        <f t="shared" si="29"/>
        <v>45726</v>
      </c>
      <c r="E366" s="4" t="str">
        <f t="shared" si="25"/>
        <v>Q1-2025</v>
      </c>
      <c r="F366" t="s">
        <v>78</v>
      </c>
      <c r="G366" t="s">
        <v>108</v>
      </c>
      <c r="H366" t="s">
        <v>109</v>
      </c>
      <c r="I366" t="s">
        <v>30</v>
      </c>
      <c r="J366" s="7" t="str">
        <f t="shared" si="26"/>
        <v>High</v>
      </c>
      <c r="K366" s="4">
        <v>771.12</v>
      </c>
      <c r="L366" s="4">
        <v>771.12</v>
      </c>
      <c r="M366" s="4">
        <v>0.13200000000000001</v>
      </c>
      <c r="N366" s="4">
        <v>19</v>
      </c>
      <c r="O366" s="4">
        <f t="shared" si="27"/>
        <v>24421.848359999996</v>
      </c>
    </row>
    <row r="367" spans="1:15" x14ac:dyDescent="0.3">
      <c r="A367" s="11">
        <v>45727</v>
      </c>
      <c r="B367" s="4" t="str">
        <f>TEXT(Data!B367,"MMM-YYYY")</f>
        <v>Jun-2024</v>
      </c>
      <c r="C367" s="4" t="str">
        <f t="shared" si="28"/>
        <v>Mar-2025</v>
      </c>
      <c r="D367" s="12">
        <f t="shared" si="29"/>
        <v>45727</v>
      </c>
      <c r="E367" s="4" t="str">
        <f t="shared" si="25"/>
        <v>Q1-2025</v>
      </c>
      <c r="F367" t="s">
        <v>45</v>
      </c>
      <c r="G367" t="s">
        <v>46</v>
      </c>
      <c r="H367" t="s">
        <v>214</v>
      </c>
      <c r="I367" t="s">
        <v>22</v>
      </c>
      <c r="J367" s="7" t="str">
        <f t="shared" si="26"/>
        <v>High</v>
      </c>
      <c r="K367" s="4">
        <v>1210.04</v>
      </c>
      <c r="L367" s="4">
        <v>1210.04</v>
      </c>
      <c r="M367" s="4">
        <v>8.9999999999999993E-3</v>
      </c>
      <c r="N367" s="4">
        <v>18</v>
      </c>
      <c r="O367" s="4">
        <f t="shared" si="27"/>
        <v>10065.26988</v>
      </c>
    </row>
    <row r="368" spans="1:15" x14ac:dyDescent="0.3">
      <c r="A368" s="11">
        <v>45728</v>
      </c>
      <c r="B368" s="4" t="str">
        <f>TEXT(Data!B368,"MMM-YYYY")</f>
        <v>Mar-2025</v>
      </c>
      <c r="C368" s="4" t="str">
        <f t="shared" si="28"/>
        <v>Mar-2025</v>
      </c>
      <c r="D368" s="12">
        <f t="shared" si="29"/>
        <v>45728</v>
      </c>
      <c r="E368" s="4" t="str">
        <f t="shared" si="25"/>
        <v>Q1-2025</v>
      </c>
      <c r="F368" t="s">
        <v>16</v>
      </c>
      <c r="G368" t="s">
        <v>17</v>
      </c>
      <c r="H368" t="s">
        <v>113</v>
      </c>
      <c r="I368" t="s">
        <v>42</v>
      </c>
      <c r="J368" s="7" t="str">
        <f t="shared" si="26"/>
        <v>High</v>
      </c>
      <c r="K368" s="4">
        <v>3024.03</v>
      </c>
      <c r="L368" s="4">
        <v>3024.03</v>
      </c>
      <c r="M368" s="4">
        <v>0.192</v>
      </c>
      <c r="N368" s="4">
        <v>8</v>
      </c>
      <c r="O368" s="4">
        <f t="shared" si="27"/>
        <v>13814.925440000001</v>
      </c>
    </row>
    <row r="369" spans="1:15" x14ac:dyDescent="0.3">
      <c r="A369" s="11">
        <v>45729</v>
      </c>
      <c r="B369" s="4" t="str">
        <f>TEXT(Data!B369,"MMM-YYYY")</f>
        <v>Sep-2023</v>
      </c>
      <c r="C369" s="4" t="str">
        <f t="shared" si="28"/>
        <v>Mar-2025</v>
      </c>
      <c r="D369" s="12">
        <f t="shared" si="29"/>
        <v>45729</v>
      </c>
      <c r="E369" s="4" t="str">
        <f t="shared" si="25"/>
        <v>Q1-2025</v>
      </c>
      <c r="F369" t="s">
        <v>45</v>
      </c>
      <c r="G369" t="s">
        <v>60</v>
      </c>
      <c r="H369" t="s">
        <v>220</v>
      </c>
      <c r="I369" t="s">
        <v>22</v>
      </c>
      <c r="J369" s="7" t="str">
        <f t="shared" si="26"/>
        <v>High</v>
      </c>
      <c r="K369" s="4">
        <v>2303.46</v>
      </c>
      <c r="L369" s="4">
        <v>2303.46</v>
      </c>
      <c r="M369" s="4">
        <v>0.105</v>
      </c>
      <c r="N369" s="4">
        <v>9</v>
      </c>
      <c r="O369" s="4">
        <f t="shared" si="27"/>
        <v>13539.891150000001</v>
      </c>
    </row>
    <row r="370" spans="1:15" x14ac:dyDescent="0.3">
      <c r="A370" s="11">
        <v>45730</v>
      </c>
      <c r="B370" s="4" t="str">
        <f>TEXT(Data!B370,"MMM-YYYY")</f>
        <v>Jun-2025</v>
      </c>
      <c r="C370" s="4" t="str">
        <f t="shared" si="28"/>
        <v>Mar-2025</v>
      </c>
      <c r="D370" s="12">
        <f t="shared" si="29"/>
        <v>45730</v>
      </c>
      <c r="E370" s="4" t="str">
        <f t="shared" si="25"/>
        <v>Q1-2025</v>
      </c>
      <c r="F370" t="s">
        <v>52</v>
      </c>
      <c r="G370" t="s">
        <v>122</v>
      </c>
      <c r="H370" t="s">
        <v>387</v>
      </c>
      <c r="I370" t="s">
        <v>57</v>
      </c>
      <c r="J370" s="7" t="str">
        <f t="shared" si="26"/>
        <v>High</v>
      </c>
      <c r="K370" s="4">
        <v>3083.8</v>
      </c>
      <c r="L370" s="4">
        <v>3083.8</v>
      </c>
      <c r="M370" s="4">
        <v>0.106</v>
      </c>
      <c r="N370" s="4">
        <v>5</v>
      </c>
      <c r="O370" s="4">
        <f t="shared" si="27"/>
        <v>12985.618199999999</v>
      </c>
    </row>
    <row r="371" spans="1:15" x14ac:dyDescent="0.3">
      <c r="A371" s="11">
        <v>45731</v>
      </c>
      <c r="B371" s="4" t="str">
        <f>TEXT(Data!B371,"MMM-YYYY")</f>
        <v>Dec-2023</v>
      </c>
      <c r="C371" s="4" t="str">
        <f t="shared" si="28"/>
        <v>Mar-2025</v>
      </c>
      <c r="D371" s="12">
        <f t="shared" si="29"/>
        <v>45731</v>
      </c>
      <c r="E371" s="4" t="str">
        <f t="shared" si="25"/>
        <v>Q1-2025</v>
      </c>
      <c r="F371" t="s">
        <v>52</v>
      </c>
      <c r="G371" t="s">
        <v>53</v>
      </c>
      <c r="H371" t="s">
        <v>179</v>
      </c>
      <c r="I371" t="s">
        <v>30</v>
      </c>
      <c r="J371" s="7" t="str">
        <f t="shared" si="26"/>
        <v>High</v>
      </c>
      <c r="K371" s="4">
        <v>322.70999999999998</v>
      </c>
      <c r="L371" s="4">
        <v>322.70999999999998</v>
      </c>
      <c r="M371" s="4">
        <v>0.115</v>
      </c>
      <c r="N371" s="4">
        <v>16</v>
      </c>
      <c r="O371" s="4">
        <f t="shared" si="27"/>
        <v>11923.994400000001</v>
      </c>
    </row>
    <row r="372" spans="1:15" x14ac:dyDescent="0.3">
      <c r="A372" s="11">
        <v>45732</v>
      </c>
      <c r="B372" s="4" t="str">
        <f>TEXT(Data!B372,"MMM-YYYY")</f>
        <v>Feb-2023</v>
      </c>
      <c r="C372" s="4" t="str">
        <f t="shared" si="28"/>
        <v>Mar-2025</v>
      </c>
      <c r="D372" s="12">
        <f t="shared" si="29"/>
        <v>45732</v>
      </c>
      <c r="E372" s="4" t="str">
        <f t="shared" si="25"/>
        <v>Q1-2025</v>
      </c>
      <c r="F372" t="s">
        <v>78</v>
      </c>
      <c r="G372" t="s">
        <v>90</v>
      </c>
      <c r="H372" t="s">
        <v>138</v>
      </c>
      <c r="I372" t="s">
        <v>57</v>
      </c>
      <c r="J372" s="7" t="str">
        <f t="shared" si="26"/>
        <v>High</v>
      </c>
      <c r="K372" s="4">
        <v>731.29</v>
      </c>
      <c r="L372" s="4">
        <v>731.29</v>
      </c>
      <c r="M372" s="4">
        <v>5.8000000000000003E-2</v>
      </c>
      <c r="N372" s="4">
        <v>6</v>
      </c>
      <c r="O372" s="4">
        <f t="shared" si="27"/>
        <v>17698.503240000002</v>
      </c>
    </row>
    <row r="373" spans="1:15" x14ac:dyDescent="0.3">
      <c r="A373" s="11">
        <v>45733</v>
      </c>
      <c r="B373" s="4" t="str">
        <f>TEXT(Data!B373,"MMM-YYYY")</f>
        <v>Apr-2023</v>
      </c>
      <c r="C373" s="4" t="str">
        <f t="shared" si="28"/>
        <v>Mar-2025</v>
      </c>
      <c r="D373" s="12">
        <f t="shared" si="29"/>
        <v>45733</v>
      </c>
      <c r="E373" s="4" t="str">
        <f t="shared" si="25"/>
        <v>Q1-2025</v>
      </c>
      <c r="F373" t="s">
        <v>52</v>
      </c>
      <c r="G373" t="s">
        <v>122</v>
      </c>
      <c r="H373" t="s">
        <v>326</v>
      </c>
      <c r="I373" t="s">
        <v>42</v>
      </c>
      <c r="J373" s="7" t="str">
        <f t="shared" si="26"/>
        <v>High</v>
      </c>
      <c r="K373" s="4">
        <v>1533.95</v>
      </c>
      <c r="L373" s="4">
        <v>1533.95</v>
      </c>
      <c r="M373" s="4">
        <v>0</v>
      </c>
      <c r="N373" s="4">
        <v>11</v>
      </c>
      <c r="O373" s="4">
        <f t="shared" si="27"/>
        <v>15891.92</v>
      </c>
    </row>
    <row r="374" spans="1:15" x14ac:dyDescent="0.3">
      <c r="A374" s="11">
        <v>45734</v>
      </c>
      <c r="B374" s="4" t="str">
        <f>TEXT(Data!B374,"MMM-YYYY")</f>
        <v>Apr-2025</v>
      </c>
      <c r="C374" s="4" t="str">
        <f t="shared" si="28"/>
        <v>Mar-2025</v>
      </c>
      <c r="D374" s="12">
        <f t="shared" si="29"/>
        <v>45734</v>
      </c>
      <c r="E374" s="4" t="str">
        <f t="shared" si="25"/>
        <v>Q1-2025</v>
      </c>
      <c r="F374" t="s">
        <v>16</v>
      </c>
      <c r="G374" t="s">
        <v>25</v>
      </c>
      <c r="H374" t="s">
        <v>67</v>
      </c>
      <c r="I374" t="s">
        <v>64</v>
      </c>
      <c r="J374" s="7" t="str">
        <f t="shared" si="26"/>
        <v>High</v>
      </c>
      <c r="K374" s="4">
        <v>1571.66</v>
      </c>
      <c r="L374" s="4">
        <v>1571.66</v>
      </c>
      <c r="M374" s="4">
        <v>0.107</v>
      </c>
      <c r="N374" s="4">
        <v>23</v>
      </c>
      <c r="O374" s="4">
        <f t="shared" si="27"/>
        <v>59066.056200000006</v>
      </c>
    </row>
    <row r="375" spans="1:15" x14ac:dyDescent="0.3">
      <c r="A375" s="11">
        <v>45735</v>
      </c>
      <c r="B375" s="4" t="str">
        <f>TEXT(Data!B375,"MMM-YYYY")</f>
        <v>May-2024</v>
      </c>
      <c r="C375" s="4" t="str">
        <f t="shared" si="28"/>
        <v>Mar-2025</v>
      </c>
      <c r="D375" s="12">
        <f t="shared" si="29"/>
        <v>45735</v>
      </c>
      <c r="E375" s="4" t="str">
        <f t="shared" si="25"/>
        <v>Q1-2025</v>
      </c>
      <c r="F375" t="s">
        <v>78</v>
      </c>
      <c r="G375" t="s">
        <v>108</v>
      </c>
      <c r="H375" t="s">
        <v>109</v>
      </c>
      <c r="I375" t="s">
        <v>30</v>
      </c>
      <c r="J375" s="7" t="str">
        <f t="shared" si="26"/>
        <v>High</v>
      </c>
      <c r="K375" s="4">
        <v>250.73</v>
      </c>
      <c r="L375" s="4">
        <v>250.73</v>
      </c>
      <c r="M375" s="4">
        <v>3.4000000000000002E-2</v>
      </c>
      <c r="N375" s="4">
        <v>17</v>
      </c>
      <c r="O375" s="4">
        <f t="shared" si="27"/>
        <v>26958.519419999997</v>
      </c>
    </row>
    <row r="376" spans="1:15" x14ac:dyDescent="0.3">
      <c r="A376" s="11">
        <v>45736</v>
      </c>
      <c r="B376" s="4" t="str">
        <f>TEXT(Data!B376,"MMM-YYYY")</f>
        <v>Mar-2024</v>
      </c>
      <c r="C376" s="4" t="str">
        <f t="shared" si="28"/>
        <v>Mar-2025</v>
      </c>
      <c r="D376" s="12">
        <f t="shared" si="29"/>
        <v>45736</v>
      </c>
      <c r="E376" s="4" t="str">
        <f t="shared" si="25"/>
        <v>Q1-2025</v>
      </c>
      <c r="F376" t="s">
        <v>52</v>
      </c>
      <c r="G376" t="s">
        <v>122</v>
      </c>
      <c r="H376" t="s">
        <v>326</v>
      </c>
      <c r="I376" t="s">
        <v>42</v>
      </c>
      <c r="J376" s="7" t="str">
        <f t="shared" si="26"/>
        <v>High</v>
      </c>
      <c r="K376" s="4">
        <v>3472.81</v>
      </c>
      <c r="L376" s="4">
        <v>3472.81</v>
      </c>
      <c r="M376" s="4">
        <v>0.25600000000000001</v>
      </c>
      <c r="N376" s="4">
        <v>12</v>
      </c>
      <c r="O376" s="4">
        <f t="shared" si="27"/>
        <v>11597.65056</v>
      </c>
    </row>
    <row r="377" spans="1:15" x14ac:dyDescent="0.3">
      <c r="A377" s="11">
        <v>45737</v>
      </c>
      <c r="B377" s="4" t="str">
        <f>TEXT(Data!B377,"MMM-YYYY")</f>
        <v>Jun-2025</v>
      </c>
      <c r="C377" s="4" t="str">
        <f t="shared" si="28"/>
        <v>Mar-2025</v>
      </c>
      <c r="D377" s="12">
        <f t="shared" si="29"/>
        <v>45737</v>
      </c>
      <c r="E377" s="4" t="str">
        <f t="shared" si="25"/>
        <v>Q1-2025</v>
      </c>
      <c r="F377" t="s">
        <v>45</v>
      </c>
      <c r="G377" t="s">
        <v>116</v>
      </c>
      <c r="H377" t="s">
        <v>338</v>
      </c>
      <c r="I377" t="s">
        <v>42</v>
      </c>
      <c r="J377" s="7" t="str">
        <f t="shared" si="26"/>
        <v>High</v>
      </c>
      <c r="K377" s="4">
        <v>1206.04</v>
      </c>
      <c r="L377" s="4">
        <v>1206.04</v>
      </c>
      <c r="M377" s="4">
        <v>6.3E-2</v>
      </c>
      <c r="N377" s="4">
        <v>34</v>
      </c>
      <c r="O377" s="4">
        <f t="shared" si="27"/>
        <v>35635.084480000005</v>
      </c>
    </row>
    <row r="378" spans="1:15" x14ac:dyDescent="0.3">
      <c r="A378" s="11">
        <v>45738</v>
      </c>
      <c r="B378" s="4" t="str">
        <f>TEXT(Data!B378,"MMM-YYYY")</f>
        <v>Mar-2023</v>
      </c>
      <c r="C378" s="4" t="str">
        <f t="shared" si="28"/>
        <v>Mar-2025</v>
      </c>
      <c r="D378" s="12">
        <f t="shared" si="29"/>
        <v>45738</v>
      </c>
      <c r="E378" s="4" t="str">
        <f t="shared" si="25"/>
        <v>Q1-2025</v>
      </c>
      <c r="F378" t="s">
        <v>45</v>
      </c>
      <c r="G378" t="s">
        <v>116</v>
      </c>
      <c r="H378" t="s">
        <v>162</v>
      </c>
      <c r="I378" t="s">
        <v>35</v>
      </c>
      <c r="J378" s="7" t="str">
        <f t="shared" si="26"/>
        <v>High</v>
      </c>
      <c r="K378" s="4">
        <v>2197.23</v>
      </c>
      <c r="L378" s="4">
        <v>2197.23</v>
      </c>
      <c r="M378" s="4">
        <v>9.9000000000000005E-2</v>
      </c>
      <c r="N378" s="4">
        <v>22</v>
      </c>
      <c r="O378" s="4">
        <f t="shared" si="27"/>
        <v>23483.321620000002</v>
      </c>
    </row>
    <row r="379" spans="1:15" x14ac:dyDescent="0.3">
      <c r="A379" s="11">
        <v>45739</v>
      </c>
      <c r="B379" s="4" t="str">
        <f>TEXT(Data!B379,"MMM-YYYY")</f>
        <v>Jan-2025</v>
      </c>
      <c r="C379" s="4" t="str">
        <f t="shared" si="28"/>
        <v>Mar-2025</v>
      </c>
      <c r="D379" s="12">
        <f t="shared" si="29"/>
        <v>45739</v>
      </c>
      <c r="E379" s="4" t="str">
        <f t="shared" si="25"/>
        <v>Q1-2025</v>
      </c>
      <c r="F379" t="s">
        <v>16</v>
      </c>
      <c r="G379" t="s">
        <v>148</v>
      </c>
      <c r="H379" t="s">
        <v>172</v>
      </c>
      <c r="I379" t="s">
        <v>22</v>
      </c>
      <c r="J379" s="7" t="str">
        <f t="shared" si="26"/>
        <v>High</v>
      </c>
      <c r="K379" s="4">
        <v>1620.6</v>
      </c>
      <c r="L379" s="4">
        <v>1620.6</v>
      </c>
      <c r="M379" s="4">
        <v>0.13900000000000001</v>
      </c>
      <c r="N379" s="4">
        <v>11</v>
      </c>
      <c r="O379" s="4">
        <f t="shared" si="27"/>
        <v>11379.122369999999</v>
      </c>
    </row>
    <row r="380" spans="1:15" x14ac:dyDescent="0.3">
      <c r="A380" s="11">
        <v>45740</v>
      </c>
      <c r="B380" s="4" t="str">
        <f>TEXT(Data!B380,"MMM-YYYY")</f>
        <v>Feb-2025</v>
      </c>
      <c r="C380" s="4" t="str">
        <f t="shared" si="28"/>
        <v>Mar-2025</v>
      </c>
      <c r="D380" s="12">
        <f t="shared" si="29"/>
        <v>45740</v>
      </c>
      <c r="E380" s="4" t="str">
        <f t="shared" si="25"/>
        <v>Q1-2025</v>
      </c>
      <c r="F380" t="s">
        <v>16</v>
      </c>
      <c r="G380" t="s">
        <v>148</v>
      </c>
      <c r="H380" t="s">
        <v>258</v>
      </c>
      <c r="I380" t="s">
        <v>35</v>
      </c>
      <c r="J380" s="7" t="str">
        <f t="shared" si="26"/>
        <v>High</v>
      </c>
      <c r="K380" s="4">
        <v>1034.6600000000001</v>
      </c>
      <c r="L380" s="4">
        <v>1034.6600000000001</v>
      </c>
      <c r="M380" s="4">
        <v>9.1999999999999998E-2</v>
      </c>
      <c r="N380" s="4">
        <v>7</v>
      </c>
      <c r="O380" s="4">
        <f t="shared" si="27"/>
        <v>5599.5724400000008</v>
      </c>
    </row>
    <row r="381" spans="1:15" x14ac:dyDescent="0.3">
      <c r="A381" s="11">
        <v>45741</v>
      </c>
      <c r="B381" s="4" t="str">
        <f>TEXT(Data!B381,"MMM-YYYY")</f>
        <v>Jan-2025</v>
      </c>
      <c r="C381" s="4" t="str">
        <f t="shared" si="28"/>
        <v>Mar-2025</v>
      </c>
      <c r="D381" s="12">
        <f t="shared" si="29"/>
        <v>45741</v>
      </c>
      <c r="E381" s="4" t="str">
        <f t="shared" si="25"/>
        <v>Q1-2025</v>
      </c>
      <c r="F381" t="s">
        <v>52</v>
      </c>
      <c r="G381" t="s">
        <v>73</v>
      </c>
      <c r="H381" t="s">
        <v>74</v>
      </c>
      <c r="I381" t="s">
        <v>35</v>
      </c>
      <c r="J381" s="7" t="str">
        <f t="shared" si="26"/>
        <v>High</v>
      </c>
      <c r="K381" s="4">
        <v>1905.42</v>
      </c>
      <c r="L381" s="4">
        <v>1905.42</v>
      </c>
      <c r="M381" s="4">
        <v>3.2000000000000001E-2</v>
      </c>
      <c r="N381" s="4">
        <v>18</v>
      </c>
      <c r="O381" s="4">
        <f t="shared" si="27"/>
        <v>35734.358879999992</v>
      </c>
    </row>
    <row r="382" spans="1:15" x14ac:dyDescent="0.3">
      <c r="A382" s="11">
        <v>45742</v>
      </c>
      <c r="B382" s="4" t="str">
        <f>TEXT(Data!B382,"MMM-YYYY")</f>
        <v>Aug-2025</v>
      </c>
      <c r="C382" s="4" t="str">
        <f t="shared" si="28"/>
        <v>Mar-2025</v>
      </c>
      <c r="D382" s="12">
        <f t="shared" si="29"/>
        <v>45742</v>
      </c>
      <c r="E382" s="4" t="str">
        <f t="shared" si="25"/>
        <v>Q1-2025</v>
      </c>
      <c r="F382" t="s">
        <v>78</v>
      </c>
      <c r="G382" t="s">
        <v>108</v>
      </c>
      <c r="H382" t="s">
        <v>152</v>
      </c>
      <c r="I382" t="s">
        <v>22</v>
      </c>
      <c r="J382" s="7" t="str">
        <f t="shared" si="26"/>
        <v>High</v>
      </c>
      <c r="K382" s="4">
        <v>541.55999999999995</v>
      </c>
      <c r="L382" s="4">
        <v>541.55999999999995</v>
      </c>
      <c r="M382" s="4">
        <v>0.16300000000000001</v>
      </c>
      <c r="N382" s="4">
        <v>25</v>
      </c>
      <c r="O382" s="4">
        <f t="shared" si="27"/>
        <v>36365.557499999995</v>
      </c>
    </row>
    <row r="383" spans="1:15" x14ac:dyDescent="0.3">
      <c r="A383" s="11">
        <v>45743</v>
      </c>
      <c r="B383" s="4" t="str">
        <f>TEXT(Data!B383,"MMM-YYYY")</f>
        <v>Jul-2025</v>
      </c>
      <c r="C383" s="4" t="str">
        <f t="shared" si="28"/>
        <v>Mar-2025</v>
      </c>
      <c r="D383" s="12">
        <f t="shared" si="29"/>
        <v>45743</v>
      </c>
      <c r="E383" s="4" t="str">
        <f t="shared" si="25"/>
        <v>Q1-2025</v>
      </c>
      <c r="F383" t="s">
        <v>52</v>
      </c>
      <c r="G383" t="s">
        <v>53</v>
      </c>
      <c r="H383" t="s">
        <v>144</v>
      </c>
      <c r="I383" t="s">
        <v>35</v>
      </c>
      <c r="J383" s="7" t="str">
        <f t="shared" si="26"/>
        <v>High</v>
      </c>
      <c r="K383" s="4">
        <v>1116.5999999999999</v>
      </c>
      <c r="L383" s="4">
        <v>1116.5999999999999</v>
      </c>
      <c r="M383" s="4">
        <v>0.17599999999999999</v>
      </c>
      <c r="N383" s="4">
        <v>14</v>
      </c>
      <c r="O383" s="4">
        <f t="shared" si="27"/>
        <v>16015.544160000001</v>
      </c>
    </row>
    <row r="384" spans="1:15" x14ac:dyDescent="0.3">
      <c r="A384" s="11">
        <v>45744</v>
      </c>
      <c r="B384" s="4" t="str">
        <f>TEXT(Data!B384,"MMM-YYYY")</f>
        <v>Jun-2023</v>
      </c>
      <c r="C384" s="4" t="str">
        <f t="shared" si="28"/>
        <v>Mar-2025</v>
      </c>
      <c r="D384" s="12">
        <f t="shared" si="29"/>
        <v>45744</v>
      </c>
      <c r="E384" s="4" t="str">
        <f t="shared" si="25"/>
        <v>Q1-2025</v>
      </c>
      <c r="F384" t="s">
        <v>78</v>
      </c>
      <c r="G384" t="s">
        <v>108</v>
      </c>
      <c r="H384" t="s">
        <v>109</v>
      </c>
      <c r="I384" t="s">
        <v>30</v>
      </c>
      <c r="J384" s="7" t="str">
        <f t="shared" si="26"/>
        <v>High</v>
      </c>
      <c r="K384" s="4">
        <v>1455</v>
      </c>
      <c r="L384" s="4">
        <v>1455</v>
      </c>
      <c r="M384" s="4">
        <v>7.8E-2</v>
      </c>
      <c r="N384" s="4">
        <v>28</v>
      </c>
      <c r="O384" s="4">
        <f t="shared" si="27"/>
        <v>13660.278240000001</v>
      </c>
    </row>
    <row r="385" spans="1:15" x14ac:dyDescent="0.3">
      <c r="A385" s="11">
        <v>45745</v>
      </c>
      <c r="B385" s="4" t="str">
        <f>TEXT(Data!B385,"MMM-YYYY")</f>
        <v>Jul-2024</v>
      </c>
      <c r="C385" s="4" t="str">
        <f t="shared" si="28"/>
        <v>Mar-2025</v>
      </c>
      <c r="D385" s="12">
        <f t="shared" si="29"/>
        <v>45745</v>
      </c>
      <c r="E385" s="4" t="str">
        <f t="shared" si="25"/>
        <v>Q1-2025</v>
      </c>
      <c r="F385" t="s">
        <v>52</v>
      </c>
      <c r="G385" t="s">
        <v>122</v>
      </c>
      <c r="H385" t="s">
        <v>387</v>
      </c>
      <c r="I385" t="s">
        <v>35</v>
      </c>
      <c r="J385" s="7" t="str">
        <f t="shared" si="26"/>
        <v>High</v>
      </c>
      <c r="K385" s="4">
        <v>1278.3</v>
      </c>
      <c r="L385" s="4">
        <v>1278.3</v>
      </c>
      <c r="M385" s="4">
        <v>0.09</v>
      </c>
      <c r="N385" s="4">
        <v>41</v>
      </c>
      <c r="O385" s="4">
        <f t="shared" si="27"/>
        <v>73589.497799999997</v>
      </c>
    </row>
    <row r="386" spans="1:15" x14ac:dyDescent="0.3">
      <c r="A386" s="11">
        <v>45746</v>
      </c>
      <c r="B386" s="4" t="str">
        <f>TEXT(Data!B386,"MMM-YYYY")</f>
        <v>May-2023</v>
      </c>
      <c r="C386" s="4" t="str">
        <f t="shared" si="28"/>
        <v>Mar-2025</v>
      </c>
      <c r="D386" s="12">
        <f t="shared" si="29"/>
        <v>45746</v>
      </c>
      <c r="E386" s="4" t="str">
        <f t="shared" ref="E386:E449" si="30">"Q"&amp;ROUNDUP(MONTH(A386)/3,0)&amp;"-"&amp;YEAR(A386)</f>
        <v>Q1-2025</v>
      </c>
      <c r="F386" t="s">
        <v>78</v>
      </c>
      <c r="G386" t="s">
        <v>90</v>
      </c>
      <c r="H386" t="s">
        <v>91</v>
      </c>
      <c r="I386" t="s">
        <v>64</v>
      </c>
      <c r="J386" s="7" t="str">
        <f t="shared" ref="J386:J449" si="31">IF(K386&lt;50, "Low", IF(K386&lt;200, "Medium", "High"))</f>
        <v>High</v>
      </c>
      <c r="K386" s="4">
        <v>899.83</v>
      </c>
      <c r="L386" s="4">
        <v>899.83</v>
      </c>
      <c r="M386" s="4">
        <v>5.8000000000000003E-2</v>
      </c>
      <c r="N386" s="4">
        <v>18</v>
      </c>
      <c r="O386" s="4">
        <f t="shared" ref="O386:O449" si="32">(L412*N386)*(1-M386)</f>
        <v>14867.190359999997</v>
      </c>
    </row>
    <row r="387" spans="1:15" x14ac:dyDescent="0.3">
      <c r="A387" s="11">
        <v>45747</v>
      </c>
      <c r="B387" s="4" t="str">
        <f>TEXT(Data!B387,"MMM-YYYY")</f>
        <v>May-2025</v>
      </c>
      <c r="C387" s="4" t="str">
        <f t="shared" ref="C387:C450" si="33">TEXT(D387, "MMM-YYYY")</f>
        <v>Mar-2025</v>
      </c>
      <c r="D387" s="12">
        <f t="shared" ref="D387:D450" si="34">_xlfn.MINIFS(A387:A387, G387:G387,G387)</f>
        <v>45747</v>
      </c>
      <c r="E387" s="4" t="str">
        <f t="shared" si="30"/>
        <v>Q1-2025</v>
      </c>
      <c r="F387" t="s">
        <v>45</v>
      </c>
      <c r="G387" t="s">
        <v>60</v>
      </c>
      <c r="H387" t="s">
        <v>141</v>
      </c>
      <c r="I387" t="s">
        <v>57</v>
      </c>
      <c r="J387" s="7" t="str">
        <f t="shared" si="31"/>
        <v>High</v>
      </c>
      <c r="K387" s="4">
        <v>878.73</v>
      </c>
      <c r="L387" s="4">
        <v>878.73</v>
      </c>
      <c r="M387" s="4">
        <v>0.19</v>
      </c>
      <c r="N387" s="4">
        <v>31</v>
      </c>
      <c r="O387" s="4">
        <f t="shared" si="32"/>
        <v>20697.168600000001</v>
      </c>
    </row>
    <row r="388" spans="1:15" x14ac:dyDescent="0.3">
      <c r="A388" s="11">
        <v>45748</v>
      </c>
      <c r="B388" s="4" t="str">
        <f>TEXT(Data!B388,"MMM-YYYY")</f>
        <v>May-2024</v>
      </c>
      <c r="C388" s="4" t="str">
        <f t="shared" si="33"/>
        <v>Apr-2025</v>
      </c>
      <c r="D388" s="12">
        <f t="shared" si="34"/>
        <v>45748</v>
      </c>
      <c r="E388" s="4" t="str">
        <f t="shared" si="30"/>
        <v>Q2-2025</v>
      </c>
      <c r="F388" t="s">
        <v>45</v>
      </c>
      <c r="G388" t="s">
        <v>60</v>
      </c>
      <c r="H388" t="s">
        <v>281</v>
      </c>
      <c r="I388" t="s">
        <v>30</v>
      </c>
      <c r="J388" s="7" t="str">
        <f t="shared" si="31"/>
        <v>High</v>
      </c>
      <c r="K388" s="4">
        <v>594.41999999999996</v>
      </c>
      <c r="L388" s="4">
        <v>594.41999999999996</v>
      </c>
      <c r="M388" s="4">
        <v>0.104</v>
      </c>
      <c r="N388" s="4">
        <v>18</v>
      </c>
      <c r="O388" s="4">
        <f t="shared" si="32"/>
        <v>18697.996800000001</v>
      </c>
    </row>
    <row r="389" spans="1:15" x14ac:dyDescent="0.3">
      <c r="A389" s="11">
        <v>45749</v>
      </c>
      <c r="B389" s="4" t="str">
        <f>TEXT(Data!B389,"MMM-YYYY")</f>
        <v>Sep-2023</v>
      </c>
      <c r="C389" s="4" t="str">
        <f t="shared" si="33"/>
        <v>Apr-2025</v>
      </c>
      <c r="D389" s="12">
        <f t="shared" si="34"/>
        <v>45749</v>
      </c>
      <c r="E389" s="4" t="str">
        <f t="shared" si="30"/>
        <v>Q2-2025</v>
      </c>
      <c r="F389" t="s">
        <v>16</v>
      </c>
      <c r="G389" t="s">
        <v>25</v>
      </c>
      <c r="H389" t="s">
        <v>67</v>
      </c>
      <c r="I389" t="s">
        <v>57</v>
      </c>
      <c r="J389" s="7" t="str">
        <f t="shared" si="31"/>
        <v>High</v>
      </c>
      <c r="K389" s="4">
        <v>1617.85</v>
      </c>
      <c r="L389" s="4">
        <v>1617.85</v>
      </c>
      <c r="M389" s="4">
        <v>0.127</v>
      </c>
      <c r="N389" s="4">
        <v>14</v>
      </c>
      <c r="O389" s="4">
        <f t="shared" si="32"/>
        <v>30720.11922</v>
      </c>
    </row>
    <row r="390" spans="1:15" x14ac:dyDescent="0.3">
      <c r="A390" s="11">
        <v>45750</v>
      </c>
      <c r="B390" s="4" t="str">
        <f>TEXT(Data!B390,"MMM-YYYY")</f>
        <v>Oct-2023</v>
      </c>
      <c r="C390" s="4" t="str">
        <f t="shared" si="33"/>
        <v>Apr-2025</v>
      </c>
      <c r="D390" s="12">
        <f t="shared" si="34"/>
        <v>45750</v>
      </c>
      <c r="E390" s="4" t="str">
        <f t="shared" si="30"/>
        <v>Q2-2025</v>
      </c>
      <c r="F390" t="s">
        <v>45</v>
      </c>
      <c r="G390" t="s">
        <v>116</v>
      </c>
      <c r="H390" t="s">
        <v>338</v>
      </c>
      <c r="I390" t="s">
        <v>57</v>
      </c>
      <c r="J390" s="7" t="str">
        <f t="shared" si="31"/>
        <v>High</v>
      </c>
      <c r="K390" s="4">
        <v>972.91</v>
      </c>
      <c r="L390" s="4">
        <v>972.91</v>
      </c>
      <c r="M390" s="4">
        <v>0.14699999999999999</v>
      </c>
      <c r="N390" s="4">
        <v>17</v>
      </c>
      <c r="O390" s="4">
        <f t="shared" si="32"/>
        <v>44766.472129999995</v>
      </c>
    </row>
    <row r="391" spans="1:15" x14ac:dyDescent="0.3">
      <c r="A391" s="11">
        <v>45751</v>
      </c>
      <c r="B391" s="4" t="str">
        <f>TEXT(Data!B391,"MMM-YYYY")</f>
        <v>Jun-2025</v>
      </c>
      <c r="C391" s="4" t="str">
        <f t="shared" si="33"/>
        <v>Apr-2025</v>
      </c>
      <c r="D391" s="12">
        <f t="shared" si="34"/>
        <v>45751</v>
      </c>
      <c r="E391" s="4" t="str">
        <f t="shared" si="30"/>
        <v>Q2-2025</v>
      </c>
      <c r="F391" t="s">
        <v>16</v>
      </c>
      <c r="G391" t="s">
        <v>148</v>
      </c>
      <c r="H391" t="s">
        <v>258</v>
      </c>
      <c r="I391" t="s">
        <v>57</v>
      </c>
      <c r="J391" s="7" t="str">
        <f t="shared" si="31"/>
        <v>Low</v>
      </c>
      <c r="K391" s="4">
        <v>42.56</v>
      </c>
      <c r="L391" s="4">
        <v>42.56</v>
      </c>
      <c r="M391" s="4">
        <v>7.1999999999999995E-2</v>
      </c>
      <c r="N391" s="4">
        <v>11</v>
      </c>
      <c r="O391" s="4">
        <f t="shared" si="32"/>
        <v>27736.667200000004</v>
      </c>
    </row>
    <row r="392" spans="1:15" x14ac:dyDescent="0.3">
      <c r="A392" s="11">
        <v>45752</v>
      </c>
      <c r="B392" s="4" t="str">
        <f>TEXT(Data!B392,"MMM-YYYY")</f>
        <v>Aug-2024</v>
      </c>
      <c r="C392" s="4" t="str">
        <f t="shared" si="33"/>
        <v>Apr-2025</v>
      </c>
      <c r="D392" s="12">
        <f t="shared" si="34"/>
        <v>45752</v>
      </c>
      <c r="E392" s="4" t="str">
        <f t="shared" si="30"/>
        <v>Q2-2025</v>
      </c>
      <c r="F392" t="s">
        <v>16</v>
      </c>
      <c r="G392" t="s">
        <v>148</v>
      </c>
      <c r="H392" t="s">
        <v>149</v>
      </c>
      <c r="I392" t="s">
        <v>64</v>
      </c>
      <c r="J392" s="7" t="str">
        <f t="shared" si="31"/>
        <v>High</v>
      </c>
      <c r="K392" s="4">
        <v>1480.83</v>
      </c>
      <c r="L392" s="4">
        <v>1480.83</v>
      </c>
      <c r="M392" s="4">
        <v>8.9999999999999993E-3</v>
      </c>
      <c r="N392" s="4">
        <v>11</v>
      </c>
      <c r="O392" s="4">
        <f t="shared" si="32"/>
        <v>9830.4127899999985</v>
      </c>
    </row>
    <row r="393" spans="1:15" x14ac:dyDescent="0.3">
      <c r="A393" s="11">
        <v>45753</v>
      </c>
      <c r="B393" s="4" t="str">
        <f>TEXT(Data!B393,"MMM-YYYY")</f>
        <v>Oct-2023</v>
      </c>
      <c r="C393" s="4" t="str">
        <f t="shared" si="33"/>
        <v>Apr-2025</v>
      </c>
      <c r="D393" s="12">
        <f t="shared" si="34"/>
        <v>45753</v>
      </c>
      <c r="E393" s="4" t="str">
        <f t="shared" si="30"/>
        <v>Q2-2025</v>
      </c>
      <c r="F393" t="s">
        <v>78</v>
      </c>
      <c r="G393" t="s">
        <v>90</v>
      </c>
      <c r="H393" t="s">
        <v>91</v>
      </c>
      <c r="I393" t="s">
        <v>30</v>
      </c>
      <c r="J393" s="7" t="str">
        <f t="shared" si="31"/>
        <v>High</v>
      </c>
      <c r="K393" s="4">
        <v>564.26</v>
      </c>
      <c r="L393" s="4">
        <v>564.26</v>
      </c>
      <c r="M393" s="4">
        <v>0.105</v>
      </c>
      <c r="N393" s="4">
        <v>5</v>
      </c>
      <c r="O393" s="4">
        <f t="shared" si="32"/>
        <v>3562.7712500000002</v>
      </c>
    </row>
    <row r="394" spans="1:15" x14ac:dyDescent="0.3">
      <c r="A394" s="11">
        <v>45754</v>
      </c>
      <c r="B394" s="4" t="str">
        <f>TEXT(Data!B394,"MMM-YYYY")</f>
        <v>Mar-2024</v>
      </c>
      <c r="C394" s="4" t="str">
        <f t="shared" si="33"/>
        <v>Apr-2025</v>
      </c>
      <c r="D394" s="12">
        <f t="shared" si="34"/>
        <v>45754</v>
      </c>
      <c r="E394" s="4" t="str">
        <f t="shared" si="30"/>
        <v>Q2-2025</v>
      </c>
      <c r="F394" t="s">
        <v>45</v>
      </c>
      <c r="G394" t="s">
        <v>116</v>
      </c>
      <c r="H394" t="s">
        <v>162</v>
      </c>
      <c r="I394" t="s">
        <v>22</v>
      </c>
      <c r="J394" s="7" t="str">
        <f t="shared" si="31"/>
        <v>High</v>
      </c>
      <c r="K394" s="4">
        <v>2137.21</v>
      </c>
      <c r="L394" s="4">
        <v>2137.21</v>
      </c>
      <c r="M394" s="4">
        <v>0.35699999999999998</v>
      </c>
      <c r="N394" s="4">
        <v>35</v>
      </c>
      <c r="O394" s="4">
        <f t="shared" si="32"/>
        <v>3551.7390999999998</v>
      </c>
    </row>
    <row r="395" spans="1:15" x14ac:dyDescent="0.3">
      <c r="A395" s="11">
        <v>45755</v>
      </c>
      <c r="B395" s="4" t="str">
        <f>TEXT(Data!B395,"MMM-YYYY")</f>
        <v>May-2023</v>
      </c>
      <c r="C395" s="4" t="str">
        <f t="shared" si="33"/>
        <v>Apr-2025</v>
      </c>
      <c r="D395" s="12">
        <f t="shared" si="34"/>
        <v>45755</v>
      </c>
      <c r="E395" s="4" t="str">
        <f t="shared" si="30"/>
        <v>Q2-2025</v>
      </c>
      <c r="F395" t="s">
        <v>52</v>
      </c>
      <c r="G395" t="s">
        <v>122</v>
      </c>
      <c r="H395" t="s">
        <v>167</v>
      </c>
      <c r="I395" t="s">
        <v>42</v>
      </c>
      <c r="J395" s="7" t="str">
        <f t="shared" si="31"/>
        <v>High</v>
      </c>
      <c r="K395" s="4">
        <v>1680.93</v>
      </c>
      <c r="L395" s="4">
        <v>1680.93</v>
      </c>
      <c r="M395" s="4">
        <v>0.254</v>
      </c>
      <c r="N395" s="4">
        <v>9</v>
      </c>
      <c r="O395" s="4">
        <f t="shared" si="32"/>
        <v>5499.1688399999994</v>
      </c>
    </row>
    <row r="396" spans="1:15" x14ac:dyDescent="0.3">
      <c r="A396" s="11">
        <v>45756</v>
      </c>
      <c r="B396" s="4" t="str">
        <f>TEXT(Data!B396,"MMM-YYYY")</f>
        <v>May-2025</v>
      </c>
      <c r="C396" s="4" t="str">
        <f t="shared" si="33"/>
        <v>Apr-2025</v>
      </c>
      <c r="D396" s="12">
        <f t="shared" si="34"/>
        <v>45756</v>
      </c>
      <c r="E396" s="4" t="str">
        <f t="shared" si="30"/>
        <v>Q2-2025</v>
      </c>
      <c r="F396" t="s">
        <v>78</v>
      </c>
      <c r="G396" t="s">
        <v>108</v>
      </c>
      <c r="H396" t="s">
        <v>152</v>
      </c>
      <c r="I396" t="s">
        <v>22</v>
      </c>
      <c r="J396" s="7" t="str">
        <f t="shared" si="31"/>
        <v>High</v>
      </c>
      <c r="K396" s="4">
        <v>2905.06</v>
      </c>
      <c r="L396" s="4">
        <v>2905.06</v>
      </c>
      <c r="M396" s="4">
        <v>0.14799999999999999</v>
      </c>
      <c r="N396" s="4">
        <v>8</v>
      </c>
      <c r="O396" s="4">
        <f t="shared" si="32"/>
        <v>11663.26656</v>
      </c>
    </row>
    <row r="397" spans="1:15" x14ac:dyDescent="0.3">
      <c r="A397" s="11">
        <v>45757</v>
      </c>
      <c r="B397" s="4" t="str">
        <f>TEXT(Data!B397,"MMM-YYYY")</f>
        <v>Aug-2025</v>
      </c>
      <c r="C397" s="4" t="str">
        <f t="shared" si="33"/>
        <v>Apr-2025</v>
      </c>
      <c r="D397" s="12">
        <f t="shared" si="34"/>
        <v>45757</v>
      </c>
      <c r="E397" s="4" t="str">
        <f t="shared" si="30"/>
        <v>Q2-2025</v>
      </c>
      <c r="F397" t="s">
        <v>45</v>
      </c>
      <c r="G397" t="s">
        <v>46</v>
      </c>
      <c r="H397" t="s">
        <v>47</v>
      </c>
      <c r="I397" t="s">
        <v>81</v>
      </c>
      <c r="J397" s="7" t="str">
        <f t="shared" si="31"/>
        <v>High</v>
      </c>
      <c r="K397" s="4">
        <v>842.09</v>
      </c>
      <c r="L397" s="4">
        <v>842.09</v>
      </c>
      <c r="M397" s="4">
        <v>9.8000000000000004E-2</v>
      </c>
      <c r="N397" s="4">
        <v>19</v>
      </c>
      <c r="O397" s="4">
        <f t="shared" si="32"/>
        <v>29072.046299999998</v>
      </c>
    </row>
    <row r="398" spans="1:15" x14ac:dyDescent="0.3">
      <c r="A398" s="11">
        <v>45758</v>
      </c>
      <c r="B398" s="4" t="str">
        <f>TEXT(Data!B398,"MMM-YYYY")</f>
        <v>Dec-2024</v>
      </c>
      <c r="C398" s="4" t="str">
        <f t="shared" si="33"/>
        <v>Apr-2025</v>
      </c>
      <c r="D398" s="12">
        <f t="shared" si="34"/>
        <v>45758</v>
      </c>
      <c r="E398" s="4" t="str">
        <f t="shared" si="30"/>
        <v>Q2-2025</v>
      </c>
      <c r="F398" t="s">
        <v>78</v>
      </c>
      <c r="G398" t="s">
        <v>79</v>
      </c>
      <c r="H398" t="s">
        <v>80</v>
      </c>
      <c r="I398" t="s">
        <v>64</v>
      </c>
      <c r="J398" s="7" t="str">
        <f t="shared" si="31"/>
        <v>High</v>
      </c>
      <c r="K398" s="4">
        <v>3131.37</v>
      </c>
      <c r="L398" s="4">
        <v>3131.37</v>
      </c>
      <c r="M398" s="4">
        <v>0.10299999999999999</v>
      </c>
      <c r="N398" s="4">
        <v>20</v>
      </c>
      <c r="O398" s="4">
        <f t="shared" si="32"/>
        <v>51745.059600000001</v>
      </c>
    </row>
    <row r="399" spans="1:15" x14ac:dyDescent="0.3">
      <c r="A399" s="11">
        <v>45759</v>
      </c>
      <c r="B399" s="4" t="str">
        <f>TEXT(Data!B399,"MMM-YYYY")</f>
        <v>Sep-2025</v>
      </c>
      <c r="C399" s="4" t="str">
        <f t="shared" si="33"/>
        <v>Apr-2025</v>
      </c>
      <c r="D399" s="12">
        <f t="shared" si="34"/>
        <v>45759</v>
      </c>
      <c r="E399" s="4" t="str">
        <f t="shared" si="30"/>
        <v>Q2-2025</v>
      </c>
      <c r="F399" t="s">
        <v>45</v>
      </c>
      <c r="G399" t="s">
        <v>46</v>
      </c>
      <c r="H399" t="s">
        <v>214</v>
      </c>
      <c r="I399" t="s">
        <v>57</v>
      </c>
      <c r="J399" s="7" t="str">
        <f t="shared" si="31"/>
        <v>High</v>
      </c>
      <c r="K399" s="4">
        <v>1444.72</v>
      </c>
      <c r="L399" s="4">
        <v>1444.72</v>
      </c>
      <c r="M399" s="4">
        <v>0.24099999999999999</v>
      </c>
      <c r="N399" s="4">
        <v>17</v>
      </c>
      <c r="O399" s="4">
        <f t="shared" si="32"/>
        <v>19144.697220000002</v>
      </c>
    </row>
    <row r="400" spans="1:15" x14ac:dyDescent="0.3">
      <c r="A400" s="11">
        <v>45760</v>
      </c>
      <c r="B400" s="4" t="str">
        <f>TEXT(Data!B400,"MMM-YYYY")</f>
        <v>Sep-2024</v>
      </c>
      <c r="C400" s="4" t="str">
        <f t="shared" si="33"/>
        <v>Apr-2025</v>
      </c>
      <c r="D400" s="12">
        <f t="shared" si="34"/>
        <v>45760</v>
      </c>
      <c r="E400" s="4" t="str">
        <f t="shared" si="30"/>
        <v>Q2-2025</v>
      </c>
      <c r="F400" t="s">
        <v>16</v>
      </c>
      <c r="G400" t="s">
        <v>148</v>
      </c>
      <c r="H400" t="s">
        <v>172</v>
      </c>
      <c r="I400" t="s">
        <v>22</v>
      </c>
      <c r="J400" s="7" t="str">
        <f t="shared" si="31"/>
        <v>High</v>
      </c>
      <c r="K400" s="4">
        <v>2875.8</v>
      </c>
      <c r="L400" s="4">
        <v>2875.8</v>
      </c>
      <c r="M400" s="4">
        <v>8.3000000000000004E-2</v>
      </c>
      <c r="N400" s="4">
        <v>5</v>
      </c>
      <c r="O400" s="4">
        <f t="shared" si="32"/>
        <v>14660.399949999999</v>
      </c>
    </row>
    <row r="401" spans="1:15" x14ac:dyDescent="0.3">
      <c r="A401" s="11">
        <v>45761</v>
      </c>
      <c r="B401" s="4" t="str">
        <f>TEXT(Data!B401,"MMM-YYYY")</f>
        <v>Apr-2025</v>
      </c>
      <c r="C401" s="4" t="str">
        <f t="shared" si="33"/>
        <v>Apr-2025</v>
      </c>
      <c r="D401" s="12">
        <f t="shared" si="34"/>
        <v>45761</v>
      </c>
      <c r="E401" s="4" t="str">
        <f t="shared" si="30"/>
        <v>Q2-2025</v>
      </c>
      <c r="F401" t="s">
        <v>16</v>
      </c>
      <c r="G401" t="s">
        <v>148</v>
      </c>
      <c r="H401" t="s">
        <v>258</v>
      </c>
      <c r="I401" t="s">
        <v>64</v>
      </c>
      <c r="J401" s="7" t="str">
        <f t="shared" si="31"/>
        <v>High</v>
      </c>
      <c r="K401" s="4">
        <v>1641.61</v>
      </c>
      <c r="L401" s="4">
        <v>1641.61</v>
      </c>
      <c r="M401" s="4">
        <v>0.122</v>
      </c>
      <c r="N401" s="4">
        <v>9</v>
      </c>
      <c r="O401" s="4">
        <f t="shared" si="32"/>
        <v>18353.975399999999</v>
      </c>
    </row>
    <row r="402" spans="1:15" x14ac:dyDescent="0.3">
      <c r="A402" s="11">
        <v>45762</v>
      </c>
      <c r="B402" s="4" t="str">
        <f>TEXT(Data!B402,"MMM-YYYY")</f>
        <v>Aug-2024</v>
      </c>
      <c r="C402" s="4" t="str">
        <f t="shared" si="33"/>
        <v>Apr-2025</v>
      </c>
      <c r="D402" s="12">
        <f t="shared" si="34"/>
        <v>45762</v>
      </c>
      <c r="E402" s="4" t="str">
        <f t="shared" si="30"/>
        <v>Q2-2025</v>
      </c>
      <c r="F402" t="s">
        <v>16</v>
      </c>
      <c r="G402" t="s">
        <v>17</v>
      </c>
      <c r="H402" t="s">
        <v>18</v>
      </c>
      <c r="I402" t="s">
        <v>35</v>
      </c>
      <c r="J402" s="7" t="str">
        <f t="shared" si="31"/>
        <v>High</v>
      </c>
      <c r="K402" s="4">
        <v>1299.02</v>
      </c>
      <c r="L402" s="4">
        <v>1299.02</v>
      </c>
      <c r="M402" s="4">
        <v>2.5000000000000001E-2</v>
      </c>
      <c r="N402" s="4">
        <v>14</v>
      </c>
      <c r="O402" s="4">
        <f t="shared" si="32"/>
        <v>26377.532999999999</v>
      </c>
    </row>
    <row r="403" spans="1:15" x14ac:dyDescent="0.3">
      <c r="A403" s="11">
        <v>45763</v>
      </c>
      <c r="B403" s="4" t="str">
        <f>TEXT(Data!B403,"MMM-YYYY")</f>
        <v>Nov-2024</v>
      </c>
      <c r="C403" s="4" t="str">
        <f t="shared" si="33"/>
        <v>Apr-2025</v>
      </c>
      <c r="D403" s="12">
        <f t="shared" si="34"/>
        <v>45763</v>
      </c>
      <c r="E403" s="4" t="str">
        <f t="shared" si="30"/>
        <v>Q2-2025</v>
      </c>
      <c r="F403" t="s">
        <v>52</v>
      </c>
      <c r="G403" t="s">
        <v>122</v>
      </c>
      <c r="H403" t="s">
        <v>123</v>
      </c>
      <c r="I403" t="s">
        <v>30</v>
      </c>
      <c r="J403" s="7" t="str">
        <f t="shared" si="31"/>
        <v>High</v>
      </c>
      <c r="K403" s="4">
        <v>1118.56</v>
      </c>
      <c r="L403" s="4">
        <v>1118.56</v>
      </c>
      <c r="M403" s="4">
        <v>0.18</v>
      </c>
      <c r="N403" s="4">
        <v>19</v>
      </c>
      <c r="O403" s="4">
        <f t="shared" si="32"/>
        <v>24777.808799999999</v>
      </c>
    </row>
    <row r="404" spans="1:15" x14ac:dyDescent="0.3">
      <c r="A404" s="11">
        <v>45764</v>
      </c>
      <c r="B404" s="4" t="str">
        <f>TEXT(Data!B404,"MMM-YYYY")</f>
        <v>Jul-2024</v>
      </c>
      <c r="C404" s="4" t="str">
        <f t="shared" si="33"/>
        <v>Apr-2025</v>
      </c>
      <c r="D404" s="12">
        <f t="shared" si="34"/>
        <v>45764</v>
      </c>
      <c r="E404" s="4" t="str">
        <f t="shared" si="30"/>
        <v>Q2-2025</v>
      </c>
      <c r="F404" t="s">
        <v>52</v>
      </c>
      <c r="G404" t="s">
        <v>53</v>
      </c>
      <c r="H404" t="s">
        <v>54</v>
      </c>
      <c r="I404" t="s">
        <v>22</v>
      </c>
      <c r="J404" s="7" t="str">
        <f t="shared" si="31"/>
        <v>High</v>
      </c>
      <c r="K404" s="4">
        <v>1184.71</v>
      </c>
      <c r="L404" s="4">
        <v>1184.71</v>
      </c>
      <c r="M404" s="4">
        <v>0.106</v>
      </c>
      <c r="N404" s="4">
        <v>16</v>
      </c>
      <c r="O404" s="4">
        <f t="shared" si="32"/>
        <v>5658.8054400000001</v>
      </c>
    </row>
    <row r="405" spans="1:15" x14ac:dyDescent="0.3">
      <c r="A405" s="11">
        <v>45765</v>
      </c>
      <c r="B405" s="4" t="str">
        <f>TEXT(Data!B405,"MMM-YYYY")</f>
        <v>Jan-2025</v>
      </c>
      <c r="C405" s="4" t="str">
        <f t="shared" si="33"/>
        <v>Apr-2025</v>
      </c>
      <c r="D405" s="12">
        <f t="shared" si="34"/>
        <v>45765</v>
      </c>
      <c r="E405" s="4" t="str">
        <f t="shared" si="30"/>
        <v>Q2-2025</v>
      </c>
      <c r="F405" t="s">
        <v>78</v>
      </c>
      <c r="G405" t="s">
        <v>90</v>
      </c>
      <c r="H405" t="s">
        <v>91</v>
      </c>
      <c r="I405" t="s">
        <v>57</v>
      </c>
      <c r="J405" s="7" t="str">
        <f t="shared" si="31"/>
        <v>High</v>
      </c>
      <c r="K405" s="4">
        <v>1201.47</v>
      </c>
      <c r="L405" s="4">
        <v>1201.47</v>
      </c>
      <c r="M405" s="4">
        <v>0.126</v>
      </c>
      <c r="N405" s="4">
        <v>5</v>
      </c>
      <c r="O405" s="4">
        <f t="shared" si="32"/>
        <v>9079.5053000000007</v>
      </c>
    </row>
    <row r="406" spans="1:15" x14ac:dyDescent="0.3">
      <c r="A406" s="11">
        <v>45766</v>
      </c>
      <c r="B406" s="4" t="str">
        <f>TEXT(Data!B406,"MMM-YYYY")</f>
        <v>Mar-2023</v>
      </c>
      <c r="C406" s="4" t="str">
        <f t="shared" si="33"/>
        <v>Apr-2025</v>
      </c>
      <c r="D406" s="12">
        <f t="shared" si="34"/>
        <v>45766</v>
      </c>
      <c r="E406" s="4" t="str">
        <f t="shared" si="30"/>
        <v>Q2-2025</v>
      </c>
      <c r="F406" t="s">
        <v>52</v>
      </c>
      <c r="G406" t="s">
        <v>73</v>
      </c>
      <c r="H406" t="s">
        <v>87</v>
      </c>
      <c r="I406" t="s">
        <v>22</v>
      </c>
      <c r="J406" s="7" t="str">
        <f t="shared" si="31"/>
        <v>High</v>
      </c>
      <c r="K406" s="4">
        <v>880.99</v>
      </c>
      <c r="L406" s="4">
        <v>880.99</v>
      </c>
      <c r="M406" s="4">
        <v>0.111</v>
      </c>
      <c r="N406" s="4">
        <v>10</v>
      </c>
      <c r="O406" s="4">
        <f t="shared" si="32"/>
        <v>11831.2565</v>
      </c>
    </row>
    <row r="407" spans="1:15" x14ac:dyDescent="0.3">
      <c r="A407" s="11">
        <v>45767</v>
      </c>
      <c r="B407" s="4" t="str">
        <f>TEXT(Data!B407,"MMM-YYYY")</f>
        <v>Dec-2024</v>
      </c>
      <c r="C407" s="4" t="str">
        <f t="shared" si="33"/>
        <v>Apr-2025</v>
      </c>
      <c r="D407" s="12">
        <f t="shared" si="34"/>
        <v>45767</v>
      </c>
      <c r="E407" s="4" t="str">
        <f t="shared" si="30"/>
        <v>Q2-2025</v>
      </c>
      <c r="F407" t="s">
        <v>45</v>
      </c>
      <c r="G407" t="s">
        <v>116</v>
      </c>
      <c r="H407" t="s">
        <v>338</v>
      </c>
      <c r="I407" t="s">
        <v>64</v>
      </c>
      <c r="J407" s="7" t="str">
        <f t="shared" si="31"/>
        <v>High</v>
      </c>
      <c r="K407" s="4">
        <v>2050.87</v>
      </c>
      <c r="L407" s="4">
        <v>2050.87</v>
      </c>
      <c r="M407" s="4">
        <v>6.4000000000000001E-2</v>
      </c>
      <c r="N407" s="4">
        <v>7</v>
      </c>
      <c r="O407" s="4">
        <f t="shared" si="32"/>
        <v>18113.986799999999</v>
      </c>
    </row>
    <row r="408" spans="1:15" x14ac:dyDescent="0.3">
      <c r="A408" s="11">
        <v>45768</v>
      </c>
      <c r="B408" s="4" t="str">
        <f>TEXT(Data!B408,"MMM-YYYY")</f>
        <v>Feb-2025</v>
      </c>
      <c r="C408" s="4" t="str">
        <f t="shared" si="33"/>
        <v>Apr-2025</v>
      </c>
      <c r="D408" s="12">
        <f t="shared" si="34"/>
        <v>45768</v>
      </c>
      <c r="E408" s="4" t="str">
        <f t="shared" si="30"/>
        <v>Q2-2025</v>
      </c>
      <c r="F408" t="s">
        <v>45</v>
      </c>
      <c r="G408" t="s">
        <v>60</v>
      </c>
      <c r="H408" t="s">
        <v>141</v>
      </c>
      <c r="I408" t="s">
        <v>30</v>
      </c>
      <c r="J408" s="7" t="str">
        <f t="shared" si="31"/>
        <v>High</v>
      </c>
      <c r="K408" s="4">
        <v>1737.9</v>
      </c>
      <c r="L408" s="4">
        <v>1737.9</v>
      </c>
      <c r="M408" s="4">
        <v>7.6999999999999999E-2</v>
      </c>
      <c r="N408" s="4">
        <v>14</v>
      </c>
      <c r="O408" s="4">
        <f t="shared" si="32"/>
        <v>3596.8387000000007</v>
      </c>
    </row>
    <row r="409" spans="1:15" x14ac:dyDescent="0.3">
      <c r="A409" s="11">
        <v>45769</v>
      </c>
      <c r="B409" s="4" t="str">
        <f>TEXT(Data!B409,"MMM-YYYY")</f>
        <v>Mar-2025</v>
      </c>
      <c r="C409" s="4" t="str">
        <f t="shared" si="33"/>
        <v>Apr-2025</v>
      </c>
      <c r="D409" s="12">
        <f t="shared" si="34"/>
        <v>45769</v>
      </c>
      <c r="E409" s="4" t="str">
        <f t="shared" si="30"/>
        <v>Q2-2025</v>
      </c>
      <c r="F409" t="s">
        <v>16</v>
      </c>
      <c r="G409" t="s">
        <v>25</v>
      </c>
      <c r="H409" t="s">
        <v>67</v>
      </c>
      <c r="I409" t="s">
        <v>42</v>
      </c>
      <c r="J409" s="7" t="str">
        <f t="shared" si="31"/>
        <v>High</v>
      </c>
      <c r="K409" s="4">
        <v>1388.31</v>
      </c>
      <c r="L409" s="4">
        <v>1388.31</v>
      </c>
      <c r="M409" s="4">
        <v>0.13800000000000001</v>
      </c>
      <c r="N409" s="4">
        <v>18</v>
      </c>
      <c r="O409" s="4">
        <f t="shared" si="32"/>
        <v>15273.329759999999</v>
      </c>
    </row>
    <row r="410" spans="1:15" x14ac:dyDescent="0.3">
      <c r="A410" s="11">
        <v>45770</v>
      </c>
      <c r="B410" s="4" t="str">
        <f>TEXT(Data!B410,"MMM-YYYY")</f>
        <v>Dec-2023</v>
      </c>
      <c r="C410" s="4" t="str">
        <f t="shared" si="33"/>
        <v>Apr-2025</v>
      </c>
      <c r="D410" s="12">
        <f t="shared" si="34"/>
        <v>45770</v>
      </c>
      <c r="E410" s="4" t="str">
        <f t="shared" si="30"/>
        <v>Q2-2025</v>
      </c>
      <c r="F410" t="s">
        <v>45</v>
      </c>
      <c r="G410" t="s">
        <v>60</v>
      </c>
      <c r="H410" t="s">
        <v>61</v>
      </c>
      <c r="I410" t="s">
        <v>57</v>
      </c>
      <c r="J410" s="7" t="str">
        <f t="shared" si="31"/>
        <v>High</v>
      </c>
      <c r="K410" s="4">
        <v>529.14</v>
      </c>
      <c r="L410" s="4">
        <v>529.14</v>
      </c>
      <c r="M410" s="4">
        <v>0.19600000000000001</v>
      </c>
      <c r="N410" s="4">
        <v>11</v>
      </c>
      <c r="O410" s="4">
        <f t="shared" si="32"/>
        <v>1687.7889600000003</v>
      </c>
    </row>
    <row r="411" spans="1:15" x14ac:dyDescent="0.3">
      <c r="A411" s="11">
        <v>45771</v>
      </c>
      <c r="B411" s="4" t="str">
        <f>TEXT(Data!B411,"MMM-YYYY")</f>
        <v>Aug-2024</v>
      </c>
      <c r="C411" s="4" t="str">
        <f t="shared" si="33"/>
        <v>Apr-2025</v>
      </c>
      <c r="D411" s="12">
        <f t="shared" si="34"/>
        <v>45771</v>
      </c>
      <c r="E411" s="4" t="str">
        <f t="shared" si="30"/>
        <v>Q2-2025</v>
      </c>
      <c r="F411" t="s">
        <v>45</v>
      </c>
      <c r="G411" t="s">
        <v>116</v>
      </c>
      <c r="H411" t="s">
        <v>338</v>
      </c>
      <c r="I411" t="s">
        <v>81</v>
      </c>
      <c r="J411" s="7" t="str">
        <f t="shared" si="31"/>
        <v>High</v>
      </c>
      <c r="K411" s="4">
        <v>1972.38</v>
      </c>
      <c r="L411" s="4">
        <v>1972.38</v>
      </c>
      <c r="M411" s="4">
        <v>0</v>
      </c>
      <c r="N411" s="4">
        <v>12</v>
      </c>
      <c r="O411" s="4">
        <f t="shared" si="32"/>
        <v>10899.599999999999</v>
      </c>
    </row>
    <row r="412" spans="1:15" x14ac:dyDescent="0.3">
      <c r="A412" s="11">
        <v>45772</v>
      </c>
      <c r="B412" s="4" t="str">
        <f>TEXT(Data!B412,"MMM-YYYY")</f>
        <v>May-2024</v>
      </c>
      <c r="C412" s="4" t="str">
        <f t="shared" si="33"/>
        <v>Apr-2025</v>
      </c>
      <c r="D412" s="12">
        <f t="shared" si="34"/>
        <v>45772</v>
      </c>
      <c r="E412" s="4" t="str">
        <f t="shared" si="30"/>
        <v>Q2-2025</v>
      </c>
      <c r="F412" t="s">
        <v>45</v>
      </c>
      <c r="G412" t="s">
        <v>46</v>
      </c>
      <c r="H412" t="s">
        <v>231</v>
      </c>
      <c r="I412" t="s">
        <v>57</v>
      </c>
      <c r="J412" s="7" t="str">
        <f t="shared" si="31"/>
        <v>High</v>
      </c>
      <c r="K412" s="4">
        <v>876.81</v>
      </c>
      <c r="L412" s="4">
        <v>876.81</v>
      </c>
      <c r="M412" s="4">
        <v>0.24099999999999999</v>
      </c>
      <c r="N412" s="4">
        <v>8</v>
      </c>
      <c r="O412" s="4">
        <f t="shared" si="32"/>
        <v>1725.8445600000002</v>
      </c>
    </row>
    <row r="413" spans="1:15" x14ac:dyDescent="0.3">
      <c r="A413" s="11">
        <v>45773</v>
      </c>
      <c r="B413" s="4" t="str">
        <f>TEXT(Data!B413,"MMM-YYYY")</f>
        <v>Mar-2023</v>
      </c>
      <c r="C413" s="4" t="str">
        <f t="shared" si="33"/>
        <v>Apr-2025</v>
      </c>
      <c r="D413" s="12">
        <f t="shared" si="34"/>
        <v>45773</v>
      </c>
      <c r="E413" s="4" t="str">
        <f t="shared" si="30"/>
        <v>Q2-2025</v>
      </c>
      <c r="F413" t="s">
        <v>78</v>
      </c>
      <c r="G413" t="s">
        <v>90</v>
      </c>
      <c r="H413" t="s">
        <v>91</v>
      </c>
      <c r="I413" t="s">
        <v>30</v>
      </c>
      <c r="J413" s="7" t="str">
        <f t="shared" si="31"/>
        <v>High</v>
      </c>
      <c r="K413" s="4">
        <v>824.26</v>
      </c>
      <c r="L413" s="4">
        <v>824.26</v>
      </c>
      <c r="M413" s="4">
        <v>0.23899999999999999</v>
      </c>
      <c r="N413" s="4">
        <v>11</v>
      </c>
      <c r="O413" s="4">
        <f t="shared" si="32"/>
        <v>10290.80514</v>
      </c>
    </row>
    <row r="414" spans="1:15" x14ac:dyDescent="0.3">
      <c r="A414" s="11">
        <v>45774</v>
      </c>
      <c r="B414" s="4" t="str">
        <f>TEXT(Data!B414,"MMM-YYYY")</f>
        <v>Aug-2023</v>
      </c>
      <c r="C414" s="4" t="str">
        <f t="shared" si="33"/>
        <v>Apr-2025</v>
      </c>
      <c r="D414" s="12">
        <f t="shared" si="34"/>
        <v>45774</v>
      </c>
      <c r="E414" s="4" t="str">
        <f t="shared" si="30"/>
        <v>Q2-2025</v>
      </c>
      <c r="F414" t="s">
        <v>78</v>
      </c>
      <c r="G414" t="s">
        <v>79</v>
      </c>
      <c r="H414" t="s">
        <v>159</v>
      </c>
      <c r="I414" t="s">
        <v>42</v>
      </c>
      <c r="J414" s="7" t="str">
        <f t="shared" si="31"/>
        <v>High</v>
      </c>
      <c r="K414" s="4">
        <v>1159.3499999999999</v>
      </c>
      <c r="L414" s="4">
        <v>1159.3499999999999</v>
      </c>
      <c r="M414" s="4">
        <v>0.112</v>
      </c>
      <c r="N414" s="4">
        <v>2</v>
      </c>
      <c r="O414" s="4">
        <f t="shared" si="32"/>
        <v>2175.1027199999999</v>
      </c>
    </row>
    <row r="415" spans="1:15" x14ac:dyDescent="0.3">
      <c r="A415" s="11">
        <v>45775</v>
      </c>
      <c r="B415" s="4" t="str">
        <f>TEXT(Data!B415,"MMM-YYYY")</f>
        <v>Jun-2024</v>
      </c>
      <c r="C415" s="4" t="str">
        <f t="shared" si="33"/>
        <v>Apr-2025</v>
      </c>
      <c r="D415" s="12">
        <f t="shared" si="34"/>
        <v>45775</v>
      </c>
      <c r="E415" s="4" t="str">
        <f t="shared" si="30"/>
        <v>Q2-2025</v>
      </c>
      <c r="F415" t="s">
        <v>16</v>
      </c>
      <c r="G415" t="s">
        <v>25</v>
      </c>
      <c r="H415" t="s">
        <v>67</v>
      </c>
      <c r="I415" t="s">
        <v>42</v>
      </c>
      <c r="J415" s="7" t="str">
        <f t="shared" si="31"/>
        <v>High</v>
      </c>
      <c r="K415" s="4">
        <v>2513.5100000000002</v>
      </c>
      <c r="L415" s="4">
        <v>2513.5100000000002</v>
      </c>
      <c r="M415" s="4">
        <v>8.3000000000000004E-2</v>
      </c>
      <c r="N415" s="4">
        <v>7</v>
      </c>
      <c r="O415" s="4">
        <f t="shared" si="32"/>
        <v>3118.7353400000002</v>
      </c>
    </row>
    <row r="416" spans="1:15" x14ac:dyDescent="0.3">
      <c r="A416" s="11">
        <v>45776</v>
      </c>
      <c r="B416" s="4" t="str">
        <f>TEXT(Data!B416,"MMM-YYYY")</f>
        <v>Aug-2023</v>
      </c>
      <c r="C416" s="4" t="str">
        <f t="shared" si="33"/>
        <v>Apr-2025</v>
      </c>
      <c r="D416" s="12">
        <f t="shared" si="34"/>
        <v>45776</v>
      </c>
      <c r="E416" s="4" t="str">
        <f t="shared" si="30"/>
        <v>Q2-2025</v>
      </c>
      <c r="F416" t="s">
        <v>45</v>
      </c>
      <c r="G416" t="s">
        <v>60</v>
      </c>
      <c r="H416" t="s">
        <v>61</v>
      </c>
      <c r="I416" t="s">
        <v>35</v>
      </c>
      <c r="J416" s="7" t="str">
        <f t="shared" si="31"/>
        <v>High</v>
      </c>
      <c r="K416" s="4">
        <v>3087.13</v>
      </c>
      <c r="L416" s="4">
        <v>3087.13</v>
      </c>
      <c r="M416" s="4">
        <v>7.1999999999999995E-2</v>
      </c>
      <c r="N416" s="4">
        <v>11</v>
      </c>
      <c r="O416" s="4">
        <f t="shared" si="32"/>
        <v>22569.275520000003</v>
      </c>
    </row>
    <row r="417" spans="1:15" x14ac:dyDescent="0.3">
      <c r="A417" s="11">
        <v>45777</v>
      </c>
      <c r="B417" s="4" t="str">
        <f>TEXT(Data!B417,"MMM-YYYY")</f>
        <v>Nov-2024</v>
      </c>
      <c r="C417" s="4" t="str">
        <f t="shared" si="33"/>
        <v>Apr-2025</v>
      </c>
      <c r="D417" s="12">
        <f t="shared" si="34"/>
        <v>45777</v>
      </c>
      <c r="E417" s="4" t="str">
        <f t="shared" si="30"/>
        <v>Q2-2025</v>
      </c>
      <c r="F417" t="s">
        <v>52</v>
      </c>
      <c r="G417" t="s">
        <v>53</v>
      </c>
      <c r="H417" t="s">
        <v>179</v>
      </c>
      <c r="I417" t="s">
        <v>30</v>
      </c>
      <c r="J417" s="7" t="str">
        <f t="shared" si="31"/>
        <v>High</v>
      </c>
      <c r="K417" s="4">
        <v>2717.15</v>
      </c>
      <c r="L417" s="4">
        <v>2717.15</v>
      </c>
      <c r="M417" s="4">
        <v>3.2000000000000001E-2</v>
      </c>
      <c r="N417" s="4">
        <v>7</v>
      </c>
      <c r="O417" s="4">
        <f t="shared" si="32"/>
        <v>3875.12664</v>
      </c>
    </row>
    <row r="418" spans="1:15" x14ac:dyDescent="0.3">
      <c r="A418" s="11">
        <v>45778</v>
      </c>
      <c r="B418" s="4" t="str">
        <f>TEXT(Data!B418,"MMM-YYYY")</f>
        <v>Jun-2025</v>
      </c>
      <c r="C418" s="4" t="str">
        <f t="shared" si="33"/>
        <v>May-2025</v>
      </c>
      <c r="D418" s="12">
        <f t="shared" si="34"/>
        <v>45778</v>
      </c>
      <c r="E418" s="4" t="str">
        <f t="shared" si="30"/>
        <v>Q2-2025</v>
      </c>
      <c r="F418" t="s">
        <v>45</v>
      </c>
      <c r="G418" t="s">
        <v>60</v>
      </c>
      <c r="H418" t="s">
        <v>281</v>
      </c>
      <c r="I418" t="s">
        <v>81</v>
      </c>
      <c r="J418" s="7" t="str">
        <f t="shared" si="31"/>
        <v>High</v>
      </c>
      <c r="K418" s="4">
        <v>901.79</v>
      </c>
      <c r="L418" s="4">
        <v>901.79</v>
      </c>
      <c r="M418" s="4">
        <v>0.245</v>
      </c>
      <c r="N418" s="4">
        <v>16</v>
      </c>
      <c r="O418" s="4">
        <f t="shared" si="32"/>
        <v>41052.309600000001</v>
      </c>
    </row>
    <row r="419" spans="1:15" x14ac:dyDescent="0.3">
      <c r="A419" s="11">
        <v>45779</v>
      </c>
      <c r="B419" s="4" t="str">
        <f>TEXT(Data!B419,"MMM-YYYY")</f>
        <v>Mar-2025</v>
      </c>
      <c r="C419" s="4" t="str">
        <f t="shared" si="33"/>
        <v>May-2025</v>
      </c>
      <c r="D419" s="12">
        <f t="shared" si="34"/>
        <v>45779</v>
      </c>
      <c r="E419" s="4" t="str">
        <f t="shared" si="30"/>
        <v>Q2-2025</v>
      </c>
      <c r="F419" t="s">
        <v>45</v>
      </c>
      <c r="G419" t="s">
        <v>60</v>
      </c>
      <c r="H419" t="s">
        <v>141</v>
      </c>
      <c r="I419" t="s">
        <v>81</v>
      </c>
      <c r="J419" s="7" t="str">
        <f t="shared" si="31"/>
        <v>High</v>
      </c>
      <c r="K419" s="4">
        <v>796.15</v>
      </c>
      <c r="L419" s="4">
        <v>796.15</v>
      </c>
      <c r="M419" s="4">
        <v>0.09</v>
      </c>
      <c r="N419" s="4">
        <v>11</v>
      </c>
      <c r="O419" s="4">
        <f t="shared" si="32"/>
        <v>1948.1462000000001</v>
      </c>
    </row>
    <row r="420" spans="1:15" x14ac:dyDescent="0.3">
      <c r="A420" s="11">
        <v>45780</v>
      </c>
      <c r="B420" s="4" t="str">
        <f>TEXT(Data!B420,"MMM-YYYY")</f>
        <v>Jan-2024</v>
      </c>
      <c r="C420" s="4" t="str">
        <f t="shared" si="33"/>
        <v>May-2025</v>
      </c>
      <c r="D420" s="12">
        <f t="shared" si="34"/>
        <v>45780</v>
      </c>
      <c r="E420" s="4" t="str">
        <f t="shared" si="30"/>
        <v>Q2-2025</v>
      </c>
      <c r="F420" t="s">
        <v>45</v>
      </c>
      <c r="G420" t="s">
        <v>116</v>
      </c>
      <c r="H420" t="s">
        <v>1364</v>
      </c>
      <c r="I420" t="s">
        <v>30</v>
      </c>
      <c r="J420" s="7" t="str">
        <f t="shared" si="31"/>
        <v>Medium</v>
      </c>
      <c r="K420" s="4">
        <v>157.82</v>
      </c>
      <c r="L420" s="4">
        <v>157.82</v>
      </c>
      <c r="M420" s="4">
        <v>0.217</v>
      </c>
      <c r="N420" s="4">
        <v>6</v>
      </c>
      <c r="O420" s="4">
        <f t="shared" si="32"/>
        <v>4846.6447200000002</v>
      </c>
    </row>
    <row r="421" spans="1:15" x14ac:dyDescent="0.3">
      <c r="A421" s="11">
        <v>45781</v>
      </c>
      <c r="B421" s="4" t="str">
        <f>TEXT(Data!B421,"MMM-YYYY")</f>
        <v>Oct-2023</v>
      </c>
      <c r="C421" s="4" t="str">
        <f t="shared" si="33"/>
        <v>May-2025</v>
      </c>
      <c r="D421" s="12">
        <f t="shared" si="34"/>
        <v>45781</v>
      </c>
      <c r="E421" s="4" t="str">
        <f t="shared" si="30"/>
        <v>Q2-2025</v>
      </c>
      <c r="F421" t="s">
        <v>78</v>
      </c>
      <c r="G421" t="s">
        <v>79</v>
      </c>
      <c r="H421" t="s">
        <v>335</v>
      </c>
      <c r="I421" t="s">
        <v>64</v>
      </c>
      <c r="J421" s="7" t="str">
        <f t="shared" si="31"/>
        <v>High</v>
      </c>
      <c r="K421" s="4">
        <v>819.06</v>
      </c>
      <c r="L421" s="4">
        <v>819.06</v>
      </c>
      <c r="M421" s="4">
        <v>0.22600000000000001</v>
      </c>
      <c r="N421" s="4">
        <v>15</v>
      </c>
      <c r="O421" s="4">
        <f t="shared" si="32"/>
        <v>5749.1559000000007</v>
      </c>
    </row>
    <row r="422" spans="1:15" x14ac:dyDescent="0.3">
      <c r="A422" s="11">
        <v>45782</v>
      </c>
      <c r="B422" s="4" t="str">
        <f>TEXT(Data!B422,"MMM-YYYY")</f>
        <v>Feb-2025</v>
      </c>
      <c r="C422" s="4" t="str">
        <f t="shared" si="33"/>
        <v>May-2025</v>
      </c>
      <c r="D422" s="12">
        <f t="shared" si="34"/>
        <v>45782</v>
      </c>
      <c r="E422" s="4" t="str">
        <f t="shared" si="30"/>
        <v>Q2-2025</v>
      </c>
      <c r="F422" t="s">
        <v>45</v>
      </c>
      <c r="G422" t="s">
        <v>46</v>
      </c>
      <c r="H422" t="s">
        <v>231</v>
      </c>
      <c r="I422" t="s">
        <v>42</v>
      </c>
      <c r="J422" s="7" t="str">
        <f t="shared" si="31"/>
        <v>High</v>
      </c>
      <c r="K422" s="4">
        <v>1711.16</v>
      </c>
      <c r="L422" s="4">
        <v>1711.16</v>
      </c>
      <c r="M422" s="4">
        <v>0.151</v>
      </c>
      <c r="N422" s="4">
        <v>10</v>
      </c>
      <c r="O422" s="4">
        <f t="shared" si="32"/>
        <v>11198.649599999999</v>
      </c>
    </row>
    <row r="423" spans="1:15" x14ac:dyDescent="0.3">
      <c r="A423" s="11">
        <v>45783</v>
      </c>
      <c r="B423" s="4" t="str">
        <f>TEXT(Data!B423,"MMM-YYYY")</f>
        <v>Jul-2025</v>
      </c>
      <c r="C423" s="4" t="str">
        <f t="shared" si="33"/>
        <v>May-2025</v>
      </c>
      <c r="D423" s="12">
        <f t="shared" si="34"/>
        <v>45783</v>
      </c>
      <c r="E423" s="4" t="str">
        <f t="shared" si="30"/>
        <v>Q2-2025</v>
      </c>
      <c r="F423" t="s">
        <v>52</v>
      </c>
      <c r="G423" t="s">
        <v>122</v>
      </c>
      <c r="H423" t="s">
        <v>167</v>
      </c>
      <c r="I423" t="s">
        <v>42</v>
      </c>
      <c r="J423" s="7" t="str">
        <f t="shared" si="31"/>
        <v>High</v>
      </c>
      <c r="K423" s="4">
        <v>1696.35</v>
      </c>
      <c r="L423" s="4">
        <v>1696.35</v>
      </c>
      <c r="M423" s="4">
        <v>1.9E-2</v>
      </c>
      <c r="N423" s="4">
        <v>6</v>
      </c>
      <c r="O423" s="4">
        <f t="shared" si="32"/>
        <v>1853.32482</v>
      </c>
    </row>
    <row r="424" spans="1:15" x14ac:dyDescent="0.3">
      <c r="A424" s="11">
        <v>45784</v>
      </c>
      <c r="B424" s="4" t="str">
        <f>TEXT(Data!B424,"MMM-YYYY")</f>
        <v>Sep-2025</v>
      </c>
      <c r="C424" s="4" t="str">
        <f t="shared" si="33"/>
        <v>May-2025</v>
      </c>
      <c r="D424" s="12">
        <f t="shared" si="34"/>
        <v>45784</v>
      </c>
      <c r="E424" s="4" t="str">
        <f t="shared" si="30"/>
        <v>Q2-2025</v>
      </c>
      <c r="F424" t="s">
        <v>16</v>
      </c>
      <c r="G424" t="s">
        <v>25</v>
      </c>
      <c r="H424" t="s">
        <v>38</v>
      </c>
      <c r="I424" t="s">
        <v>57</v>
      </c>
      <c r="J424" s="7" t="str">
        <f t="shared" si="31"/>
        <v>High</v>
      </c>
      <c r="K424" s="4">
        <v>2884.34</v>
      </c>
      <c r="L424" s="4">
        <v>2884.34</v>
      </c>
      <c r="M424" s="4">
        <v>0.157</v>
      </c>
      <c r="N424" s="4">
        <v>42</v>
      </c>
      <c r="O424" s="4">
        <f t="shared" si="32"/>
        <v>78253.279020000002</v>
      </c>
    </row>
    <row r="425" spans="1:15" x14ac:dyDescent="0.3">
      <c r="A425" s="11">
        <v>45785</v>
      </c>
      <c r="B425" s="4" t="str">
        <f>TEXT(Data!B425,"MMM-YYYY")</f>
        <v>Feb-2024</v>
      </c>
      <c r="C425" s="4" t="str">
        <f t="shared" si="33"/>
        <v>May-2025</v>
      </c>
      <c r="D425" s="12">
        <f t="shared" si="34"/>
        <v>45785</v>
      </c>
      <c r="E425" s="4" t="str">
        <f t="shared" si="30"/>
        <v>Q2-2025</v>
      </c>
      <c r="F425" t="s">
        <v>45</v>
      </c>
      <c r="G425" t="s">
        <v>60</v>
      </c>
      <c r="H425" t="s">
        <v>141</v>
      </c>
      <c r="I425" t="s">
        <v>42</v>
      </c>
      <c r="J425" s="7" t="str">
        <f t="shared" si="31"/>
        <v>High</v>
      </c>
      <c r="K425" s="4">
        <v>1483.74</v>
      </c>
      <c r="L425" s="4">
        <v>1483.74</v>
      </c>
      <c r="M425" s="4">
        <v>0.16800000000000001</v>
      </c>
      <c r="N425" s="4">
        <v>24</v>
      </c>
      <c r="O425" s="4">
        <f t="shared" si="32"/>
        <v>20866.559999999998</v>
      </c>
    </row>
    <row r="426" spans="1:15" x14ac:dyDescent="0.3">
      <c r="A426" s="11">
        <v>45786</v>
      </c>
      <c r="B426" s="4" t="str">
        <f>TEXT(Data!B426,"MMM-YYYY")</f>
        <v>Feb-2024</v>
      </c>
      <c r="C426" s="4" t="str">
        <f t="shared" si="33"/>
        <v>May-2025</v>
      </c>
      <c r="D426" s="12">
        <f t="shared" si="34"/>
        <v>45786</v>
      </c>
      <c r="E426" s="4" t="str">
        <f t="shared" si="30"/>
        <v>Q2-2025</v>
      </c>
      <c r="F426" t="s">
        <v>45</v>
      </c>
      <c r="G426" t="s">
        <v>116</v>
      </c>
      <c r="H426" t="s">
        <v>338</v>
      </c>
      <c r="I426" t="s">
        <v>30</v>
      </c>
      <c r="J426" s="7" t="str">
        <f t="shared" si="31"/>
        <v>High</v>
      </c>
      <c r="K426" s="4">
        <v>3197.47</v>
      </c>
      <c r="L426" s="4">
        <v>3197.47</v>
      </c>
      <c r="M426" s="4">
        <v>0.24299999999999999</v>
      </c>
      <c r="N426" s="4">
        <v>24</v>
      </c>
      <c r="O426" s="4">
        <f t="shared" si="32"/>
        <v>38737.627919999999</v>
      </c>
    </row>
    <row r="427" spans="1:15" x14ac:dyDescent="0.3">
      <c r="A427" s="11">
        <v>45787</v>
      </c>
      <c r="B427" s="4" t="str">
        <f>TEXT(Data!B427,"MMM-YYYY")</f>
        <v>Aug-2025</v>
      </c>
      <c r="C427" s="4" t="str">
        <f t="shared" si="33"/>
        <v>May-2025</v>
      </c>
      <c r="D427" s="12">
        <f t="shared" si="34"/>
        <v>45787</v>
      </c>
      <c r="E427" s="4" t="str">
        <f t="shared" si="30"/>
        <v>Q2-2025</v>
      </c>
      <c r="F427" t="s">
        <v>45</v>
      </c>
      <c r="G427" t="s">
        <v>60</v>
      </c>
      <c r="H427" t="s">
        <v>220</v>
      </c>
      <c r="I427" t="s">
        <v>57</v>
      </c>
      <c r="J427" s="7" t="str">
        <f t="shared" si="31"/>
        <v>High</v>
      </c>
      <c r="K427" s="4">
        <v>2322.6999999999998</v>
      </c>
      <c r="L427" s="4">
        <v>2322.6999999999998</v>
      </c>
      <c r="M427" s="4">
        <v>0.17299999999999999</v>
      </c>
      <c r="N427" s="4">
        <v>8</v>
      </c>
      <c r="O427" s="4">
        <f t="shared" si="32"/>
        <v>13903.854800000001</v>
      </c>
    </row>
    <row r="428" spans="1:15" x14ac:dyDescent="0.3">
      <c r="A428" s="11">
        <v>45788</v>
      </c>
      <c r="B428" s="4" t="str">
        <f>TEXT(Data!B428,"MMM-YYYY")</f>
        <v>Aug-2024</v>
      </c>
      <c r="C428" s="4" t="str">
        <f t="shared" si="33"/>
        <v>May-2025</v>
      </c>
      <c r="D428" s="12">
        <f t="shared" si="34"/>
        <v>45788</v>
      </c>
      <c r="E428" s="4" t="str">
        <f t="shared" si="30"/>
        <v>Q2-2025</v>
      </c>
      <c r="F428" t="s">
        <v>16</v>
      </c>
      <c r="G428" t="s">
        <v>25</v>
      </c>
      <c r="H428" t="s">
        <v>26</v>
      </c>
      <c r="I428" t="s">
        <v>57</v>
      </c>
      <c r="J428" s="7" t="str">
        <f t="shared" si="31"/>
        <v>High</v>
      </c>
      <c r="K428" s="4">
        <v>1932.42</v>
      </c>
      <c r="L428" s="4">
        <v>1932.42</v>
      </c>
      <c r="M428" s="4">
        <v>0.25</v>
      </c>
      <c r="N428" s="4">
        <v>21</v>
      </c>
      <c r="O428" s="4">
        <f t="shared" si="32"/>
        <v>33475.68</v>
      </c>
    </row>
    <row r="429" spans="1:15" x14ac:dyDescent="0.3">
      <c r="A429" s="11">
        <v>45789</v>
      </c>
      <c r="B429" s="4" t="str">
        <f>TEXT(Data!B429,"MMM-YYYY")</f>
        <v>Feb-2024</v>
      </c>
      <c r="C429" s="4" t="str">
        <f t="shared" si="33"/>
        <v>May-2025</v>
      </c>
      <c r="D429" s="12">
        <f t="shared" si="34"/>
        <v>45789</v>
      </c>
      <c r="E429" s="4" t="str">
        <f t="shared" si="30"/>
        <v>Q2-2025</v>
      </c>
      <c r="F429" t="s">
        <v>45</v>
      </c>
      <c r="G429" t="s">
        <v>60</v>
      </c>
      <c r="H429" t="s">
        <v>220</v>
      </c>
      <c r="I429" t="s">
        <v>42</v>
      </c>
      <c r="J429" s="7" t="str">
        <f t="shared" si="31"/>
        <v>High</v>
      </c>
      <c r="K429" s="4">
        <v>1590.36</v>
      </c>
      <c r="L429" s="4">
        <v>1590.36</v>
      </c>
      <c r="M429" s="4">
        <v>0.314</v>
      </c>
      <c r="N429" s="4">
        <v>18</v>
      </c>
      <c r="O429" s="4">
        <f t="shared" si="32"/>
        <v>8801.0369999999984</v>
      </c>
    </row>
    <row r="430" spans="1:15" x14ac:dyDescent="0.3">
      <c r="A430" s="11">
        <v>45790</v>
      </c>
      <c r="B430" s="4" t="str">
        <f>TEXT(Data!B430,"MMM-YYYY")</f>
        <v>May-2025</v>
      </c>
      <c r="C430" s="4" t="str">
        <f t="shared" si="33"/>
        <v>May-2025</v>
      </c>
      <c r="D430" s="12">
        <f t="shared" si="34"/>
        <v>45790</v>
      </c>
      <c r="E430" s="4" t="str">
        <f t="shared" si="30"/>
        <v>Q2-2025</v>
      </c>
      <c r="F430" t="s">
        <v>78</v>
      </c>
      <c r="G430" t="s">
        <v>90</v>
      </c>
      <c r="H430" t="s">
        <v>91</v>
      </c>
      <c r="I430" t="s">
        <v>64</v>
      </c>
      <c r="J430" s="7" t="str">
        <f t="shared" si="31"/>
        <v>High</v>
      </c>
      <c r="K430" s="4">
        <v>395.61</v>
      </c>
      <c r="L430" s="4">
        <v>395.61</v>
      </c>
      <c r="M430" s="4">
        <v>0</v>
      </c>
      <c r="N430" s="4">
        <v>34</v>
      </c>
      <c r="O430" s="4">
        <f t="shared" si="32"/>
        <v>53340.22</v>
      </c>
    </row>
    <row r="431" spans="1:15" x14ac:dyDescent="0.3">
      <c r="A431" s="11">
        <v>45791</v>
      </c>
      <c r="B431" s="4" t="str">
        <f>TEXT(Data!B431,"MMM-YYYY")</f>
        <v>Nov-2024</v>
      </c>
      <c r="C431" s="4" t="str">
        <f t="shared" si="33"/>
        <v>May-2025</v>
      </c>
      <c r="D431" s="12">
        <f t="shared" si="34"/>
        <v>45791</v>
      </c>
      <c r="E431" s="4" t="str">
        <f t="shared" si="30"/>
        <v>Q2-2025</v>
      </c>
      <c r="F431" t="s">
        <v>45</v>
      </c>
      <c r="G431" t="s">
        <v>60</v>
      </c>
      <c r="H431" t="s">
        <v>61</v>
      </c>
      <c r="I431" t="s">
        <v>42</v>
      </c>
      <c r="J431" s="7" t="str">
        <f t="shared" si="31"/>
        <v>High</v>
      </c>
      <c r="K431" s="4">
        <v>2077.69</v>
      </c>
      <c r="L431" s="4">
        <v>2077.69</v>
      </c>
      <c r="M431" s="4">
        <v>0.17499999999999999</v>
      </c>
      <c r="N431" s="4">
        <v>24</v>
      </c>
      <c r="O431" s="4">
        <f t="shared" si="32"/>
        <v>41071.932000000001</v>
      </c>
    </row>
    <row r="432" spans="1:15" x14ac:dyDescent="0.3">
      <c r="A432" s="11">
        <v>45792</v>
      </c>
      <c r="B432" s="4" t="str">
        <f>TEXT(Data!B432,"MMM-YYYY")</f>
        <v>Dec-2024</v>
      </c>
      <c r="C432" s="4" t="str">
        <f t="shared" si="33"/>
        <v>May-2025</v>
      </c>
      <c r="D432" s="12">
        <f t="shared" si="34"/>
        <v>45792</v>
      </c>
      <c r="E432" s="4" t="str">
        <f t="shared" si="30"/>
        <v>Q2-2025</v>
      </c>
      <c r="F432" t="s">
        <v>78</v>
      </c>
      <c r="G432" t="s">
        <v>79</v>
      </c>
      <c r="H432" t="s">
        <v>335</v>
      </c>
      <c r="I432" t="s">
        <v>30</v>
      </c>
      <c r="J432" s="7" t="str">
        <f t="shared" si="31"/>
        <v>High</v>
      </c>
      <c r="K432" s="4">
        <v>1330.85</v>
      </c>
      <c r="L432" s="4">
        <v>1330.85</v>
      </c>
      <c r="M432" s="4">
        <v>0.115</v>
      </c>
      <c r="N432" s="4">
        <v>11</v>
      </c>
      <c r="O432" s="4">
        <f t="shared" si="32"/>
        <v>4820.6746499999999</v>
      </c>
    </row>
    <row r="433" spans="1:15" x14ac:dyDescent="0.3">
      <c r="A433" s="11">
        <v>45793</v>
      </c>
      <c r="B433" s="4" t="str">
        <f>TEXT(Data!B433,"MMM-YYYY")</f>
        <v>Oct-2023</v>
      </c>
      <c r="C433" s="4" t="str">
        <f t="shared" si="33"/>
        <v>May-2025</v>
      </c>
      <c r="D433" s="12">
        <f t="shared" si="34"/>
        <v>45793</v>
      </c>
      <c r="E433" s="4" t="str">
        <f t="shared" si="30"/>
        <v>Q2-2025</v>
      </c>
      <c r="F433" t="s">
        <v>45</v>
      </c>
      <c r="G433" t="s">
        <v>116</v>
      </c>
      <c r="H433" t="s">
        <v>117</v>
      </c>
      <c r="I433" t="s">
        <v>57</v>
      </c>
      <c r="J433" s="7" t="str">
        <f t="shared" si="31"/>
        <v>High</v>
      </c>
      <c r="K433" s="4">
        <v>2764.65</v>
      </c>
      <c r="L433" s="4">
        <v>2764.65</v>
      </c>
      <c r="M433" s="4">
        <v>0</v>
      </c>
      <c r="N433" s="4">
        <v>21</v>
      </c>
      <c r="O433" s="4">
        <f t="shared" si="32"/>
        <v>15909.390000000001</v>
      </c>
    </row>
    <row r="434" spans="1:15" x14ac:dyDescent="0.3">
      <c r="A434" s="11">
        <v>45794</v>
      </c>
      <c r="B434" s="4" t="str">
        <f>TEXT(Data!B434,"MMM-YYYY")</f>
        <v>Dec-2024</v>
      </c>
      <c r="C434" s="4" t="str">
        <f t="shared" si="33"/>
        <v>May-2025</v>
      </c>
      <c r="D434" s="12">
        <f t="shared" si="34"/>
        <v>45794</v>
      </c>
      <c r="E434" s="4" t="str">
        <f t="shared" si="30"/>
        <v>Q2-2025</v>
      </c>
      <c r="F434" t="s">
        <v>78</v>
      </c>
      <c r="G434" t="s">
        <v>108</v>
      </c>
      <c r="H434" t="s">
        <v>228</v>
      </c>
      <c r="I434" t="s">
        <v>64</v>
      </c>
      <c r="J434" s="7" t="str">
        <f t="shared" si="31"/>
        <v>High</v>
      </c>
      <c r="K434" s="4">
        <v>278.35000000000002</v>
      </c>
      <c r="L434" s="4">
        <v>278.35000000000002</v>
      </c>
      <c r="M434" s="4">
        <v>5.6000000000000001E-2</v>
      </c>
      <c r="N434" s="4">
        <v>10</v>
      </c>
      <c r="O434" s="4">
        <f t="shared" si="32"/>
        <v>3926.6623999999993</v>
      </c>
    </row>
    <row r="435" spans="1:15" x14ac:dyDescent="0.3">
      <c r="A435" s="11">
        <v>45795</v>
      </c>
      <c r="B435" s="4" t="str">
        <f>TEXT(Data!B435,"MMM-YYYY")</f>
        <v>Sep-2024</v>
      </c>
      <c r="C435" s="4" t="str">
        <f t="shared" si="33"/>
        <v>May-2025</v>
      </c>
      <c r="D435" s="12">
        <f t="shared" si="34"/>
        <v>45795</v>
      </c>
      <c r="E435" s="4" t="str">
        <f t="shared" si="30"/>
        <v>Q2-2025</v>
      </c>
      <c r="F435" t="s">
        <v>16</v>
      </c>
      <c r="G435" t="s">
        <v>25</v>
      </c>
      <c r="H435" t="s">
        <v>38</v>
      </c>
      <c r="I435" t="s">
        <v>64</v>
      </c>
      <c r="J435" s="7" t="str">
        <f t="shared" si="31"/>
        <v>High</v>
      </c>
      <c r="K435" s="4">
        <v>984.36</v>
      </c>
      <c r="L435" s="4">
        <v>984.36</v>
      </c>
      <c r="M435" s="4">
        <v>5.8999999999999997E-2</v>
      </c>
      <c r="N435" s="4">
        <v>14</v>
      </c>
      <c r="O435" s="4">
        <f t="shared" si="32"/>
        <v>24647.104860000003</v>
      </c>
    </row>
    <row r="436" spans="1:15" x14ac:dyDescent="0.3">
      <c r="A436" s="11">
        <v>45796</v>
      </c>
      <c r="B436" s="4" t="str">
        <f>TEXT(Data!B436,"MMM-YYYY")</f>
        <v>Oct-2023</v>
      </c>
      <c r="C436" s="4" t="str">
        <f t="shared" si="33"/>
        <v>May-2025</v>
      </c>
      <c r="D436" s="12">
        <f t="shared" si="34"/>
        <v>45796</v>
      </c>
      <c r="E436" s="4" t="str">
        <f t="shared" si="30"/>
        <v>Q2-2025</v>
      </c>
      <c r="F436" t="s">
        <v>45</v>
      </c>
      <c r="G436" t="s">
        <v>116</v>
      </c>
      <c r="H436" t="s">
        <v>338</v>
      </c>
      <c r="I436" t="s">
        <v>35</v>
      </c>
      <c r="J436" s="7" t="str">
        <f t="shared" si="31"/>
        <v>Medium</v>
      </c>
      <c r="K436" s="4">
        <v>190.84</v>
      </c>
      <c r="L436" s="4">
        <v>190.84</v>
      </c>
      <c r="M436" s="4">
        <v>0.214</v>
      </c>
      <c r="N436" s="4">
        <v>13</v>
      </c>
      <c r="O436" s="4">
        <f t="shared" si="32"/>
        <v>2113.89984</v>
      </c>
    </row>
    <row r="437" spans="1:15" x14ac:dyDescent="0.3">
      <c r="A437" s="11">
        <v>45797</v>
      </c>
      <c r="B437" s="4" t="str">
        <f>TEXT(Data!B437,"MMM-YYYY")</f>
        <v>Dec-2024</v>
      </c>
      <c r="C437" s="4" t="str">
        <f t="shared" si="33"/>
        <v>May-2025</v>
      </c>
      <c r="D437" s="12">
        <f t="shared" si="34"/>
        <v>45797</v>
      </c>
      <c r="E437" s="4" t="str">
        <f t="shared" si="30"/>
        <v>Q2-2025</v>
      </c>
      <c r="F437" t="s">
        <v>16</v>
      </c>
      <c r="G437" t="s">
        <v>17</v>
      </c>
      <c r="H437" t="s">
        <v>18</v>
      </c>
      <c r="I437" t="s">
        <v>42</v>
      </c>
      <c r="J437" s="7" t="str">
        <f t="shared" si="31"/>
        <v>High</v>
      </c>
      <c r="K437" s="4">
        <v>908.3</v>
      </c>
      <c r="L437" s="4">
        <v>908.3</v>
      </c>
      <c r="M437" s="4">
        <v>0</v>
      </c>
      <c r="N437" s="4">
        <v>30</v>
      </c>
      <c r="O437" s="4">
        <f t="shared" si="32"/>
        <v>1884.6</v>
      </c>
    </row>
    <row r="438" spans="1:15" x14ac:dyDescent="0.3">
      <c r="A438" s="11">
        <v>45798</v>
      </c>
      <c r="B438" s="4" t="str">
        <f>TEXT(Data!B438,"MMM-YYYY")</f>
        <v>Apr-2023</v>
      </c>
      <c r="C438" s="4" t="str">
        <f t="shared" si="33"/>
        <v>May-2025</v>
      </c>
      <c r="D438" s="12">
        <f t="shared" si="34"/>
        <v>45798</v>
      </c>
      <c r="E438" s="4" t="str">
        <f t="shared" si="30"/>
        <v>Q2-2025</v>
      </c>
      <c r="F438" t="s">
        <v>45</v>
      </c>
      <c r="G438" t="s">
        <v>60</v>
      </c>
      <c r="H438" t="s">
        <v>61</v>
      </c>
      <c r="I438" t="s">
        <v>35</v>
      </c>
      <c r="J438" s="7" t="str">
        <f t="shared" si="31"/>
        <v>High</v>
      </c>
      <c r="K438" s="4">
        <v>284.23</v>
      </c>
      <c r="L438" s="4">
        <v>284.23</v>
      </c>
      <c r="M438" s="4">
        <v>0.113</v>
      </c>
      <c r="N438" s="4">
        <v>22</v>
      </c>
      <c r="O438" s="4">
        <f t="shared" si="32"/>
        <v>18664.94586</v>
      </c>
    </row>
    <row r="439" spans="1:15" x14ac:dyDescent="0.3">
      <c r="A439" s="11">
        <v>45799</v>
      </c>
      <c r="B439" s="4" t="str">
        <f>TEXT(Data!B439,"MMM-YYYY")</f>
        <v>Dec-2023</v>
      </c>
      <c r="C439" s="4" t="str">
        <f t="shared" si="33"/>
        <v>May-2025</v>
      </c>
      <c r="D439" s="12">
        <f t="shared" si="34"/>
        <v>45799</v>
      </c>
      <c r="E439" s="4" t="str">
        <f t="shared" si="30"/>
        <v>Q2-2025</v>
      </c>
      <c r="F439" t="s">
        <v>45</v>
      </c>
      <c r="G439" t="s">
        <v>46</v>
      </c>
      <c r="H439" t="s">
        <v>231</v>
      </c>
      <c r="I439" t="s">
        <v>22</v>
      </c>
      <c r="J439" s="7" t="str">
        <f t="shared" si="31"/>
        <v>High</v>
      </c>
      <c r="K439" s="4">
        <v>1229.3399999999999</v>
      </c>
      <c r="L439" s="4">
        <v>1229.3399999999999</v>
      </c>
      <c r="M439" s="4">
        <v>0.14699999999999999</v>
      </c>
      <c r="N439" s="4">
        <v>7</v>
      </c>
      <c r="O439" s="4">
        <f t="shared" si="32"/>
        <v>989.39469999999983</v>
      </c>
    </row>
    <row r="440" spans="1:15" x14ac:dyDescent="0.3">
      <c r="A440" s="11">
        <v>45800</v>
      </c>
      <c r="B440" s="4" t="str">
        <f>TEXT(Data!B440,"MMM-YYYY")</f>
        <v>Feb-2023</v>
      </c>
      <c r="C440" s="4" t="str">
        <f t="shared" si="33"/>
        <v>May-2025</v>
      </c>
      <c r="D440" s="12">
        <f t="shared" si="34"/>
        <v>45800</v>
      </c>
      <c r="E440" s="4" t="str">
        <f t="shared" si="30"/>
        <v>Q2-2025</v>
      </c>
      <c r="F440" t="s">
        <v>78</v>
      </c>
      <c r="G440" t="s">
        <v>90</v>
      </c>
      <c r="H440" t="s">
        <v>91</v>
      </c>
      <c r="I440" t="s">
        <v>81</v>
      </c>
      <c r="J440" s="7" t="str">
        <f t="shared" si="31"/>
        <v>High</v>
      </c>
      <c r="K440" s="4">
        <v>1224.72</v>
      </c>
      <c r="L440" s="4">
        <v>1224.72</v>
      </c>
      <c r="M440" s="4">
        <v>0.17399999999999999</v>
      </c>
      <c r="N440" s="4">
        <v>24</v>
      </c>
      <c r="O440" s="4">
        <f t="shared" si="32"/>
        <v>12060.128640000001</v>
      </c>
    </row>
    <row r="441" spans="1:15" x14ac:dyDescent="0.3">
      <c r="A441" s="11">
        <v>45801</v>
      </c>
      <c r="B441" s="4" t="str">
        <f>TEXT(Data!B441,"MMM-YYYY")</f>
        <v>May-2023</v>
      </c>
      <c r="C441" s="4" t="str">
        <f t="shared" si="33"/>
        <v>May-2025</v>
      </c>
      <c r="D441" s="12">
        <f t="shared" si="34"/>
        <v>45801</v>
      </c>
      <c r="E441" s="4" t="str">
        <f t="shared" si="30"/>
        <v>Q2-2025</v>
      </c>
      <c r="F441" t="s">
        <v>16</v>
      </c>
      <c r="G441" t="s">
        <v>17</v>
      </c>
      <c r="H441" t="s">
        <v>135</v>
      </c>
      <c r="I441" t="s">
        <v>35</v>
      </c>
      <c r="J441" s="7" t="str">
        <f t="shared" si="31"/>
        <v>High</v>
      </c>
      <c r="K441" s="4">
        <v>485.86</v>
      </c>
      <c r="L441" s="4">
        <v>485.86</v>
      </c>
      <c r="M441" s="4">
        <v>4.1000000000000002E-2</v>
      </c>
      <c r="N441" s="4">
        <v>6</v>
      </c>
      <c r="O441" s="4">
        <f t="shared" si="32"/>
        <v>15339.646139999999</v>
      </c>
    </row>
    <row r="442" spans="1:15" x14ac:dyDescent="0.3">
      <c r="A442" s="11">
        <v>45802</v>
      </c>
      <c r="B442" s="4" t="str">
        <f>TEXT(Data!B442,"MMM-YYYY")</f>
        <v>Mar-2024</v>
      </c>
      <c r="C442" s="4" t="str">
        <f t="shared" si="33"/>
        <v>May-2025</v>
      </c>
      <c r="D442" s="12">
        <f t="shared" si="34"/>
        <v>45802</v>
      </c>
      <c r="E442" s="4" t="str">
        <f t="shared" si="30"/>
        <v>Q2-2025</v>
      </c>
      <c r="F442" t="s">
        <v>45</v>
      </c>
      <c r="G442" t="s">
        <v>116</v>
      </c>
      <c r="H442" t="s">
        <v>338</v>
      </c>
      <c r="I442" t="s">
        <v>30</v>
      </c>
      <c r="J442" s="7" t="str">
        <f t="shared" si="31"/>
        <v>High</v>
      </c>
      <c r="K442" s="4">
        <v>2210.94</v>
      </c>
      <c r="L442" s="4">
        <v>2210.94</v>
      </c>
      <c r="M442" s="4">
        <v>0.15</v>
      </c>
      <c r="N442" s="4">
        <v>11</v>
      </c>
      <c r="O442" s="4">
        <f t="shared" si="32"/>
        <v>5497.3325000000004</v>
      </c>
    </row>
    <row r="443" spans="1:15" x14ac:dyDescent="0.3">
      <c r="A443" s="11">
        <v>45803</v>
      </c>
      <c r="B443" s="4" t="str">
        <f>TEXT(Data!B443,"MMM-YYYY")</f>
        <v>Sep-2023</v>
      </c>
      <c r="C443" s="4" t="str">
        <f t="shared" si="33"/>
        <v>May-2025</v>
      </c>
      <c r="D443" s="12">
        <f t="shared" si="34"/>
        <v>45803</v>
      </c>
      <c r="E443" s="4" t="str">
        <f t="shared" si="30"/>
        <v>Q2-2025</v>
      </c>
      <c r="F443" t="s">
        <v>45</v>
      </c>
      <c r="G443" t="s">
        <v>60</v>
      </c>
      <c r="H443" t="s">
        <v>61</v>
      </c>
      <c r="I443" t="s">
        <v>42</v>
      </c>
      <c r="J443" s="7" t="str">
        <f t="shared" si="31"/>
        <v>High</v>
      </c>
      <c r="K443" s="4">
        <v>571.89</v>
      </c>
      <c r="L443" s="4">
        <v>571.89</v>
      </c>
      <c r="M443" s="4">
        <v>0.14799999999999999</v>
      </c>
      <c r="N443" s="4">
        <v>26</v>
      </c>
      <c r="O443" s="4">
        <f t="shared" si="32"/>
        <v>48582.215760000006</v>
      </c>
    </row>
    <row r="444" spans="1:15" x14ac:dyDescent="0.3">
      <c r="A444" s="11">
        <v>45804</v>
      </c>
      <c r="B444" s="4" t="str">
        <f>TEXT(Data!B444,"MMM-YYYY")</f>
        <v>Aug-2024</v>
      </c>
      <c r="C444" s="4" t="str">
        <f t="shared" si="33"/>
        <v>May-2025</v>
      </c>
      <c r="D444" s="12">
        <f t="shared" si="34"/>
        <v>45804</v>
      </c>
      <c r="E444" s="4" t="str">
        <f t="shared" si="30"/>
        <v>Q2-2025</v>
      </c>
      <c r="F444" t="s">
        <v>45</v>
      </c>
      <c r="G444" t="s">
        <v>60</v>
      </c>
      <c r="H444" t="s">
        <v>1364</v>
      </c>
      <c r="I444" t="s">
        <v>81</v>
      </c>
      <c r="J444" s="7" t="str">
        <f t="shared" si="31"/>
        <v>High</v>
      </c>
      <c r="K444" s="4">
        <v>3398.37</v>
      </c>
      <c r="L444" s="4">
        <v>3398.37</v>
      </c>
      <c r="M444" s="4">
        <v>0.157</v>
      </c>
      <c r="N444" s="4">
        <v>11</v>
      </c>
      <c r="O444" s="4">
        <f t="shared" si="32"/>
        <v>20287.469400000002</v>
      </c>
    </row>
    <row r="445" spans="1:15" x14ac:dyDescent="0.3">
      <c r="A445" s="11">
        <v>45805</v>
      </c>
      <c r="B445" s="4" t="str">
        <f>TEXT(Data!B445,"MMM-YYYY")</f>
        <v>Sep-2024</v>
      </c>
      <c r="C445" s="4" t="str">
        <f t="shared" si="33"/>
        <v>May-2025</v>
      </c>
      <c r="D445" s="12">
        <f t="shared" si="34"/>
        <v>45805</v>
      </c>
      <c r="E445" s="4" t="str">
        <f t="shared" si="30"/>
        <v>Q2-2025</v>
      </c>
      <c r="F445" t="s">
        <v>78</v>
      </c>
      <c r="G445" t="s">
        <v>79</v>
      </c>
      <c r="H445" t="s">
        <v>335</v>
      </c>
      <c r="I445" t="s">
        <v>30</v>
      </c>
      <c r="J445" s="7" t="str">
        <f t="shared" si="31"/>
        <v>Medium</v>
      </c>
      <c r="K445" s="4">
        <v>194.62</v>
      </c>
      <c r="L445" s="4">
        <v>194.62</v>
      </c>
      <c r="M445" s="4">
        <v>4.2999999999999997E-2</v>
      </c>
      <c r="N445" s="4">
        <v>32</v>
      </c>
      <c r="O445" s="4">
        <f t="shared" si="32"/>
        <v>30688.61664</v>
      </c>
    </row>
    <row r="446" spans="1:15" x14ac:dyDescent="0.3">
      <c r="A446" s="11">
        <v>45806</v>
      </c>
      <c r="B446" s="4" t="str">
        <f>TEXT(Data!B446,"MMM-YYYY")</f>
        <v>Jun-2023</v>
      </c>
      <c r="C446" s="4" t="str">
        <f t="shared" si="33"/>
        <v>May-2025</v>
      </c>
      <c r="D446" s="12">
        <f t="shared" si="34"/>
        <v>45806</v>
      </c>
      <c r="E446" s="4" t="str">
        <f t="shared" si="30"/>
        <v>Q2-2025</v>
      </c>
      <c r="F446" t="s">
        <v>52</v>
      </c>
      <c r="G446" t="s">
        <v>53</v>
      </c>
      <c r="H446" t="s">
        <v>54</v>
      </c>
      <c r="I446" t="s">
        <v>30</v>
      </c>
      <c r="J446" s="7" t="str">
        <f t="shared" si="31"/>
        <v>High</v>
      </c>
      <c r="K446" s="4">
        <v>1031.6400000000001</v>
      </c>
      <c r="L446" s="4">
        <v>1031.6400000000001</v>
      </c>
      <c r="M446" s="4">
        <v>0</v>
      </c>
      <c r="N446" s="4">
        <v>21</v>
      </c>
      <c r="O446" s="4">
        <f t="shared" si="32"/>
        <v>19189.38</v>
      </c>
    </row>
    <row r="447" spans="1:15" x14ac:dyDescent="0.3">
      <c r="A447" s="11">
        <v>45807</v>
      </c>
      <c r="B447" s="4" t="str">
        <f>TEXT(Data!B447,"MMM-YYYY")</f>
        <v>Dec-2023</v>
      </c>
      <c r="C447" s="4" t="str">
        <f t="shared" si="33"/>
        <v>May-2025</v>
      </c>
      <c r="D447" s="12">
        <f t="shared" si="34"/>
        <v>45807</v>
      </c>
      <c r="E447" s="4" t="str">
        <f t="shared" si="30"/>
        <v>Q2-2025</v>
      </c>
      <c r="F447" t="s">
        <v>52</v>
      </c>
      <c r="G447" t="s">
        <v>53</v>
      </c>
      <c r="H447" t="s">
        <v>54</v>
      </c>
      <c r="I447" t="s">
        <v>30</v>
      </c>
      <c r="J447" s="7" t="str">
        <f t="shared" si="31"/>
        <v>High</v>
      </c>
      <c r="K447" s="4">
        <v>495.19</v>
      </c>
      <c r="L447" s="4">
        <v>495.19</v>
      </c>
      <c r="M447" s="4">
        <v>2.8000000000000001E-2</v>
      </c>
      <c r="N447" s="4">
        <v>4</v>
      </c>
      <c r="O447" s="4">
        <f t="shared" si="32"/>
        <v>7167.5668799999994</v>
      </c>
    </row>
    <row r="448" spans="1:15" x14ac:dyDescent="0.3">
      <c r="A448" s="11">
        <v>45808</v>
      </c>
      <c r="B448" s="4" t="str">
        <f>TEXT(Data!B448,"MMM-YYYY")</f>
        <v>Mar-2025</v>
      </c>
      <c r="C448" s="4" t="str">
        <f t="shared" si="33"/>
        <v>May-2025</v>
      </c>
      <c r="D448" s="12">
        <f t="shared" si="34"/>
        <v>45808</v>
      </c>
      <c r="E448" s="4" t="str">
        <f t="shared" si="30"/>
        <v>Q2-2025</v>
      </c>
      <c r="F448" t="s">
        <v>45</v>
      </c>
      <c r="G448" t="s">
        <v>46</v>
      </c>
      <c r="H448" t="s">
        <v>231</v>
      </c>
      <c r="I448" t="s">
        <v>57</v>
      </c>
      <c r="J448" s="7" t="str">
        <f t="shared" si="31"/>
        <v>High</v>
      </c>
      <c r="K448" s="4">
        <v>1319.04</v>
      </c>
      <c r="L448" s="4">
        <v>1319.04</v>
      </c>
      <c r="M448" s="4">
        <v>7.3999999999999996E-2</v>
      </c>
      <c r="N448" s="4">
        <v>8</v>
      </c>
      <c r="O448" s="4">
        <f t="shared" si="32"/>
        <v>10249.7088</v>
      </c>
    </row>
    <row r="449" spans="1:15" x14ac:dyDescent="0.3">
      <c r="A449" s="11">
        <v>45809</v>
      </c>
      <c r="B449" s="4" t="str">
        <f>TEXT(Data!B449,"MMM-YYYY")</f>
        <v>Jun-2024</v>
      </c>
      <c r="C449" s="4" t="str">
        <f t="shared" si="33"/>
        <v>Jun-2025</v>
      </c>
      <c r="D449" s="12">
        <f t="shared" si="34"/>
        <v>45809</v>
      </c>
      <c r="E449" s="4" t="str">
        <f t="shared" si="30"/>
        <v>Q2-2025</v>
      </c>
      <c r="F449" t="s">
        <v>16</v>
      </c>
      <c r="G449" t="s">
        <v>148</v>
      </c>
      <c r="H449" t="s">
        <v>172</v>
      </c>
      <c r="I449" t="s">
        <v>64</v>
      </c>
      <c r="J449" s="7" t="str">
        <f t="shared" si="31"/>
        <v>High</v>
      </c>
      <c r="K449" s="4">
        <v>314.87</v>
      </c>
      <c r="L449" s="4">
        <v>314.87</v>
      </c>
      <c r="M449" s="4">
        <v>0.29299999999999998</v>
      </c>
      <c r="N449" s="4">
        <v>25</v>
      </c>
      <c r="O449" s="4">
        <f t="shared" si="32"/>
        <v>28077.267750000003</v>
      </c>
    </row>
    <row r="450" spans="1:15" x14ac:dyDescent="0.3">
      <c r="A450" s="11">
        <v>45810</v>
      </c>
      <c r="B450" s="4" t="str">
        <f>TEXT(Data!B450,"MMM-YYYY")</f>
        <v>Jun-2024</v>
      </c>
      <c r="C450" s="4" t="str">
        <f t="shared" si="33"/>
        <v>Jun-2025</v>
      </c>
      <c r="D450" s="12">
        <f t="shared" si="34"/>
        <v>45810</v>
      </c>
      <c r="E450" s="4" t="str">
        <f t="shared" ref="E450:E513" si="35">"Q"&amp;ROUNDUP(MONTH(A450)/3,0)&amp;"-"&amp;YEAR(A450)</f>
        <v>Q2-2025</v>
      </c>
      <c r="F450" t="s">
        <v>52</v>
      </c>
      <c r="G450" t="s">
        <v>53</v>
      </c>
      <c r="H450" t="s">
        <v>54</v>
      </c>
      <c r="I450" t="s">
        <v>64</v>
      </c>
      <c r="J450" s="7" t="str">
        <f t="shared" ref="J450:J513" si="36">IF(K450&lt;50, "Low", IF(K450&lt;200, "Medium", "High"))</f>
        <v>High</v>
      </c>
      <c r="K450" s="4">
        <v>2210.17</v>
      </c>
      <c r="L450" s="4">
        <v>2210.17</v>
      </c>
      <c r="M450" s="4">
        <v>0.104</v>
      </c>
      <c r="N450" s="4">
        <v>23</v>
      </c>
      <c r="O450" s="4">
        <f t="shared" ref="O450:O513" si="37">(L476*N450)*(1-M450)</f>
        <v>27698.182399999998</v>
      </c>
    </row>
    <row r="451" spans="1:15" x14ac:dyDescent="0.3">
      <c r="A451" s="11">
        <v>45811</v>
      </c>
      <c r="B451" s="4" t="str">
        <f>TEXT(Data!B451,"MMM-YYYY")</f>
        <v>Jul-2023</v>
      </c>
      <c r="C451" s="4" t="str">
        <f t="shared" ref="C451:C514" si="38">TEXT(D451, "MMM-YYYY")</f>
        <v>Jun-2025</v>
      </c>
      <c r="D451" s="12">
        <f t="shared" ref="D451:D514" si="39">_xlfn.MINIFS(A451:A451, G451:G451,G451)</f>
        <v>45811</v>
      </c>
      <c r="E451" s="4" t="str">
        <f t="shared" si="35"/>
        <v>Q2-2025</v>
      </c>
      <c r="F451" t="s">
        <v>16</v>
      </c>
      <c r="G451" t="s">
        <v>25</v>
      </c>
      <c r="H451" t="s">
        <v>26</v>
      </c>
      <c r="I451" t="s">
        <v>42</v>
      </c>
      <c r="J451" s="7" t="str">
        <f t="shared" si="36"/>
        <v>High</v>
      </c>
      <c r="K451" s="4">
        <v>1045</v>
      </c>
      <c r="L451" s="4">
        <v>1045</v>
      </c>
      <c r="M451" s="4">
        <v>0.216</v>
      </c>
      <c r="N451" s="4">
        <v>15</v>
      </c>
      <c r="O451" s="4">
        <f t="shared" si="37"/>
        <v>15173.8104</v>
      </c>
    </row>
    <row r="452" spans="1:15" x14ac:dyDescent="0.3">
      <c r="A452" s="11">
        <v>45812</v>
      </c>
      <c r="B452" s="4" t="str">
        <f>TEXT(Data!B452,"MMM-YYYY")</f>
        <v>Jan-2023</v>
      </c>
      <c r="C452" s="4" t="str">
        <f t="shared" si="38"/>
        <v>Jun-2025</v>
      </c>
      <c r="D452" s="12">
        <f t="shared" si="39"/>
        <v>45812</v>
      </c>
      <c r="E452" s="4" t="str">
        <f t="shared" si="35"/>
        <v>Q2-2025</v>
      </c>
      <c r="F452" t="s">
        <v>45</v>
      </c>
      <c r="G452" t="s">
        <v>60</v>
      </c>
      <c r="H452" t="s">
        <v>141</v>
      </c>
      <c r="I452" t="s">
        <v>30</v>
      </c>
      <c r="J452" s="7" t="str">
        <f t="shared" si="36"/>
        <v>High</v>
      </c>
      <c r="K452" s="4">
        <v>2132.19</v>
      </c>
      <c r="L452" s="4">
        <v>2132.19</v>
      </c>
      <c r="M452" s="4">
        <v>0.16500000000000001</v>
      </c>
      <c r="N452" s="4">
        <v>7</v>
      </c>
      <c r="O452" s="4">
        <f t="shared" si="37"/>
        <v>1295.1351000000002</v>
      </c>
    </row>
    <row r="453" spans="1:15" x14ac:dyDescent="0.3">
      <c r="A453" s="11">
        <v>45813</v>
      </c>
      <c r="B453" s="4" t="str">
        <f>TEXT(Data!B453,"MMM-YYYY")</f>
        <v>May-2024</v>
      </c>
      <c r="C453" s="4" t="str">
        <f t="shared" si="38"/>
        <v>Jun-2025</v>
      </c>
      <c r="D453" s="12">
        <f t="shared" si="39"/>
        <v>45813</v>
      </c>
      <c r="E453" s="4" t="str">
        <f t="shared" si="35"/>
        <v>Q2-2025</v>
      </c>
      <c r="F453" t="s">
        <v>78</v>
      </c>
      <c r="G453" t="s">
        <v>108</v>
      </c>
      <c r="H453" t="s">
        <v>152</v>
      </c>
      <c r="I453" t="s">
        <v>81</v>
      </c>
      <c r="J453" s="7" t="str">
        <f t="shared" si="36"/>
        <v>High</v>
      </c>
      <c r="K453" s="4">
        <v>2101.5500000000002</v>
      </c>
      <c r="L453" s="4">
        <v>2101.5500000000002</v>
      </c>
      <c r="M453" s="4">
        <v>6.6000000000000003E-2</v>
      </c>
      <c r="N453" s="4">
        <v>10</v>
      </c>
      <c r="O453" s="4">
        <f t="shared" si="37"/>
        <v>3365.5755999999997</v>
      </c>
    </row>
    <row r="454" spans="1:15" x14ac:dyDescent="0.3">
      <c r="A454" s="11">
        <v>45814</v>
      </c>
      <c r="B454" s="4" t="str">
        <f>TEXT(Data!B454,"MMM-YYYY")</f>
        <v>Jun-2025</v>
      </c>
      <c r="C454" s="4" t="str">
        <f t="shared" si="38"/>
        <v>Jun-2025</v>
      </c>
      <c r="D454" s="12">
        <f t="shared" si="39"/>
        <v>45814</v>
      </c>
      <c r="E454" s="4" t="str">
        <f t="shared" si="35"/>
        <v>Q2-2025</v>
      </c>
      <c r="F454" t="s">
        <v>45</v>
      </c>
      <c r="G454" t="s">
        <v>60</v>
      </c>
      <c r="H454" t="s">
        <v>61</v>
      </c>
      <c r="I454" t="s">
        <v>22</v>
      </c>
      <c r="J454" s="7" t="str">
        <f t="shared" si="36"/>
        <v>High</v>
      </c>
      <c r="K454" s="4">
        <v>2125.44</v>
      </c>
      <c r="L454" s="4">
        <v>2125.44</v>
      </c>
      <c r="M454" s="4">
        <v>7.0999999999999994E-2</v>
      </c>
      <c r="N454" s="4">
        <v>12</v>
      </c>
      <c r="O454" s="4">
        <f t="shared" si="37"/>
        <v>28380.689880000002</v>
      </c>
    </row>
    <row r="455" spans="1:15" x14ac:dyDescent="0.3">
      <c r="A455" s="11">
        <v>45815</v>
      </c>
      <c r="B455" s="4" t="str">
        <f>TEXT(Data!B455,"MMM-YYYY")</f>
        <v>May-2023</v>
      </c>
      <c r="C455" s="4" t="str">
        <f t="shared" si="38"/>
        <v>Jun-2025</v>
      </c>
      <c r="D455" s="12">
        <f t="shared" si="39"/>
        <v>45815</v>
      </c>
      <c r="E455" s="4" t="str">
        <f t="shared" si="35"/>
        <v>Q2-2025</v>
      </c>
      <c r="F455" t="s">
        <v>45</v>
      </c>
      <c r="G455" t="s">
        <v>46</v>
      </c>
      <c r="H455" t="s">
        <v>231</v>
      </c>
      <c r="I455" t="s">
        <v>42</v>
      </c>
      <c r="J455" s="7" t="str">
        <f t="shared" si="36"/>
        <v>High</v>
      </c>
      <c r="K455" s="4">
        <v>712.75</v>
      </c>
      <c r="L455" s="4">
        <v>712.75</v>
      </c>
      <c r="M455" s="4">
        <v>0.115</v>
      </c>
      <c r="N455" s="4">
        <v>19</v>
      </c>
      <c r="O455" s="4">
        <f t="shared" si="37"/>
        <v>11761.58805</v>
      </c>
    </row>
    <row r="456" spans="1:15" x14ac:dyDescent="0.3">
      <c r="A456" s="11">
        <v>45816</v>
      </c>
      <c r="B456" s="4" t="str">
        <f>TEXT(Data!B456,"MMM-YYYY")</f>
        <v>Dec-2024</v>
      </c>
      <c r="C456" s="4" t="str">
        <f t="shared" si="38"/>
        <v>Jun-2025</v>
      </c>
      <c r="D456" s="12">
        <f t="shared" si="39"/>
        <v>45816</v>
      </c>
      <c r="E456" s="4" t="str">
        <f t="shared" si="35"/>
        <v>Q2-2025</v>
      </c>
      <c r="F456" t="s">
        <v>52</v>
      </c>
      <c r="G456" t="s">
        <v>122</v>
      </c>
      <c r="H456" t="s">
        <v>326</v>
      </c>
      <c r="I456" t="s">
        <v>64</v>
      </c>
      <c r="J456" s="7" t="str">
        <f t="shared" si="36"/>
        <v>High</v>
      </c>
      <c r="K456" s="4">
        <v>1568.83</v>
      </c>
      <c r="L456" s="4">
        <v>1568.83</v>
      </c>
      <c r="M456" s="4">
        <v>1.7000000000000001E-2</v>
      </c>
      <c r="N456" s="4">
        <v>15</v>
      </c>
      <c r="O456" s="4">
        <f t="shared" si="37"/>
        <v>40381.984049999999</v>
      </c>
    </row>
    <row r="457" spans="1:15" x14ac:dyDescent="0.3">
      <c r="A457" s="11">
        <v>45817</v>
      </c>
      <c r="B457" s="4" t="str">
        <f>TEXT(Data!B457,"MMM-YYYY")</f>
        <v>Dec-2023</v>
      </c>
      <c r="C457" s="4" t="str">
        <f t="shared" si="38"/>
        <v>Jun-2025</v>
      </c>
      <c r="D457" s="12">
        <f t="shared" si="39"/>
        <v>45817</v>
      </c>
      <c r="E457" s="4" t="str">
        <f t="shared" si="35"/>
        <v>Q2-2025</v>
      </c>
      <c r="F457" t="s">
        <v>52</v>
      </c>
      <c r="G457" t="s">
        <v>53</v>
      </c>
      <c r="H457" t="s">
        <v>179</v>
      </c>
      <c r="I457" t="s">
        <v>81</v>
      </c>
      <c r="J457" s="7" t="str">
        <f t="shared" si="36"/>
        <v>High</v>
      </c>
      <c r="K457" s="4">
        <v>2074.34</v>
      </c>
      <c r="L457" s="4">
        <v>2074.34</v>
      </c>
      <c r="M457" s="4">
        <v>0.111</v>
      </c>
      <c r="N457" s="4">
        <v>8</v>
      </c>
      <c r="O457" s="4">
        <f t="shared" si="37"/>
        <v>674.07536000000005</v>
      </c>
    </row>
    <row r="458" spans="1:15" x14ac:dyDescent="0.3">
      <c r="A458" s="11">
        <v>45818</v>
      </c>
      <c r="B458" s="4" t="str">
        <f>TEXT(Data!B458,"MMM-YYYY")</f>
        <v>May-2023</v>
      </c>
      <c r="C458" s="4" t="str">
        <f t="shared" si="38"/>
        <v>Jun-2025</v>
      </c>
      <c r="D458" s="12">
        <f t="shared" si="39"/>
        <v>45818</v>
      </c>
      <c r="E458" s="4" t="str">
        <f t="shared" si="35"/>
        <v>Q2-2025</v>
      </c>
      <c r="F458" t="s">
        <v>52</v>
      </c>
      <c r="G458" t="s">
        <v>73</v>
      </c>
      <c r="H458" t="s">
        <v>87</v>
      </c>
      <c r="I458" t="s">
        <v>42</v>
      </c>
      <c r="J458" s="7" t="str">
        <f t="shared" si="36"/>
        <v>High</v>
      </c>
      <c r="K458" s="4">
        <v>495.19</v>
      </c>
      <c r="L458" s="4">
        <v>495.19</v>
      </c>
      <c r="M458" s="4">
        <v>0</v>
      </c>
      <c r="N458" s="4">
        <v>42</v>
      </c>
      <c r="O458" s="4">
        <f t="shared" si="37"/>
        <v>116648.7</v>
      </c>
    </row>
    <row r="459" spans="1:15" x14ac:dyDescent="0.3">
      <c r="A459" s="11">
        <v>45819</v>
      </c>
      <c r="B459" s="4" t="str">
        <f>TEXT(Data!B459,"MMM-YYYY")</f>
        <v>Nov-2023</v>
      </c>
      <c r="C459" s="4" t="str">
        <f t="shared" si="38"/>
        <v>Jun-2025</v>
      </c>
      <c r="D459" s="12">
        <f t="shared" si="39"/>
        <v>45819</v>
      </c>
      <c r="E459" s="4" t="str">
        <f t="shared" si="35"/>
        <v>Q2-2025</v>
      </c>
      <c r="F459" t="s">
        <v>45</v>
      </c>
      <c r="G459" t="s">
        <v>116</v>
      </c>
      <c r="H459" t="s">
        <v>162</v>
      </c>
      <c r="I459" t="s">
        <v>64</v>
      </c>
      <c r="J459" s="7" t="str">
        <f t="shared" si="36"/>
        <v>High</v>
      </c>
      <c r="K459" s="4">
        <v>757.59</v>
      </c>
      <c r="L459" s="4">
        <v>757.59</v>
      </c>
      <c r="M459" s="4">
        <v>0.13600000000000001</v>
      </c>
      <c r="N459" s="4">
        <v>12</v>
      </c>
      <c r="O459" s="4">
        <f t="shared" si="37"/>
        <v>5102.9222399999999</v>
      </c>
    </row>
    <row r="460" spans="1:15" x14ac:dyDescent="0.3">
      <c r="A460" s="11">
        <v>45820</v>
      </c>
      <c r="B460" s="4" t="str">
        <f>TEXT(Data!B460,"MMM-YYYY")</f>
        <v>May-2024</v>
      </c>
      <c r="C460" s="4" t="str">
        <f t="shared" si="38"/>
        <v>Jun-2025</v>
      </c>
      <c r="D460" s="12">
        <f t="shared" si="39"/>
        <v>45820</v>
      </c>
      <c r="E460" s="4" t="str">
        <f t="shared" si="35"/>
        <v>Q2-2025</v>
      </c>
      <c r="F460" t="s">
        <v>78</v>
      </c>
      <c r="G460" t="s">
        <v>79</v>
      </c>
      <c r="H460" t="s">
        <v>159</v>
      </c>
      <c r="I460" t="s">
        <v>57</v>
      </c>
      <c r="J460" s="7" t="str">
        <f t="shared" si="36"/>
        <v>High</v>
      </c>
      <c r="K460" s="4">
        <v>415.96</v>
      </c>
      <c r="L460" s="4">
        <v>415.96</v>
      </c>
      <c r="M460" s="4">
        <v>0.125</v>
      </c>
      <c r="N460" s="4">
        <v>21</v>
      </c>
      <c r="O460" s="4">
        <f t="shared" si="37"/>
        <v>35310.318749999999</v>
      </c>
    </row>
    <row r="461" spans="1:15" x14ac:dyDescent="0.3">
      <c r="A461" s="11">
        <v>45821</v>
      </c>
      <c r="B461" s="4" t="str">
        <f>TEXT(Data!B461,"MMM-YYYY")</f>
        <v>Jul-2023</v>
      </c>
      <c r="C461" s="4" t="str">
        <f t="shared" si="38"/>
        <v>Jun-2025</v>
      </c>
      <c r="D461" s="12">
        <f t="shared" si="39"/>
        <v>45821</v>
      </c>
      <c r="E461" s="4" t="str">
        <f t="shared" si="35"/>
        <v>Q2-2025</v>
      </c>
      <c r="F461" t="s">
        <v>78</v>
      </c>
      <c r="G461" t="s">
        <v>90</v>
      </c>
      <c r="H461" t="s">
        <v>91</v>
      </c>
      <c r="I461" t="s">
        <v>22</v>
      </c>
      <c r="J461" s="7" t="str">
        <f t="shared" si="36"/>
        <v>High</v>
      </c>
      <c r="K461" s="4">
        <v>1870.89</v>
      </c>
      <c r="L461" s="4">
        <v>1870.89</v>
      </c>
      <c r="M461" s="4">
        <v>0</v>
      </c>
      <c r="N461" s="4">
        <v>13</v>
      </c>
      <c r="O461" s="4">
        <f t="shared" si="37"/>
        <v>3774.29</v>
      </c>
    </row>
    <row r="462" spans="1:15" x14ac:dyDescent="0.3">
      <c r="A462" s="11">
        <v>45822</v>
      </c>
      <c r="B462" s="4" t="str">
        <f>TEXT(Data!B462,"MMM-YYYY")</f>
        <v>May-2023</v>
      </c>
      <c r="C462" s="4" t="str">
        <f t="shared" si="38"/>
        <v>Jun-2025</v>
      </c>
      <c r="D462" s="12">
        <f t="shared" si="39"/>
        <v>45822</v>
      </c>
      <c r="E462" s="4" t="str">
        <f t="shared" si="35"/>
        <v>Q2-2025</v>
      </c>
      <c r="F462" t="s">
        <v>45</v>
      </c>
      <c r="G462" t="s">
        <v>46</v>
      </c>
      <c r="H462" t="s">
        <v>214</v>
      </c>
      <c r="I462" t="s">
        <v>22</v>
      </c>
      <c r="J462" s="7" t="str">
        <f t="shared" si="36"/>
        <v>High</v>
      </c>
      <c r="K462" s="4">
        <v>206.88</v>
      </c>
      <c r="L462" s="4">
        <v>206.88</v>
      </c>
      <c r="M462" s="4">
        <v>0.107</v>
      </c>
      <c r="N462" s="4">
        <v>9</v>
      </c>
      <c r="O462" s="4">
        <f t="shared" si="37"/>
        <v>4845.6680399999996</v>
      </c>
    </row>
    <row r="463" spans="1:15" x14ac:dyDescent="0.3">
      <c r="A463" s="11">
        <v>45823</v>
      </c>
      <c r="B463" s="4" t="str">
        <f>TEXT(Data!B463,"MMM-YYYY")</f>
        <v>Mar-2024</v>
      </c>
      <c r="C463" s="4" t="str">
        <f t="shared" si="38"/>
        <v>Jun-2025</v>
      </c>
      <c r="D463" s="12">
        <f t="shared" si="39"/>
        <v>45823</v>
      </c>
      <c r="E463" s="4" t="str">
        <f t="shared" si="35"/>
        <v>Q2-2025</v>
      </c>
      <c r="F463" t="s">
        <v>16</v>
      </c>
      <c r="G463" t="s">
        <v>148</v>
      </c>
      <c r="H463" t="s">
        <v>172</v>
      </c>
      <c r="I463" t="s">
        <v>81</v>
      </c>
      <c r="J463" s="7" t="str">
        <f t="shared" si="36"/>
        <v>Medium</v>
      </c>
      <c r="K463" s="4">
        <v>62.82</v>
      </c>
      <c r="L463" s="4">
        <v>62.82</v>
      </c>
      <c r="M463" s="4">
        <v>0.129</v>
      </c>
      <c r="N463" s="4">
        <v>17</v>
      </c>
      <c r="O463" s="4">
        <f t="shared" si="37"/>
        <v>30761.5425</v>
      </c>
    </row>
    <row r="464" spans="1:15" x14ac:dyDescent="0.3">
      <c r="A464" s="11">
        <v>45824</v>
      </c>
      <c r="B464" s="4" t="str">
        <f>TEXT(Data!B464,"MMM-YYYY")</f>
        <v>Apr-2025</v>
      </c>
      <c r="C464" s="4" t="str">
        <f t="shared" si="38"/>
        <v>Jun-2025</v>
      </c>
      <c r="D464" s="12">
        <f t="shared" si="39"/>
        <v>45824</v>
      </c>
      <c r="E464" s="4" t="str">
        <f t="shared" si="35"/>
        <v>Q2-2025</v>
      </c>
      <c r="F464" t="s">
        <v>78</v>
      </c>
      <c r="G464" t="s">
        <v>79</v>
      </c>
      <c r="H464" t="s">
        <v>335</v>
      </c>
      <c r="I464" t="s">
        <v>30</v>
      </c>
      <c r="J464" s="7" t="str">
        <f t="shared" si="36"/>
        <v>High</v>
      </c>
      <c r="K464" s="4">
        <v>956.49</v>
      </c>
      <c r="L464" s="4">
        <v>956.49</v>
      </c>
      <c r="M464" s="4">
        <v>0.152</v>
      </c>
      <c r="N464" s="4">
        <v>5</v>
      </c>
      <c r="O464" s="4">
        <f t="shared" si="37"/>
        <v>733.01119999999992</v>
      </c>
    </row>
    <row r="465" spans="1:15" x14ac:dyDescent="0.3">
      <c r="A465" s="11">
        <v>45825</v>
      </c>
      <c r="B465" s="4" t="str">
        <f>TEXT(Data!B465,"MMM-YYYY")</f>
        <v>Jul-2025</v>
      </c>
      <c r="C465" s="4" t="str">
        <f t="shared" si="38"/>
        <v>Jun-2025</v>
      </c>
      <c r="D465" s="12">
        <f t="shared" si="39"/>
        <v>45825</v>
      </c>
      <c r="E465" s="4" t="str">
        <f t="shared" si="35"/>
        <v>Q2-2025</v>
      </c>
      <c r="F465" t="s">
        <v>16</v>
      </c>
      <c r="G465" t="s">
        <v>148</v>
      </c>
      <c r="H465" t="s">
        <v>172</v>
      </c>
      <c r="I465" t="s">
        <v>35</v>
      </c>
      <c r="J465" s="7" t="str">
        <f t="shared" si="36"/>
        <v>Medium</v>
      </c>
      <c r="K465" s="4">
        <v>165.7</v>
      </c>
      <c r="L465" s="4">
        <v>165.7</v>
      </c>
      <c r="M465" s="4">
        <v>0.124</v>
      </c>
      <c r="N465" s="4">
        <v>13</v>
      </c>
      <c r="O465" s="4">
        <f t="shared" si="37"/>
        <v>31644.291119999994</v>
      </c>
    </row>
    <row r="466" spans="1:15" x14ac:dyDescent="0.3">
      <c r="A466" s="11">
        <v>45826</v>
      </c>
      <c r="B466" s="4" t="str">
        <f>TEXT(Data!B466,"MMM-YYYY")</f>
        <v>Nov-2024</v>
      </c>
      <c r="C466" s="4" t="str">
        <f t="shared" si="38"/>
        <v>Jun-2025</v>
      </c>
      <c r="D466" s="12">
        <f t="shared" si="39"/>
        <v>45826</v>
      </c>
      <c r="E466" s="4" t="str">
        <f t="shared" si="35"/>
        <v>Q2-2025</v>
      </c>
      <c r="F466" t="s">
        <v>45</v>
      </c>
      <c r="G466" t="s">
        <v>46</v>
      </c>
      <c r="H466" t="s">
        <v>214</v>
      </c>
      <c r="I466" t="s">
        <v>22</v>
      </c>
      <c r="J466" s="7" t="str">
        <f t="shared" si="36"/>
        <v>High</v>
      </c>
      <c r="K466" s="4">
        <v>608.36</v>
      </c>
      <c r="L466" s="4">
        <v>608.36</v>
      </c>
      <c r="M466" s="4">
        <v>0.25700000000000001</v>
      </c>
      <c r="N466" s="4">
        <v>4</v>
      </c>
      <c r="O466" s="4">
        <f t="shared" si="37"/>
        <v>919.74484000000007</v>
      </c>
    </row>
    <row r="467" spans="1:15" x14ac:dyDescent="0.3">
      <c r="A467" s="11">
        <v>45827</v>
      </c>
      <c r="B467" s="4" t="str">
        <f>TEXT(Data!B467,"MMM-YYYY")</f>
        <v>Jun-2024</v>
      </c>
      <c r="C467" s="4" t="str">
        <f t="shared" si="38"/>
        <v>Jun-2025</v>
      </c>
      <c r="D467" s="12">
        <f t="shared" si="39"/>
        <v>45827</v>
      </c>
      <c r="E467" s="4" t="str">
        <f t="shared" si="35"/>
        <v>Q2-2025</v>
      </c>
      <c r="F467" t="s">
        <v>16</v>
      </c>
      <c r="G467" t="s">
        <v>17</v>
      </c>
      <c r="H467" t="s">
        <v>113</v>
      </c>
      <c r="I467" t="s">
        <v>22</v>
      </c>
      <c r="J467" s="7" t="str">
        <f t="shared" si="36"/>
        <v>High</v>
      </c>
      <c r="K467" s="4">
        <v>2665.91</v>
      </c>
      <c r="L467" s="4">
        <v>2665.91</v>
      </c>
      <c r="M467" s="4">
        <v>0.21099999999999999</v>
      </c>
      <c r="N467" s="4">
        <v>40</v>
      </c>
      <c r="O467" s="4">
        <f t="shared" si="37"/>
        <v>21031.899600000001</v>
      </c>
    </row>
    <row r="468" spans="1:15" x14ac:dyDescent="0.3">
      <c r="A468" s="11">
        <v>45828</v>
      </c>
      <c r="B468" s="4" t="str">
        <f>TEXT(Data!B468,"MMM-YYYY")</f>
        <v>Dec-2023</v>
      </c>
      <c r="C468" s="4" t="str">
        <f t="shared" si="38"/>
        <v>Jun-2025</v>
      </c>
      <c r="D468" s="12">
        <f t="shared" si="39"/>
        <v>45828</v>
      </c>
      <c r="E468" s="4" t="str">
        <f t="shared" si="35"/>
        <v>Q2-2025</v>
      </c>
      <c r="F468" t="s">
        <v>16</v>
      </c>
      <c r="G468" t="s">
        <v>25</v>
      </c>
      <c r="H468" t="s">
        <v>26</v>
      </c>
      <c r="I468" t="s">
        <v>81</v>
      </c>
      <c r="J468" s="7" t="str">
        <f t="shared" si="36"/>
        <v>High</v>
      </c>
      <c r="K468" s="4">
        <v>587.95000000000005</v>
      </c>
      <c r="L468" s="4">
        <v>587.95000000000005</v>
      </c>
      <c r="M468" s="4">
        <v>0.22900000000000001</v>
      </c>
      <c r="N468" s="4">
        <v>6</v>
      </c>
      <c r="O468" s="4">
        <f t="shared" si="37"/>
        <v>3442.9930199999999</v>
      </c>
    </row>
    <row r="469" spans="1:15" x14ac:dyDescent="0.3">
      <c r="A469" s="11">
        <v>45829</v>
      </c>
      <c r="B469" s="4" t="str">
        <f>TEXT(Data!B469,"MMM-YYYY")</f>
        <v>Jun-2025</v>
      </c>
      <c r="C469" s="4" t="str">
        <f t="shared" si="38"/>
        <v>Jun-2025</v>
      </c>
      <c r="D469" s="12">
        <f t="shared" si="39"/>
        <v>45829</v>
      </c>
      <c r="E469" s="4" t="str">
        <f t="shared" si="35"/>
        <v>Q2-2025</v>
      </c>
      <c r="F469" t="s">
        <v>45</v>
      </c>
      <c r="G469" t="s">
        <v>60</v>
      </c>
      <c r="H469" t="s">
        <v>220</v>
      </c>
      <c r="I469" t="s">
        <v>35</v>
      </c>
      <c r="J469" s="7" t="str">
        <f t="shared" si="36"/>
        <v>High</v>
      </c>
      <c r="K469" s="4">
        <v>2193.13</v>
      </c>
      <c r="L469" s="4">
        <v>2193.13</v>
      </c>
      <c r="M469" s="4">
        <v>7.0999999999999994E-2</v>
      </c>
      <c r="N469" s="4">
        <v>7</v>
      </c>
      <c r="O469" s="4">
        <f t="shared" si="37"/>
        <v>82.523070000000004</v>
      </c>
    </row>
    <row r="470" spans="1:15" x14ac:dyDescent="0.3">
      <c r="A470" s="11">
        <v>45830</v>
      </c>
      <c r="B470" s="4" t="str">
        <f>TEXT(Data!B470,"MMM-YYYY")</f>
        <v>Mar-2025</v>
      </c>
      <c r="C470" s="4" t="str">
        <f t="shared" si="38"/>
        <v>Jun-2025</v>
      </c>
      <c r="D470" s="12">
        <f t="shared" si="39"/>
        <v>45830</v>
      </c>
      <c r="E470" s="4" t="str">
        <f t="shared" si="35"/>
        <v>Q2-2025</v>
      </c>
      <c r="F470" t="s">
        <v>78</v>
      </c>
      <c r="G470" t="s">
        <v>79</v>
      </c>
      <c r="H470" t="s">
        <v>159</v>
      </c>
      <c r="I470" t="s">
        <v>22</v>
      </c>
      <c r="J470" s="7" t="str">
        <f t="shared" si="36"/>
        <v>High</v>
      </c>
      <c r="K470" s="4">
        <v>2187.8000000000002</v>
      </c>
      <c r="L470" s="4">
        <v>2187.8000000000002</v>
      </c>
      <c r="M470" s="4">
        <v>0.23</v>
      </c>
      <c r="N470" s="4">
        <v>15</v>
      </c>
      <c r="O470" s="4">
        <f t="shared" si="37"/>
        <v>7525.518</v>
      </c>
    </row>
    <row r="471" spans="1:15" x14ac:dyDescent="0.3">
      <c r="A471" s="11">
        <v>45831</v>
      </c>
      <c r="B471" s="4" t="str">
        <f>TEXT(Data!B471,"MMM-YYYY")</f>
        <v>May-2023</v>
      </c>
      <c r="C471" s="4" t="str">
        <f t="shared" si="38"/>
        <v>Jun-2025</v>
      </c>
      <c r="D471" s="12">
        <f t="shared" si="39"/>
        <v>45831</v>
      </c>
      <c r="E471" s="4" t="str">
        <f t="shared" si="35"/>
        <v>Q2-2025</v>
      </c>
      <c r="F471" t="s">
        <v>78</v>
      </c>
      <c r="G471" t="s">
        <v>79</v>
      </c>
      <c r="H471" t="s">
        <v>80</v>
      </c>
      <c r="I471" t="s">
        <v>30</v>
      </c>
      <c r="J471" s="7" t="str">
        <f t="shared" si="36"/>
        <v>High</v>
      </c>
      <c r="K471" s="4">
        <v>1002.11</v>
      </c>
      <c r="L471" s="4">
        <v>1002.11</v>
      </c>
      <c r="M471" s="4">
        <v>4.5999999999999999E-2</v>
      </c>
      <c r="N471" s="4">
        <v>17</v>
      </c>
      <c r="O471" s="4">
        <f t="shared" si="37"/>
        <v>12231.93996</v>
      </c>
    </row>
    <row r="472" spans="1:15" x14ac:dyDescent="0.3">
      <c r="A472" s="11">
        <v>45832</v>
      </c>
      <c r="B472" s="4" t="str">
        <f>TEXT(Data!B472,"MMM-YYYY")</f>
        <v>Aug-2023</v>
      </c>
      <c r="C472" s="4" t="str">
        <f t="shared" si="38"/>
        <v>Jun-2025</v>
      </c>
      <c r="D472" s="12">
        <f t="shared" si="39"/>
        <v>45832</v>
      </c>
      <c r="E472" s="4" t="str">
        <f t="shared" si="35"/>
        <v>Q2-2025</v>
      </c>
      <c r="F472" t="s">
        <v>16</v>
      </c>
      <c r="G472" t="s">
        <v>17</v>
      </c>
      <c r="H472" t="s">
        <v>113</v>
      </c>
      <c r="I472" t="s">
        <v>30</v>
      </c>
      <c r="J472" s="7" t="str">
        <f t="shared" si="36"/>
        <v>High</v>
      </c>
      <c r="K472" s="4">
        <v>913.78</v>
      </c>
      <c r="L472" s="4">
        <v>913.78</v>
      </c>
      <c r="M472" s="4">
        <v>4.9000000000000002E-2</v>
      </c>
      <c r="N472" s="4">
        <v>12</v>
      </c>
      <c r="O472" s="4">
        <f t="shared" si="37"/>
        <v>34019.286120000004</v>
      </c>
    </row>
    <row r="473" spans="1:15" x14ac:dyDescent="0.3">
      <c r="A473" s="11">
        <v>45833</v>
      </c>
      <c r="B473" s="4" t="str">
        <f>TEXT(Data!B473,"MMM-YYYY")</f>
        <v>Jul-2025</v>
      </c>
      <c r="C473" s="4" t="str">
        <f t="shared" si="38"/>
        <v>Jun-2025</v>
      </c>
      <c r="D473" s="12">
        <f t="shared" si="39"/>
        <v>45833</v>
      </c>
      <c r="E473" s="4" t="str">
        <f t="shared" si="35"/>
        <v>Q2-2025</v>
      </c>
      <c r="F473" t="s">
        <v>78</v>
      </c>
      <c r="G473" t="s">
        <v>90</v>
      </c>
      <c r="H473" t="s">
        <v>138</v>
      </c>
      <c r="I473" t="s">
        <v>30</v>
      </c>
      <c r="J473" s="7" t="str">
        <f t="shared" si="36"/>
        <v>High</v>
      </c>
      <c r="K473" s="4">
        <v>1843.51</v>
      </c>
      <c r="L473" s="4">
        <v>1843.51</v>
      </c>
      <c r="M473" s="4">
        <v>0.13800000000000001</v>
      </c>
      <c r="N473" s="4">
        <v>23</v>
      </c>
      <c r="O473" s="4">
        <f t="shared" si="37"/>
        <v>19353.546419999999</v>
      </c>
    </row>
    <row r="474" spans="1:15" x14ac:dyDescent="0.3">
      <c r="A474" s="11">
        <v>45834</v>
      </c>
      <c r="B474" s="4" t="str">
        <f>TEXT(Data!B474,"MMM-YYYY")</f>
        <v>Feb-2024</v>
      </c>
      <c r="C474" s="4" t="str">
        <f t="shared" si="38"/>
        <v>Jun-2025</v>
      </c>
      <c r="D474" s="12">
        <f t="shared" si="39"/>
        <v>45834</v>
      </c>
      <c r="E474" s="4" t="str">
        <f t="shared" si="35"/>
        <v>Q2-2025</v>
      </c>
      <c r="F474" t="s">
        <v>45</v>
      </c>
      <c r="G474" t="s">
        <v>116</v>
      </c>
      <c r="H474" t="s">
        <v>338</v>
      </c>
      <c r="I474" t="s">
        <v>22</v>
      </c>
      <c r="J474" s="7" t="str">
        <f t="shared" si="36"/>
        <v>High</v>
      </c>
      <c r="K474" s="4">
        <v>1383.6</v>
      </c>
      <c r="L474" s="4">
        <v>1383.6</v>
      </c>
      <c r="M474" s="4">
        <v>7.3999999999999996E-2</v>
      </c>
      <c r="N474" s="4">
        <v>12</v>
      </c>
      <c r="O474" s="4">
        <f t="shared" si="37"/>
        <v>12733.240800000001</v>
      </c>
    </row>
    <row r="475" spans="1:15" x14ac:dyDescent="0.3">
      <c r="A475" s="11">
        <v>45835</v>
      </c>
      <c r="B475" s="4" t="str">
        <f>TEXT(Data!B475,"MMM-YYYY")</f>
        <v>Aug-2025</v>
      </c>
      <c r="C475" s="4" t="str">
        <f t="shared" si="38"/>
        <v>Jun-2025</v>
      </c>
      <c r="D475" s="12">
        <f t="shared" si="39"/>
        <v>45835</v>
      </c>
      <c r="E475" s="4" t="str">
        <f t="shared" si="35"/>
        <v>Q2-2025</v>
      </c>
      <c r="F475" t="s">
        <v>16</v>
      </c>
      <c r="G475" t="s">
        <v>17</v>
      </c>
      <c r="H475" t="s">
        <v>18</v>
      </c>
      <c r="I475" t="s">
        <v>64</v>
      </c>
      <c r="J475" s="7" t="str">
        <f t="shared" si="36"/>
        <v>High</v>
      </c>
      <c r="K475" s="4">
        <v>1588.53</v>
      </c>
      <c r="L475" s="4">
        <v>1588.53</v>
      </c>
      <c r="M475" s="4">
        <v>0.126</v>
      </c>
      <c r="N475" s="4">
        <v>6</v>
      </c>
      <c r="O475" s="4">
        <f t="shared" si="37"/>
        <v>8549.7651600000008</v>
      </c>
    </row>
    <row r="476" spans="1:15" x14ac:dyDescent="0.3">
      <c r="A476" s="11">
        <v>45836</v>
      </c>
      <c r="B476" s="4" t="str">
        <f>TEXT(Data!B476,"MMM-YYYY")</f>
        <v>May-2023</v>
      </c>
      <c r="C476" s="4" t="str">
        <f t="shared" si="38"/>
        <v>Jun-2025</v>
      </c>
      <c r="D476" s="12">
        <f t="shared" si="39"/>
        <v>45836</v>
      </c>
      <c r="E476" s="4" t="str">
        <f t="shared" si="35"/>
        <v>Q2-2025</v>
      </c>
      <c r="F476" t="s">
        <v>78</v>
      </c>
      <c r="G476" t="s">
        <v>90</v>
      </c>
      <c r="H476" t="s">
        <v>217</v>
      </c>
      <c r="I476" t="s">
        <v>42</v>
      </c>
      <c r="J476" s="7" t="str">
        <f t="shared" si="36"/>
        <v>High</v>
      </c>
      <c r="K476" s="4">
        <v>1344.05</v>
      </c>
      <c r="L476" s="4">
        <v>1344.05</v>
      </c>
      <c r="M476" s="4">
        <v>0.20499999999999999</v>
      </c>
      <c r="N476" s="4">
        <v>18</v>
      </c>
      <c r="O476" s="4">
        <f t="shared" si="37"/>
        <v>13790.9763</v>
      </c>
    </row>
    <row r="477" spans="1:15" x14ac:dyDescent="0.3">
      <c r="A477" s="11">
        <v>45837</v>
      </c>
      <c r="B477" s="4" t="str">
        <f>TEXT(Data!B477,"MMM-YYYY")</f>
        <v>May-2024</v>
      </c>
      <c r="C477" s="4" t="str">
        <f t="shared" si="38"/>
        <v>Jun-2025</v>
      </c>
      <c r="D477" s="12">
        <f t="shared" si="39"/>
        <v>45837</v>
      </c>
      <c r="E477" s="4" t="str">
        <f t="shared" si="35"/>
        <v>Q2-2025</v>
      </c>
      <c r="F477" t="s">
        <v>52</v>
      </c>
      <c r="G477" t="s">
        <v>73</v>
      </c>
      <c r="H477" t="s">
        <v>225</v>
      </c>
      <c r="I477" t="s">
        <v>30</v>
      </c>
      <c r="J477" s="7" t="str">
        <f t="shared" si="36"/>
        <v>High</v>
      </c>
      <c r="K477" s="4">
        <v>1290.29</v>
      </c>
      <c r="L477" s="4">
        <v>1290.29</v>
      </c>
      <c r="M477" s="4">
        <v>4.2000000000000003E-2</v>
      </c>
      <c r="N477" s="4">
        <v>22</v>
      </c>
      <c r="O477" s="4">
        <f t="shared" si="37"/>
        <v>18794.101480000001</v>
      </c>
    </row>
    <row r="478" spans="1:15" x14ac:dyDescent="0.3">
      <c r="A478" s="11">
        <v>45838</v>
      </c>
      <c r="B478" s="4" t="str">
        <f>TEXT(Data!B478,"MMM-YYYY")</f>
        <v>Mar-2023</v>
      </c>
      <c r="C478" s="4" t="str">
        <f t="shared" si="38"/>
        <v>Jun-2025</v>
      </c>
      <c r="D478" s="12">
        <f t="shared" si="39"/>
        <v>45838</v>
      </c>
      <c r="E478" s="4" t="str">
        <f t="shared" si="35"/>
        <v>Q2-2025</v>
      </c>
      <c r="F478" t="s">
        <v>78</v>
      </c>
      <c r="G478" t="s">
        <v>108</v>
      </c>
      <c r="H478" t="s">
        <v>109</v>
      </c>
      <c r="I478" t="s">
        <v>57</v>
      </c>
      <c r="J478" s="7" t="str">
        <f t="shared" si="36"/>
        <v>High</v>
      </c>
      <c r="K478" s="4">
        <v>221.58</v>
      </c>
      <c r="L478" s="4">
        <v>221.58</v>
      </c>
      <c r="M478" s="4">
        <v>8.8999999999999996E-2</v>
      </c>
      <c r="N478" s="4">
        <v>5</v>
      </c>
      <c r="O478" s="4">
        <f t="shared" si="37"/>
        <v>7596.9201000000003</v>
      </c>
    </row>
    <row r="479" spans="1:15" x14ac:dyDescent="0.3">
      <c r="A479" s="11">
        <v>45839</v>
      </c>
      <c r="B479" s="4" t="str">
        <f>TEXT(Data!B479,"MMM-YYYY")</f>
        <v>Jul-2023</v>
      </c>
      <c r="C479" s="4" t="str">
        <f t="shared" si="38"/>
        <v>Jul-2025</v>
      </c>
      <c r="D479" s="12">
        <f t="shared" si="39"/>
        <v>45839</v>
      </c>
      <c r="E479" s="4" t="str">
        <f t="shared" si="35"/>
        <v>Q3-2025</v>
      </c>
      <c r="F479" t="s">
        <v>78</v>
      </c>
      <c r="G479" t="s">
        <v>79</v>
      </c>
      <c r="H479" t="s">
        <v>335</v>
      </c>
      <c r="I479" t="s">
        <v>22</v>
      </c>
      <c r="J479" s="7" t="str">
        <f t="shared" si="36"/>
        <v>High</v>
      </c>
      <c r="K479" s="4">
        <v>360.34</v>
      </c>
      <c r="L479" s="4">
        <v>360.34</v>
      </c>
      <c r="M479" s="4">
        <v>0.16500000000000001</v>
      </c>
      <c r="N479" s="4">
        <v>14</v>
      </c>
      <c r="O479" s="4">
        <f t="shared" si="37"/>
        <v>22462.4519</v>
      </c>
    </row>
    <row r="480" spans="1:15" x14ac:dyDescent="0.3">
      <c r="A480" s="11">
        <v>45840</v>
      </c>
      <c r="B480" s="4" t="str">
        <f>TEXT(Data!B480,"MMM-YYYY")</f>
        <v>Apr-2023</v>
      </c>
      <c r="C480" s="4" t="str">
        <f t="shared" si="38"/>
        <v>Jul-2025</v>
      </c>
      <c r="D480" s="12">
        <f t="shared" si="39"/>
        <v>45840</v>
      </c>
      <c r="E480" s="4" t="str">
        <f t="shared" si="35"/>
        <v>Q3-2025</v>
      </c>
      <c r="F480" t="s">
        <v>78</v>
      </c>
      <c r="G480" t="s">
        <v>108</v>
      </c>
      <c r="H480" t="s">
        <v>228</v>
      </c>
      <c r="I480" t="s">
        <v>57</v>
      </c>
      <c r="J480" s="7" t="str">
        <f t="shared" si="36"/>
        <v>High</v>
      </c>
      <c r="K480" s="4">
        <v>2545.81</v>
      </c>
      <c r="L480" s="4">
        <v>2545.81</v>
      </c>
      <c r="M480" s="4">
        <v>0.216</v>
      </c>
      <c r="N480" s="4">
        <v>21</v>
      </c>
      <c r="O480" s="4">
        <f t="shared" si="37"/>
        <v>20043.767520000001</v>
      </c>
    </row>
    <row r="481" spans="1:15" x14ac:dyDescent="0.3">
      <c r="A481" s="11">
        <v>45841</v>
      </c>
      <c r="B481" s="4" t="str">
        <f>TEXT(Data!B481,"MMM-YYYY")</f>
        <v>Jan-2024</v>
      </c>
      <c r="C481" s="4" t="str">
        <f t="shared" si="38"/>
        <v>Jul-2025</v>
      </c>
      <c r="D481" s="12">
        <f t="shared" si="39"/>
        <v>45841</v>
      </c>
      <c r="E481" s="4" t="str">
        <f t="shared" si="35"/>
        <v>Q3-2025</v>
      </c>
      <c r="F481" t="s">
        <v>78</v>
      </c>
      <c r="G481" t="s">
        <v>79</v>
      </c>
      <c r="H481" t="s">
        <v>159</v>
      </c>
      <c r="I481" t="s">
        <v>81</v>
      </c>
      <c r="J481" s="7" t="str">
        <f t="shared" si="36"/>
        <v>High</v>
      </c>
      <c r="K481" s="4">
        <v>699.47</v>
      </c>
      <c r="L481" s="4">
        <v>699.47</v>
      </c>
      <c r="M481" s="4">
        <v>0.02</v>
      </c>
      <c r="N481" s="4">
        <v>33</v>
      </c>
      <c r="O481" s="4">
        <f t="shared" si="37"/>
        <v>31378.531800000001</v>
      </c>
    </row>
    <row r="482" spans="1:15" x14ac:dyDescent="0.3">
      <c r="A482" s="11">
        <v>45842</v>
      </c>
      <c r="B482" s="4" t="str">
        <f>TEXT(Data!B482,"MMM-YYYY")</f>
        <v>Sep-2024</v>
      </c>
      <c r="C482" s="4" t="str">
        <f t="shared" si="38"/>
        <v>Jul-2025</v>
      </c>
      <c r="D482" s="12">
        <f t="shared" si="39"/>
        <v>45842</v>
      </c>
      <c r="E482" s="4" t="str">
        <f t="shared" si="35"/>
        <v>Q3-2025</v>
      </c>
      <c r="F482" t="s">
        <v>45</v>
      </c>
      <c r="G482" t="s">
        <v>46</v>
      </c>
      <c r="H482" t="s">
        <v>231</v>
      </c>
      <c r="I482" t="s">
        <v>35</v>
      </c>
      <c r="J482" s="7" t="str">
        <f t="shared" si="36"/>
        <v>High</v>
      </c>
      <c r="K482" s="4">
        <v>2738.69</v>
      </c>
      <c r="L482" s="4">
        <v>2738.69</v>
      </c>
      <c r="M482" s="4">
        <v>7.5999999999999998E-2</v>
      </c>
      <c r="N482" s="4">
        <v>16</v>
      </c>
      <c r="O482" s="4">
        <f t="shared" si="37"/>
        <v>24019.121280000003</v>
      </c>
    </row>
    <row r="483" spans="1:15" x14ac:dyDescent="0.3">
      <c r="A483" s="11">
        <v>45843</v>
      </c>
      <c r="B483" s="4" t="str">
        <f>TEXT(Data!B483,"MMM-YYYY")</f>
        <v>Aug-2025</v>
      </c>
      <c r="C483" s="4" t="str">
        <f t="shared" si="38"/>
        <v>Jul-2025</v>
      </c>
      <c r="D483" s="12">
        <f t="shared" si="39"/>
        <v>45843</v>
      </c>
      <c r="E483" s="4" t="str">
        <f t="shared" si="35"/>
        <v>Q3-2025</v>
      </c>
      <c r="F483" t="s">
        <v>45</v>
      </c>
      <c r="G483" t="s">
        <v>46</v>
      </c>
      <c r="H483" t="s">
        <v>214</v>
      </c>
      <c r="I483" t="s">
        <v>30</v>
      </c>
      <c r="J483" s="7" t="str">
        <f t="shared" si="36"/>
        <v>Medium</v>
      </c>
      <c r="K483" s="4">
        <v>94.78</v>
      </c>
      <c r="L483" s="4">
        <v>94.78</v>
      </c>
      <c r="M483" s="4">
        <v>9.0999999999999998E-2</v>
      </c>
      <c r="N483" s="4">
        <v>55</v>
      </c>
      <c r="O483" s="4">
        <f t="shared" si="37"/>
        <v>130292.46945000002</v>
      </c>
    </row>
    <row r="484" spans="1:15" x14ac:dyDescent="0.3">
      <c r="A484" s="11">
        <v>45844</v>
      </c>
      <c r="B484" s="4" t="str">
        <f>TEXT(Data!B484,"MMM-YYYY")</f>
        <v>Apr-2025</v>
      </c>
      <c r="C484" s="4" t="str">
        <f t="shared" si="38"/>
        <v>Jul-2025</v>
      </c>
      <c r="D484" s="12">
        <f t="shared" si="39"/>
        <v>45844</v>
      </c>
      <c r="E484" s="4" t="str">
        <f t="shared" si="35"/>
        <v>Q3-2025</v>
      </c>
      <c r="F484" t="s">
        <v>78</v>
      </c>
      <c r="G484" t="s">
        <v>90</v>
      </c>
      <c r="H484" t="s">
        <v>91</v>
      </c>
      <c r="I484" t="s">
        <v>57</v>
      </c>
      <c r="J484" s="7" t="str">
        <f t="shared" si="36"/>
        <v>High</v>
      </c>
      <c r="K484" s="4">
        <v>2777.35</v>
      </c>
      <c r="L484" s="4">
        <v>2777.35</v>
      </c>
      <c r="M484" s="4">
        <v>0.13200000000000001</v>
      </c>
      <c r="N484" s="4">
        <v>15</v>
      </c>
      <c r="O484" s="4">
        <f t="shared" si="37"/>
        <v>5660.0544</v>
      </c>
    </row>
    <row r="485" spans="1:15" x14ac:dyDescent="0.3">
      <c r="A485" s="11">
        <v>45845</v>
      </c>
      <c r="B485" s="4" t="str">
        <f>TEXT(Data!B485,"MMM-YYYY")</f>
        <v>Aug-2023</v>
      </c>
      <c r="C485" s="4" t="str">
        <f t="shared" si="38"/>
        <v>Jul-2025</v>
      </c>
      <c r="D485" s="12">
        <f t="shared" si="39"/>
        <v>45845</v>
      </c>
      <c r="E485" s="4" t="str">
        <f t="shared" si="35"/>
        <v>Q3-2025</v>
      </c>
      <c r="F485" t="s">
        <v>78</v>
      </c>
      <c r="G485" t="s">
        <v>79</v>
      </c>
      <c r="H485" t="s">
        <v>80</v>
      </c>
      <c r="I485" t="s">
        <v>42</v>
      </c>
      <c r="J485" s="7" t="str">
        <f t="shared" si="36"/>
        <v>High</v>
      </c>
      <c r="K485" s="4">
        <v>492.18</v>
      </c>
      <c r="L485" s="4">
        <v>492.18</v>
      </c>
      <c r="M485" s="4">
        <v>5.2999999999999999E-2</v>
      </c>
      <c r="N485" s="4">
        <v>11</v>
      </c>
      <c r="O485" s="4">
        <f t="shared" si="37"/>
        <v>19379.89097</v>
      </c>
    </row>
    <row r="486" spans="1:15" x14ac:dyDescent="0.3">
      <c r="A486" s="11">
        <v>45846</v>
      </c>
      <c r="B486" s="4" t="str">
        <f>TEXT(Data!B486,"MMM-YYYY")</f>
        <v>Dec-2024</v>
      </c>
      <c r="C486" s="4" t="str">
        <f t="shared" si="38"/>
        <v>Jul-2025</v>
      </c>
      <c r="D486" s="12">
        <f t="shared" si="39"/>
        <v>45846</v>
      </c>
      <c r="E486" s="4" t="str">
        <f t="shared" si="35"/>
        <v>Q3-2025</v>
      </c>
      <c r="F486" t="s">
        <v>52</v>
      </c>
      <c r="G486" t="s">
        <v>73</v>
      </c>
      <c r="H486" t="s">
        <v>74</v>
      </c>
      <c r="I486" t="s">
        <v>35</v>
      </c>
      <c r="J486" s="7" t="str">
        <f t="shared" si="36"/>
        <v>High</v>
      </c>
      <c r="K486" s="4">
        <v>1921.65</v>
      </c>
      <c r="L486" s="4">
        <v>1921.65</v>
      </c>
      <c r="M486" s="4">
        <v>0.123</v>
      </c>
      <c r="N486" s="4">
        <v>13</v>
      </c>
      <c r="O486" s="4">
        <f t="shared" si="37"/>
        <v>9504.8996900000002</v>
      </c>
    </row>
    <row r="487" spans="1:15" x14ac:dyDescent="0.3">
      <c r="A487" s="11">
        <v>45847</v>
      </c>
      <c r="B487" s="4" t="str">
        <f>TEXT(Data!B487,"MMM-YYYY")</f>
        <v>Oct-2023</v>
      </c>
      <c r="C487" s="4" t="str">
        <f t="shared" si="38"/>
        <v>Jul-2025</v>
      </c>
      <c r="D487" s="12">
        <f t="shared" si="39"/>
        <v>45847</v>
      </c>
      <c r="E487" s="4" t="str">
        <f t="shared" si="35"/>
        <v>Q3-2025</v>
      </c>
      <c r="F487" t="s">
        <v>78</v>
      </c>
      <c r="G487" t="s">
        <v>90</v>
      </c>
      <c r="H487" t="s">
        <v>138</v>
      </c>
      <c r="I487" t="s">
        <v>22</v>
      </c>
      <c r="J487" s="7" t="str">
        <f t="shared" si="36"/>
        <v>High</v>
      </c>
      <c r="K487" s="4">
        <v>290.33</v>
      </c>
      <c r="L487" s="4">
        <v>290.33</v>
      </c>
      <c r="M487" s="4">
        <v>9.1999999999999998E-2</v>
      </c>
      <c r="N487" s="4">
        <v>23</v>
      </c>
      <c r="O487" s="4">
        <f t="shared" si="37"/>
        <v>6964.3963200000007</v>
      </c>
    </row>
    <row r="488" spans="1:15" x14ac:dyDescent="0.3">
      <c r="A488" s="11">
        <v>45848</v>
      </c>
      <c r="B488" s="4" t="str">
        <f>TEXT(Data!B488,"MMM-YYYY")</f>
        <v>Nov-2024</v>
      </c>
      <c r="C488" s="4" t="str">
        <f t="shared" si="38"/>
        <v>Jul-2025</v>
      </c>
      <c r="D488" s="12">
        <f t="shared" si="39"/>
        <v>45848</v>
      </c>
      <c r="E488" s="4" t="str">
        <f t="shared" si="35"/>
        <v>Q3-2025</v>
      </c>
      <c r="F488" t="s">
        <v>78</v>
      </c>
      <c r="G488" t="s">
        <v>90</v>
      </c>
      <c r="H488" t="s">
        <v>217</v>
      </c>
      <c r="I488" t="s">
        <v>42</v>
      </c>
      <c r="J488" s="7" t="str">
        <f t="shared" si="36"/>
        <v>High</v>
      </c>
      <c r="K488" s="4">
        <v>602.91999999999996</v>
      </c>
      <c r="L488" s="4">
        <v>602.91999999999996</v>
      </c>
      <c r="M488" s="4">
        <v>0.222</v>
      </c>
      <c r="N488" s="4">
        <v>11</v>
      </c>
      <c r="O488" s="4">
        <f t="shared" si="37"/>
        <v>15273.462600000001</v>
      </c>
    </row>
    <row r="489" spans="1:15" x14ac:dyDescent="0.3">
      <c r="A489" s="11">
        <v>45849</v>
      </c>
      <c r="B489" s="4" t="str">
        <f>TEXT(Data!B489,"MMM-YYYY")</f>
        <v>May-2024</v>
      </c>
      <c r="C489" s="4" t="str">
        <f t="shared" si="38"/>
        <v>Jul-2025</v>
      </c>
      <c r="D489" s="12">
        <f t="shared" si="39"/>
        <v>45849</v>
      </c>
      <c r="E489" s="4" t="str">
        <f t="shared" si="35"/>
        <v>Q3-2025</v>
      </c>
      <c r="F489" t="s">
        <v>52</v>
      </c>
      <c r="G489" t="s">
        <v>53</v>
      </c>
      <c r="H489" t="s">
        <v>1364</v>
      </c>
      <c r="I489" t="s">
        <v>30</v>
      </c>
      <c r="J489" s="7" t="str">
        <f t="shared" si="36"/>
        <v>High</v>
      </c>
      <c r="K489" s="4">
        <v>2077.5</v>
      </c>
      <c r="L489" s="4">
        <v>2077.5</v>
      </c>
      <c r="M489" s="4">
        <v>7.3999999999999996E-2</v>
      </c>
      <c r="N489" s="4">
        <v>15</v>
      </c>
      <c r="O489" s="4">
        <f t="shared" si="37"/>
        <v>14894.108099999999</v>
      </c>
    </row>
    <row r="490" spans="1:15" x14ac:dyDescent="0.3">
      <c r="A490" s="11">
        <v>45850</v>
      </c>
      <c r="B490" s="4" t="str">
        <f>TEXT(Data!B490,"MMM-YYYY")</f>
        <v>May-2025</v>
      </c>
      <c r="C490" s="4" t="str">
        <f t="shared" si="38"/>
        <v>Jul-2025</v>
      </c>
      <c r="D490" s="12">
        <f t="shared" si="39"/>
        <v>45850</v>
      </c>
      <c r="E490" s="4" t="str">
        <f t="shared" si="35"/>
        <v>Q3-2025</v>
      </c>
      <c r="F490" t="s">
        <v>78</v>
      </c>
      <c r="G490" t="s">
        <v>108</v>
      </c>
      <c r="H490" t="s">
        <v>228</v>
      </c>
      <c r="I490" t="s">
        <v>30</v>
      </c>
      <c r="J490" s="7" t="str">
        <f t="shared" si="36"/>
        <v>Medium</v>
      </c>
      <c r="K490" s="4">
        <v>172.88</v>
      </c>
      <c r="L490" s="4">
        <v>172.88</v>
      </c>
      <c r="M490" s="4">
        <v>0.19700000000000001</v>
      </c>
      <c r="N490" s="4">
        <v>29</v>
      </c>
      <c r="O490" s="4">
        <f t="shared" si="37"/>
        <v>70514.200349999999</v>
      </c>
    </row>
    <row r="491" spans="1:15" x14ac:dyDescent="0.3">
      <c r="A491" s="11">
        <v>45851</v>
      </c>
      <c r="B491" s="4" t="str">
        <f>TEXT(Data!B491,"MMM-YYYY")</f>
        <v>Apr-2024</v>
      </c>
      <c r="C491" s="4" t="str">
        <f t="shared" si="38"/>
        <v>Jul-2025</v>
      </c>
      <c r="D491" s="12">
        <f t="shared" si="39"/>
        <v>45851</v>
      </c>
      <c r="E491" s="4" t="str">
        <f t="shared" si="35"/>
        <v>Q3-2025</v>
      </c>
      <c r="F491" t="s">
        <v>45</v>
      </c>
      <c r="G491" t="s">
        <v>46</v>
      </c>
      <c r="H491" t="s">
        <v>47</v>
      </c>
      <c r="I491" t="s">
        <v>42</v>
      </c>
      <c r="J491" s="7" t="str">
        <f t="shared" si="36"/>
        <v>High</v>
      </c>
      <c r="K491" s="4">
        <v>2778.74</v>
      </c>
      <c r="L491" s="4">
        <v>2778.74</v>
      </c>
      <c r="M491" s="4">
        <v>0.13500000000000001</v>
      </c>
      <c r="N491" s="4">
        <v>4</v>
      </c>
      <c r="O491" s="4">
        <f t="shared" si="37"/>
        <v>3415.8503999999998</v>
      </c>
    </row>
    <row r="492" spans="1:15" x14ac:dyDescent="0.3">
      <c r="A492" s="11">
        <v>45852</v>
      </c>
      <c r="B492" s="4" t="str">
        <f>TEXT(Data!B492,"MMM-YYYY")</f>
        <v>Aug-2024</v>
      </c>
      <c r="C492" s="4" t="str">
        <f t="shared" si="38"/>
        <v>Jul-2025</v>
      </c>
      <c r="D492" s="12">
        <f t="shared" si="39"/>
        <v>45852</v>
      </c>
      <c r="E492" s="4" t="str">
        <f t="shared" si="35"/>
        <v>Q3-2025</v>
      </c>
      <c r="F492" t="s">
        <v>16</v>
      </c>
      <c r="G492" t="s">
        <v>25</v>
      </c>
      <c r="H492" t="s">
        <v>38</v>
      </c>
      <c r="I492" t="s">
        <v>81</v>
      </c>
      <c r="J492" s="7" t="str">
        <f t="shared" si="36"/>
        <v>High</v>
      </c>
      <c r="K492" s="4">
        <v>309.47000000000003</v>
      </c>
      <c r="L492" s="4">
        <v>309.47000000000003</v>
      </c>
      <c r="M492" s="4">
        <v>0</v>
      </c>
      <c r="N492" s="4">
        <v>5</v>
      </c>
      <c r="O492" s="4">
        <f t="shared" si="37"/>
        <v>4877.1499999999996</v>
      </c>
    </row>
    <row r="493" spans="1:15" x14ac:dyDescent="0.3">
      <c r="A493" s="11">
        <v>45853</v>
      </c>
      <c r="B493" s="4" t="str">
        <f>TEXT(Data!B493,"MMM-YYYY")</f>
        <v>Jul-2025</v>
      </c>
      <c r="C493" s="4" t="str">
        <f t="shared" si="38"/>
        <v>Jul-2025</v>
      </c>
      <c r="D493" s="12">
        <f t="shared" si="39"/>
        <v>45853</v>
      </c>
      <c r="E493" s="4" t="str">
        <f t="shared" si="35"/>
        <v>Q3-2025</v>
      </c>
      <c r="F493" t="s">
        <v>78</v>
      </c>
      <c r="G493" t="s">
        <v>90</v>
      </c>
      <c r="H493" t="s">
        <v>138</v>
      </c>
      <c r="I493" t="s">
        <v>22</v>
      </c>
      <c r="J493" s="7" t="str">
        <f t="shared" si="36"/>
        <v>High</v>
      </c>
      <c r="K493" s="4">
        <v>666.41</v>
      </c>
      <c r="L493" s="4">
        <v>666.41</v>
      </c>
      <c r="M493" s="4">
        <v>0</v>
      </c>
      <c r="N493" s="4">
        <v>10</v>
      </c>
      <c r="O493" s="4">
        <f t="shared" si="37"/>
        <v>1414.3000000000002</v>
      </c>
    </row>
    <row r="494" spans="1:15" x14ac:dyDescent="0.3">
      <c r="A494" s="11">
        <v>45854</v>
      </c>
      <c r="B494" s="4" t="str">
        <f>TEXT(Data!B494,"MMM-YYYY")</f>
        <v>Mar-2024</v>
      </c>
      <c r="C494" s="4" t="str">
        <f t="shared" si="38"/>
        <v>Jul-2025</v>
      </c>
      <c r="D494" s="12">
        <f t="shared" si="39"/>
        <v>45854</v>
      </c>
      <c r="E494" s="4" t="str">
        <f t="shared" si="35"/>
        <v>Q3-2025</v>
      </c>
      <c r="F494" t="s">
        <v>45</v>
      </c>
      <c r="G494" t="s">
        <v>46</v>
      </c>
      <c r="H494" t="s">
        <v>231</v>
      </c>
      <c r="I494" t="s">
        <v>81</v>
      </c>
      <c r="J494" s="7" t="str">
        <f t="shared" si="36"/>
        <v>High</v>
      </c>
      <c r="K494" s="4">
        <v>744.27</v>
      </c>
      <c r="L494" s="4">
        <v>744.27</v>
      </c>
      <c r="M494" s="4">
        <v>8.3000000000000004E-2</v>
      </c>
      <c r="N494" s="4">
        <v>11</v>
      </c>
      <c r="O494" s="4">
        <f t="shared" si="37"/>
        <v>16395.611540000002</v>
      </c>
    </row>
    <row r="495" spans="1:15" x14ac:dyDescent="0.3">
      <c r="A495" s="11">
        <v>45855</v>
      </c>
      <c r="B495" s="4" t="str">
        <f>TEXT(Data!B495,"MMM-YYYY")</f>
        <v>May-2024</v>
      </c>
      <c r="C495" s="4" t="str">
        <f t="shared" si="38"/>
        <v>Jul-2025</v>
      </c>
      <c r="D495" s="12">
        <f t="shared" si="39"/>
        <v>45855</v>
      </c>
      <c r="E495" s="4" t="str">
        <f t="shared" si="35"/>
        <v>Q3-2025</v>
      </c>
      <c r="F495" t="s">
        <v>52</v>
      </c>
      <c r="G495" t="s">
        <v>73</v>
      </c>
      <c r="H495" t="s">
        <v>74</v>
      </c>
      <c r="I495" t="s">
        <v>42</v>
      </c>
      <c r="J495" s="7" t="str">
        <f t="shared" si="36"/>
        <v>Low</v>
      </c>
      <c r="K495" s="4">
        <v>12.69</v>
      </c>
      <c r="L495" s="4">
        <v>12.69</v>
      </c>
      <c r="M495" s="4">
        <v>0.13200000000000001</v>
      </c>
      <c r="N495" s="4">
        <v>10</v>
      </c>
      <c r="O495" s="4">
        <f t="shared" si="37"/>
        <v>2603.4792000000002</v>
      </c>
    </row>
    <row r="496" spans="1:15" x14ac:dyDescent="0.3">
      <c r="A496" s="11">
        <v>45856</v>
      </c>
      <c r="B496" s="4" t="str">
        <f>TEXT(Data!B496,"MMM-YYYY")</f>
        <v>Aug-2024</v>
      </c>
      <c r="C496" s="4" t="str">
        <f t="shared" si="38"/>
        <v>Jul-2025</v>
      </c>
      <c r="D496" s="12">
        <f t="shared" si="39"/>
        <v>45856</v>
      </c>
      <c r="E496" s="4" t="str">
        <f t="shared" si="35"/>
        <v>Q3-2025</v>
      </c>
      <c r="F496" t="s">
        <v>45</v>
      </c>
      <c r="G496" t="s">
        <v>60</v>
      </c>
      <c r="H496" t="s">
        <v>141</v>
      </c>
      <c r="I496" t="s">
        <v>81</v>
      </c>
      <c r="J496" s="7" t="str">
        <f t="shared" si="36"/>
        <v>High</v>
      </c>
      <c r="K496" s="4">
        <v>651.55999999999995</v>
      </c>
      <c r="L496" s="4">
        <v>651.55999999999995</v>
      </c>
      <c r="M496" s="4">
        <v>4.2000000000000003E-2</v>
      </c>
      <c r="N496" s="4">
        <v>19</v>
      </c>
      <c r="O496" s="4">
        <f t="shared" si="37"/>
        <v>27375.07992</v>
      </c>
    </row>
    <row r="497" spans="1:15" x14ac:dyDescent="0.3">
      <c r="A497" s="11">
        <v>45857</v>
      </c>
      <c r="B497" s="4" t="str">
        <f>TEXT(Data!B497,"MMM-YYYY")</f>
        <v>Jun-2023</v>
      </c>
      <c r="C497" s="4" t="str">
        <f t="shared" si="38"/>
        <v>Jul-2025</v>
      </c>
      <c r="D497" s="12">
        <f t="shared" si="39"/>
        <v>45857</v>
      </c>
      <c r="E497" s="4" t="str">
        <f t="shared" si="35"/>
        <v>Q3-2025</v>
      </c>
      <c r="F497" t="s">
        <v>52</v>
      </c>
      <c r="G497" t="s">
        <v>122</v>
      </c>
      <c r="H497" t="s">
        <v>326</v>
      </c>
      <c r="I497" t="s">
        <v>64</v>
      </c>
      <c r="J497" s="7" t="str">
        <f t="shared" si="36"/>
        <v>High</v>
      </c>
      <c r="K497" s="4">
        <v>754.22</v>
      </c>
      <c r="L497" s="4">
        <v>754.22</v>
      </c>
      <c r="M497" s="4">
        <v>0.113</v>
      </c>
      <c r="N497" s="4">
        <v>7</v>
      </c>
      <c r="O497" s="4">
        <f t="shared" si="37"/>
        <v>19254.791990000002</v>
      </c>
    </row>
    <row r="498" spans="1:15" x14ac:dyDescent="0.3">
      <c r="A498" s="11">
        <v>45858</v>
      </c>
      <c r="B498" s="4" t="str">
        <f>TEXT(Data!B498,"MMM-YYYY")</f>
        <v>Sep-2024</v>
      </c>
      <c r="C498" s="4" t="str">
        <f t="shared" si="38"/>
        <v>Jul-2025</v>
      </c>
      <c r="D498" s="12">
        <f t="shared" si="39"/>
        <v>45858</v>
      </c>
      <c r="E498" s="4" t="str">
        <f t="shared" si="35"/>
        <v>Q3-2025</v>
      </c>
      <c r="F498" t="s">
        <v>52</v>
      </c>
      <c r="G498" t="s">
        <v>73</v>
      </c>
      <c r="H498" t="s">
        <v>87</v>
      </c>
      <c r="I498" t="s">
        <v>35</v>
      </c>
      <c r="J498" s="7" t="str">
        <f t="shared" si="36"/>
        <v>High</v>
      </c>
      <c r="K498" s="4">
        <v>2981.01</v>
      </c>
      <c r="L498" s="4">
        <v>2981.01</v>
      </c>
      <c r="M498" s="4">
        <v>0.14199999999999999</v>
      </c>
      <c r="N498" s="4">
        <v>12</v>
      </c>
      <c r="O498" s="4">
        <f t="shared" si="37"/>
        <v>10084.108319999999</v>
      </c>
    </row>
    <row r="499" spans="1:15" x14ac:dyDescent="0.3">
      <c r="A499" s="11">
        <v>45859</v>
      </c>
      <c r="B499" s="4" t="str">
        <f>TEXT(Data!B499,"MMM-YYYY")</f>
        <v>Oct-2023</v>
      </c>
      <c r="C499" s="4" t="str">
        <f t="shared" si="38"/>
        <v>Jul-2025</v>
      </c>
      <c r="D499" s="12">
        <f t="shared" si="39"/>
        <v>45859</v>
      </c>
      <c r="E499" s="4" t="str">
        <f t="shared" si="35"/>
        <v>Q3-2025</v>
      </c>
      <c r="F499" t="s">
        <v>78</v>
      </c>
      <c r="G499" t="s">
        <v>108</v>
      </c>
      <c r="H499" t="s">
        <v>152</v>
      </c>
      <c r="I499" t="s">
        <v>35</v>
      </c>
      <c r="J499" s="7" t="str">
        <f t="shared" si="36"/>
        <v>High</v>
      </c>
      <c r="K499" s="4">
        <v>976.17</v>
      </c>
      <c r="L499" s="4">
        <v>976.17</v>
      </c>
      <c r="M499" s="4">
        <v>4.2000000000000003E-2</v>
      </c>
      <c r="N499" s="4">
        <v>27</v>
      </c>
      <c r="O499" s="4">
        <f t="shared" si="37"/>
        <v>30683.801159999999</v>
      </c>
    </row>
    <row r="500" spans="1:15" x14ac:dyDescent="0.3">
      <c r="A500" s="11">
        <v>45860</v>
      </c>
      <c r="B500" s="4" t="str">
        <f>TEXT(Data!B500,"MMM-YYYY")</f>
        <v>Sep-2025</v>
      </c>
      <c r="C500" s="4" t="str">
        <f t="shared" si="38"/>
        <v>Jul-2025</v>
      </c>
      <c r="D500" s="12">
        <f t="shared" si="39"/>
        <v>45860</v>
      </c>
      <c r="E500" s="4" t="str">
        <f t="shared" si="35"/>
        <v>Q3-2025</v>
      </c>
      <c r="F500" t="s">
        <v>52</v>
      </c>
      <c r="G500" t="s">
        <v>73</v>
      </c>
      <c r="H500" t="s">
        <v>87</v>
      </c>
      <c r="I500" t="s">
        <v>81</v>
      </c>
      <c r="J500" s="7" t="str">
        <f t="shared" si="36"/>
        <v>High</v>
      </c>
      <c r="K500" s="4">
        <v>1145.9000000000001</v>
      </c>
      <c r="L500" s="4">
        <v>1145.9000000000001</v>
      </c>
      <c r="M500" s="4">
        <v>5.7000000000000002E-2</v>
      </c>
      <c r="N500" s="4">
        <v>8</v>
      </c>
      <c r="O500" s="4">
        <f t="shared" si="37"/>
        <v>14622.761519999998</v>
      </c>
    </row>
    <row r="501" spans="1:15" x14ac:dyDescent="0.3">
      <c r="A501" s="11">
        <v>45861</v>
      </c>
      <c r="B501" s="4" t="str">
        <f>TEXT(Data!B501,"MMM-YYYY")</f>
        <v>May-2023</v>
      </c>
      <c r="C501" s="4" t="str">
        <f t="shared" si="38"/>
        <v>Jul-2025</v>
      </c>
      <c r="D501" s="12">
        <f t="shared" si="39"/>
        <v>45861</v>
      </c>
      <c r="E501" s="4" t="str">
        <f t="shared" si="35"/>
        <v>Q3-2025</v>
      </c>
      <c r="F501" t="s">
        <v>52</v>
      </c>
      <c r="G501" t="s">
        <v>73</v>
      </c>
      <c r="H501" t="s">
        <v>225</v>
      </c>
      <c r="I501" t="s">
        <v>64</v>
      </c>
      <c r="J501" s="7" t="str">
        <f t="shared" si="36"/>
        <v>High</v>
      </c>
      <c r="K501" s="4">
        <v>1630.39</v>
      </c>
      <c r="L501" s="4">
        <v>1630.39</v>
      </c>
      <c r="M501" s="4">
        <v>0.218</v>
      </c>
      <c r="N501" s="4">
        <v>13</v>
      </c>
      <c r="O501" s="4">
        <f t="shared" si="37"/>
        <v>8401.8940200000015</v>
      </c>
    </row>
    <row r="502" spans="1:15" x14ac:dyDescent="0.3">
      <c r="A502" s="11">
        <v>45862</v>
      </c>
      <c r="B502" s="4" t="str">
        <f>TEXT(Data!B502,"MMM-YYYY")</f>
        <v>Apr-2024</v>
      </c>
      <c r="C502" s="4" t="str">
        <f t="shared" si="38"/>
        <v>Jul-2025</v>
      </c>
      <c r="D502" s="12">
        <f t="shared" si="39"/>
        <v>45862</v>
      </c>
      <c r="E502" s="4" t="str">
        <f t="shared" si="35"/>
        <v>Q3-2025</v>
      </c>
      <c r="F502" t="s">
        <v>45</v>
      </c>
      <c r="G502" t="s">
        <v>60</v>
      </c>
      <c r="H502" t="s">
        <v>61</v>
      </c>
      <c r="I502" t="s">
        <v>64</v>
      </c>
      <c r="J502" s="7" t="str">
        <f t="shared" si="36"/>
        <v>High</v>
      </c>
      <c r="K502" s="4">
        <v>963.73</v>
      </c>
      <c r="L502" s="4">
        <v>963.73</v>
      </c>
      <c r="M502" s="4">
        <v>4.1000000000000002E-2</v>
      </c>
      <c r="N502" s="4">
        <v>22</v>
      </c>
      <c r="O502" s="4">
        <f t="shared" si="37"/>
        <v>2493.1506600000002</v>
      </c>
    </row>
    <row r="503" spans="1:15" x14ac:dyDescent="0.3">
      <c r="A503" s="11">
        <v>45863</v>
      </c>
      <c r="B503" s="4" t="str">
        <f>TEXT(Data!B503,"MMM-YYYY")</f>
        <v>Feb-2023</v>
      </c>
      <c r="C503" s="4" t="str">
        <f t="shared" si="38"/>
        <v>Jul-2025</v>
      </c>
      <c r="D503" s="12">
        <f t="shared" si="39"/>
        <v>45863</v>
      </c>
      <c r="E503" s="4" t="str">
        <f t="shared" si="35"/>
        <v>Q3-2025</v>
      </c>
      <c r="F503" t="s">
        <v>78</v>
      </c>
      <c r="G503" t="s">
        <v>108</v>
      </c>
      <c r="H503" t="s">
        <v>152</v>
      </c>
      <c r="I503" t="s">
        <v>42</v>
      </c>
      <c r="J503" s="7" t="str">
        <f t="shared" si="36"/>
        <v>High</v>
      </c>
      <c r="K503" s="4">
        <v>891.73</v>
      </c>
      <c r="L503" s="4">
        <v>891.73</v>
      </c>
      <c r="M503" s="4">
        <v>0.16700000000000001</v>
      </c>
      <c r="N503" s="4">
        <v>10</v>
      </c>
      <c r="O503" s="4">
        <f t="shared" si="37"/>
        <v>11877.497099999999</v>
      </c>
    </row>
    <row r="504" spans="1:15" x14ac:dyDescent="0.3">
      <c r="A504" s="11">
        <v>45864</v>
      </c>
      <c r="B504" s="4" t="str">
        <f>TEXT(Data!B504,"MMM-YYYY")</f>
        <v>Mar-2025</v>
      </c>
      <c r="C504" s="4" t="str">
        <f t="shared" si="38"/>
        <v>Jul-2025</v>
      </c>
      <c r="D504" s="12">
        <f t="shared" si="39"/>
        <v>45864</v>
      </c>
      <c r="E504" s="4" t="str">
        <f t="shared" si="35"/>
        <v>Q3-2025</v>
      </c>
      <c r="F504" t="s">
        <v>45</v>
      </c>
      <c r="G504" t="s">
        <v>116</v>
      </c>
      <c r="H504" t="s">
        <v>338</v>
      </c>
      <c r="I504" t="s">
        <v>30</v>
      </c>
      <c r="J504" s="7" t="str">
        <f t="shared" si="36"/>
        <v>High</v>
      </c>
      <c r="K504" s="4">
        <v>1667.82</v>
      </c>
      <c r="L504" s="4">
        <v>1667.82</v>
      </c>
      <c r="M504" s="4">
        <v>6.9000000000000006E-2</v>
      </c>
      <c r="N504" s="4">
        <v>7</v>
      </c>
      <c r="O504" s="4">
        <f t="shared" si="37"/>
        <v>10393.181259999999</v>
      </c>
    </row>
    <row r="505" spans="1:15" x14ac:dyDescent="0.3">
      <c r="A505" s="11">
        <v>45865</v>
      </c>
      <c r="B505" s="4" t="str">
        <f>TEXT(Data!B505,"MMM-YYYY")</f>
        <v>Mar-2025</v>
      </c>
      <c r="C505" s="4" t="str">
        <f t="shared" si="38"/>
        <v>Jul-2025</v>
      </c>
      <c r="D505" s="12">
        <f t="shared" si="39"/>
        <v>45865</v>
      </c>
      <c r="E505" s="4" t="str">
        <f t="shared" si="35"/>
        <v>Q3-2025</v>
      </c>
      <c r="F505" t="s">
        <v>45</v>
      </c>
      <c r="G505" t="s">
        <v>116</v>
      </c>
      <c r="H505" t="s">
        <v>338</v>
      </c>
      <c r="I505" t="s">
        <v>35</v>
      </c>
      <c r="J505" s="7" t="str">
        <f t="shared" si="36"/>
        <v>High</v>
      </c>
      <c r="K505" s="4">
        <v>1921.51</v>
      </c>
      <c r="L505" s="4">
        <v>1921.51</v>
      </c>
      <c r="M505" s="4">
        <v>0.10100000000000001</v>
      </c>
      <c r="N505" s="4">
        <v>5</v>
      </c>
      <c r="O505" s="4">
        <f t="shared" si="37"/>
        <v>15022.784449999999</v>
      </c>
    </row>
    <row r="506" spans="1:15" x14ac:dyDescent="0.3">
      <c r="A506" s="11">
        <v>45866</v>
      </c>
      <c r="B506" s="4" t="str">
        <f>TEXT(Data!B506,"MMM-YYYY")</f>
        <v>Apr-2024</v>
      </c>
      <c r="C506" s="4" t="str">
        <f t="shared" si="38"/>
        <v>Jul-2025</v>
      </c>
      <c r="D506" s="12">
        <f t="shared" si="39"/>
        <v>45866</v>
      </c>
      <c r="E506" s="4" t="str">
        <f t="shared" si="35"/>
        <v>Q3-2025</v>
      </c>
      <c r="F506" t="s">
        <v>52</v>
      </c>
      <c r="G506" t="s">
        <v>73</v>
      </c>
      <c r="H506" t="s">
        <v>225</v>
      </c>
      <c r="I506" t="s">
        <v>35</v>
      </c>
      <c r="J506" s="7" t="str">
        <f t="shared" si="36"/>
        <v>High</v>
      </c>
      <c r="K506" s="4">
        <v>1217.43</v>
      </c>
      <c r="L506" s="4">
        <v>1217.43</v>
      </c>
      <c r="M506" s="4">
        <v>7.0000000000000007E-2</v>
      </c>
      <c r="N506" s="4">
        <v>9</v>
      </c>
      <c r="O506" s="4">
        <f t="shared" si="37"/>
        <v>8953.9748999999993</v>
      </c>
    </row>
    <row r="507" spans="1:15" x14ac:dyDescent="0.3">
      <c r="A507" s="11">
        <v>45867</v>
      </c>
      <c r="B507" s="4" t="str">
        <f>TEXT(Data!B507,"MMM-YYYY")</f>
        <v>Apr-2025</v>
      </c>
      <c r="C507" s="4" t="str">
        <f t="shared" si="38"/>
        <v>Jul-2025</v>
      </c>
      <c r="D507" s="12">
        <f t="shared" si="39"/>
        <v>45867</v>
      </c>
      <c r="E507" s="4" t="str">
        <f t="shared" si="35"/>
        <v>Q3-2025</v>
      </c>
      <c r="F507" t="s">
        <v>16</v>
      </c>
      <c r="G507" t="s">
        <v>25</v>
      </c>
      <c r="H507" t="s">
        <v>38</v>
      </c>
      <c r="I507" t="s">
        <v>22</v>
      </c>
      <c r="J507" s="7" t="str">
        <f t="shared" si="36"/>
        <v>High</v>
      </c>
      <c r="K507" s="4">
        <v>970.27</v>
      </c>
      <c r="L507" s="4">
        <v>970.27</v>
      </c>
      <c r="M507" s="4">
        <v>0.123</v>
      </c>
      <c r="N507" s="4">
        <v>38</v>
      </c>
      <c r="O507" s="4">
        <f t="shared" si="37"/>
        <v>4692.9673199999997</v>
      </c>
    </row>
    <row r="508" spans="1:15" x14ac:dyDescent="0.3">
      <c r="A508" s="11">
        <v>45868</v>
      </c>
      <c r="B508" s="4" t="str">
        <f>TEXT(Data!B508,"MMM-YYYY")</f>
        <v>Oct-2024</v>
      </c>
      <c r="C508" s="4" t="str">
        <f t="shared" si="38"/>
        <v>Jul-2025</v>
      </c>
      <c r="D508" s="12">
        <f t="shared" si="39"/>
        <v>45868</v>
      </c>
      <c r="E508" s="4" t="str">
        <f t="shared" si="35"/>
        <v>Q3-2025</v>
      </c>
      <c r="F508" t="s">
        <v>52</v>
      </c>
      <c r="G508" t="s">
        <v>122</v>
      </c>
      <c r="H508" t="s">
        <v>326</v>
      </c>
      <c r="I508" t="s">
        <v>42</v>
      </c>
      <c r="J508" s="7" t="str">
        <f t="shared" si="36"/>
        <v>High</v>
      </c>
      <c r="K508" s="4">
        <v>1624.67</v>
      </c>
      <c r="L508" s="4">
        <v>1624.67</v>
      </c>
      <c r="M508" s="4">
        <v>0.23499999999999999</v>
      </c>
      <c r="N508" s="4">
        <v>28</v>
      </c>
      <c r="O508" s="4">
        <f t="shared" si="37"/>
        <v>1435.9968000000001</v>
      </c>
    </row>
    <row r="509" spans="1:15" x14ac:dyDescent="0.3">
      <c r="A509" s="11">
        <v>45869</v>
      </c>
      <c r="B509" s="4" t="str">
        <f>TEXT(Data!B509,"MMM-YYYY")</f>
        <v>Apr-2023</v>
      </c>
      <c r="C509" s="4" t="str">
        <f t="shared" si="38"/>
        <v>Jul-2025</v>
      </c>
      <c r="D509" s="12">
        <f t="shared" si="39"/>
        <v>45869</v>
      </c>
      <c r="E509" s="4" t="str">
        <f t="shared" si="35"/>
        <v>Q3-2025</v>
      </c>
      <c r="F509" t="s">
        <v>45</v>
      </c>
      <c r="G509" t="s">
        <v>116</v>
      </c>
      <c r="H509" t="s">
        <v>162</v>
      </c>
      <c r="I509" t="s">
        <v>35</v>
      </c>
      <c r="J509" s="7" t="str">
        <f t="shared" si="36"/>
        <v>High</v>
      </c>
      <c r="K509" s="4">
        <v>2606.11</v>
      </c>
      <c r="L509" s="4">
        <v>2606.11</v>
      </c>
      <c r="M509" s="4">
        <v>0.02</v>
      </c>
      <c r="N509" s="4">
        <v>6</v>
      </c>
      <c r="O509" s="4">
        <f t="shared" si="37"/>
        <v>7506.8196000000007</v>
      </c>
    </row>
    <row r="510" spans="1:15" x14ac:dyDescent="0.3">
      <c r="A510" s="11">
        <v>45870</v>
      </c>
      <c r="B510" s="4" t="str">
        <f>TEXT(Data!B510,"MMM-YYYY")</f>
        <v>Nov-2024</v>
      </c>
      <c r="C510" s="4" t="str">
        <f t="shared" si="38"/>
        <v>Aug-2025</v>
      </c>
      <c r="D510" s="12">
        <f t="shared" si="39"/>
        <v>45870</v>
      </c>
      <c r="E510" s="4" t="str">
        <f t="shared" si="35"/>
        <v>Q3-2025</v>
      </c>
      <c r="F510" t="s">
        <v>78</v>
      </c>
      <c r="G510" t="s">
        <v>90</v>
      </c>
      <c r="H510" t="s">
        <v>138</v>
      </c>
      <c r="I510" t="s">
        <v>57</v>
      </c>
      <c r="J510" s="7" t="str">
        <f t="shared" si="36"/>
        <v>High</v>
      </c>
      <c r="K510" s="4">
        <v>434.72</v>
      </c>
      <c r="L510" s="4">
        <v>434.72</v>
      </c>
      <c r="M510" s="4">
        <v>9.8000000000000004E-2</v>
      </c>
      <c r="N510" s="4">
        <v>10</v>
      </c>
      <c r="O510" s="4">
        <f t="shared" si="37"/>
        <v>25448.667200000004</v>
      </c>
    </row>
    <row r="511" spans="1:15" x14ac:dyDescent="0.3">
      <c r="A511" s="11">
        <v>45871</v>
      </c>
      <c r="B511" s="4" t="str">
        <f>TEXT(Data!B511,"MMM-YYYY")</f>
        <v>May-2023</v>
      </c>
      <c r="C511" s="4" t="str">
        <f t="shared" si="38"/>
        <v>Aug-2025</v>
      </c>
      <c r="D511" s="12">
        <f t="shared" si="39"/>
        <v>45871</v>
      </c>
      <c r="E511" s="4" t="str">
        <f t="shared" si="35"/>
        <v>Q3-2025</v>
      </c>
      <c r="F511" t="s">
        <v>45</v>
      </c>
      <c r="G511" t="s">
        <v>60</v>
      </c>
      <c r="H511" t="s">
        <v>220</v>
      </c>
      <c r="I511" t="s">
        <v>57</v>
      </c>
      <c r="J511" s="7" t="str">
        <f t="shared" si="36"/>
        <v>High</v>
      </c>
      <c r="K511" s="4">
        <v>1860.41</v>
      </c>
      <c r="L511" s="4">
        <v>1860.41</v>
      </c>
      <c r="M511" s="4">
        <v>0.108</v>
      </c>
      <c r="N511" s="4">
        <v>5</v>
      </c>
      <c r="O511" s="4">
        <f t="shared" si="37"/>
        <v>6953.9874000000009</v>
      </c>
    </row>
    <row r="512" spans="1:15" x14ac:dyDescent="0.3">
      <c r="A512" s="11">
        <v>45872</v>
      </c>
      <c r="B512" s="4" t="str">
        <f>TEXT(Data!B512,"MMM-YYYY")</f>
        <v>Mar-2024</v>
      </c>
      <c r="C512" s="4" t="str">
        <f t="shared" si="38"/>
        <v>Aug-2025</v>
      </c>
      <c r="D512" s="12">
        <f t="shared" si="39"/>
        <v>45872</v>
      </c>
      <c r="E512" s="4" t="str">
        <f t="shared" si="35"/>
        <v>Q3-2025</v>
      </c>
      <c r="F512" t="s">
        <v>45</v>
      </c>
      <c r="G512" t="s">
        <v>60</v>
      </c>
      <c r="H512" t="s">
        <v>141</v>
      </c>
      <c r="I512" t="s">
        <v>64</v>
      </c>
      <c r="J512" s="7" t="str">
        <f t="shared" si="36"/>
        <v>High</v>
      </c>
      <c r="K512" s="4">
        <v>833.69</v>
      </c>
      <c r="L512" s="4">
        <v>833.69</v>
      </c>
      <c r="M512" s="4">
        <v>0.20899999999999999</v>
      </c>
      <c r="N512" s="4">
        <v>14</v>
      </c>
      <c r="O512" s="4">
        <f t="shared" si="37"/>
        <v>7271.8528400000005</v>
      </c>
    </row>
    <row r="513" spans="1:15" x14ac:dyDescent="0.3">
      <c r="A513" s="11">
        <v>45873</v>
      </c>
      <c r="B513" s="4" t="str">
        <f>TEXT(Data!B513,"MMM-YYYY")</f>
        <v>Oct-2024</v>
      </c>
      <c r="C513" s="4" t="str">
        <f t="shared" si="38"/>
        <v>Aug-2025</v>
      </c>
      <c r="D513" s="12">
        <f t="shared" si="39"/>
        <v>45873</v>
      </c>
      <c r="E513" s="4" t="str">
        <f t="shared" si="35"/>
        <v>Q3-2025</v>
      </c>
      <c r="F513" t="s">
        <v>52</v>
      </c>
      <c r="G513" t="s">
        <v>122</v>
      </c>
      <c r="H513" t="s">
        <v>123</v>
      </c>
      <c r="I513" t="s">
        <v>22</v>
      </c>
      <c r="J513" s="7" t="str">
        <f t="shared" si="36"/>
        <v>High</v>
      </c>
      <c r="K513" s="4">
        <v>333.48</v>
      </c>
      <c r="L513" s="4">
        <v>333.48</v>
      </c>
      <c r="M513" s="4">
        <v>0.11899999999999999</v>
      </c>
      <c r="N513" s="4">
        <v>12</v>
      </c>
      <c r="O513" s="4">
        <f t="shared" si="37"/>
        <v>28098.68448</v>
      </c>
    </row>
    <row r="514" spans="1:15" x14ac:dyDescent="0.3">
      <c r="A514" s="11">
        <v>45874</v>
      </c>
      <c r="B514" s="4" t="str">
        <f>TEXT(Data!B514,"MMM-YYYY")</f>
        <v>Jun-2023</v>
      </c>
      <c r="C514" s="4" t="str">
        <f t="shared" si="38"/>
        <v>Aug-2025</v>
      </c>
      <c r="D514" s="12">
        <f t="shared" si="39"/>
        <v>45874</v>
      </c>
      <c r="E514" s="4" t="str">
        <f t="shared" ref="E514:E577" si="40">"Q"&amp;ROUNDUP(MONTH(A514)/3,0)&amp;"-"&amp;YEAR(A514)</f>
        <v>Q3-2025</v>
      </c>
      <c r="F514" t="s">
        <v>78</v>
      </c>
      <c r="G514" t="s">
        <v>108</v>
      </c>
      <c r="H514" t="s">
        <v>228</v>
      </c>
      <c r="I514" t="s">
        <v>22</v>
      </c>
      <c r="J514" s="7" t="str">
        <f t="shared" ref="J514:J577" si="41">IF(K514&lt;50, "Low", IF(K514&lt;200, "Medium", "High"))</f>
        <v>High</v>
      </c>
      <c r="K514" s="4">
        <v>1784.7</v>
      </c>
      <c r="L514" s="4">
        <v>1784.7</v>
      </c>
      <c r="M514" s="4">
        <v>0.14599999999999999</v>
      </c>
      <c r="N514" s="4">
        <v>33</v>
      </c>
      <c r="O514" s="4">
        <f t="shared" ref="O514:O577" si="42">(L540*N514)*(1-M514)</f>
        <v>40152.022679999995</v>
      </c>
    </row>
    <row r="515" spans="1:15" x14ac:dyDescent="0.3">
      <c r="A515" s="11">
        <v>45875</v>
      </c>
      <c r="B515" s="4" t="str">
        <f>TEXT(Data!B515,"MMM-YYYY")</f>
        <v>Jan-2025</v>
      </c>
      <c r="C515" s="4" t="str">
        <f t="shared" ref="C515:C578" si="43">TEXT(D515, "MMM-YYYY")</f>
        <v>Aug-2025</v>
      </c>
      <c r="D515" s="12">
        <f t="shared" ref="D515:D578" si="44">_xlfn.MINIFS(A515:A515, G515:G515,G515)</f>
        <v>45875</v>
      </c>
      <c r="E515" s="4" t="str">
        <f t="shared" si="40"/>
        <v>Q3-2025</v>
      </c>
      <c r="F515" t="s">
        <v>78</v>
      </c>
      <c r="G515" t="s">
        <v>79</v>
      </c>
      <c r="H515" t="s">
        <v>335</v>
      </c>
      <c r="I515" t="s">
        <v>42</v>
      </c>
      <c r="J515" s="7" t="str">
        <f t="shared" si="41"/>
        <v>High</v>
      </c>
      <c r="K515" s="4">
        <v>1072.29</v>
      </c>
      <c r="L515" s="4">
        <v>1072.29</v>
      </c>
      <c r="M515" s="4">
        <v>3.2000000000000001E-2</v>
      </c>
      <c r="N515" s="4">
        <v>5</v>
      </c>
      <c r="O515" s="4">
        <f t="shared" si="42"/>
        <v>11222.701599999999</v>
      </c>
    </row>
    <row r="516" spans="1:15" x14ac:dyDescent="0.3">
      <c r="A516" s="11">
        <v>45876</v>
      </c>
      <c r="B516" s="4" t="str">
        <f>TEXT(Data!B516,"MMM-YYYY")</f>
        <v>Aug-2025</v>
      </c>
      <c r="C516" s="4" t="str">
        <f t="shared" si="43"/>
        <v>Aug-2025</v>
      </c>
      <c r="D516" s="12">
        <f t="shared" si="44"/>
        <v>45876</v>
      </c>
      <c r="E516" s="4" t="str">
        <f t="shared" si="40"/>
        <v>Q3-2025</v>
      </c>
      <c r="F516" t="s">
        <v>45</v>
      </c>
      <c r="G516" t="s">
        <v>60</v>
      </c>
      <c r="H516" t="s">
        <v>141</v>
      </c>
      <c r="I516" t="s">
        <v>22</v>
      </c>
      <c r="J516" s="7" t="str">
        <f t="shared" si="41"/>
        <v>High</v>
      </c>
      <c r="K516" s="4">
        <v>3028.05</v>
      </c>
      <c r="L516" s="4">
        <v>3028.05</v>
      </c>
      <c r="M516" s="4">
        <v>0</v>
      </c>
      <c r="N516" s="4">
        <v>11</v>
      </c>
      <c r="O516" s="4">
        <f t="shared" si="42"/>
        <v>4033.7</v>
      </c>
    </row>
    <row r="517" spans="1:15" x14ac:dyDescent="0.3">
      <c r="A517" s="11">
        <v>45877</v>
      </c>
      <c r="B517" s="4" t="str">
        <f>TEXT(Data!B517,"MMM-YYYY")</f>
        <v>Sep-2023</v>
      </c>
      <c r="C517" s="4" t="str">
        <f t="shared" si="43"/>
        <v>Aug-2025</v>
      </c>
      <c r="D517" s="12">
        <f t="shared" si="44"/>
        <v>45877</v>
      </c>
      <c r="E517" s="4" t="str">
        <f t="shared" si="40"/>
        <v>Q3-2025</v>
      </c>
      <c r="F517" t="s">
        <v>45</v>
      </c>
      <c r="G517" t="s">
        <v>60</v>
      </c>
      <c r="H517" t="s">
        <v>220</v>
      </c>
      <c r="I517" t="s">
        <v>57</v>
      </c>
      <c r="J517" s="7" t="str">
        <f t="shared" si="41"/>
        <v>High</v>
      </c>
      <c r="K517" s="4">
        <v>987.24</v>
      </c>
      <c r="L517" s="4">
        <v>987.24</v>
      </c>
      <c r="M517" s="4">
        <v>0</v>
      </c>
      <c r="N517" s="4">
        <v>11</v>
      </c>
      <c r="O517" s="4">
        <f t="shared" si="42"/>
        <v>30771.51</v>
      </c>
    </row>
    <row r="518" spans="1:15" x14ac:dyDescent="0.3">
      <c r="A518" s="11">
        <v>45878</v>
      </c>
      <c r="B518" s="4" t="str">
        <f>TEXT(Data!B518,"MMM-YYYY")</f>
        <v>May-2025</v>
      </c>
      <c r="C518" s="4" t="str">
        <f t="shared" si="43"/>
        <v>Aug-2025</v>
      </c>
      <c r="D518" s="12">
        <f t="shared" si="44"/>
        <v>45878</v>
      </c>
      <c r="E518" s="4" t="str">
        <f t="shared" si="40"/>
        <v>Q3-2025</v>
      </c>
      <c r="F518" t="s">
        <v>45</v>
      </c>
      <c r="G518" t="s">
        <v>46</v>
      </c>
      <c r="H518" t="s">
        <v>214</v>
      </c>
      <c r="I518" t="s">
        <v>30</v>
      </c>
      <c r="J518" s="7" t="str">
        <f t="shared" si="41"/>
        <v>High</v>
      </c>
      <c r="K518" s="4">
        <v>975.43</v>
      </c>
      <c r="L518" s="4">
        <v>975.43</v>
      </c>
      <c r="M518" s="4">
        <v>0.157</v>
      </c>
      <c r="N518" s="4">
        <v>27</v>
      </c>
      <c r="O518" s="4">
        <f t="shared" si="42"/>
        <v>50294.07125999999</v>
      </c>
    </row>
    <row r="519" spans="1:15" x14ac:dyDescent="0.3">
      <c r="A519" s="11">
        <v>45879</v>
      </c>
      <c r="B519" s="4" t="str">
        <f>TEXT(Data!B519,"MMM-YYYY")</f>
        <v>May-2024</v>
      </c>
      <c r="C519" s="4" t="str">
        <f t="shared" si="43"/>
        <v>Aug-2025</v>
      </c>
      <c r="D519" s="12">
        <f t="shared" si="44"/>
        <v>45879</v>
      </c>
      <c r="E519" s="4" t="str">
        <f t="shared" si="40"/>
        <v>Q3-2025</v>
      </c>
      <c r="F519" t="s">
        <v>16</v>
      </c>
      <c r="G519" t="s">
        <v>25</v>
      </c>
      <c r="H519" t="s">
        <v>38</v>
      </c>
      <c r="I519" t="s">
        <v>81</v>
      </c>
      <c r="J519" s="7" t="str">
        <f t="shared" si="41"/>
        <v>Medium</v>
      </c>
      <c r="K519" s="4">
        <v>141.43</v>
      </c>
      <c r="L519" s="4">
        <v>141.43</v>
      </c>
      <c r="M519" s="4">
        <v>0.107</v>
      </c>
      <c r="N519" s="4">
        <v>8</v>
      </c>
      <c r="O519" s="4">
        <f t="shared" si="42"/>
        <v>5994.1017599999996</v>
      </c>
    </row>
    <row r="520" spans="1:15" x14ac:dyDescent="0.3">
      <c r="A520" s="11">
        <v>45880</v>
      </c>
      <c r="B520" s="4" t="str">
        <f>TEXT(Data!B520,"MMM-YYYY")</f>
        <v>May-2023</v>
      </c>
      <c r="C520" s="4" t="str">
        <f t="shared" si="43"/>
        <v>Aug-2025</v>
      </c>
      <c r="D520" s="12">
        <f t="shared" si="44"/>
        <v>45880</v>
      </c>
      <c r="E520" s="4" t="str">
        <f t="shared" si="40"/>
        <v>Q3-2025</v>
      </c>
      <c r="F520" t="s">
        <v>78</v>
      </c>
      <c r="G520" t="s">
        <v>79</v>
      </c>
      <c r="H520" t="s">
        <v>80</v>
      </c>
      <c r="I520" t="s">
        <v>35</v>
      </c>
      <c r="J520" s="7" t="str">
        <f t="shared" si="41"/>
        <v>High</v>
      </c>
      <c r="K520" s="4">
        <v>1625.42</v>
      </c>
      <c r="L520" s="4">
        <v>1625.42</v>
      </c>
      <c r="M520" s="4">
        <v>0.13800000000000001</v>
      </c>
      <c r="N520" s="4">
        <v>7</v>
      </c>
      <c r="O520" s="4">
        <f t="shared" si="42"/>
        <v>6873.6311000000005</v>
      </c>
    </row>
    <row r="521" spans="1:15" x14ac:dyDescent="0.3">
      <c r="A521" s="11">
        <v>45881</v>
      </c>
      <c r="B521" s="4" t="str">
        <f>TEXT(Data!B521,"MMM-YYYY")</f>
        <v>Jul-2024</v>
      </c>
      <c r="C521" s="4" t="str">
        <f t="shared" si="43"/>
        <v>Aug-2025</v>
      </c>
      <c r="D521" s="12">
        <f t="shared" si="44"/>
        <v>45881</v>
      </c>
      <c r="E521" s="4" t="str">
        <f t="shared" si="40"/>
        <v>Q3-2025</v>
      </c>
      <c r="F521" t="s">
        <v>16</v>
      </c>
      <c r="G521" t="s">
        <v>25</v>
      </c>
      <c r="H521" t="s">
        <v>26</v>
      </c>
      <c r="I521" t="s">
        <v>22</v>
      </c>
      <c r="J521" s="7" t="str">
        <f t="shared" si="41"/>
        <v>High</v>
      </c>
      <c r="K521" s="4">
        <v>299.94</v>
      </c>
      <c r="L521" s="4">
        <v>299.94</v>
      </c>
      <c r="M521" s="4">
        <v>4.9000000000000002E-2</v>
      </c>
      <c r="N521" s="4">
        <v>3</v>
      </c>
      <c r="O521" s="4">
        <f t="shared" si="42"/>
        <v>4884.4215899999999</v>
      </c>
    </row>
    <row r="522" spans="1:15" x14ac:dyDescent="0.3">
      <c r="A522" s="11">
        <v>45882</v>
      </c>
      <c r="B522" s="4" t="str">
        <f>TEXT(Data!B522,"MMM-YYYY")</f>
        <v>May-2023</v>
      </c>
      <c r="C522" s="4" t="str">
        <f t="shared" si="43"/>
        <v>Aug-2025</v>
      </c>
      <c r="D522" s="12">
        <f t="shared" si="44"/>
        <v>45882</v>
      </c>
      <c r="E522" s="4" t="str">
        <f t="shared" si="40"/>
        <v>Q3-2025</v>
      </c>
      <c r="F522" t="s">
        <v>78</v>
      </c>
      <c r="G522" t="s">
        <v>90</v>
      </c>
      <c r="H522" t="s">
        <v>91</v>
      </c>
      <c r="I522" t="s">
        <v>22</v>
      </c>
      <c r="J522" s="7" t="str">
        <f t="shared" si="41"/>
        <v>High</v>
      </c>
      <c r="K522" s="4">
        <v>1503.96</v>
      </c>
      <c r="L522" s="4">
        <v>1503.96</v>
      </c>
      <c r="M522" s="4">
        <v>0.18</v>
      </c>
      <c r="N522" s="4">
        <v>6</v>
      </c>
      <c r="O522" s="4">
        <f t="shared" si="42"/>
        <v>5187.1068000000005</v>
      </c>
    </row>
    <row r="523" spans="1:15" x14ac:dyDescent="0.3">
      <c r="A523" s="11">
        <v>45883</v>
      </c>
      <c r="B523" s="4" t="str">
        <f>TEXT(Data!B523,"MMM-YYYY")</f>
        <v>Jul-2024</v>
      </c>
      <c r="C523" s="4" t="str">
        <f t="shared" si="43"/>
        <v>Aug-2025</v>
      </c>
      <c r="D523" s="12">
        <f t="shared" si="44"/>
        <v>45883</v>
      </c>
      <c r="E523" s="4" t="str">
        <f t="shared" si="40"/>
        <v>Q3-2025</v>
      </c>
      <c r="F523" t="s">
        <v>45</v>
      </c>
      <c r="G523" t="s">
        <v>60</v>
      </c>
      <c r="H523" t="s">
        <v>220</v>
      </c>
      <c r="I523" t="s">
        <v>57</v>
      </c>
      <c r="J523" s="7" t="str">
        <f t="shared" si="41"/>
        <v>High</v>
      </c>
      <c r="K523" s="4">
        <v>3101.11</v>
      </c>
      <c r="L523" s="4">
        <v>3101.11</v>
      </c>
      <c r="M523" s="4">
        <v>0.1</v>
      </c>
      <c r="N523" s="4">
        <v>23</v>
      </c>
      <c r="O523" s="4">
        <f t="shared" si="42"/>
        <v>50740.254000000001</v>
      </c>
    </row>
    <row r="524" spans="1:15" x14ac:dyDescent="0.3">
      <c r="A524" s="11">
        <v>45884</v>
      </c>
      <c r="B524" s="4" t="str">
        <f>TEXT(Data!B524,"MMM-YYYY")</f>
        <v>Apr-2024</v>
      </c>
      <c r="C524" s="4" t="str">
        <f t="shared" si="43"/>
        <v>Aug-2025</v>
      </c>
      <c r="D524" s="12">
        <f t="shared" si="44"/>
        <v>45884</v>
      </c>
      <c r="E524" s="4" t="str">
        <f t="shared" si="40"/>
        <v>Q3-2025</v>
      </c>
      <c r="F524" t="s">
        <v>45</v>
      </c>
      <c r="G524" t="s">
        <v>116</v>
      </c>
      <c r="H524" t="s">
        <v>162</v>
      </c>
      <c r="I524" t="s">
        <v>81</v>
      </c>
      <c r="J524" s="7" t="str">
        <f t="shared" si="41"/>
        <v>High</v>
      </c>
      <c r="K524" s="4">
        <v>979.42</v>
      </c>
      <c r="L524" s="4">
        <v>979.42</v>
      </c>
      <c r="M524" s="4">
        <v>0</v>
      </c>
      <c r="N524" s="4">
        <v>23</v>
      </c>
      <c r="O524" s="4">
        <f t="shared" si="42"/>
        <v>28777.83</v>
      </c>
    </row>
    <row r="525" spans="1:15" x14ac:dyDescent="0.3">
      <c r="A525" s="11">
        <v>45885</v>
      </c>
      <c r="B525" s="4" t="str">
        <f>TEXT(Data!B525,"MMM-YYYY")</f>
        <v>Jan-2024</v>
      </c>
      <c r="C525" s="4" t="str">
        <f t="shared" si="43"/>
        <v>Aug-2025</v>
      </c>
      <c r="D525" s="12">
        <f t="shared" si="44"/>
        <v>45885</v>
      </c>
      <c r="E525" s="4" t="str">
        <f t="shared" si="40"/>
        <v>Q3-2025</v>
      </c>
      <c r="F525" t="s">
        <v>16</v>
      </c>
      <c r="G525" t="s">
        <v>17</v>
      </c>
      <c r="H525" t="s">
        <v>18</v>
      </c>
      <c r="I525" t="s">
        <v>64</v>
      </c>
      <c r="J525" s="7" t="str">
        <f t="shared" si="41"/>
        <v>High</v>
      </c>
      <c r="K525" s="4">
        <v>1186.26</v>
      </c>
      <c r="L525" s="4">
        <v>1186.26</v>
      </c>
      <c r="M525" s="4">
        <v>9.4E-2</v>
      </c>
      <c r="N525" s="4">
        <v>15</v>
      </c>
      <c r="O525" s="4">
        <f t="shared" si="42"/>
        <v>15014.232</v>
      </c>
    </row>
    <row r="526" spans="1:15" x14ac:dyDescent="0.3">
      <c r="A526" s="11">
        <v>45886</v>
      </c>
      <c r="B526" s="4" t="str">
        <f>TEXT(Data!B526,"MMM-YYYY")</f>
        <v>Apr-2024</v>
      </c>
      <c r="C526" s="4" t="str">
        <f t="shared" si="43"/>
        <v>Aug-2025</v>
      </c>
      <c r="D526" s="12">
        <f t="shared" si="44"/>
        <v>45886</v>
      </c>
      <c r="E526" s="4" t="str">
        <f t="shared" si="40"/>
        <v>Q3-2025</v>
      </c>
      <c r="F526" t="s">
        <v>52</v>
      </c>
      <c r="G526" t="s">
        <v>122</v>
      </c>
      <c r="H526" t="s">
        <v>167</v>
      </c>
      <c r="I526" t="s">
        <v>22</v>
      </c>
      <c r="J526" s="7" t="str">
        <f t="shared" si="41"/>
        <v>High</v>
      </c>
      <c r="K526" s="4">
        <v>1938.33</v>
      </c>
      <c r="L526" s="4">
        <v>1938.33</v>
      </c>
      <c r="M526" s="4">
        <v>0.17</v>
      </c>
      <c r="N526" s="4">
        <v>4</v>
      </c>
      <c r="O526" s="4">
        <f t="shared" si="42"/>
        <v>7912.9211999999989</v>
      </c>
    </row>
    <row r="527" spans="1:15" x14ac:dyDescent="0.3">
      <c r="A527" s="11">
        <v>45887</v>
      </c>
      <c r="B527" s="4" t="str">
        <f>TEXT(Data!B527,"MMM-YYYY")</f>
        <v>Feb-2025</v>
      </c>
      <c r="C527" s="4" t="str">
        <f t="shared" si="43"/>
        <v>Aug-2025</v>
      </c>
      <c r="D527" s="12">
        <f t="shared" si="44"/>
        <v>45887</v>
      </c>
      <c r="E527" s="4" t="str">
        <f t="shared" si="40"/>
        <v>Q3-2025</v>
      </c>
      <c r="F527" t="s">
        <v>16</v>
      </c>
      <c r="G527" t="s">
        <v>17</v>
      </c>
      <c r="H527" t="s">
        <v>135</v>
      </c>
      <c r="I527" t="s">
        <v>30</v>
      </c>
      <c r="J527" s="7" t="str">
        <f t="shared" si="41"/>
        <v>High</v>
      </c>
      <c r="K527" s="4">
        <v>826.47</v>
      </c>
      <c r="L527" s="4">
        <v>826.47</v>
      </c>
      <c r="M527" s="4">
        <v>0.22500000000000001</v>
      </c>
      <c r="N527" s="4">
        <v>13</v>
      </c>
      <c r="O527" s="4">
        <f t="shared" si="42"/>
        <v>2146.5795000000003</v>
      </c>
    </row>
    <row r="528" spans="1:15" x14ac:dyDescent="0.3">
      <c r="A528" s="11">
        <v>45888</v>
      </c>
      <c r="B528" s="4" t="str">
        <f>TEXT(Data!B528,"MMM-YYYY")</f>
        <v>Jan-2023</v>
      </c>
      <c r="C528" s="4" t="str">
        <f t="shared" si="43"/>
        <v>Aug-2025</v>
      </c>
      <c r="D528" s="12">
        <f t="shared" si="44"/>
        <v>45888</v>
      </c>
      <c r="E528" s="4" t="str">
        <f t="shared" si="40"/>
        <v>Q3-2025</v>
      </c>
      <c r="F528" t="s">
        <v>16</v>
      </c>
      <c r="G528" t="s">
        <v>25</v>
      </c>
      <c r="H528" t="s">
        <v>38</v>
      </c>
      <c r="I528" t="s">
        <v>30</v>
      </c>
      <c r="J528" s="7" t="str">
        <f t="shared" si="41"/>
        <v>Medium</v>
      </c>
      <c r="K528" s="4">
        <v>118.17</v>
      </c>
      <c r="L528" s="4">
        <v>118.17</v>
      </c>
      <c r="M528" s="4">
        <v>0.13500000000000001</v>
      </c>
      <c r="N528" s="4">
        <v>21</v>
      </c>
      <c r="O528" s="4">
        <f t="shared" si="42"/>
        <v>36886.575600000004</v>
      </c>
    </row>
    <row r="529" spans="1:15" x14ac:dyDescent="0.3">
      <c r="A529" s="11">
        <v>45889</v>
      </c>
      <c r="B529" s="4" t="str">
        <f>TEXT(Data!B529,"MMM-YYYY")</f>
        <v>Jun-2024</v>
      </c>
      <c r="C529" s="4" t="str">
        <f t="shared" si="43"/>
        <v>Aug-2025</v>
      </c>
      <c r="D529" s="12">
        <f t="shared" si="44"/>
        <v>45889</v>
      </c>
      <c r="E529" s="4" t="str">
        <f t="shared" si="40"/>
        <v>Q3-2025</v>
      </c>
      <c r="F529" t="s">
        <v>45</v>
      </c>
      <c r="G529" t="s">
        <v>116</v>
      </c>
      <c r="H529" t="s">
        <v>117</v>
      </c>
      <c r="I529" t="s">
        <v>30</v>
      </c>
      <c r="J529" s="7" t="str">
        <f t="shared" si="41"/>
        <v>High</v>
      </c>
      <c r="K529" s="4">
        <v>1425.87</v>
      </c>
      <c r="L529" s="4">
        <v>1425.87</v>
      </c>
      <c r="M529" s="4">
        <v>0</v>
      </c>
      <c r="N529" s="4">
        <v>8</v>
      </c>
      <c r="O529" s="4">
        <f t="shared" si="42"/>
        <v>7653.6</v>
      </c>
    </row>
    <row r="530" spans="1:15" x14ac:dyDescent="0.3">
      <c r="A530" s="11">
        <v>45890</v>
      </c>
      <c r="B530" s="4" t="str">
        <f>TEXT(Data!B530,"MMM-YYYY")</f>
        <v>Aug-2023</v>
      </c>
      <c r="C530" s="4" t="str">
        <f t="shared" si="43"/>
        <v>Aug-2025</v>
      </c>
      <c r="D530" s="12">
        <f t="shared" si="44"/>
        <v>45890</v>
      </c>
      <c r="E530" s="4" t="str">
        <f t="shared" si="40"/>
        <v>Q3-2025</v>
      </c>
      <c r="F530" t="s">
        <v>16</v>
      </c>
      <c r="G530" t="s">
        <v>17</v>
      </c>
      <c r="H530" t="s">
        <v>33</v>
      </c>
      <c r="I530" t="s">
        <v>57</v>
      </c>
      <c r="J530" s="7" t="str">
        <f t="shared" si="41"/>
        <v>High</v>
      </c>
      <c r="K530" s="4">
        <v>1594.78</v>
      </c>
      <c r="L530" s="4">
        <v>1594.78</v>
      </c>
      <c r="M530" s="4">
        <v>5.8999999999999997E-2</v>
      </c>
      <c r="N530" s="4">
        <v>39</v>
      </c>
      <c r="O530" s="4">
        <f t="shared" si="42"/>
        <v>53128.40832000001</v>
      </c>
    </row>
    <row r="531" spans="1:15" x14ac:dyDescent="0.3">
      <c r="A531" s="11">
        <v>45891</v>
      </c>
      <c r="B531" s="4" t="str">
        <f>TEXT(Data!B531,"MMM-YYYY")</f>
        <v>Jan-2024</v>
      </c>
      <c r="C531" s="4" t="str">
        <f t="shared" si="43"/>
        <v>Aug-2025</v>
      </c>
      <c r="D531" s="12">
        <f t="shared" si="44"/>
        <v>45891</v>
      </c>
      <c r="E531" s="4" t="str">
        <f t="shared" si="40"/>
        <v>Q3-2025</v>
      </c>
      <c r="F531" t="s">
        <v>16</v>
      </c>
      <c r="G531" t="s">
        <v>148</v>
      </c>
      <c r="H531" t="s">
        <v>172</v>
      </c>
      <c r="I531" t="s">
        <v>30</v>
      </c>
      <c r="J531" s="7" t="str">
        <f t="shared" si="41"/>
        <v>High</v>
      </c>
      <c r="K531" s="4">
        <v>3342.11</v>
      </c>
      <c r="L531" s="4">
        <v>3342.11</v>
      </c>
      <c r="M531" s="4">
        <v>0</v>
      </c>
      <c r="N531" s="4">
        <v>10</v>
      </c>
      <c r="O531" s="4">
        <f t="shared" si="42"/>
        <v>29496.199999999997</v>
      </c>
    </row>
    <row r="532" spans="1:15" x14ac:dyDescent="0.3">
      <c r="A532" s="11">
        <v>45892</v>
      </c>
      <c r="B532" s="4" t="str">
        <f>TEXT(Data!B532,"MMM-YYYY")</f>
        <v>Mar-2025</v>
      </c>
      <c r="C532" s="4" t="str">
        <f t="shared" si="43"/>
        <v>Aug-2025</v>
      </c>
      <c r="D532" s="12">
        <f t="shared" si="44"/>
        <v>45892</v>
      </c>
      <c r="E532" s="4" t="str">
        <f t="shared" si="40"/>
        <v>Q3-2025</v>
      </c>
      <c r="F532" t="s">
        <v>45</v>
      </c>
      <c r="G532" t="s">
        <v>46</v>
      </c>
      <c r="H532" t="s">
        <v>47</v>
      </c>
      <c r="I532" t="s">
        <v>35</v>
      </c>
      <c r="J532" s="7" t="str">
        <f t="shared" si="41"/>
        <v>High</v>
      </c>
      <c r="K532" s="4">
        <v>1069.77</v>
      </c>
      <c r="L532" s="4">
        <v>1069.77</v>
      </c>
      <c r="M532" s="4">
        <v>3.7999999999999999E-2</v>
      </c>
      <c r="N532" s="4">
        <v>9</v>
      </c>
      <c r="O532" s="4">
        <f t="shared" si="42"/>
        <v>22342.575059999999</v>
      </c>
    </row>
    <row r="533" spans="1:15" x14ac:dyDescent="0.3">
      <c r="A533" s="11">
        <v>45893</v>
      </c>
      <c r="B533" s="4" t="str">
        <f>TEXT(Data!B533,"MMM-YYYY")</f>
        <v>Apr-2025</v>
      </c>
      <c r="C533" s="4" t="str">
        <f t="shared" si="43"/>
        <v>Aug-2025</v>
      </c>
      <c r="D533" s="12">
        <f t="shared" si="44"/>
        <v>45893</v>
      </c>
      <c r="E533" s="4" t="str">
        <f t="shared" si="40"/>
        <v>Q3-2025</v>
      </c>
      <c r="F533" t="s">
        <v>78</v>
      </c>
      <c r="G533" t="s">
        <v>79</v>
      </c>
      <c r="H533" t="s">
        <v>80</v>
      </c>
      <c r="I533" t="s">
        <v>42</v>
      </c>
      <c r="J533" s="7" t="str">
        <f t="shared" si="41"/>
        <v>Medium</v>
      </c>
      <c r="K533" s="4">
        <v>140.82</v>
      </c>
      <c r="L533" s="4">
        <v>140.82</v>
      </c>
      <c r="M533" s="4">
        <v>0.122</v>
      </c>
      <c r="N533" s="4">
        <v>5</v>
      </c>
      <c r="O533" s="4">
        <f t="shared" si="42"/>
        <v>8687.4149000000016</v>
      </c>
    </row>
    <row r="534" spans="1:15" x14ac:dyDescent="0.3">
      <c r="A534" s="11">
        <v>45894</v>
      </c>
      <c r="B534" s="4" t="str">
        <f>TEXT(Data!B534,"MMM-YYYY")</f>
        <v>Aug-2023</v>
      </c>
      <c r="C534" s="4" t="str">
        <f t="shared" si="43"/>
        <v>Aug-2025</v>
      </c>
      <c r="D534" s="12">
        <f t="shared" si="44"/>
        <v>45894</v>
      </c>
      <c r="E534" s="4" t="str">
        <f t="shared" si="40"/>
        <v>Q3-2025</v>
      </c>
      <c r="F534" t="s">
        <v>78</v>
      </c>
      <c r="G534" t="s">
        <v>90</v>
      </c>
      <c r="H534" t="s">
        <v>138</v>
      </c>
      <c r="I534" t="s">
        <v>64</v>
      </c>
      <c r="J534" s="7" t="str">
        <f t="shared" si="41"/>
        <v>Medium</v>
      </c>
      <c r="K534" s="4">
        <v>67.040000000000006</v>
      </c>
      <c r="L534" s="4">
        <v>67.040000000000006</v>
      </c>
      <c r="M534" s="4">
        <v>0.114</v>
      </c>
      <c r="N534" s="4">
        <v>9</v>
      </c>
      <c r="O534" s="4">
        <f t="shared" si="42"/>
        <v>11813.082300000002</v>
      </c>
    </row>
    <row r="535" spans="1:15" x14ac:dyDescent="0.3">
      <c r="A535" s="11">
        <v>45895</v>
      </c>
      <c r="B535" s="4" t="str">
        <f>TEXT(Data!B535,"MMM-YYYY")</f>
        <v>Jun-2025</v>
      </c>
      <c r="C535" s="4" t="str">
        <f t="shared" si="43"/>
        <v>Aug-2025</v>
      </c>
      <c r="D535" s="12">
        <f t="shared" si="44"/>
        <v>45895</v>
      </c>
      <c r="E535" s="4" t="str">
        <f t="shared" si="40"/>
        <v>Q3-2025</v>
      </c>
      <c r="F535" t="s">
        <v>16</v>
      </c>
      <c r="G535" t="s">
        <v>148</v>
      </c>
      <c r="H535" t="s">
        <v>172</v>
      </c>
      <c r="I535" t="s">
        <v>42</v>
      </c>
      <c r="J535" s="7" t="str">
        <f t="shared" si="41"/>
        <v>High</v>
      </c>
      <c r="K535" s="4">
        <v>1276.67</v>
      </c>
      <c r="L535" s="4">
        <v>1276.67</v>
      </c>
      <c r="M535" s="4">
        <v>6.6000000000000003E-2</v>
      </c>
      <c r="N535" s="4">
        <v>10</v>
      </c>
      <c r="O535" s="4">
        <f t="shared" si="42"/>
        <v>15494.3128</v>
      </c>
    </row>
    <row r="536" spans="1:15" x14ac:dyDescent="0.3">
      <c r="A536" s="11">
        <v>45896</v>
      </c>
      <c r="B536" s="4" t="str">
        <f>TEXT(Data!B536,"MMM-YYYY")</f>
        <v>Jan-2025</v>
      </c>
      <c r="C536" s="4" t="str">
        <f t="shared" si="43"/>
        <v>Aug-2025</v>
      </c>
      <c r="D536" s="12">
        <f t="shared" si="44"/>
        <v>45896</v>
      </c>
      <c r="E536" s="4" t="str">
        <f t="shared" si="40"/>
        <v>Q3-2025</v>
      </c>
      <c r="F536" t="s">
        <v>16</v>
      </c>
      <c r="G536" t="s">
        <v>148</v>
      </c>
      <c r="H536" t="s">
        <v>149</v>
      </c>
      <c r="I536" t="s">
        <v>57</v>
      </c>
      <c r="J536" s="7" t="str">
        <f t="shared" si="41"/>
        <v>High</v>
      </c>
      <c r="K536" s="4">
        <v>2821.36</v>
      </c>
      <c r="L536" s="4">
        <v>2821.36</v>
      </c>
      <c r="M536" s="4">
        <v>0.248</v>
      </c>
      <c r="N536" s="4">
        <v>20</v>
      </c>
      <c r="O536" s="4">
        <f t="shared" si="42"/>
        <v>9059.1936000000005</v>
      </c>
    </row>
    <row r="537" spans="1:15" x14ac:dyDescent="0.3">
      <c r="A537" s="11">
        <v>45897</v>
      </c>
      <c r="B537" s="4" t="str">
        <f>TEXT(Data!B537,"MMM-YYYY")</f>
        <v>Jul-2023</v>
      </c>
      <c r="C537" s="4" t="str">
        <f t="shared" si="43"/>
        <v>Aug-2025</v>
      </c>
      <c r="D537" s="12">
        <f t="shared" si="44"/>
        <v>45897</v>
      </c>
      <c r="E537" s="4" t="str">
        <f t="shared" si="40"/>
        <v>Q3-2025</v>
      </c>
      <c r="F537" t="s">
        <v>52</v>
      </c>
      <c r="G537" t="s">
        <v>73</v>
      </c>
      <c r="H537" t="s">
        <v>87</v>
      </c>
      <c r="I537" t="s">
        <v>57</v>
      </c>
      <c r="J537" s="7" t="str">
        <f t="shared" si="41"/>
        <v>High</v>
      </c>
      <c r="K537" s="4">
        <v>1559.19</v>
      </c>
      <c r="L537" s="4">
        <v>1559.19</v>
      </c>
      <c r="M537" s="4">
        <v>0.19</v>
      </c>
      <c r="N537" s="4">
        <v>12</v>
      </c>
      <c r="O537" s="4">
        <f t="shared" si="42"/>
        <v>5128.6608000000006</v>
      </c>
    </row>
    <row r="538" spans="1:15" x14ac:dyDescent="0.3">
      <c r="A538" s="11">
        <v>45898</v>
      </c>
      <c r="B538" s="4" t="str">
        <f>TEXT(Data!B538,"MMM-YYYY")</f>
        <v>Aug-2024</v>
      </c>
      <c r="C538" s="4" t="str">
        <f t="shared" si="43"/>
        <v>Aug-2025</v>
      </c>
      <c r="D538" s="12">
        <f t="shared" si="44"/>
        <v>45898</v>
      </c>
      <c r="E538" s="4" t="str">
        <f t="shared" si="40"/>
        <v>Q3-2025</v>
      </c>
      <c r="F538" t="s">
        <v>78</v>
      </c>
      <c r="G538" t="s">
        <v>90</v>
      </c>
      <c r="H538" t="s">
        <v>217</v>
      </c>
      <c r="I538" t="s">
        <v>35</v>
      </c>
      <c r="J538" s="7" t="str">
        <f t="shared" si="41"/>
        <v>High</v>
      </c>
      <c r="K538" s="4">
        <v>656.66</v>
      </c>
      <c r="L538" s="4">
        <v>656.66</v>
      </c>
      <c r="M538" s="4">
        <v>0.14899999999999999</v>
      </c>
      <c r="N538" s="4">
        <v>14</v>
      </c>
      <c r="O538" s="4">
        <f t="shared" si="42"/>
        <v>21944.3966</v>
      </c>
    </row>
    <row r="539" spans="1:15" x14ac:dyDescent="0.3">
      <c r="A539" s="11">
        <v>45899</v>
      </c>
      <c r="B539" s="4" t="str">
        <f>TEXT(Data!B539,"MMM-YYYY")</f>
        <v>Jul-2023</v>
      </c>
      <c r="C539" s="4" t="str">
        <f t="shared" si="43"/>
        <v>Aug-2025</v>
      </c>
      <c r="D539" s="12">
        <f t="shared" si="44"/>
        <v>45899</v>
      </c>
      <c r="E539" s="4" t="str">
        <f t="shared" si="40"/>
        <v>Q3-2025</v>
      </c>
      <c r="F539" t="s">
        <v>52</v>
      </c>
      <c r="G539" t="s">
        <v>122</v>
      </c>
      <c r="H539" t="s">
        <v>123</v>
      </c>
      <c r="I539" t="s">
        <v>57</v>
      </c>
      <c r="J539" s="7" t="str">
        <f t="shared" si="41"/>
        <v>High</v>
      </c>
      <c r="K539" s="4">
        <v>2657.84</v>
      </c>
      <c r="L539" s="4">
        <v>2657.84</v>
      </c>
      <c r="M539" s="4">
        <v>8.6999999999999994E-2</v>
      </c>
      <c r="N539" s="4">
        <v>21</v>
      </c>
      <c r="O539" s="4">
        <f t="shared" si="42"/>
        <v>31548.788040000003</v>
      </c>
    </row>
    <row r="540" spans="1:15" x14ac:dyDescent="0.3">
      <c r="A540" s="11">
        <v>45900</v>
      </c>
      <c r="B540" s="4" t="str">
        <f>TEXT(Data!B540,"MMM-YYYY")</f>
        <v>Dec-2023</v>
      </c>
      <c r="C540" s="4" t="str">
        <f t="shared" si="43"/>
        <v>Aug-2025</v>
      </c>
      <c r="D540" s="12">
        <f t="shared" si="44"/>
        <v>45900</v>
      </c>
      <c r="E540" s="4" t="str">
        <f t="shared" si="40"/>
        <v>Q3-2025</v>
      </c>
      <c r="F540" t="s">
        <v>16</v>
      </c>
      <c r="G540" t="s">
        <v>148</v>
      </c>
      <c r="H540" t="s">
        <v>258</v>
      </c>
      <c r="I540" t="s">
        <v>81</v>
      </c>
      <c r="J540" s="7" t="str">
        <f t="shared" si="41"/>
        <v>High</v>
      </c>
      <c r="K540" s="4">
        <v>1424.74</v>
      </c>
      <c r="L540" s="4">
        <v>1424.74</v>
      </c>
      <c r="M540" s="4">
        <v>4.3999999999999997E-2</v>
      </c>
      <c r="N540" s="4">
        <v>15</v>
      </c>
      <c r="O540" s="4">
        <f t="shared" si="42"/>
        <v>10428.334800000001</v>
      </c>
    </row>
    <row r="541" spans="1:15" x14ac:dyDescent="0.3">
      <c r="A541" s="11">
        <v>45901</v>
      </c>
      <c r="B541" s="4" t="str">
        <f>TEXT(Data!B541,"MMM-YYYY")</f>
        <v>Jan-2023</v>
      </c>
      <c r="C541" s="4" t="str">
        <f t="shared" si="43"/>
        <v>Sep-2025</v>
      </c>
      <c r="D541" s="12">
        <f t="shared" si="44"/>
        <v>45901</v>
      </c>
      <c r="E541" s="4" t="str">
        <f t="shared" si="40"/>
        <v>Q3-2025</v>
      </c>
      <c r="F541" t="s">
        <v>16</v>
      </c>
      <c r="G541" t="s">
        <v>148</v>
      </c>
      <c r="H541" t="s">
        <v>258</v>
      </c>
      <c r="I541" t="s">
        <v>30</v>
      </c>
      <c r="J541" s="7" t="str">
        <f t="shared" si="41"/>
        <v>High</v>
      </c>
      <c r="K541" s="4">
        <v>2318.7399999999998</v>
      </c>
      <c r="L541" s="4">
        <v>2318.7399999999998</v>
      </c>
      <c r="M541" s="4">
        <v>0.107</v>
      </c>
      <c r="N541" s="4">
        <v>32</v>
      </c>
      <c r="O541" s="4">
        <f t="shared" si="42"/>
        <v>35256.783040000002</v>
      </c>
    </row>
    <row r="542" spans="1:15" x14ac:dyDescent="0.3">
      <c r="A542" s="11">
        <v>45902</v>
      </c>
      <c r="B542" s="4" t="str">
        <f>TEXT(Data!B542,"MMM-YYYY")</f>
        <v>Jul-2023</v>
      </c>
      <c r="C542" s="4" t="str">
        <f t="shared" si="43"/>
        <v>Sep-2025</v>
      </c>
      <c r="D542" s="12">
        <f t="shared" si="44"/>
        <v>45902</v>
      </c>
      <c r="E542" s="4" t="str">
        <f t="shared" si="40"/>
        <v>Q3-2025</v>
      </c>
      <c r="F542" t="s">
        <v>78</v>
      </c>
      <c r="G542" t="s">
        <v>79</v>
      </c>
      <c r="H542" t="s">
        <v>80</v>
      </c>
      <c r="I542" t="s">
        <v>35</v>
      </c>
      <c r="J542" s="7" t="str">
        <f t="shared" si="41"/>
        <v>High</v>
      </c>
      <c r="K542" s="4">
        <v>366.7</v>
      </c>
      <c r="L542" s="4">
        <v>366.7</v>
      </c>
      <c r="M542" s="4">
        <v>8.8999999999999996E-2</v>
      </c>
      <c r="N542" s="4">
        <v>10</v>
      </c>
      <c r="O542" s="4">
        <f t="shared" si="42"/>
        <v>14063.653600000001</v>
      </c>
    </row>
    <row r="543" spans="1:15" x14ac:dyDescent="0.3">
      <c r="A543" s="11">
        <v>45903</v>
      </c>
      <c r="B543" s="4" t="str">
        <f>TEXT(Data!B543,"MMM-YYYY")</f>
        <v>Jun-2024</v>
      </c>
      <c r="C543" s="4" t="str">
        <f t="shared" si="43"/>
        <v>Sep-2025</v>
      </c>
      <c r="D543" s="12">
        <f t="shared" si="44"/>
        <v>45903</v>
      </c>
      <c r="E543" s="4" t="str">
        <f t="shared" si="40"/>
        <v>Q3-2025</v>
      </c>
      <c r="F543" t="s">
        <v>16</v>
      </c>
      <c r="G543" t="s">
        <v>17</v>
      </c>
      <c r="H543" t="s">
        <v>33</v>
      </c>
      <c r="I543" t="s">
        <v>57</v>
      </c>
      <c r="J543" s="7" t="str">
        <f t="shared" si="41"/>
        <v>High</v>
      </c>
      <c r="K543" s="4">
        <v>2797.41</v>
      </c>
      <c r="L543" s="4">
        <v>2797.41</v>
      </c>
      <c r="M543" s="4">
        <v>0</v>
      </c>
      <c r="N543" s="4">
        <v>7</v>
      </c>
      <c r="O543" s="4">
        <f t="shared" si="42"/>
        <v>14806.33</v>
      </c>
    </row>
    <row r="544" spans="1:15" x14ac:dyDescent="0.3">
      <c r="A544" s="11">
        <v>45904</v>
      </c>
      <c r="B544" s="4" t="str">
        <f>TEXT(Data!B544,"MMM-YYYY")</f>
        <v>Feb-2023</v>
      </c>
      <c r="C544" s="4" t="str">
        <f t="shared" si="43"/>
        <v>Sep-2025</v>
      </c>
      <c r="D544" s="12">
        <f t="shared" si="44"/>
        <v>45904</v>
      </c>
      <c r="E544" s="4" t="str">
        <f t="shared" si="40"/>
        <v>Q3-2025</v>
      </c>
      <c r="F544" t="s">
        <v>45</v>
      </c>
      <c r="G544" t="s">
        <v>116</v>
      </c>
      <c r="H544" t="s">
        <v>162</v>
      </c>
      <c r="I544" t="s">
        <v>64</v>
      </c>
      <c r="J544" s="7" t="str">
        <f t="shared" si="41"/>
        <v>High</v>
      </c>
      <c r="K544" s="4">
        <v>2209.66</v>
      </c>
      <c r="L544" s="4">
        <v>2209.66</v>
      </c>
      <c r="M544" s="4">
        <v>0.13300000000000001</v>
      </c>
      <c r="N544" s="4">
        <v>16</v>
      </c>
      <c r="O544" s="4">
        <f t="shared" si="42"/>
        <v>25485.499680000001</v>
      </c>
    </row>
    <row r="545" spans="1:15" x14ac:dyDescent="0.3">
      <c r="A545" s="11">
        <v>45905</v>
      </c>
      <c r="B545" s="4" t="str">
        <f>TEXT(Data!B545,"MMM-YYYY")</f>
        <v>Jul-2023</v>
      </c>
      <c r="C545" s="4" t="str">
        <f t="shared" si="43"/>
        <v>Sep-2025</v>
      </c>
      <c r="D545" s="12">
        <f t="shared" si="44"/>
        <v>45905</v>
      </c>
      <c r="E545" s="4" t="str">
        <f t="shared" si="40"/>
        <v>Q3-2025</v>
      </c>
      <c r="F545" t="s">
        <v>16</v>
      </c>
      <c r="G545" t="s">
        <v>25</v>
      </c>
      <c r="H545" t="s">
        <v>26</v>
      </c>
      <c r="I545" t="s">
        <v>81</v>
      </c>
      <c r="J545" s="7" t="str">
        <f t="shared" si="41"/>
        <v>High</v>
      </c>
      <c r="K545" s="4">
        <v>839.04</v>
      </c>
      <c r="L545" s="4">
        <v>839.04</v>
      </c>
      <c r="M545" s="4">
        <v>5.8999999999999997E-2</v>
      </c>
      <c r="N545" s="4">
        <v>6</v>
      </c>
      <c r="O545" s="4">
        <f t="shared" si="42"/>
        <v>16141.518779999999</v>
      </c>
    </row>
    <row r="546" spans="1:15" x14ac:dyDescent="0.3">
      <c r="A546" s="11">
        <v>45906</v>
      </c>
      <c r="B546" s="4" t="str">
        <f>TEXT(Data!B546,"MMM-YYYY")</f>
        <v>Aug-2025</v>
      </c>
      <c r="C546" s="4" t="str">
        <f t="shared" si="43"/>
        <v>Sep-2025</v>
      </c>
      <c r="D546" s="12">
        <f t="shared" si="44"/>
        <v>45906</v>
      </c>
      <c r="E546" s="4" t="str">
        <f t="shared" si="40"/>
        <v>Q3-2025</v>
      </c>
      <c r="F546" t="s">
        <v>78</v>
      </c>
      <c r="G546" t="s">
        <v>79</v>
      </c>
      <c r="H546" t="s">
        <v>335</v>
      </c>
      <c r="I546" t="s">
        <v>57</v>
      </c>
      <c r="J546" s="7" t="str">
        <f t="shared" si="41"/>
        <v>High</v>
      </c>
      <c r="K546" s="4">
        <v>1139.1500000000001</v>
      </c>
      <c r="L546" s="4">
        <v>1139.1500000000001</v>
      </c>
      <c r="M546" s="4">
        <v>0.115</v>
      </c>
      <c r="N546" s="4">
        <v>14</v>
      </c>
      <c r="O546" s="4">
        <f t="shared" si="42"/>
        <v>3592.1088</v>
      </c>
    </row>
    <row r="547" spans="1:15" x14ac:dyDescent="0.3">
      <c r="A547" s="11">
        <v>45907</v>
      </c>
      <c r="B547" s="4" t="str">
        <f>TEXT(Data!B547,"MMM-YYYY")</f>
        <v>Mar-2024</v>
      </c>
      <c r="C547" s="4" t="str">
        <f t="shared" si="43"/>
        <v>Sep-2025</v>
      </c>
      <c r="D547" s="12">
        <f t="shared" si="44"/>
        <v>45907</v>
      </c>
      <c r="E547" s="4" t="str">
        <f t="shared" si="40"/>
        <v>Q3-2025</v>
      </c>
      <c r="F547" t="s">
        <v>52</v>
      </c>
      <c r="G547" t="s">
        <v>122</v>
      </c>
      <c r="H547" t="s">
        <v>387</v>
      </c>
      <c r="I547" t="s">
        <v>35</v>
      </c>
      <c r="J547" s="7" t="str">
        <f t="shared" si="41"/>
        <v>High</v>
      </c>
      <c r="K547" s="4">
        <v>1712.03</v>
      </c>
      <c r="L547" s="4">
        <v>1712.03</v>
      </c>
      <c r="M547" s="4">
        <v>0.21199999999999999</v>
      </c>
      <c r="N547" s="4">
        <v>8</v>
      </c>
      <c r="O547" s="4">
        <f t="shared" si="42"/>
        <v>6286.3488000000007</v>
      </c>
    </row>
    <row r="548" spans="1:15" x14ac:dyDescent="0.3">
      <c r="A548" s="11">
        <v>45908</v>
      </c>
      <c r="B548" s="4" t="str">
        <f>TEXT(Data!B548,"MMM-YYYY")</f>
        <v>Sep-2023</v>
      </c>
      <c r="C548" s="4" t="str">
        <f t="shared" si="43"/>
        <v>Sep-2025</v>
      </c>
      <c r="D548" s="12">
        <f t="shared" si="44"/>
        <v>45908</v>
      </c>
      <c r="E548" s="4" t="str">
        <f t="shared" si="40"/>
        <v>Q3-2025</v>
      </c>
      <c r="F548" t="s">
        <v>16</v>
      </c>
      <c r="G548" t="s">
        <v>148</v>
      </c>
      <c r="H548" t="s">
        <v>149</v>
      </c>
      <c r="I548" t="s">
        <v>64</v>
      </c>
      <c r="J548" s="7" t="str">
        <f t="shared" si="41"/>
        <v>High</v>
      </c>
      <c r="K548" s="4">
        <v>1054.29</v>
      </c>
      <c r="L548" s="4">
        <v>1054.29</v>
      </c>
      <c r="M548" s="4">
        <v>0.23699999999999999</v>
      </c>
      <c r="N548" s="4">
        <v>6</v>
      </c>
      <c r="O548" s="4">
        <f t="shared" si="42"/>
        <v>216.49362000000002</v>
      </c>
    </row>
    <row r="549" spans="1:15" x14ac:dyDescent="0.3">
      <c r="A549" s="11">
        <v>45909</v>
      </c>
      <c r="B549" s="4" t="str">
        <f>TEXT(Data!B549,"MMM-YYYY")</f>
        <v>Feb-2023</v>
      </c>
      <c r="C549" s="4" t="str">
        <f t="shared" si="43"/>
        <v>Sep-2025</v>
      </c>
      <c r="D549" s="12">
        <f t="shared" si="44"/>
        <v>45909</v>
      </c>
      <c r="E549" s="4" t="str">
        <f t="shared" si="40"/>
        <v>Q3-2025</v>
      </c>
      <c r="F549" t="s">
        <v>52</v>
      </c>
      <c r="G549" t="s">
        <v>53</v>
      </c>
      <c r="H549" t="s">
        <v>54</v>
      </c>
      <c r="I549" t="s">
        <v>81</v>
      </c>
      <c r="J549" s="7" t="str">
        <f t="shared" si="41"/>
        <v>High</v>
      </c>
      <c r="K549" s="4">
        <v>2451.2199999999998</v>
      </c>
      <c r="L549" s="4">
        <v>2451.2199999999998</v>
      </c>
      <c r="M549" s="4">
        <v>0.20799999999999999</v>
      </c>
      <c r="N549" s="4">
        <v>8</v>
      </c>
      <c r="O549" s="4">
        <f t="shared" si="42"/>
        <v>4778.8646400000007</v>
      </c>
    </row>
    <row r="550" spans="1:15" x14ac:dyDescent="0.3">
      <c r="A550" s="11">
        <v>45910</v>
      </c>
      <c r="B550" s="4" t="str">
        <f>TEXT(Data!B550,"MMM-YYYY")</f>
        <v>Jul-2024</v>
      </c>
      <c r="C550" s="4" t="str">
        <f t="shared" si="43"/>
        <v>Sep-2025</v>
      </c>
      <c r="D550" s="12">
        <f t="shared" si="44"/>
        <v>45910</v>
      </c>
      <c r="E550" s="4" t="str">
        <f t="shared" si="40"/>
        <v>Q3-2025</v>
      </c>
      <c r="F550" t="s">
        <v>78</v>
      </c>
      <c r="G550" t="s">
        <v>79</v>
      </c>
      <c r="H550" t="s">
        <v>335</v>
      </c>
      <c r="I550" t="s">
        <v>30</v>
      </c>
      <c r="J550" s="7" t="str">
        <f t="shared" si="41"/>
        <v>High</v>
      </c>
      <c r="K550" s="4">
        <v>1251.21</v>
      </c>
      <c r="L550" s="4">
        <v>1251.21</v>
      </c>
      <c r="M550" s="4">
        <v>0.123</v>
      </c>
      <c r="N550" s="4">
        <v>29</v>
      </c>
      <c r="O550" s="4">
        <f t="shared" si="42"/>
        <v>22927.340840000001</v>
      </c>
    </row>
    <row r="551" spans="1:15" x14ac:dyDescent="0.3">
      <c r="A551" s="11">
        <v>45911</v>
      </c>
      <c r="B551" s="4" t="str">
        <f>TEXT(Data!B551,"MMM-YYYY")</f>
        <v>Dec-2024</v>
      </c>
      <c r="C551" s="4" t="str">
        <f t="shared" si="43"/>
        <v>Sep-2025</v>
      </c>
      <c r="D551" s="12">
        <f t="shared" si="44"/>
        <v>45911</v>
      </c>
      <c r="E551" s="4" t="str">
        <f t="shared" si="40"/>
        <v>Q3-2025</v>
      </c>
      <c r="F551" t="s">
        <v>52</v>
      </c>
      <c r="G551" t="s">
        <v>73</v>
      </c>
      <c r="H551" t="s">
        <v>225</v>
      </c>
      <c r="I551" t="s">
        <v>64</v>
      </c>
      <c r="J551" s="7" t="str">
        <f t="shared" si="41"/>
        <v>High</v>
      </c>
      <c r="K551" s="4">
        <v>1104.8</v>
      </c>
      <c r="L551" s="4">
        <v>1104.8</v>
      </c>
      <c r="M551" s="4">
        <v>0.17499999999999999</v>
      </c>
      <c r="N551" s="4">
        <v>12</v>
      </c>
      <c r="O551" s="4">
        <f t="shared" si="42"/>
        <v>1119.492</v>
      </c>
    </row>
    <row r="552" spans="1:15" x14ac:dyDescent="0.3">
      <c r="A552" s="11">
        <v>45912</v>
      </c>
      <c r="B552" s="4" t="str">
        <f>TEXT(Data!B552,"MMM-YYYY")</f>
        <v>Aug-2025</v>
      </c>
      <c r="C552" s="4" t="str">
        <f t="shared" si="43"/>
        <v>Sep-2025</v>
      </c>
      <c r="D552" s="12">
        <f t="shared" si="44"/>
        <v>45912</v>
      </c>
      <c r="E552" s="4" t="str">
        <f t="shared" si="40"/>
        <v>Q3-2025</v>
      </c>
      <c r="F552" t="s">
        <v>78</v>
      </c>
      <c r="G552" t="s">
        <v>108</v>
      </c>
      <c r="H552" t="s">
        <v>152</v>
      </c>
      <c r="I552" t="s">
        <v>35</v>
      </c>
      <c r="J552" s="7" t="str">
        <f t="shared" si="41"/>
        <v>High</v>
      </c>
      <c r="K552" s="4">
        <v>2383.41</v>
      </c>
      <c r="L552" s="4">
        <v>2383.41</v>
      </c>
      <c r="M552" s="4">
        <v>0.17</v>
      </c>
      <c r="N552" s="4">
        <v>15</v>
      </c>
      <c r="O552" s="4">
        <f t="shared" si="42"/>
        <v>10814.319</v>
      </c>
    </row>
    <row r="553" spans="1:15" x14ac:dyDescent="0.3">
      <c r="A553" s="11">
        <v>45913</v>
      </c>
      <c r="B553" s="4" t="str">
        <f>TEXT(Data!B553,"MMM-YYYY")</f>
        <v>Mar-2023</v>
      </c>
      <c r="C553" s="4" t="str">
        <f t="shared" si="43"/>
        <v>Sep-2025</v>
      </c>
      <c r="D553" s="12">
        <f t="shared" si="44"/>
        <v>45913</v>
      </c>
      <c r="E553" s="4" t="str">
        <f t="shared" si="40"/>
        <v>Q3-2025</v>
      </c>
      <c r="F553" t="s">
        <v>52</v>
      </c>
      <c r="G553" t="s">
        <v>73</v>
      </c>
      <c r="H553" t="s">
        <v>87</v>
      </c>
      <c r="I553" t="s">
        <v>64</v>
      </c>
      <c r="J553" s="7" t="str">
        <f t="shared" si="41"/>
        <v>High</v>
      </c>
      <c r="K553" s="4">
        <v>213.06</v>
      </c>
      <c r="L553" s="4">
        <v>213.06</v>
      </c>
      <c r="M553" s="4">
        <v>0.21199999999999999</v>
      </c>
      <c r="N553" s="4">
        <v>11</v>
      </c>
      <c r="O553" s="4">
        <f t="shared" si="42"/>
        <v>3015.5971999999997</v>
      </c>
    </row>
    <row r="554" spans="1:15" x14ac:dyDescent="0.3">
      <c r="A554" s="11">
        <v>45914</v>
      </c>
      <c r="B554" s="4" t="str">
        <f>TEXT(Data!B554,"MMM-YYYY")</f>
        <v>Feb-2025</v>
      </c>
      <c r="C554" s="4" t="str">
        <f t="shared" si="43"/>
        <v>Sep-2025</v>
      </c>
      <c r="D554" s="12">
        <f t="shared" si="44"/>
        <v>45914</v>
      </c>
      <c r="E554" s="4" t="str">
        <f t="shared" si="40"/>
        <v>Q3-2025</v>
      </c>
      <c r="F554" t="s">
        <v>45</v>
      </c>
      <c r="G554" t="s">
        <v>46</v>
      </c>
      <c r="H554" t="s">
        <v>231</v>
      </c>
      <c r="I554" t="s">
        <v>35</v>
      </c>
      <c r="J554" s="7" t="str">
        <f t="shared" si="41"/>
        <v>High</v>
      </c>
      <c r="K554" s="4">
        <v>2030.64</v>
      </c>
      <c r="L554" s="4">
        <v>2030.64</v>
      </c>
      <c r="M554" s="4">
        <v>0.157</v>
      </c>
      <c r="N554" s="4">
        <v>11</v>
      </c>
      <c r="O554" s="4">
        <f t="shared" si="42"/>
        <v>10310.463239999999</v>
      </c>
    </row>
    <row r="555" spans="1:15" x14ac:dyDescent="0.3">
      <c r="A555" s="11">
        <v>45915</v>
      </c>
      <c r="B555" s="4" t="str">
        <f>TEXT(Data!B555,"MMM-YYYY")</f>
        <v>Feb-2025</v>
      </c>
      <c r="C555" s="4" t="str">
        <f t="shared" si="43"/>
        <v>Sep-2025</v>
      </c>
      <c r="D555" s="12">
        <f t="shared" si="44"/>
        <v>45915</v>
      </c>
      <c r="E555" s="4" t="str">
        <f t="shared" si="40"/>
        <v>Q3-2025</v>
      </c>
      <c r="F555" t="s">
        <v>78</v>
      </c>
      <c r="G555" t="s">
        <v>79</v>
      </c>
      <c r="H555" t="s">
        <v>159</v>
      </c>
      <c r="I555" t="s">
        <v>81</v>
      </c>
      <c r="J555" s="7" t="str">
        <f t="shared" si="41"/>
        <v>High</v>
      </c>
      <c r="K555" s="4">
        <v>956.7</v>
      </c>
      <c r="L555" s="4">
        <v>956.7</v>
      </c>
      <c r="M555" s="4">
        <v>4.2000000000000003E-2</v>
      </c>
      <c r="N555" s="4">
        <v>22</v>
      </c>
      <c r="O555" s="4">
        <f t="shared" si="42"/>
        <v>6907.0267199999998</v>
      </c>
    </row>
    <row r="556" spans="1:15" x14ac:dyDescent="0.3">
      <c r="A556" s="11">
        <v>45916</v>
      </c>
      <c r="B556" s="4" t="str">
        <f>TEXT(Data!B556,"MMM-YYYY")</f>
        <v>Aug-2024</v>
      </c>
      <c r="C556" s="4" t="str">
        <f t="shared" si="43"/>
        <v>Sep-2025</v>
      </c>
      <c r="D556" s="12">
        <f t="shared" si="44"/>
        <v>45916</v>
      </c>
      <c r="E556" s="4" t="str">
        <f t="shared" si="40"/>
        <v>Q3-2025</v>
      </c>
      <c r="F556" t="s">
        <v>16</v>
      </c>
      <c r="G556" t="s">
        <v>17</v>
      </c>
      <c r="H556" t="s">
        <v>113</v>
      </c>
      <c r="I556" t="s">
        <v>81</v>
      </c>
      <c r="J556" s="7" t="str">
        <f t="shared" si="41"/>
        <v>High</v>
      </c>
      <c r="K556" s="4">
        <v>1447.68</v>
      </c>
      <c r="L556" s="4">
        <v>1447.68</v>
      </c>
      <c r="M556" s="4">
        <v>8.6999999999999994E-2</v>
      </c>
      <c r="N556" s="4">
        <v>12</v>
      </c>
      <c r="O556" s="4">
        <f t="shared" si="42"/>
        <v>5326.0402800000002</v>
      </c>
    </row>
    <row r="557" spans="1:15" x14ac:dyDescent="0.3">
      <c r="A557" s="11">
        <v>45917</v>
      </c>
      <c r="B557" s="4" t="str">
        <f>TEXT(Data!B557,"MMM-YYYY")</f>
        <v>May-2023</v>
      </c>
      <c r="C557" s="4" t="str">
        <f t="shared" si="43"/>
        <v>Sep-2025</v>
      </c>
      <c r="D557" s="12">
        <f t="shared" si="44"/>
        <v>45917</v>
      </c>
      <c r="E557" s="4" t="str">
        <f t="shared" si="40"/>
        <v>Q3-2025</v>
      </c>
      <c r="F557" t="s">
        <v>45</v>
      </c>
      <c r="G557" t="s">
        <v>46</v>
      </c>
      <c r="H557" t="s">
        <v>214</v>
      </c>
      <c r="I557" t="s">
        <v>42</v>
      </c>
      <c r="J557" s="7" t="str">
        <f t="shared" si="41"/>
        <v>High</v>
      </c>
      <c r="K557" s="4">
        <v>2949.62</v>
      </c>
      <c r="L557" s="4">
        <v>2949.62</v>
      </c>
      <c r="M557" s="4">
        <v>0.125</v>
      </c>
      <c r="N557" s="4">
        <v>13</v>
      </c>
      <c r="O557" s="4">
        <f t="shared" si="42"/>
        <v>23507.575000000001</v>
      </c>
    </row>
    <row r="558" spans="1:15" x14ac:dyDescent="0.3">
      <c r="A558" s="11">
        <v>45918</v>
      </c>
      <c r="B558" s="4" t="str">
        <f>TEXT(Data!B558,"MMM-YYYY")</f>
        <v>May-2025</v>
      </c>
      <c r="C558" s="4" t="str">
        <f t="shared" si="43"/>
        <v>Sep-2025</v>
      </c>
      <c r="D558" s="12">
        <f t="shared" si="44"/>
        <v>45918</v>
      </c>
      <c r="E558" s="4" t="str">
        <f t="shared" si="40"/>
        <v>Q3-2025</v>
      </c>
      <c r="F558" t="s">
        <v>45</v>
      </c>
      <c r="G558" t="s">
        <v>60</v>
      </c>
      <c r="H558" t="s">
        <v>220</v>
      </c>
      <c r="I558" t="s">
        <v>81</v>
      </c>
      <c r="J558" s="7" t="str">
        <f t="shared" si="41"/>
        <v>High</v>
      </c>
      <c r="K558" s="4">
        <v>2580.5700000000002</v>
      </c>
      <c r="L558" s="4">
        <v>2580.5700000000002</v>
      </c>
      <c r="M558" s="4">
        <v>0</v>
      </c>
      <c r="N558" s="4">
        <v>18</v>
      </c>
      <c r="O558" s="4">
        <f t="shared" si="42"/>
        <v>1551.6000000000001</v>
      </c>
    </row>
    <row r="559" spans="1:15" x14ac:dyDescent="0.3">
      <c r="A559" s="11">
        <v>45919</v>
      </c>
      <c r="B559" s="4" t="str">
        <f>TEXT(Data!B559,"MMM-YYYY")</f>
        <v>Mar-2024</v>
      </c>
      <c r="C559" s="4" t="str">
        <f t="shared" si="43"/>
        <v>Sep-2025</v>
      </c>
      <c r="D559" s="12">
        <f t="shared" si="44"/>
        <v>45919</v>
      </c>
      <c r="E559" s="4" t="str">
        <f t="shared" si="40"/>
        <v>Q3-2025</v>
      </c>
      <c r="F559" t="s">
        <v>52</v>
      </c>
      <c r="G559" t="s">
        <v>53</v>
      </c>
      <c r="H559" t="s">
        <v>179</v>
      </c>
      <c r="I559" t="s">
        <v>30</v>
      </c>
      <c r="J559" s="7" t="str">
        <f t="shared" si="41"/>
        <v>High</v>
      </c>
      <c r="K559" s="4">
        <v>1978.91</v>
      </c>
      <c r="L559" s="4">
        <v>1978.91</v>
      </c>
      <c r="M559" s="4">
        <v>5.3999999999999999E-2</v>
      </c>
      <c r="N559" s="4">
        <v>27</v>
      </c>
      <c r="O559" s="4">
        <f t="shared" si="42"/>
        <v>58944.550499999998</v>
      </c>
    </row>
    <row r="560" spans="1:15" x14ac:dyDescent="0.3">
      <c r="A560" s="11">
        <v>45920</v>
      </c>
      <c r="B560" s="4" t="str">
        <f>TEXT(Data!B560,"MMM-YYYY")</f>
        <v>May-2024</v>
      </c>
      <c r="C560" s="4" t="str">
        <f t="shared" si="43"/>
        <v>Sep-2025</v>
      </c>
      <c r="D560" s="12">
        <f t="shared" si="44"/>
        <v>45920</v>
      </c>
      <c r="E560" s="4" t="str">
        <f t="shared" si="40"/>
        <v>Q3-2025</v>
      </c>
      <c r="F560" t="s">
        <v>52</v>
      </c>
      <c r="G560" t="s">
        <v>122</v>
      </c>
      <c r="H560" t="s">
        <v>387</v>
      </c>
      <c r="I560" t="s">
        <v>64</v>
      </c>
      <c r="J560" s="7" t="str">
        <f t="shared" si="41"/>
        <v>High</v>
      </c>
      <c r="K560" s="4">
        <v>1481.45</v>
      </c>
      <c r="L560" s="4">
        <v>1481.45</v>
      </c>
      <c r="M560" s="4">
        <v>0.21099999999999999</v>
      </c>
      <c r="N560" s="4">
        <v>9</v>
      </c>
      <c r="O560" s="4">
        <f t="shared" si="42"/>
        <v>7902.0638099999996</v>
      </c>
    </row>
    <row r="561" spans="1:15" x14ac:dyDescent="0.3">
      <c r="A561" s="11">
        <v>45921</v>
      </c>
      <c r="B561" s="4" t="str">
        <f>TEXT(Data!B561,"MMM-YYYY")</f>
        <v>Jan-2024</v>
      </c>
      <c r="C561" s="4" t="str">
        <f t="shared" si="43"/>
        <v>Sep-2025</v>
      </c>
      <c r="D561" s="12">
        <f t="shared" si="44"/>
        <v>45921</v>
      </c>
      <c r="E561" s="4" t="str">
        <f t="shared" si="40"/>
        <v>Q3-2025</v>
      </c>
      <c r="F561" t="s">
        <v>16</v>
      </c>
      <c r="G561" t="s">
        <v>17</v>
      </c>
      <c r="H561" t="s">
        <v>33</v>
      </c>
      <c r="I561" t="s">
        <v>81</v>
      </c>
      <c r="J561" s="7" t="str">
        <f t="shared" si="41"/>
        <v>High</v>
      </c>
      <c r="K561" s="4">
        <v>1658.92</v>
      </c>
      <c r="L561" s="4">
        <v>1658.92</v>
      </c>
      <c r="M561" s="4">
        <v>0.122</v>
      </c>
      <c r="N561" s="4">
        <v>9</v>
      </c>
      <c r="O561" s="4">
        <f t="shared" si="42"/>
        <v>8897.572979999999</v>
      </c>
    </row>
    <row r="562" spans="1:15" x14ac:dyDescent="0.3">
      <c r="A562" s="11">
        <v>45922</v>
      </c>
      <c r="B562" s="4" t="str">
        <f>TEXT(Data!B562,"MMM-YYYY")</f>
        <v>Oct-2024</v>
      </c>
      <c r="C562" s="4" t="str">
        <f t="shared" si="43"/>
        <v>Sep-2025</v>
      </c>
      <c r="D562" s="12">
        <f t="shared" si="44"/>
        <v>45922</v>
      </c>
      <c r="E562" s="4" t="str">
        <f t="shared" si="40"/>
        <v>Q3-2025</v>
      </c>
      <c r="F562" t="s">
        <v>45</v>
      </c>
      <c r="G562" t="s">
        <v>60</v>
      </c>
      <c r="H562" t="s">
        <v>61</v>
      </c>
      <c r="I562" t="s">
        <v>30</v>
      </c>
      <c r="J562" s="7" t="str">
        <f t="shared" si="41"/>
        <v>High</v>
      </c>
      <c r="K562" s="4">
        <v>602.34</v>
      </c>
      <c r="L562" s="4">
        <v>602.34</v>
      </c>
      <c r="M562" s="4">
        <v>0.12</v>
      </c>
      <c r="N562" s="4">
        <v>25</v>
      </c>
      <c r="O562" s="4">
        <f t="shared" si="42"/>
        <v>2719.64</v>
      </c>
    </row>
    <row r="563" spans="1:15" x14ac:dyDescent="0.3">
      <c r="A563" s="11">
        <v>45923</v>
      </c>
      <c r="B563" s="4" t="str">
        <f>TEXT(Data!B563,"MMM-YYYY")</f>
        <v>Nov-2024</v>
      </c>
      <c r="C563" s="4" t="str">
        <f t="shared" si="43"/>
        <v>Sep-2025</v>
      </c>
      <c r="D563" s="12">
        <f t="shared" si="44"/>
        <v>45923</v>
      </c>
      <c r="E563" s="4" t="str">
        <f t="shared" si="40"/>
        <v>Q3-2025</v>
      </c>
      <c r="F563" t="s">
        <v>52</v>
      </c>
      <c r="G563" t="s">
        <v>122</v>
      </c>
      <c r="H563" t="s">
        <v>387</v>
      </c>
      <c r="I563" t="s">
        <v>22</v>
      </c>
      <c r="J563" s="7" t="str">
        <f t="shared" si="41"/>
        <v>High</v>
      </c>
      <c r="K563" s="4">
        <v>527.64</v>
      </c>
      <c r="L563" s="4">
        <v>527.64</v>
      </c>
      <c r="M563" s="4">
        <v>0.14499999999999999</v>
      </c>
      <c r="N563" s="4">
        <v>15</v>
      </c>
      <c r="O563" s="4">
        <f t="shared" si="42"/>
        <v>22209.693749999999</v>
      </c>
    </row>
    <row r="564" spans="1:15" x14ac:dyDescent="0.3">
      <c r="A564" s="11">
        <v>45924</v>
      </c>
      <c r="B564" s="4" t="str">
        <f>TEXT(Data!B564,"MMM-YYYY")</f>
        <v>Apr-2023</v>
      </c>
      <c r="C564" s="4" t="str">
        <f t="shared" si="43"/>
        <v>Sep-2025</v>
      </c>
      <c r="D564" s="12">
        <f t="shared" si="44"/>
        <v>45924</v>
      </c>
      <c r="E564" s="4" t="str">
        <f t="shared" si="40"/>
        <v>Q3-2025</v>
      </c>
      <c r="F564" t="s">
        <v>16</v>
      </c>
      <c r="G564" t="s">
        <v>17</v>
      </c>
      <c r="H564" t="s">
        <v>18</v>
      </c>
      <c r="I564" t="s">
        <v>42</v>
      </c>
      <c r="J564" s="7" t="str">
        <f t="shared" si="41"/>
        <v>High</v>
      </c>
      <c r="K564" s="4">
        <v>1841.9</v>
      </c>
      <c r="L564" s="4">
        <v>1841.9</v>
      </c>
      <c r="M564" s="4">
        <v>5.5E-2</v>
      </c>
      <c r="N564" s="4">
        <v>19</v>
      </c>
      <c r="O564" s="4">
        <f t="shared" si="42"/>
        <v>54978.38955</v>
      </c>
    </row>
    <row r="565" spans="1:15" x14ac:dyDescent="0.3">
      <c r="A565" s="11">
        <v>45925</v>
      </c>
      <c r="B565" s="4" t="str">
        <f>TEXT(Data!B565,"MMM-YYYY")</f>
        <v>Feb-2025</v>
      </c>
      <c r="C565" s="4" t="str">
        <f t="shared" si="43"/>
        <v>Sep-2025</v>
      </c>
      <c r="D565" s="12">
        <f t="shared" si="44"/>
        <v>45925</v>
      </c>
      <c r="E565" s="4" t="str">
        <f t="shared" si="40"/>
        <v>Q3-2025</v>
      </c>
      <c r="F565" t="s">
        <v>52</v>
      </c>
      <c r="G565" t="s">
        <v>53</v>
      </c>
      <c r="H565" t="s">
        <v>144</v>
      </c>
      <c r="I565" t="s">
        <v>64</v>
      </c>
      <c r="J565" s="7" t="str">
        <f t="shared" si="41"/>
        <v>High</v>
      </c>
      <c r="K565" s="4">
        <v>1645.48</v>
      </c>
      <c r="L565" s="4">
        <v>1645.48</v>
      </c>
      <c r="M565" s="4">
        <v>0.13700000000000001</v>
      </c>
      <c r="N565" s="4">
        <v>6</v>
      </c>
      <c r="O565" s="4">
        <f t="shared" si="42"/>
        <v>11393.722979999999</v>
      </c>
    </row>
    <row r="566" spans="1:15" x14ac:dyDescent="0.3">
      <c r="A566" s="11">
        <v>45926</v>
      </c>
      <c r="B566" s="4" t="str">
        <f>TEXT(Data!B566,"MMM-YYYY")</f>
        <v>Jan-2024</v>
      </c>
      <c r="C566" s="4" t="str">
        <f t="shared" si="43"/>
        <v>Sep-2025</v>
      </c>
      <c r="D566" s="12">
        <f t="shared" si="44"/>
        <v>45926</v>
      </c>
      <c r="E566" s="4" t="str">
        <f t="shared" si="40"/>
        <v>Q3-2025</v>
      </c>
      <c r="F566" t="s">
        <v>78</v>
      </c>
      <c r="G566" t="s">
        <v>108</v>
      </c>
      <c r="H566" t="s">
        <v>228</v>
      </c>
      <c r="I566" t="s">
        <v>35</v>
      </c>
      <c r="J566" s="7" t="str">
        <f t="shared" si="41"/>
        <v>High</v>
      </c>
      <c r="K566" s="4">
        <v>727.22</v>
      </c>
      <c r="L566" s="4">
        <v>727.22</v>
      </c>
      <c r="M566" s="4">
        <v>6.8000000000000005E-2</v>
      </c>
      <c r="N566" s="4">
        <v>15</v>
      </c>
      <c r="O566" s="4">
        <f t="shared" si="42"/>
        <v>8408.8302000000003</v>
      </c>
    </row>
    <row r="567" spans="1:15" x14ac:dyDescent="0.3">
      <c r="A567" s="11">
        <v>45927</v>
      </c>
      <c r="B567" s="4" t="str">
        <f>TEXT(Data!B567,"MMM-YYYY")</f>
        <v>Feb-2024</v>
      </c>
      <c r="C567" s="4" t="str">
        <f t="shared" si="43"/>
        <v>Sep-2025</v>
      </c>
      <c r="D567" s="12">
        <f t="shared" si="44"/>
        <v>45927</v>
      </c>
      <c r="E567" s="4" t="str">
        <f t="shared" si="40"/>
        <v>Q3-2025</v>
      </c>
      <c r="F567" t="s">
        <v>78</v>
      </c>
      <c r="G567" t="s">
        <v>108</v>
      </c>
      <c r="H567" t="s">
        <v>228</v>
      </c>
      <c r="I567" t="s">
        <v>57</v>
      </c>
      <c r="J567" s="7" t="str">
        <f t="shared" si="41"/>
        <v>High</v>
      </c>
      <c r="K567" s="4">
        <v>1233.79</v>
      </c>
      <c r="L567" s="4">
        <v>1233.79</v>
      </c>
      <c r="M567" s="4">
        <v>0.14299999999999999</v>
      </c>
      <c r="N567" s="4">
        <v>4</v>
      </c>
      <c r="O567" s="4">
        <f t="shared" si="42"/>
        <v>3248.9555599999999</v>
      </c>
    </row>
    <row r="568" spans="1:15" x14ac:dyDescent="0.3">
      <c r="A568" s="11">
        <v>45928</v>
      </c>
      <c r="B568" s="4" t="str">
        <f>TEXT(Data!B568,"MMM-YYYY")</f>
        <v>Jun-2025</v>
      </c>
      <c r="C568" s="4" t="str">
        <f t="shared" si="43"/>
        <v>Sep-2025</v>
      </c>
      <c r="D568" s="12">
        <f t="shared" si="44"/>
        <v>45928</v>
      </c>
      <c r="E568" s="4" t="str">
        <f t="shared" si="40"/>
        <v>Q3-2025</v>
      </c>
      <c r="F568" t="s">
        <v>16</v>
      </c>
      <c r="G568" t="s">
        <v>17</v>
      </c>
      <c r="H568" t="s">
        <v>113</v>
      </c>
      <c r="I568" t="s">
        <v>22</v>
      </c>
      <c r="J568" s="7" t="str">
        <f t="shared" si="41"/>
        <v>High</v>
      </c>
      <c r="K568" s="4">
        <v>1543.76</v>
      </c>
      <c r="L568" s="4">
        <v>1543.76</v>
      </c>
      <c r="M568" s="4">
        <v>0.126</v>
      </c>
      <c r="N568" s="4">
        <v>13</v>
      </c>
      <c r="O568" s="4">
        <f t="shared" si="42"/>
        <v>26490.27576</v>
      </c>
    </row>
    <row r="569" spans="1:15" x14ac:dyDescent="0.3">
      <c r="A569" s="11">
        <v>45929</v>
      </c>
      <c r="B569" s="4" t="str">
        <f>TEXT(Data!B569,"MMM-YYYY")</f>
        <v>Nov-2024</v>
      </c>
      <c r="C569" s="4" t="str">
        <f t="shared" si="43"/>
        <v>Sep-2025</v>
      </c>
      <c r="D569" s="12">
        <f t="shared" si="44"/>
        <v>45929</v>
      </c>
      <c r="E569" s="4" t="str">
        <f t="shared" si="40"/>
        <v>Q3-2025</v>
      </c>
      <c r="F569" t="s">
        <v>16</v>
      </c>
      <c r="G569" t="s">
        <v>25</v>
      </c>
      <c r="H569" t="s">
        <v>26</v>
      </c>
      <c r="I569" t="s">
        <v>57</v>
      </c>
      <c r="J569" s="7" t="str">
        <f t="shared" si="41"/>
        <v>High</v>
      </c>
      <c r="K569" s="4">
        <v>2115.19</v>
      </c>
      <c r="L569" s="4">
        <v>2115.19</v>
      </c>
      <c r="M569" s="4">
        <v>9.1999999999999998E-2</v>
      </c>
      <c r="N569" s="4">
        <v>23</v>
      </c>
      <c r="O569" s="4">
        <f t="shared" si="42"/>
        <v>29597.640160000003</v>
      </c>
    </row>
    <row r="570" spans="1:15" x14ac:dyDescent="0.3">
      <c r="A570" s="11">
        <v>45930</v>
      </c>
      <c r="B570" s="4" t="str">
        <f>TEXT(Data!B570,"MMM-YYYY")</f>
        <v>Feb-2024</v>
      </c>
      <c r="C570" s="4" t="str">
        <f t="shared" si="43"/>
        <v>Sep-2025</v>
      </c>
      <c r="D570" s="12">
        <f t="shared" si="44"/>
        <v>45930</v>
      </c>
      <c r="E570" s="4" t="str">
        <f t="shared" si="40"/>
        <v>Q3-2025</v>
      </c>
      <c r="F570" t="s">
        <v>78</v>
      </c>
      <c r="G570" t="s">
        <v>90</v>
      </c>
      <c r="H570" t="s">
        <v>138</v>
      </c>
      <c r="I570" t="s">
        <v>64</v>
      </c>
      <c r="J570" s="7" t="str">
        <f t="shared" si="41"/>
        <v>High</v>
      </c>
      <c r="K570" s="4">
        <v>1837.19</v>
      </c>
      <c r="L570" s="4">
        <v>1837.19</v>
      </c>
      <c r="M570" s="4">
        <v>0.19700000000000001</v>
      </c>
      <c r="N570" s="4">
        <v>17</v>
      </c>
      <c r="O570" s="4">
        <f t="shared" si="42"/>
        <v>9548.8744999999999</v>
      </c>
    </row>
    <row r="571" spans="1:15" x14ac:dyDescent="0.3">
      <c r="A571" s="11">
        <v>45931</v>
      </c>
      <c r="B571" s="4" t="str">
        <f>TEXT(Data!B571,"MMM-YYYY")</f>
        <v>Apr-2025</v>
      </c>
      <c r="C571" s="4" t="str">
        <f t="shared" si="43"/>
        <v>Oct-2025</v>
      </c>
      <c r="D571" s="12">
        <f t="shared" si="44"/>
        <v>45931</v>
      </c>
      <c r="E571" s="4" t="str">
        <f t="shared" si="40"/>
        <v>Q4-2025</v>
      </c>
      <c r="F571" t="s">
        <v>52</v>
      </c>
      <c r="G571" t="s">
        <v>122</v>
      </c>
      <c r="H571" t="s">
        <v>387</v>
      </c>
      <c r="I571" t="s">
        <v>35</v>
      </c>
      <c r="J571" s="7" t="str">
        <f t="shared" si="41"/>
        <v>High</v>
      </c>
      <c r="K571" s="4">
        <v>2858.93</v>
      </c>
      <c r="L571" s="4">
        <v>2858.93</v>
      </c>
      <c r="M571" s="4">
        <v>0</v>
      </c>
      <c r="N571" s="4">
        <v>12</v>
      </c>
      <c r="O571" s="4">
        <f t="shared" si="42"/>
        <v>21446.400000000001</v>
      </c>
    </row>
    <row r="572" spans="1:15" x14ac:dyDescent="0.3">
      <c r="A572" s="11">
        <v>45932</v>
      </c>
      <c r="B572" s="4" t="str">
        <f>TEXT(Data!B572,"MMM-YYYY")</f>
        <v>Jun-2023</v>
      </c>
      <c r="C572" s="4" t="str">
        <f t="shared" si="43"/>
        <v>Oct-2025</v>
      </c>
      <c r="D572" s="12">
        <f t="shared" si="44"/>
        <v>45932</v>
      </c>
      <c r="E572" s="4" t="str">
        <f t="shared" si="40"/>
        <v>Q4-2025</v>
      </c>
      <c r="F572" t="s">
        <v>45</v>
      </c>
      <c r="G572" t="s">
        <v>46</v>
      </c>
      <c r="H572" t="s">
        <v>47</v>
      </c>
      <c r="I572" t="s">
        <v>22</v>
      </c>
      <c r="J572" s="7" t="str">
        <f t="shared" si="41"/>
        <v>High</v>
      </c>
      <c r="K572" s="4">
        <v>289.92</v>
      </c>
      <c r="L572" s="4">
        <v>289.92</v>
      </c>
      <c r="M572" s="4">
        <v>2.9000000000000001E-2</v>
      </c>
      <c r="N572" s="4">
        <v>12</v>
      </c>
      <c r="O572" s="4">
        <f t="shared" si="42"/>
        <v>19793.834999999999</v>
      </c>
    </row>
    <row r="573" spans="1:15" x14ac:dyDescent="0.3">
      <c r="A573" s="11">
        <v>45933</v>
      </c>
      <c r="B573" s="4" t="str">
        <f>TEXT(Data!B573,"MMM-YYYY")</f>
        <v>Mar-2025</v>
      </c>
      <c r="C573" s="4" t="str">
        <f t="shared" si="43"/>
        <v>Oct-2025</v>
      </c>
      <c r="D573" s="12">
        <f t="shared" si="44"/>
        <v>45933</v>
      </c>
      <c r="E573" s="4" t="str">
        <f t="shared" si="40"/>
        <v>Q4-2025</v>
      </c>
      <c r="F573" t="s">
        <v>45</v>
      </c>
      <c r="G573" t="s">
        <v>60</v>
      </c>
      <c r="H573" t="s">
        <v>61</v>
      </c>
      <c r="I573" t="s">
        <v>81</v>
      </c>
      <c r="J573" s="7" t="str">
        <f t="shared" si="41"/>
        <v>High</v>
      </c>
      <c r="K573" s="4">
        <v>997.2</v>
      </c>
      <c r="L573" s="4">
        <v>997.2</v>
      </c>
      <c r="M573" s="4">
        <v>8.2000000000000003E-2</v>
      </c>
      <c r="N573" s="4">
        <v>5</v>
      </c>
      <c r="O573" s="4">
        <f t="shared" si="42"/>
        <v>3326.373</v>
      </c>
    </row>
    <row r="574" spans="1:15" x14ac:dyDescent="0.3">
      <c r="A574" s="11">
        <v>45934</v>
      </c>
      <c r="B574" s="4" t="str">
        <f>TEXT(Data!B574,"MMM-YYYY")</f>
        <v>Jan-2024</v>
      </c>
      <c r="C574" s="4" t="str">
        <f t="shared" si="43"/>
        <v>Oct-2025</v>
      </c>
      <c r="D574" s="12">
        <f t="shared" si="44"/>
        <v>45934</v>
      </c>
      <c r="E574" s="4" t="str">
        <f t="shared" si="40"/>
        <v>Q4-2025</v>
      </c>
      <c r="F574" t="s">
        <v>45</v>
      </c>
      <c r="G574" t="s">
        <v>60</v>
      </c>
      <c r="H574" t="s">
        <v>220</v>
      </c>
      <c r="I574" t="s">
        <v>42</v>
      </c>
      <c r="J574" s="7" t="str">
        <f t="shared" si="41"/>
        <v>Low</v>
      </c>
      <c r="K574" s="4">
        <v>47.29</v>
      </c>
      <c r="L574" s="4">
        <v>47.29</v>
      </c>
      <c r="M574" s="4">
        <v>6.4000000000000001E-2</v>
      </c>
      <c r="N574" s="4">
        <v>19</v>
      </c>
      <c r="O574" s="4">
        <f t="shared" si="42"/>
        <v>24114.036959999998</v>
      </c>
    </row>
    <row r="575" spans="1:15" x14ac:dyDescent="0.3">
      <c r="A575" s="11">
        <v>45935</v>
      </c>
      <c r="B575" s="4" t="str">
        <f>TEXT(Data!B575,"MMM-YYYY")</f>
        <v>Dec-2023</v>
      </c>
      <c r="C575" s="4" t="str">
        <f t="shared" si="43"/>
        <v>Oct-2025</v>
      </c>
      <c r="D575" s="12">
        <f t="shared" si="44"/>
        <v>45935</v>
      </c>
      <c r="E575" s="4" t="str">
        <f t="shared" si="40"/>
        <v>Q4-2025</v>
      </c>
      <c r="F575" t="s">
        <v>52</v>
      </c>
      <c r="G575" t="s">
        <v>53</v>
      </c>
      <c r="H575" t="s">
        <v>179</v>
      </c>
      <c r="I575" t="s">
        <v>57</v>
      </c>
      <c r="J575" s="7" t="str">
        <f t="shared" si="41"/>
        <v>High</v>
      </c>
      <c r="K575" s="4">
        <v>754.24</v>
      </c>
      <c r="L575" s="4">
        <v>754.24</v>
      </c>
      <c r="M575" s="4">
        <v>0.20699999999999999</v>
      </c>
      <c r="N575" s="4">
        <v>32</v>
      </c>
      <c r="O575" s="4">
        <f t="shared" si="42"/>
        <v>6980.1763200000005</v>
      </c>
    </row>
    <row r="576" spans="1:15" x14ac:dyDescent="0.3">
      <c r="A576" s="11">
        <v>45936</v>
      </c>
      <c r="B576" s="4" t="str">
        <f>TEXT(Data!B576,"MMM-YYYY")</f>
        <v>Apr-2023</v>
      </c>
      <c r="C576" s="4" t="str">
        <f t="shared" si="43"/>
        <v>Oct-2025</v>
      </c>
      <c r="D576" s="12">
        <f t="shared" si="44"/>
        <v>45936</v>
      </c>
      <c r="E576" s="4" t="str">
        <f t="shared" si="40"/>
        <v>Q4-2025</v>
      </c>
      <c r="F576" t="s">
        <v>52</v>
      </c>
      <c r="G576" t="s">
        <v>53</v>
      </c>
      <c r="H576" t="s">
        <v>54</v>
      </c>
      <c r="I576" t="s">
        <v>64</v>
      </c>
      <c r="J576" s="7" t="str">
        <f t="shared" si="41"/>
        <v>High</v>
      </c>
      <c r="K576" s="4">
        <v>901.48</v>
      </c>
      <c r="L576" s="4">
        <v>901.48</v>
      </c>
      <c r="M576" s="4">
        <v>5.6000000000000001E-2</v>
      </c>
      <c r="N576" s="4">
        <v>17</v>
      </c>
      <c r="O576" s="4">
        <f t="shared" si="42"/>
        <v>28925.557119999998</v>
      </c>
    </row>
    <row r="577" spans="1:15" x14ac:dyDescent="0.3">
      <c r="A577" s="11">
        <v>45937</v>
      </c>
      <c r="B577" s="4" t="str">
        <f>TEXT(Data!B577,"MMM-YYYY")</f>
        <v>Aug-2025</v>
      </c>
      <c r="C577" s="4" t="str">
        <f t="shared" si="43"/>
        <v>Oct-2025</v>
      </c>
      <c r="D577" s="12">
        <f t="shared" si="44"/>
        <v>45937</v>
      </c>
      <c r="E577" s="4" t="str">
        <f t="shared" si="40"/>
        <v>Q4-2025</v>
      </c>
      <c r="F577" t="s">
        <v>78</v>
      </c>
      <c r="G577" t="s">
        <v>90</v>
      </c>
      <c r="H577" t="s">
        <v>91</v>
      </c>
      <c r="I577" t="s">
        <v>22</v>
      </c>
      <c r="J577" s="7" t="str">
        <f t="shared" si="41"/>
        <v>Medium</v>
      </c>
      <c r="K577" s="4">
        <v>113.08</v>
      </c>
      <c r="L577" s="4">
        <v>113.08</v>
      </c>
      <c r="M577" s="4">
        <v>0.121</v>
      </c>
      <c r="N577" s="4">
        <v>5</v>
      </c>
      <c r="O577" s="4">
        <f t="shared" si="42"/>
        <v>5580.6830999999993</v>
      </c>
    </row>
    <row r="578" spans="1:15" x14ac:dyDescent="0.3">
      <c r="A578" s="11">
        <v>45938</v>
      </c>
      <c r="B578" s="4" t="str">
        <f>TEXT(Data!B578,"MMM-YYYY")</f>
        <v>Aug-2023</v>
      </c>
      <c r="C578" s="4" t="str">
        <f t="shared" si="43"/>
        <v>Oct-2025</v>
      </c>
      <c r="D578" s="12">
        <f t="shared" si="44"/>
        <v>45938</v>
      </c>
      <c r="E578" s="4" t="str">
        <f t="shared" ref="E578:E633" si="45">"Q"&amp;ROUNDUP(MONTH(A578)/3,0)&amp;"-"&amp;YEAR(A578)</f>
        <v>Q4-2025</v>
      </c>
      <c r="F578" t="s">
        <v>52</v>
      </c>
      <c r="G578" t="s">
        <v>53</v>
      </c>
      <c r="H578" t="s">
        <v>144</v>
      </c>
      <c r="I578" t="s">
        <v>35</v>
      </c>
      <c r="J578" s="7" t="str">
        <f t="shared" ref="J578:J633" si="46">IF(K578&lt;50, "Low", IF(K578&lt;200, "Medium", "High"))</f>
        <v>High</v>
      </c>
      <c r="K578" s="4">
        <v>868.62</v>
      </c>
      <c r="L578" s="4">
        <v>868.62</v>
      </c>
      <c r="M578" s="4">
        <v>7.1999999999999995E-2</v>
      </c>
      <c r="N578" s="4">
        <v>15</v>
      </c>
      <c r="O578" s="4">
        <f t="shared" ref="O578:O633" si="47">(L604*N578)*(1-M578)</f>
        <v>7960.848</v>
      </c>
    </row>
    <row r="579" spans="1:15" x14ac:dyDescent="0.3">
      <c r="A579" s="11">
        <v>45939</v>
      </c>
      <c r="B579" s="4" t="str">
        <f>TEXT(Data!B579,"MMM-YYYY")</f>
        <v>Jun-2023</v>
      </c>
      <c r="C579" s="4" t="str">
        <f t="shared" ref="C579:C633" si="48">TEXT(D579, "MMM-YYYY")</f>
        <v>Oct-2025</v>
      </c>
      <c r="D579" s="12">
        <f t="shared" ref="D579:D633" si="49">_xlfn.MINIFS(A579:A579, G579:G579,G579)</f>
        <v>45939</v>
      </c>
      <c r="E579" s="4" t="str">
        <f t="shared" si="45"/>
        <v>Q4-2025</v>
      </c>
      <c r="F579" t="s">
        <v>52</v>
      </c>
      <c r="G579" t="s">
        <v>53</v>
      </c>
      <c r="H579" t="s">
        <v>179</v>
      </c>
      <c r="I579" t="s">
        <v>35</v>
      </c>
      <c r="J579" s="7" t="str">
        <f t="shared" si="46"/>
        <v>High</v>
      </c>
      <c r="K579" s="4">
        <v>347.9</v>
      </c>
      <c r="L579" s="4">
        <v>347.9</v>
      </c>
      <c r="M579" s="4">
        <v>7.1999999999999995E-2</v>
      </c>
      <c r="N579" s="4">
        <v>43</v>
      </c>
      <c r="O579" s="4">
        <f t="shared" si="47"/>
        <v>109937.11616000001</v>
      </c>
    </row>
    <row r="580" spans="1:15" x14ac:dyDescent="0.3">
      <c r="A580" s="11">
        <v>45940</v>
      </c>
      <c r="B580" s="4" t="str">
        <f>TEXT(Data!B580,"MMM-YYYY")</f>
        <v>Nov-2024</v>
      </c>
      <c r="C580" s="4" t="str">
        <f t="shared" si="48"/>
        <v>Oct-2025</v>
      </c>
      <c r="D580" s="12">
        <f t="shared" si="49"/>
        <v>45940</v>
      </c>
      <c r="E580" s="4" t="str">
        <f t="shared" si="45"/>
        <v>Q4-2025</v>
      </c>
      <c r="F580" t="s">
        <v>78</v>
      </c>
      <c r="G580" t="s">
        <v>108</v>
      </c>
      <c r="H580" t="s">
        <v>228</v>
      </c>
      <c r="I580" t="s">
        <v>81</v>
      </c>
      <c r="J580" s="7" t="str">
        <f t="shared" si="46"/>
        <v>High</v>
      </c>
      <c r="K580" s="4">
        <v>1111.8800000000001</v>
      </c>
      <c r="L580" s="4">
        <v>1111.8800000000001</v>
      </c>
      <c r="M580" s="4">
        <v>0.13500000000000001</v>
      </c>
      <c r="N580" s="4">
        <v>7</v>
      </c>
      <c r="O580" s="4">
        <f t="shared" si="47"/>
        <v>5827.9980499999992</v>
      </c>
    </row>
    <row r="581" spans="1:15" x14ac:dyDescent="0.3">
      <c r="A581" s="11">
        <v>45941</v>
      </c>
      <c r="B581" s="4" t="str">
        <f>TEXT(Data!B581,"MMM-YYYY")</f>
        <v>Jul-2025</v>
      </c>
      <c r="C581" s="4" t="str">
        <f t="shared" si="48"/>
        <v>Oct-2025</v>
      </c>
      <c r="D581" s="12">
        <f t="shared" si="49"/>
        <v>45941</v>
      </c>
      <c r="E581" s="4" t="str">
        <f t="shared" si="45"/>
        <v>Q4-2025</v>
      </c>
      <c r="F581" t="s">
        <v>78</v>
      </c>
      <c r="G581" t="s">
        <v>108</v>
      </c>
      <c r="H581" t="s">
        <v>152</v>
      </c>
      <c r="I581" t="s">
        <v>35</v>
      </c>
      <c r="J581" s="7" t="str">
        <f t="shared" si="46"/>
        <v>High</v>
      </c>
      <c r="K581" s="4">
        <v>327.72</v>
      </c>
      <c r="L581" s="4">
        <v>327.72</v>
      </c>
      <c r="M581" s="4">
        <v>6.7000000000000004E-2</v>
      </c>
      <c r="N581" s="4">
        <v>14</v>
      </c>
      <c r="O581" s="4">
        <f t="shared" si="47"/>
        <v>8728.9427399999986</v>
      </c>
    </row>
    <row r="582" spans="1:15" x14ac:dyDescent="0.3">
      <c r="A582" s="11">
        <v>45942</v>
      </c>
      <c r="B582" s="4" t="str">
        <f>TEXT(Data!B582,"MMM-YYYY")</f>
        <v>Jun-2023</v>
      </c>
      <c r="C582" s="4" t="str">
        <f t="shared" si="48"/>
        <v>Oct-2025</v>
      </c>
      <c r="D582" s="12">
        <f t="shared" si="49"/>
        <v>45942</v>
      </c>
      <c r="E582" s="4" t="str">
        <f t="shared" si="45"/>
        <v>Q4-2025</v>
      </c>
      <c r="F582" t="s">
        <v>16</v>
      </c>
      <c r="G582" t="s">
        <v>17</v>
      </c>
      <c r="H582" t="s">
        <v>135</v>
      </c>
      <c r="I582" t="s">
        <v>42</v>
      </c>
      <c r="J582" s="7" t="str">
        <f t="shared" si="46"/>
        <v>High</v>
      </c>
      <c r="K582" s="4">
        <v>486.13</v>
      </c>
      <c r="L582" s="4">
        <v>486.13</v>
      </c>
      <c r="M582" s="4">
        <v>0.13200000000000001</v>
      </c>
      <c r="N582" s="4">
        <v>17</v>
      </c>
      <c r="O582" s="4">
        <f t="shared" si="47"/>
        <v>20722.29348</v>
      </c>
    </row>
    <row r="583" spans="1:15" x14ac:dyDescent="0.3">
      <c r="A583" s="11">
        <v>45943</v>
      </c>
      <c r="B583" s="4" t="str">
        <f>TEXT(Data!B583,"MMM-YYYY")</f>
        <v>Jan-2023</v>
      </c>
      <c r="C583" s="4" t="str">
        <f t="shared" si="48"/>
        <v>Oct-2025</v>
      </c>
      <c r="D583" s="12">
        <f t="shared" si="49"/>
        <v>45943</v>
      </c>
      <c r="E583" s="4" t="str">
        <f t="shared" si="45"/>
        <v>Q4-2025</v>
      </c>
      <c r="F583" t="s">
        <v>52</v>
      </c>
      <c r="G583" t="s">
        <v>73</v>
      </c>
      <c r="H583" t="s">
        <v>87</v>
      </c>
      <c r="I583" t="s">
        <v>22</v>
      </c>
      <c r="J583" s="7" t="str">
        <f t="shared" si="46"/>
        <v>High</v>
      </c>
      <c r="K583" s="4">
        <v>2066.6</v>
      </c>
      <c r="L583" s="4">
        <v>2066.6</v>
      </c>
      <c r="M583" s="4">
        <v>0.01</v>
      </c>
      <c r="N583" s="4">
        <v>3</v>
      </c>
      <c r="O583" s="4">
        <f t="shared" si="47"/>
        <v>10661.9733</v>
      </c>
    </row>
    <row r="584" spans="1:15" x14ac:dyDescent="0.3">
      <c r="A584" s="11">
        <v>45944</v>
      </c>
      <c r="B584" s="4" t="str">
        <f>TEXT(Data!B584,"MMM-YYYY")</f>
        <v>Sep-2024</v>
      </c>
      <c r="C584" s="4" t="str">
        <f t="shared" si="48"/>
        <v>Oct-2025</v>
      </c>
      <c r="D584" s="12">
        <f t="shared" si="49"/>
        <v>45944</v>
      </c>
      <c r="E584" s="4" t="str">
        <f t="shared" si="45"/>
        <v>Q4-2025</v>
      </c>
      <c r="F584" t="s">
        <v>52</v>
      </c>
      <c r="G584" t="s">
        <v>73</v>
      </c>
      <c r="H584" t="s">
        <v>87</v>
      </c>
      <c r="I584" t="s">
        <v>64</v>
      </c>
      <c r="J584" s="7" t="str">
        <f t="shared" si="46"/>
        <v>Medium</v>
      </c>
      <c r="K584" s="4">
        <v>86.2</v>
      </c>
      <c r="L584" s="4">
        <v>86.2</v>
      </c>
      <c r="M584" s="4">
        <v>0.22600000000000001</v>
      </c>
      <c r="N584" s="4">
        <v>27</v>
      </c>
      <c r="O584" s="4">
        <f t="shared" si="47"/>
        <v>4879.8919799999994</v>
      </c>
    </row>
    <row r="585" spans="1:15" x14ac:dyDescent="0.3">
      <c r="A585" s="11">
        <v>45945</v>
      </c>
      <c r="B585" s="4" t="str">
        <f>TEXT(Data!B585,"MMM-YYYY")</f>
        <v>Aug-2024</v>
      </c>
      <c r="C585" s="4" t="str">
        <f t="shared" si="48"/>
        <v>Oct-2025</v>
      </c>
      <c r="D585" s="12">
        <f t="shared" si="49"/>
        <v>45945</v>
      </c>
      <c r="E585" s="4" t="str">
        <f t="shared" si="45"/>
        <v>Q4-2025</v>
      </c>
      <c r="F585" t="s">
        <v>45</v>
      </c>
      <c r="G585" t="s">
        <v>46</v>
      </c>
      <c r="H585" t="s">
        <v>47</v>
      </c>
      <c r="I585" t="s">
        <v>57</v>
      </c>
      <c r="J585" s="7" t="str">
        <f t="shared" si="46"/>
        <v>High</v>
      </c>
      <c r="K585" s="4">
        <v>2307.75</v>
      </c>
      <c r="L585" s="4">
        <v>2307.75</v>
      </c>
      <c r="M585" s="4">
        <v>0.16300000000000001</v>
      </c>
      <c r="N585" s="4">
        <v>21</v>
      </c>
      <c r="O585" s="4">
        <f t="shared" si="47"/>
        <v>2183.9422500000001</v>
      </c>
    </row>
    <row r="586" spans="1:15" x14ac:dyDescent="0.3">
      <c r="A586" s="11">
        <v>45946</v>
      </c>
      <c r="B586" s="4" t="str">
        <f>TEXT(Data!B586,"MMM-YYYY")</f>
        <v>Apr-2025</v>
      </c>
      <c r="C586" s="4" t="str">
        <f t="shared" si="48"/>
        <v>Oct-2025</v>
      </c>
      <c r="D586" s="12">
        <f t="shared" si="49"/>
        <v>45946</v>
      </c>
      <c r="E586" s="4" t="str">
        <f t="shared" si="45"/>
        <v>Q4-2025</v>
      </c>
      <c r="F586" t="s">
        <v>16</v>
      </c>
      <c r="G586" t="s">
        <v>17</v>
      </c>
      <c r="H586" t="s">
        <v>113</v>
      </c>
      <c r="I586" t="s">
        <v>57</v>
      </c>
      <c r="J586" s="7" t="str">
        <f t="shared" si="46"/>
        <v>High</v>
      </c>
      <c r="K586" s="4">
        <v>1112.81</v>
      </c>
      <c r="L586" s="4">
        <v>1112.81</v>
      </c>
      <c r="M586" s="4">
        <v>0.14099999999999999</v>
      </c>
      <c r="N586" s="4">
        <v>4</v>
      </c>
      <c r="O586" s="4">
        <f t="shared" si="47"/>
        <v>4918.1873199999991</v>
      </c>
    </row>
    <row r="587" spans="1:15" x14ac:dyDescent="0.3">
      <c r="A587" s="11">
        <v>45947</v>
      </c>
      <c r="B587" s="4" t="str">
        <f>TEXT(Data!B587,"MMM-YYYY")</f>
        <v>May-2023</v>
      </c>
      <c r="C587" s="4" t="str">
        <f t="shared" si="48"/>
        <v>Oct-2025</v>
      </c>
      <c r="D587" s="12">
        <f t="shared" si="49"/>
        <v>45947</v>
      </c>
      <c r="E587" s="4" t="str">
        <f t="shared" si="45"/>
        <v>Q4-2025</v>
      </c>
      <c r="F587" t="s">
        <v>52</v>
      </c>
      <c r="G587" t="s">
        <v>73</v>
      </c>
      <c r="H587" t="s">
        <v>74</v>
      </c>
      <c r="I587" t="s">
        <v>42</v>
      </c>
      <c r="J587" s="7" t="str">
        <f t="shared" si="46"/>
        <v>High</v>
      </c>
      <c r="K587" s="4">
        <v>1125.99</v>
      </c>
      <c r="L587" s="4">
        <v>1125.99</v>
      </c>
      <c r="M587" s="4">
        <v>4.1000000000000002E-2</v>
      </c>
      <c r="N587" s="4">
        <v>21</v>
      </c>
      <c r="O587" s="4">
        <f t="shared" si="47"/>
        <v>32132.177279999996</v>
      </c>
    </row>
    <row r="588" spans="1:15" x14ac:dyDescent="0.3">
      <c r="A588" s="11">
        <v>45948</v>
      </c>
      <c r="B588" s="4" t="str">
        <f>TEXT(Data!B588,"MMM-YYYY")</f>
        <v>Mar-2024</v>
      </c>
      <c r="C588" s="4" t="str">
        <f t="shared" si="48"/>
        <v>Oct-2025</v>
      </c>
      <c r="D588" s="12">
        <f t="shared" si="49"/>
        <v>45948</v>
      </c>
      <c r="E588" s="4" t="str">
        <f t="shared" si="45"/>
        <v>Q4-2025</v>
      </c>
      <c r="F588" t="s">
        <v>52</v>
      </c>
      <c r="G588" t="s">
        <v>122</v>
      </c>
      <c r="H588" t="s">
        <v>387</v>
      </c>
      <c r="I588" t="s">
        <v>42</v>
      </c>
      <c r="J588" s="7" t="str">
        <f t="shared" si="46"/>
        <v>Medium</v>
      </c>
      <c r="K588" s="4">
        <v>123.62</v>
      </c>
      <c r="L588" s="4">
        <v>123.62</v>
      </c>
      <c r="M588" s="4">
        <v>0</v>
      </c>
      <c r="N588" s="4">
        <v>3</v>
      </c>
      <c r="O588" s="4">
        <f t="shared" si="47"/>
        <v>3085.38</v>
      </c>
    </row>
    <row r="589" spans="1:15" x14ac:dyDescent="0.3">
      <c r="A589" s="11">
        <v>45949</v>
      </c>
      <c r="B589" s="4" t="str">
        <f>TEXT(Data!B589,"MMM-YYYY")</f>
        <v>Jun-2024</v>
      </c>
      <c r="C589" s="4" t="str">
        <f t="shared" si="48"/>
        <v>Oct-2025</v>
      </c>
      <c r="D589" s="12">
        <f t="shared" si="49"/>
        <v>45949</v>
      </c>
      <c r="E589" s="4" t="str">
        <f t="shared" si="45"/>
        <v>Q4-2025</v>
      </c>
      <c r="F589" t="s">
        <v>16</v>
      </c>
      <c r="G589" t="s">
        <v>25</v>
      </c>
      <c r="H589" t="s">
        <v>67</v>
      </c>
      <c r="I589" t="s">
        <v>22</v>
      </c>
      <c r="J589" s="7" t="str">
        <f t="shared" si="46"/>
        <v>High</v>
      </c>
      <c r="K589" s="4">
        <v>1731.75</v>
      </c>
      <c r="L589" s="4">
        <v>1731.75</v>
      </c>
      <c r="M589" s="4">
        <v>9.2999999999999999E-2</v>
      </c>
      <c r="N589" s="4">
        <v>16</v>
      </c>
      <c r="O589" s="4">
        <f t="shared" si="47"/>
        <v>46878.839200000002</v>
      </c>
    </row>
    <row r="590" spans="1:15" x14ac:dyDescent="0.3">
      <c r="A590" s="11">
        <v>45950</v>
      </c>
      <c r="B590" s="4" t="str">
        <f>TEXT(Data!B590,"MMM-YYYY")</f>
        <v>Feb-2025</v>
      </c>
      <c r="C590" s="4" t="str">
        <f t="shared" si="48"/>
        <v>Oct-2025</v>
      </c>
      <c r="D590" s="12">
        <f t="shared" si="49"/>
        <v>45950</v>
      </c>
      <c r="E590" s="4" t="str">
        <f t="shared" si="45"/>
        <v>Q4-2025</v>
      </c>
      <c r="F590" t="s">
        <v>45</v>
      </c>
      <c r="G590" t="s">
        <v>46</v>
      </c>
      <c r="H590" t="s">
        <v>214</v>
      </c>
      <c r="I590" t="s">
        <v>42</v>
      </c>
      <c r="J590" s="7" t="str">
        <f t="shared" si="46"/>
        <v>High</v>
      </c>
      <c r="K590" s="4">
        <v>3062.01</v>
      </c>
      <c r="L590" s="4">
        <v>3062.01</v>
      </c>
      <c r="M590" s="4">
        <v>0.10299999999999999</v>
      </c>
      <c r="N590" s="4">
        <v>25</v>
      </c>
      <c r="O590" s="4">
        <f t="shared" si="47"/>
        <v>62557.004249999998</v>
      </c>
    </row>
    <row r="591" spans="1:15" x14ac:dyDescent="0.3">
      <c r="A591" s="11">
        <v>45951</v>
      </c>
      <c r="B591" s="4" t="str">
        <f>TEXT(Data!B591,"MMM-YYYY")</f>
        <v>Apr-2023</v>
      </c>
      <c r="C591" s="4" t="str">
        <f t="shared" si="48"/>
        <v>Oct-2025</v>
      </c>
      <c r="D591" s="12">
        <f t="shared" si="49"/>
        <v>45951</v>
      </c>
      <c r="E591" s="4" t="str">
        <f t="shared" si="45"/>
        <v>Q4-2025</v>
      </c>
      <c r="F591" t="s">
        <v>78</v>
      </c>
      <c r="G591" t="s">
        <v>90</v>
      </c>
      <c r="H591" t="s">
        <v>138</v>
      </c>
      <c r="I591" t="s">
        <v>81</v>
      </c>
      <c r="J591" s="7" t="str">
        <f t="shared" si="46"/>
        <v>High</v>
      </c>
      <c r="K591" s="4">
        <v>2200.41</v>
      </c>
      <c r="L591" s="4">
        <v>2200.41</v>
      </c>
      <c r="M591" s="4">
        <v>8.7999999999999995E-2</v>
      </c>
      <c r="N591" s="4">
        <v>6</v>
      </c>
      <c r="O591" s="4">
        <f t="shared" si="47"/>
        <v>10384.433280000001</v>
      </c>
    </row>
    <row r="592" spans="1:15" x14ac:dyDescent="0.3">
      <c r="A592" s="11">
        <v>45952</v>
      </c>
      <c r="B592" s="4" t="str">
        <f>TEXT(Data!B592,"MMM-YYYY")</f>
        <v>Aug-2025</v>
      </c>
      <c r="C592" s="4" t="str">
        <f t="shared" si="48"/>
        <v>Oct-2025</v>
      </c>
      <c r="D592" s="12">
        <f t="shared" si="49"/>
        <v>45952</v>
      </c>
      <c r="E592" s="4" t="str">
        <f t="shared" si="45"/>
        <v>Q4-2025</v>
      </c>
      <c r="F592" t="s">
        <v>78</v>
      </c>
      <c r="G592" t="s">
        <v>90</v>
      </c>
      <c r="H592" t="s">
        <v>91</v>
      </c>
      <c r="I592" t="s">
        <v>81</v>
      </c>
      <c r="J592" s="7" t="str">
        <f t="shared" si="46"/>
        <v>High</v>
      </c>
      <c r="K592" s="4">
        <v>601.49</v>
      </c>
      <c r="L592" s="4">
        <v>601.49</v>
      </c>
      <c r="M592" s="4">
        <v>0</v>
      </c>
      <c r="N592" s="4">
        <v>15</v>
      </c>
      <c r="O592" s="4">
        <f t="shared" si="47"/>
        <v>13537.050000000001</v>
      </c>
    </row>
    <row r="593" spans="1:15" x14ac:dyDescent="0.3">
      <c r="A593" s="11">
        <v>45953</v>
      </c>
      <c r="B593" s="4" t="str">
        <f>TEXT(Data!B593,"MMM-YYYY")</f>
        <v>Feb-2023</v>
      </c>
      <c r="C593" s="4" t="str">
        <f t="shared" si="48"/>
        <v>Oct-2025</v>
      </c>
      <c r="D593" s="12">
        <f t="shared" si="49"/>
        <v>45953</v>
      </c>
      <c r="E593" s="4" t="str">
        <f t="shared" si="45"/>
        <v>Q4-2025</v>
      </c>
      <c r="F593" t="s">
        <v>78</v>
      </c>
      <c r="G593" t="s">
        <v>90</v>
      </c>
      <c r="H593" t="s">
        <v>91</v>
      </c>
      <c r="I593" t="s">
        <v>22</v>
      </c>
      <c r="J593" s="7" t="str">
        <f t="shared" si="46"/>
        <v>High</v>
      </c>
      <c r="K593" s="4">
        <v>947.77</v>
      </c>
      <c r="L593" s="4">
        <v>947.77</v>
      </c>
      <c r="M593" s="4">
        <v>0.17399999999999999</v>
      </c>
      <c r="N593" s="4">
        <v>15</v>
      </c>
      <c r="O593" s="4">
        <f t="shared" si="47"/>
        <v>-417.04740000000004</v>
      </c>
    </row>
    <row r="594" spans="1:15" x14ac:dyDescent="0.3">
      <c r="A594" s="11">
        <v>45954</v>
      </c>
      <c r="B594" s="4" t="str">
        <f>TEXT(Data!B594,"MMM-YYYY")</f>
        <v>Jul-2024</v>
      </c>
      <c r="C594" s="4" t="str">
        <f t="shared" si="48"/>
        <v>Oct-2025</v>
      </c>
      <c r="D594" s="12">
        <f t="shared" si="49"/>
        <v>45954</v>
      </c>
      <c r="E594" s="4" t="str">
        <f t="shared" si="45"/>
        <v>Q4-2025</v>
      </c>
      <c r="F594" t="s">
        <v>52</v>
      </c>
      <c r="G594" t="s">
        <v>122</v>
      </c>
      <c r="H594" t="s">
        <v>167</v>
      </c>
      <c r="I594" t="s">
        <v>35</v>
      </c>
      <c r="J594" s="7" t="str">
        <f t="shared" si="46"/>
        <v>High</v>
      </c>
      <c r="K594" s="4">
        <v>2331.48</v>
      </c>
      <c r="L594" s="4">
        <v>2331.48</v>
      </c>
      <c r="M594" s="4">
        <v>0.14599999999999999</v>
      </c>
      <c r="N594" s="4">
        <v>26</v>
      </c>
      <c r="O594" s="4">
        <f t="shared" si="47"/>
        <v>24128.64272</v>
      </c>
    </row>
    <row r="595" spans="1:15" x14ac:dyDescent="0.3">
      <c r="A595" s="11">
        <v>45955</v>
      </c>
      <c r="B595" s="4" t="str">
        <f>TEXT(Data!B595,"MMM-YYYY")</f>
        <v>Jun-2025</v>
      </c>
      <c r="C595" s="4" t="str">
        <f t="shared" si="48"/>
        <v>Oct-2025</v>
      </c>
      <c r="D595" s="12">
        <f t="shared" si="49"/>
        <v>45955</v>
      </c>
      <c r="E595" s="4" t="str">
        <f t="shared" si="45"/>
        <v>Q4-2025</v>
      </c>
      <c r="F595" t="s">
        <v>45</v>
      </c>
      <c r="G595" t="s">
        <v>46</v>
      </c>
      <c r="H595" t="s">
        <v>214</v>
      </c>
      <c r="I595" t="s">
        <v>64</v>
      </c>
      <c r="J595" s="7" t="str">
        <f t="shared" si="46"/>
        <v>High</v>
      </c>
      <c r="K595" s="4">
        <v>1417.24</v>
      </c>
      <c r="L595" s="4">
        <v>1417.24</v>
      </c>
      <c r="M595" s="4">
        <v>0.192</v>
      </c>
      <c r="N595" s="4">
        <v>5</v>
      </c>
      <c r="O595" s="4">
        <f t="shared" si="47"/>
        <v>4083.4300000000003</v>
      </c>
    </row>
    <row r="596" spans="1:15" x14ac:dyDescent="0.3">
      <c r="A596" s="11">
        <v>45956</v>
      </c>
      <c r="B596" s="4" t="str">
        <f>TEXT(Data!B596,"MMM-YYYY")</f>
        <v>Jun-2024</v>
      </c>
      <c r="C596" s="4" t="str">
        <f t="shared" si="48"/>
        <v>Oct-2025</v>
      </c>
      <c r="D596" s="12">
        <f t="shared" si="49"/>
        <v>45956</v>
      </c>
      <c r="E596" s="4" t="str">
        <f t="shared" si="45"/>
        <v>Q4-2025</v>
      </c>
      <c r="F596" t="s">
        <v>78</v>
      </c>
      <c r="G596" t="s">
        <v>90</v>
      </c>
      <c r="H596" t="s">
        <v>91</v>
      </c>
      <c r="I596" t="s">
        <v>81</v>
      </c>
      <c r="J596" s="7" t="str">
        <f t="shared" si="46"/>
        <v>High</v>
      </c>
      <c r="K596" s="4">
        <v>699.5</v>
      </c>
      <c r="L596" s="4">
        <v>699.5</v>
      </c>
      <c r="M596" s="4">
        <v>0.08</v>
      </c>
      <c r="N596" s="4">
        <v>13</v>
      </c>
      <c r="O596" s="4">
        <f t="shared" si="47"/>
        <v>4921.3008</v>
      </c>
    </row>
    <row r="597" spans="1:15" x14ac:dyDescent="0.3">
      <c r="A597" s="11">
        <v>45957</v>
      </c>
      <c r="B597" s="4" t="str">
        <f>TEXT(Data!B597,"MMM-YYYY")</f>
        <v>Feb-2025</v>
      </c>
      <c r="C597" s="4" t="str">
        <f t="shared" si="48"/>
        <v>Oct-2025</v>
      </c>
      <c r="D597" s="12">
        <f t="shared" si="49"/>
        <v>45957</v>
      </c>
      <c r="E597" s="4" t="str">
        <f t="shared" si="45"/>
        <v>Q4-2025</v>
      </c>
      <c r="F597" t="s">
        <v>16</v>
      </c>
      <c r="G597" t="s">
        <v>17</v>
      </c>
      <c r="H597" t="s">
        <v>18</v>
      </c>
      <c r="I597" t="s">
        <v>57</v>
      </c>
      <c r="J597" s="7" t="str">
        <f t="shared" si="46"/>
        <v>High</v>
      </c>
      <c r="K597" s="4">
        <v>1787.2</v>
      </c>
      <c r="L597" s="4">
        <v>1787.2</v>
      </c>
      <c r="M597" s="4">
        <v>7.2999999999999995E-2</v>
      </c>
      <c r="N597" s="4">
        <v>9</v>
      </c>
      <c r="O597" s="4">
        <f t="shared" si="47"/>
        <v>3448.4956200000001</v>
      </c>
    </row>
    <row r="598" spans="1:15" x14ac:dyDescent="0.3">
      <c r="A598" s="11">
        <v>45958</v>
      </c>
      <c r="B598" s="4" t="str">
        <f>TEXT(Data!B598,"MMM-YYYY")</f>
        <v>Jan-2023</v>
      </c>
      <c r="C598" s="4" t="str">
        <f t="shared" si="48"/>
        <v>Oct-2025</v>
      </c>
      <c r="D598" s="12">
        <f t="shared" si="49"/>
        <v>45958</v>
      </c>
      <c r="E598" s="4" t="str">
        <f t="shared" si="45"/>
        <v>Q4-2025</v>
      </c>
      <c r="F598" t="s">
        <v>52</v>
      </c>
      <c r="G598" t="s">
        <v>53</v>
      </c>
      <c r="H598" t="s">
        <v>54</v>
      </c>
      <c r="I598" t="s">
        <v>22</v>
      </c>
      <c r="J598" s="7" t="str">
        <f t="shared" si="46"/>
        <v>High</v>
      </c>
      <c r="K598" s="4">
        <v>1698.75</v>
      </c>
      <c r="L598" s="4">
        <v>1698.75</v>
      </c>
      <c r="M598" s="4">
        <v>4.2999999999999997E-2</v>
      </c>
      <c r="N598" s="4">
        <v>5</v>
      </c>
      <c r="O598" s="4">
        <f t="shared" si="47"/>
        <v>7459.2886500000004</v>
      </c>
    </row>
    <row r="599" spans="1:15" x14ac:dyDescent="0.3">
      <c r="A599" s="11">
        <v>45959</v>
      </c>
      <c r="B599" s="4" t="str">
        <f>TEXT(Data!B599,"MMM-YYYY")</f>
        <v>Mar-2025</v>
      </c>
      <c r="C599" s="4" t="str">
        <f t="shared" si="48"/>
        <v>Oct-2025</v>
      </c>
      <c r="D599" s="12">
        <f t="shared" si="49"/>
        <v>45959</v>
      </c>
      <c r="E599" s="4" t="str">
        <f t="shared" si="45"/>
        <v>Q4-2025</v>
      </c>
      <c r="F599" t="s">
        <v>16</v>
      </c>
      <c r="G599" t="s">
        <v>148</v>
      </c>
      <c r="H599" t="s">
        <v>258</v>
      </c>
      <c r="I599" t="s">
        <v>30</v>
      </c>
      <c r="J599" s="7" t="str">
        <f t="shared" si="46"/>
        <v>High</v>
      </c>
      <c r="K599" s="4">
        <v>724.7</v>
      </c>
      <c r="L599" s="4">
        <v>724.7</v>
      </c>
      <c r="M599" s="4">
        <v>0.14000000000000001</v>
      </c>
      <c r="N599" s="4">
        <v>5</v>
      </c>
      <c r="O599" s="4">
        <f t="shared" si="47"/>
        <v>3702.9880000000003</v>
      </c>
    </row>
    <row r="600" spans="1:15" x14ac:dyDescent="0.3">
      <c r="A600" s="11">
        <v>45960</v>
      </c>
      <c r="B600" s="4" t="str">
        <f>TEXT(Data!B600,"MMM-YYYY")</f>
        <v>Aug-2024</v>
      </c>
      <c r="C600" s="4" t="str">
        <f t="shared" si="48"/>
        <v>Oct-2025</v>
      </c>
      <c r="D600" s="12">
        <f t="shared" si="49"/>
        <v>45960</v>
      </c>
      <c r="E600" s="4" t="str">
        <f t="shared" si="45"/>
        <v>Q4-2025</v>
      </c>
      <c r="F600" t="s">
        <v>45</v>
      </c>
      <c r="G600" t="s">
        <v>46</v>
      </c>
      <c r="H600" t="s">
        <v>47</v>
      </c>
      <c r="I600" t="s">
        <v>30</v>
      </c>
      <c r="J600" s="7" t="str">
        <f t="shared" si="46"/>
        <v>High</v>
      </c>
      <c r="K600" s="4">
        <v>1355.94</v>
      </c>
      <c r="L600" s="4">
        <v>1355.94</v>
      </c>
      <c r="M600" s="4">
        <v>0.187</v>
      </c>
      <c r="N600" s="4">
        <v>4</v>
      </c>
      <c r="O600" s="4">
        <f t="shared" si="47"/>
        <v>7467.4049999999997</v>
      </c>
    </row>
    <row r="601" spans="1:15" x14ac:dyDescent="0.3">
      <c r="A601" s="11">
        <v>45961</v>
      </c>
      <c r="B601" s="4" t="str">
        <f>TEXT(Data!B601,"MMM-YYYY")</f>
        <v>Mar-2024</v>
      </c>
      <c r="C601" s="4" t="str">
        <f t="shared" si="48"/>
        <v>Oct-2025</v>
      </c>
      <c r="D601" s="12">
        <f t="shared" si="49"/>
        <v>45961</v>
      </c>
      <c r="E601" s="4" t="str">
        <f t="shared" si="45"/>
        <v>Q4-2025</v>
      </c>
      <c r="F601" t="s">
        <v>52</v>
      </c>
      <c r="G601" t="s">
        <v>73</v>
      </c>
      <c r="H601" t="s">
        <v>225</v>
      </c>
      <c r="I601" t="s">
        <v>64</v>
      </c>
      <c r="J601" s="7" t="str">
        <f t="shared" si="46"/>
        <v>High</v>
      </c>
      <c r="K601" s="4">
        <v>275.07</v>
      </c>
      <c r="L601" s="4">
        <v>275.07</v>
      </c>
      <c r="M601" s="4">
        <v>0.13300000000000001</v>
      </c>
      <c r="N601" s="4">
        <v>25</v>
      </c>
      <c r="O601" s="4">
        <f t="shared" si="47"/>
        <v>57148.305</v>
      </c>
    </row>
    <row r="602" spans="1:15" x14ac:dyDescent="0.3">
      <c r="A602" s="11">
        <v>45962</v>
      </c>
      <c r="B602" s="4" t="str">
        <f>TEXT(Data!B602,"MMM-YYYY")</f>
        <v>Aug-2024</v>
      </c>
      <c r="C602" s="4" t="str">
        <f t="shared" si="48"/>
        <v>Nov-2025</v>
      </c>
      <c r="D602" s="12">
        <f t="shared" si="49"/>
        <v>45962</v>
      </c>
      <c r="E602" s="4" t="str">
        <f t="shared" si="45"/>
        <v>Q4-2025</v>
      </c>
      <c r="F602" t="s">
        <v>78</v>
      </c>
      <c r="G602" t="s">
        <v>108</v>
      </c>
      <c r="H602" t="s">
        <v>228</v>
      </c>
      <c r="I602" t="s">
        <v>57</v>
      </c>
      <c r="J602" s="7" t="str">
        <f t="shared" si="46"/>
        <v>High</v>
      </c>
      <c r="K602" s="4">
        <v>1802.44</v>
      </c>
      <c r="L602" s="4">
        <v>1802.44</v>
      </c>
      <c r="M602" s="4">
        <v>8.9999999999999993E-3</v>
      </c>
      <c r="N602" s="4">
        <v>19</v>
      </c>
      <c r="O602" s="4">
        <f t="shared" si="47"/>
        <v>18416.456609999997</v>
      </c>
    </row>
    <row r="603" spans="1:15" x14ac:dyDescent="0.3">
      <c r="A603" s="11">
        <v>45963</v>
      </c>
      <c r="B603" s="4" t="str">
        <f>TEXT(Data!B603,"MMM-YYYY")</f>
        <v>Aug-2025</v>
      </c>
      <c r="C603" s="4" t="str">
        <f t="shared" si="48"/>
        <v>Nov-2025</v>
      </c>
      <c r="D603" s="12">
        <f t="shared" si="49"/>
        <v>45963</v>
      </c>
      <c r="E603" s="4" t="str">
        <f t="shared" si="45"/>
        <v>Q4-2025</v>
      </c>
      <c r="F603" t="s">
        <v>52</v>
      </c>
      <c r="G603" t="s">
        <v>53</v>
      </c>
      <c r="H603" t="s">
        <v>54</v>
      </c>
      <c r="I603" t="s">
        <v>30</v>
      </c>
      <c r="J603" s="7" t="str">
        <f t="shared" si="46"/>
        <v>High</v>
      </c>
      <c r="K603" s="4">
        <v>1269.78</v>
      </c>
      <c r="L603" s="4">
        <v>1269.78</v>
      </c>
      <c r="M603" s="4">
        <v>0.16</v>
      </c>
      <c r="N603" s="4">
        <v>7</v>
      </c>
      <c r="O603" s="4">
        <f t="shared" si="47"/>
        <v>3208.8335999999999</v>
      </c>
    </row>
    <row r="604" spans="1:15" x14ac:dyDescent="0.3">
      <c r="A604" s="11">
        <v>45964</v>
      </c>
      <c r="B604" s="4" t="str">
        <f>TEXT(Data!B604,"MMM-YYYY")</f>
        <v>May-2025</v>
      </c>
      <c r="C604" s="4" t="str">
        <f t="shared" si="48"/>
        <v>Nov-2025</v>
      </c>
      <c r="D604" s="12">
        <f t="shared" si="49"/>
        <v>45964</v>
      </c>
      <c r="E604" s="4" t="str">
        <f t="shared" si="45"/>
        <v>Q4-2025</v>
      </c>
      <c r="F604" t="s">
        <v>78</v>
      </c>
      <c r="G604" t="s">
        <v>90</v>
      </c>
      <c r="H604" t="s">
        <v>217</v>
      </c>
      <c r="I604" t="s">
        <v>35</v>
      </c>
      <c r="J604" s="7" t="str">
        <f t="shared" si="46"/>
        <v>High</v>
      </c>
      <c r="K604" s="4">
        <v>571.9</v>
      </c>
      <c r="L604" s="4">
        <v>571.9</v>
      </c>
      <c r="M604" s="4">
        <v>7.0999999999999994E-2</v>
      </c>
      <c r="N604" s="4">
        <v>2</v>
      </c>
      <c r="O604" s="4">
        <f t="shared" si="47"/>
        <v>2667.2333200000003</v>
      </c>
    </row>
    <row r="605" spans="1:15" x14ac:dyDescent="0.3">
      <c r="A605" s="11">
        <v>45965</v>
      </c>
      <c r="B605" s="4" t="str">
        <f>TEXT(Data!B605,"MMM-YYYY")</f>
        <v>Apr-2023</v>
      </c>
      <c r="C605" s="4" t="str">
        <f t="shared" si="48"/>
        <v>Nov-2025</v>
      </c>
      <c r="D605" s="12">
        <f t="shared" si="49"/>
        <v>45965</v>
      </c>
      <c r="E605" s="4" t="str">
        <f t="shared" si="45"/>
        <v>Q4-2025</v>
      </c>
      <c r="F605" t="s">
        <v>45</v>
      </c>
      <c r="G605" t="s">
        <v>46</v>
      </c>
      <c r="H605" t="s">
        <v>214</v>
      </c>
      <c r="I605" t="s">
        <v>30</v>
      </c>
      <c r="J605" s="7" t="str">
        <f t="shared" si="46"/>
        <v>High</v>
      </c>
      <c r="K605" s="4">
        <v>2755.04</v>
      </c>
      <c r="L605" s="4">
        <v>2755.04</v>
      </c>
      <c r="M605" s="4">
        <v>0.15</v>
      </c>
      <c r="N605" s="4">
        <v>17</v>
      </c>
      <c r="O605" s="4">
        <f t="shared" si="47"/>
        <v>34640.985000000001</v>
      </c>
    </row>
    <row r="606" spans="1:15" x14ac:dyDescent="0.3">
      <c r="A606" s="11">
        <v>45966</v>
      </c>
      <c r="B606" s="4" t="str">
        <f>TEXT(Data!B606,"MMM-YYYY")</f>
        <v>Sep-2023</v>
      </c>
      <c r="C606" s="4" t="str">
        <f t="shared" si="48"/>
        <v>Nov-2025</v>
      </c>
      <c r="D606" s="12">
        <f t="shared" si="49"/>
        <v>45966</v>
      </c>
      <c r="E606" s="4" t="str">
        <f t="shared" si="45"/>
        <v>Q4-2025</v>
      </c>
      <c r="F606" t="s">
        <v>78</v>
      </c>
      <c r="G606" t="s">
        <v>108</v>
      </c>
      <c r="H606" t="s">
        <v>152</v>
      </c>
      <c r="I606" t="s">
        <v>30</v>
      </c>
      <c r="J606" s="7" t="str">
        <f t="shared" si="46"/>
        <v>High</v>
      </c>
      <c r="K606" s="4">
        <v>962.51</v>
      </c>
      <c r="L606" s="4">
        <v>962.51</v>
      </c>
      <c r="M606" s="4">
        <v>0.19</v>
      </c>
      <c r="N606" s="4">
        <v>7</v>
      </c>
      <c r="O606" s="4">
        <f t="shared" si="47"/>
        <v>10511.386199999999</v>
      </c>
    </row>
    <row r="607" spans="1:15" x14ac:dyDescent="0.3">
      <c r="A607" s="11">
        <v>45967</v>
      </c>
      <c r="B607" s="4" t="str">
        <f>TEXT(Data!B607,"MMM-YYYY")</f>
        <v>Apr-2023</v>
      </c>
      <c r="C607" s="4" t="str">
        <f t="shared" si="48"/>
        <v>Nov-2025</v>
      </c>
      <c r="D607" s="12">
        <f t="shared" si="49"/>
        <v>45967</v>
      </c>
      <c r="E607" s="4" t="str">
        <f t="shared" si="45"/>
        <v>Q4-2025</v>
      </c>
      <c r="F607" t="s">
        <v>52</v>
      </c>
      <c r="G607" t="s">
        <v>73</v>
      </c>
      <c r="H607" t="s">
        <v>225</v>
      </c>
      <c r="I607" t="s">
        <v>57</v>
      </c>
      <c r="J607" s="7" t="str">
        <f t="shared" si="46"/>
        <v>High</v>
      </c>
      <c r="K607" s="4">
        <v>668.27</v>
      </c>
      <c r="L607" s="4">
        <v>668.27</v>
      </c>
      <c r="M607" s="4">
        <v>0.186</v>
      </c>
      <c r="N607" s="4">
        <v>13</v>
      </c>
      <c r="O607" s="4">
        <f t="shared" si="47"/>
        <v>486.56036000000006</v>
      </c>
    </row>
    <row r="608" spans="1:15" x14ac:dyDescent="0.3">
      <c r="A608" s="11">
        <v>45968</v>
      </c>
      <c r="B608" s="4" t="str">
        <f>TEXT(Data!B608,"MMM-YYYY")</f>
        <v>Jun-2025</v>
      </c>
      <c r="C608" s="4" t="str">
        <f t="shared" si="48"/>
        <v>Nov-2025</v>
      </c>
      <c r="D608" s="12">
        <f t="shared" si="49"/>
        <v>45968</v>
      </c>
      <c r="E608" s="4" t="str">
        <f t="shared" si="45"/>
        <v>Q4-2025</v>
      </c>
      <c r="F608" t="s">
        <v>45</v>
      </c>
      <c r="G608" t="s">
        <v>46</v>
      </c>
      <c r="H608" t="s">
        <v>231</v>
      </c>
      <c r="I608" t="s">
        <v>81</v>
      </c>
      <c r="J608" s="7" t="str">
        <f t="shared" si="46"/>
        <v>High</v>
      </c>
      <c r="K608" s="4">
        <v>1404.33</v>
      </c>
      <c r="L608" s="4">
        <v>1404.33</v>
      </c>
      <c r="M608" s="4">
        <v>0.10299999999999999</v>
      </c>
      <c r="N608" s="4">
        <v>11</v>
      </c>
      <c r="O608" s="4">
        <f t="shared" si="47"/>
        <v>0</v>
      </c>
    </row>
    <row r="609" spans="1:15" x14ac:dyDescent="0.3">
      <c r="A609" s="11">
        <v>45969</v>
      </c>
      <c r="B609" s="4" t="str">
        <f>TEXT(Data!B609,"MMM-YYYY")</f>
        <v>Nov-2024</v>
      </c>
      <c r="C609" s="4" t="str">
        <f t="shared" si="48"/>
        <v>Nov-2025</v>
      </c>
      <c r="D609" s="12">
        <f t="shared" si="49"/>
        <v>45969</v>
      </c>
      <c r="E609" s="4" t="str">
        <f t="shared" si="45"/>
        <v>Q4-2025</v>
      </c>
      <c r="F609" t="s">
        <v>16</v>
      </c>
      <c r="G609" t="s">
        <v>148</v>
      </c>
      <c r="H609" t="s">
        <v>149</v>
      </c>
      <c r="I609" t="s">
        <v>42</v>
      </c>
      <c r="J609" s="7" t="str">
        <f t="shared" si="46"/>
        <v>High</v>
      </c>
      <c r="K609" s="4">
        <v>3589.89</v>
      </c>
      <c r="L609" s="4">
        <v>3589.89</v>
      </c>
      <c r="M609" s="4">
        <v>9.7000000000000003E-2</v>
      </c>
      <c r="N609" s="4">
        <v>9</v>
      </c>
      <c r="O609" s="4">
        <f t="shared" si="47"/>
        <v>0</v>
      </c>
    </row>
    <row r="610" spans="1:15" x14ac:dyDescent="0.3">
      <c r="A610" s="11">
        <v>45970</v>
      </c>
      <c r="B610" s="4" t="str">
        <f>TEXT(Data!B610,"MMM-YYYY")</f>
        <v>Jan-2024</v>
      </c>
      <c r="C610" s="4" t="str">
        <f t="shared" si="48"/>
        <v>Nov-2025</v>
      </c>
      <c r="D610" s="12">
        <f t="shared" si="49"/>
        <v>45970</v>
      </c>
      <c r="E610" s="4" t="str">
        <f t="shared" si="45"/>
        <v>Q4-2025</v>
      </c>
      <c r="F610" t="s">
        <v>16</v>
      </c>
      <c r="G610" t="s">
        <v>17</v>
      </c>
      <c r="H610" t="s">
        <v>113</v>
      </c>
      <c r="I610" t="s">
        <v>30</v>
      </c>
      <c r="J610" s="7" t="str">
        <f t="shared" si="46"/>
        <v>High</v>
      </c>
      <c r="K610" s="4">
        <v>233.51</v>
      </c>
      <c r="L610" s="4">
        <v>233.51</v>
      </c>
      <c r="M610" s="4">
        <v>0.16300000000000001</v>
      </c>
      <c r="N610" s="4">
        <v>14</v>
      </c>
      <c r="O610" s="4">
        <f t="shared" si="47"/>
        <v>0</v>
      </c>
    </row>
    <row r="611" spans="1:15" x14ac:dyDescent="0.3">
      <c r="A611" s="11">
        <v>45971</v>
      </c>
      <c r="B611" s="4" t="str">
        <f>TEXT(Data!B611,"MMM-YYYY")</f>
        <v>Apr-2023</v>
      </c>
      <c r="C611" s="4" t="str">
        <f t="shared" si="48"/>
        <v>Nov-2025</v>
      </c>
      <c r="D611" s="12">
        <f t="shared" si="49"/>
        <v>45971</v>
      </c>
      <c r="E611" s="4" t="str">
        <f t="shared" si="45"/>
        <v>Q4-2025</v>
      </c>
      <c r="F611" t="s">
        <v>16</v>
      </c>
      <c r="G611" t="s">
        <v>148</v>
      </c>
      <c r="H611" t="s">
        <v>258</v>
      </c>
      <c r="I611" t="s">
        <v>22</v>
      </c>
      <c r="J611" s="7" t="str">
        <f t="shared" si="46"/>
        <v>Medium</v>
      </c>
      <c r="K611" s="4">
        <v>124.25</v>
      </c>
      <c r="L611" s="4">
        <v>124.25</v>
      </c>
      <c r="M611" s="4">
        <v>0.12</v>
      </c>
      <c r="N611" s="4">
        <v>19</v>
      </c>
      <c r="O611" s="4">
        <f t="shared" si="47"/>
        <v>0</v>
      </c>
    </row>
    <row r="612" spans="1:15" x14ac:dyDescent="0.3">
      <c r="A612" s="11">
        <v>45972</v>
      </c>
      <c r="B612" s="4" t="str">
        <f>TEXT(Data!B612,"MMM-YYYY")</f>
        <v>Feb-2024</v>
      </c>
      <c r="C612" s="4" t="str">
        <f t="shared" si="48"/>
        <v>Nov-2025</v>
      </c>
      <c r="D612" s="12">
        <f t="shared" si="49"/>
        <v>45972</v>
      </c>
      <c r="E612" s="4" t="str">
        <f t="shared" si="45"/>
        <v>Q4-2025</v>
      </c>
      <c r="F612" t="s">
        <v>52</v>
      </c>
      <c r="G612" t="s">
        <v>122</v>
      </c>
      <c r="H612" t="s">
        <v>326</v>
      </c>
      <c r="I612" t="s">
        <v>30</v>
      </c>
      <c r="J612" s="7" t="str">
        <f t="shared" si="46"/>
        <v>High</v>
      </c>
      <c r="K612" s="4">
        <v>1431.37</v>
      </c>
      <c r="L612" s="4">
        <v>1431.37</v>
      </c>
      <c r="M612" s="4">
        <v>0.104</v>
      </c>
      <c r="N612" s="4">
        <v>8</v>
      </c>
      <c r="O612" s="4">
        <f t="shared" si="47"/>
        <v>0</v>
      </c>
    </row>
    <row r="613" spans="1:15" x14ac:dyDescent="0.3">
      <c r="A613" s="11">
        <v>45973</v>
      </c>
      <c r="B613" s="4" t="str">
        <f>TEXT(Data!B613,"MMM-YYYY")</f>
        <v>Oct-2024</v>
      </c>
      <c r="C613" s="4" t="str">
        <f t="shared" si="48"/>
        <v>Nov-2025</v>
      </c>
      <c r="D613" s="12">
        <f t="shared" si="49"/>
        <v>45973</v>
      </c>
      <c r="E613" s="4" t="str">
        <f t="shared" si="45"/>
        <v>Q4-2025</v>
      </c>
      <c r="F613" t="s">
        <v>52</v>
      </c>
      <c r="G613" t="s">
        <v>122</v>
      </c>
      <c r="H613" t="s">
        <v>326</v>
      </c>
      <c r="I613" t="s">
        <v>30</v>
      </c>
      <c r="J613" s="7" t="str">
        <f t="shared" si="46"/>
        <v>High</v>
      </c>
      <c r="K613" s="4">
        <v>1595.52</v>
      </c>
      <c r="L613" s="4">
        <v>1595.52</v>
      </c>
      <c r="M613" s="4">
        <v>0.19400000000000001</v>
      </c>
      <c r="N613" s="4">
        <v>14</v>
      </c>
      <c r="O613" s="4">
        <f t="shared" si="47"/>
        <v>0</v>
      </c>
    </row>
    <row r="614" spans="1:15" x14ac:dyDescent="0.3">
      <c r="A614" s="11">
        <v>45974</v>
      </c>
      <c r="B614" s="4" t="str">
        <f>TEXT(Data!B614,"MMM-YYYY")</f>
        <v>Jun-2024</v>
      </c>
      <c r="C614" s="4" t="str">
        <f t="shared" si="48"/>
        <v>Nov-2025</v>
      </c>
      <c r="D614" s="12">
        <f t="shared" si="49"/>
        <v>45974</v>
      </c>
      <c r="E614" s="4" t="str">
        <f t="shared" si="45"/>
        <v>Q4-2025</v>
      </c>
      <c r="F614" t="s">
        <v>52</v>
      </c>
      <c r="G614" t="s">
        <v>122</v>
      </c>
      <c r="H614" t="s">
        <v>123</v>
      </c>
      <c r="I614" t="s">
        <v>64</v>
      </c>
      <c r="J614" s="7" t="str">
        <f t="shared" si="46"/>
        <v>High</v>
      </c>
      <c r="K614" s="4">
        <v>1028.46</v>
      </c>
      <c r="L614" s="4">
        <v>1028.46</v>
      </c>
      <c r="M614" s="4">
        <v>0</v>
      </c>
      <c r="N614" s="4">
        <v>9</v>
      </c>
      <c r="O614" s="4">
        <f t="shared" si="47"/>
        <v>0</v>
      </c>
    </row>
    <row r="615" spans="1:15" x14ac:dyDescent="0.3">
      <c r="A615" s="11">
        <v>45975</v>
      </c>
      <c r="B615" s="4" t="str">
        <f>TEXT(Data!B615,"MMM-YYYY")</f>
        <v>Jul-2023</v>
      </c>
      <c r="C615" s="4" t="str">
        <f t="shared" si="48"/>
        <v>Nov-2025</v>
      </c>
      <c r="D615" s="12">
        <f t="shared" si="49"/>
        <v>45975</v>
      </c>
      <c r="E615" s="4" t="str">
        <f t="shared" si="45"/>
        <v>Q4-2025</v>
      </c>
      <c r="F615" t="s">
        <v>16</v>
      </c>
      <c r="G615" t="s">
        <v>17</v>
      </c>
      <c r="H615" t="s">
        <v>18</v>
      </c>
      <c r="I615" t="s">
        <v>35</v>
      </c>
      <c r="J615" s="7" t="str">
        <f t="shared" si="46"/>
        <v>High</v>
      </c>
      <c r="K615" s="4">
        <v>3230.35</v>
      </c>
      <c r="L615" s="4">
        <v>3230.35</v>
      </c>
      <c r="M615" s="4">
        <v>2.1999999999999999E-2</v>
      </c>
      <c r="N615" s="4">
        <v>26</v>
      </c>
      <c r="O615" s="4">
        <f t="shared" si="47"/>
        <v>0</v>
      </c>
    </row>
    <row r="616" spans="1:15" x14ac:dyDescent="0.3">
      <c r="A616" s="11">
        <v>45976</v>
      </c>
      <c r="B616" s="4" t="str">
        <f>TEXT(Data!B616,"MMM-YYYY")</f>
        <v>Mar-2025</v>
      </c>
      <c r="C616" s="4" t="str">
        <f t="shared" si="48"/>
        <v>Nov-2025</v>
      </c>
      <c r="D616" s="12">
        <f t="shared" si="49"/>
        <v>45976</v>
      </c>
      <c r="E616" s="4" t="str">
        <f t="shared" si="45"/>
        <v>Q4-2025</v>
      </c>
      <c r="F616" t="s">
        <v>78</v>
      </c>
      <c r="G616" t="s">
        <v>90</v>
      </c>
      <c r="H616" t="s">
        <v>217</v>
      </c>
      <c r="I616" t="s">
        <v>35</v>
      </c>
      <c r="J616" s="7" t="str">
        <f t="shared" si="46"/>
        <v>High</v>
      </c>
      <c r="K616" s="4">
        <v>2789.61</v>
      </c>
      <c r="L616" s="4">
        <v>2789.61</v>
      </c>
      <c r="M616" s="4">
        <v>0.17100000000000001</v>
      </c>
      <c r="N616" s="4">
        <v>8</v>
      </c>
      <c r="O616" s="4">
        <f t="shared" si="47"/>
        <v>0</v>
      </c>
    </row>
    <row r="617" spans="1:15" x14ac:dyDescent="0.3">
      <c r="A617" s="11">
        <v>45977</v>
      </c>
      <c r="B617" s="4" t="str">
        <f>TEXT(Data!B617,"MMM-YYYY")</f>
        <v>Oct-2023</v>
      </c>
      <c r="C617" s="4" t="str">
        <f t="shared" si="48"/>
        <v>Nov-2025</v>
      </c>
      <c r="D617" s="12">
        <f t="shared" si="49"/>
        <v>45977</v>
      </c>
      <c r="E617" s="4" t="str">
        <f t="shared" si="45"/>
        <v>Q4-2025</v>
      </c>
      <c r="F617" t="s">
        <v>45</v>
      </c>
      <c r="G617" t="s">
        <v>46</v>
      </c>
      <c r="H617" t="s">
        <v>214</v>
      </c>
      <c r="I617" t="s">
        <v>30</v>
      </c>
      <c r="J617" s="7" t="str">
        <f t="shared" si="46"/>
        <v>High</v>
      </c>
      <c r="K617" s="4">
        <v>1897.74</v>
      </c>
      <c r="L617" s="4">
        <v>1897.74</v>
      </c>
      <c r="M617" s="4">
        <v>8.1000000000000003E-2</v>
      </c>
      <c r="N617" s="4">
        <v>6</v>
      </c>
      <c r="O617" s="4">
        <f t="shared" si="47"/>
        <v>0</v>
      </c>
    </row>
    <row r="618" spans="1:15" x14ac:dyDescent="0.3">
      <c r="A618" s="11">
        <v>45978</v>
      </c>
      <c r="B618" s="4" t="str">
        <f>TEXT(Data!B618,"MMM-YYYY")</f>
        <v>Dec-2024</v>
      </c>
      <c r="C618" s="4" t="str">
        <f t="shared" si="48"/>
        <v>Nov-2025</v>
      </c>
      <c r="D618" s="12">
        <f t="shared" si="49"/>
        <v>45978</v>
      </c>
      <c r="E618" s="4" t="str">
        <f t="shared" si="45"/>
        <v>Q4-2025</v>
      </c>
      <c r="F618" t="s">
        <v>16</v>
      </c>
      <c r="G618" t="s">
        <v>25</v>
      </c>
      <c r="H618" t="s">
        <v>26</v>
      </c>
      <c r="I618" t="s">
        <v>35</v>
      </c>
      <c r="J618" s="7" t="str">
        <f t="shared" si="46"/>
        <v>High</v>
      </c>
      <c r="K618" s="4">
        <v>902.47</v>
      </c>
      <c r="L618" s="4">
        <v>902.47</v>
      </c>
      <c r="M618" s="4">
        <v>4.0000000000000001E-3</v>
      </c>
      <c r="N618" s="4">
        <v>12</v>
      </c>
      <c r="O618" s="4">
        <f t="shared" si="47"/>
        <v>0</v>
      </c>
    </row>
    <row r="619" spans="1:15" x14ac:dyDescent="0.3">
      <c r="A619" s="11">
        <v>45979</v>
      </c>
      <c r="B619" s="4" t="str">
        <f>TEXT(Data!B619,"MMM-YYYY")</f>
        <v>Jul-2025</v>
      </c>
      <c r="C619" s="4" t="str">
        <f t="shared" si="48"/>
        <v>Nov-2025</v>
      </c>
      <c r="D619" s="12">
        <f t="shared" si="49"/>
        <v>45979</v>
      </c>
      <c r="E619" s="4" t="str">
        <f t="shared" si="45"/>
        <v>Q4-2025</v>
      </c>
      <c r="F619" t="s">
        <v>78</v>
      </c>
      <c r="G619" t="s">
        <v>108</v>
      </c>
      <c r="H619" t="s">
        <v>228</v>
      </c>
      <c r="I619" t="s">
        <v>64</v>
      </c>
      <c r="J619" s="7" t="str">
        <f t="shared" si="46"/>
        <v>Low</v>
      </c>
      <c r="K619" s="4">
        <v>-33.659999999999997</v>
      </c>
      <c r="L619" s="4">
        <v>-33.659999999999997</v>
      </c>
      <c r="M619" s="4">
        <v>0.10199999999999999</v>
      </c>
      <c r="N619" s="4">
        <v>28</v>
      </c>
      <c r="O619" s="4">
        <f t="shared" si="47"/>
        <v>0</v>
      </c>
    </row>
    <row r="620" spans="1:15" x14ac:dyDescent="0.3">
      <c r="A620" s="11">
        <v>45980</v>
      </c>
      <c r="B620" s="4" t="str">
        <f>TEXT(Data!B620,"MMM-YYYY")</f>
        <v>Oct-2024</v>
      </c>
      <c r="C620" s="4" t="str">
        <f t="shared" si="48"/>
        <v>Nov-2025</v>
      </c>
      <c r="D620" s="12">
        <f t="shared" si="49"/>
        <v>45980</v>
      </c>
      <c r="E620" s="4" t="str">
        <f t="shared" si="45"/>
        <v>Q4-2025</v>
      </c>
      <c r="F620" t="s">
        <v>78</v>
      </c>
      <c r="G620" t="s">
        <v>108</v>
      </c>
      <c r="H620" t="s">
        <v>152</v>
      </c>
      <c r="I620" t="s">
        <v>30</v>
      </c>
      <c r="J620" s="7" t="str">
        <f t="shared" si="46"/>
        <v>High</v>
      </c>
      <c r="K620" s="4">
        <v>1086.68</v>
      </c>
      <c r="L620" s="4">
        <v>1086.68</v>
      </c>
      <c r="M620" s="4">
        <v>0.109</v>
      </c>
      <c r="N620" s="4">
        <v>26</v>
      </c>
      <c r="O620" s="4">
        <f t="shared" si="47"/>
        <v>0</v>
      </c>
    </row>
    <row r="621" spans="1:15" x14ac:dyDescent="0.3">
      <c r="A621" s="11">
        <v>45981</v>
      </c>
      <c r="B621" s="4" t="str">
        <f>TEXT(Data!B621,"MMM-YYYY")</f>
        <v>Sep-2023</v>
      </c>
      <c r="C621" s="4" t="str">
        <f t="shared" si="48"/>
        <v>Nov-2025</v>
      </c>
      <c r="D621" s="12">
        <f t="shared" si="49"/>
        <v>45981</v>
      </c>
      <c r="E621" s="4" t="str">
        <f t="shared" si="45"/>
        <v>Q4-2025</v>
      </c>
      <c r="F621" t="s">
        <v>78</v>
      </c>
      <c r="G621" t="s">
        <v>90</v>
      </c>
      <c r="H621" t="s">
        <v>217</v>
      </c>
      <c r="I621" t="s">
        <v>22</v>
      </c>
      <c r="J621" s="7" t="str">
        <f t="shared" si="46"/>
        <v>High</v>
      </c>
      <c r="K621" s="4">
        <v>1010.75</v>
      </c>
      <c r="L621" s="4">
        <v>1010.75</v>
      </c>
      <c r="M621" s="4">
        <v>4.7E-2</v>
      </c>
      <c r="N621" s="4">
        <v>43</v>
      </c>
      <c r="O621" s="4">
        <f t="shared" si="47"/>
        <v>0</v>
      </c>
    </row>
    <row r="622" spans="1:15" x14ac:dyDescent="0.3">
      <c r="A622" s="11">
        <v>45982</v>
      </c>
      <c r="B622" s="4" t="str">
        <f>TEXT(Data!B622,"MMM-YYYY")</f>
        <v>Apr-2025</v>
      </c>
      <c r="C622" s="4" t="str">
        <f t="shared" si="48"/>
        <v>Nov-2025</v>
      </c>
      <c r="D622" s="12">
        <f t="shared" si="49"/>
        <v>45982</v>
      </c>
      <c r="E622" s="4" t="str">
        <f t="shared" si="45"/>
        <v>Q4-2025</v>
      </c>
      <c r="F622" t="s">
        <v>16</v>
      </c>
      <c r="G622" t="s">
        <v>17</v>
      </c>
      <c r="H622" t="s">
        <v>135</v>
      </c>
      <c r="I622" t="s">
        <v>81</v>
      </c>
      <c r="J622" s="7" t="str">
        <f t="shared" si="46"/>
        <v>High</v>
      </c>
      <c r="K622" s="4">
        <v>411.48</v>
      </c>
      <c r="L622" s="4">
        <v>411.48</v>
      </c>
      <c r="M622" s="4">
        <v>0.16500000000000001</v>
      </c>
      <c r="N622" s="4">
        <v>3</v>
      </c>
      <c r="O622" s="4">
        <f t="shared" si="47"/>
        <v>0</v>
      </c>
    </row>
    <row r="623" spans="1:15" x14ac:dyDescent="0.3">
      <c r="A623" s="11">
        <v>45983</v>
      </c>
      <c r="B623" s="4" t="str">
        <f>TEXT(Data!B623,"MMM-YYYY")</f>
        <v>Jul-2024</v>
      </c>
      <c r="C623" s="4" t="str">
        <f t="shared" si="48"/>
        <v>Nov-2025</v>
      </c>
      <c r="D623" s="12">
        <f t="shared" si="49"/>
        <v>45983</v>
      </c>
      <c r="E623" s="4" t="str">
        <f t="shared" si="45"/>
        <v>Q4-2025</v>
      </c>
      <c r="F623" t="s">
        <v>52</v>
      </c>
      <c r="G623" t="s">
        <v>73</v>
      </c>
      <c r="H623" t="s">
        <v>225</v>
      </c>
      <c r="I623" t="s">
        <v>35</v>
      </c>
      <c r="J623" s="7" t="str">
        <f t="shared" si="46"/>
        <v>High</v>
      </c>
      <c r="K623" s="4">
        <v>413.34</v>
      </c>
      <c r="L623" s="4">
        <v>413.34</v>
      </c>
      <c r="M623" s="4">
        <v>0.186</v>
      </c>
      <c r="N623" s="4">
        <v>7</v>
      </c>
      <c r="O623" s="4">
        <f t="shared" si="47"/>
        <v>0</v>
      </c>
    </row>
    <row r="624" spans="1:15" x14ac:dyDescent="0.3">
      <c r="A624" s="11">
        <v>45984</v>
      </c>
      <c r="B624" s="4" t="str">
        <f>TEXT(Data!B624,"MMM-YYYY")</f>
        <v>Jul-2025</v>
      </c>
      <c r="C624" s="4" t="str">
        <f t="shared" si="48"/>
        <v>Nov-2025</v>
      </c>
      <c r="D624" s="12">
        <f t="shared" si="49"/>
        <v>45984</v>
      </c>
      <c r="E624" s="4" t="str">
        <f t="shared" si="45"/>
        <v>Q4-2025</v>
      </c>
      <c r="F624" t="s">
        <v>45</v>
      </c>
      <c r="G624" t="s">
        <v>60</v>
      </c>
      <c r="H624" t="s">
        <v>281</v>
      </c>
      <c r="I624" t="s">
        <v>35</v>
      </c>
      <c r="J624" s="7" t="str">
        <f t="shared" si="46"/>
        <v>High</v>
      </c>
      <c r="K624" s="4">
        <v>1558.89</v>
      </c>
      <c r="L624" s="4">
        <v>1558.89</v>
      </c>
      <c r="M624" s="4">
        <v>0.192</v>
      </c>
      <c r="N624" s="4">
        <v>24</v>
      </c>
      <c r="O624" s="4">
        <f t="shared" si="47"/>
        <v>0</v>
      </c>
    </row>
    <row r="625" spans="1:15" x14ac:dyDescent="0.3">
      <c r="A625" s="11">
        <v>45985</v>
      </c>
      <c r="B625" s="4" t="str">
        <f>TEXT(Data!B625,"MMM-YYYY")</f>
        <v>Aug-2023</v>
      </c>
      <c r="C625" s="4" t="str">
        <f t="shared" si="48"/>
        <v>Nov-2025</v>
      </c>
      <c r="D625" s="12">
        <f t="shared" si="49"/>
        <v>45985</v>
      </c>
      <c r="E625" s="4" t="str">
        <f t="shared" si="45"/>
        <v>Q4-2025</v>
      </c>
      <c r="F625" t="s">
        <v>16</v>
      </c>
      <c r="G625" t="s">
        <v>17</v>
      </c>
      <c r="H625" t="s">
        <v>33</v>
      </c>
      <c r="I625" t="s">
        <v>81</v>
      </c>
      <c r="J625" s="7" t="str">
        <f t="shared" si="46"/>
        <v>High</v>
      </c>
      <c r="K625" s="4">
        <v>861.16</v>
      </c>
      <c r="L625" s="4">
        <v>861.16</v>
      </c>
      <c r="M625" s="4">
        <v>0.113</v>
      </c>
      <c r="N625" s="4">
        <v>14</v>
      </c>
      <c r="O625" s="4">
        <f t="shared" si="47"/>
        <v>0</v>
      </c>
    </row>
    <row r="626" spans="1:15" x14ac:dyDescent="0.3">
      <c r="A626" s="11">
        <v>45986</v>
      </c>
      <c r="B626" s="4" t="str">
        <f>TEXT(Data!B626,"MMM-YYYY")</f>
        <v>Nov-2023</v>
      </c>
      <c r="C626" s="4" t="str">
        <f t="shared" si="48"/>
        <v>Nov-2025</v>
      </c>
      <c r="D626" s="12">
        <f t="shared" si="49"/>
        <v>45986</v>
      </c>
      <c r="E626" s="4" t="str">
        <f t="shared" si="45"/>
        <v>Q4-2025</v>
      </c>
      <c r="F626" t="s">
        <v>45</v>
      </c>
      <c r="G626" t="s">
        <v>116</v>
      </c>
      <c r="H626" t="s">
        <v>162</v>
      </c>
      <c r="I626" t="s">
        <v>35</v>
      </c>
      <c r="J626" s="7" t="str">
        <f t="shared" si="46"/>
        <v>High</v>
      </c>
      <c r="K626" s="4">
        <v>2296.25</v>
      </c>
      <c r="L626" s="4">
        <v>2296.25</v>
      </c>
      <c r="M626" s="4">
        <v>0.161</v>
      </c>
      <c r="N626" s="4">
        <v>26</v>
      </c>
      <c r="O626" s="4">
        <f t="shared" si="47"/>
        <v>0</v>
      </c>
    </row>
    <row r="627" spans="1:15" x14ac:dyDescent="0.3">
      <c r="A627" s="11">
        <v>45987</v>
      </c>
      <c r="B627" s="4" t="str">
        <f>TEXT(Data!B627,"MMM-YYYY")</f>
        <v>Dec-2023</v>
      </c>
      <c r="C627" s="4" t="str">
        <f t="shared" si="48"/>
        <v>Nov-2025</v>
      </c>
      <c r="D627" s="12">
        <f t="shared" si="49"/>
        <v>45987</v>
      </c>
      <c r="E627" s="4" t="str">
        <f t="shared" si="45"/>
        <v>Q4-2025</v>
      </c>
      <c r="F627" t="s">
        <v>45</v>
      </c>
      <c r="G627" t="s">
        <v>60</v>
      </c>
      <c r="H627" t="s">
        <v>141</v>
      </c>
      <c r="I627" t="s">
        <v>35</v>
      </c>
      <c r="J627" s="7" t="str">
        <f t="shared" si="46"/>
        <v>High</v>
      </c>
      <c r="K627" s="4">
        <v>2636.6</v>
      </c>
      <c r="L627" s="4">
        <v>2636.6</v>
      </c>
      <c r="M627" s="4">
        <v>0.114</v>
      </c>
      <c r="N627" s="4">
        <v>14</v>
      </c>
      <c r="O627" s="4">
        <f t="shared" si="47"/>
        <v>0</v>
      </c>
    </row>
    <row r="628" spans="1:15" x14ac:dyDescent="0.3">
      <c r="A628" s="11">
        <v>45988</v>
      </c>
      <c r="B628" s="4" t="str">
        <f>TEXT(Data!B628,"MMM-YYYY")</f>
        <v>Aug-2023</v>
      </c>
      <c r="C628" s="4" t="str">
        <f t="shared" si="48"/>
        <v>Nov-2025</v>
      </c>
      <c r="D628" s="12">
        <f t="shared" si="49"/>
        <v>45988</v>
      </c>
      <c r="E628" s="4" t="str">
        <f t="shared" si="45"/>
        <v>Q4-2025</v>
      </c>
      <c r="F628" t="s">
        <v>45</v>
      </c>
      <c r="G628" t="s">
        <v>60</v>
      </c>
      <c r="H628" t="s">
        <v>281</v>
      </c>
      <c r="I628" t="s">
        <v>22</v>
      </c>
      <c r="J628" s="7" t="str">
        <f t="shared" si="46"/>
        <v>High</v>
      </c>
      <c r="K628" s="4">
        <v>978.09</v>
      </c>
      <c r="L628" s="4">
        <v>978.09</v>
      </c>
      <c r="M628" s="4">
        <v>0.159</v>
      </c>
      <c r="N628" s="4">
        <v>17</v>
      </c>
      <c r="O628" s="4">
        <f t="shared" si="47"/>
        <v>0</v>
      </c>
    </row>
    <row r="629" spans="1:15" x14ac:dyDescent="0.3">
      <c r="A629" s="11">
        <v>45989</v>
      </c>
      <c r="B629" s="4" t="str">
        <f>TEXT(Data!B629,"MMM-YYYY")</f>
        <v>Jun-2023</v>
      </c>
      <c r="C629" s="4" t="str">
        <f t="shared" si="48"/>
        <v>Nov-2025</v>
      </c>
      <c r="D629" s="12">
        <f t="shared" si="49"/>
        <v>45989</v>
      </c>
      <c r="E629" s="4" t="str">
        <f t="shared" si="45"/>
        <v>Q4-2025</v>
      </c>
      <c r="F629" t="s">
        <v>45</v>
      </c>
      <c r="G629" t="s">
        <v>116</v>
      </c>
      <c r="H629" t="s">
        <v>162</v>
      </c>
      <c r="I629" t="s">
        <v>64</v>
      </c>
      <c r="J629" s="7" t="str">
        <f t="shared" si="46"/>
        <v>High</v>
      </c>
      <c r="K629" s="4">
        <v>545.72</v>
      </c>
      <c r="L629" s="4">
        <v>545.72</v>
      </c>
      <c r="M629" s="4">
        <v>0.151</v>
      </c>
      <c r="N629" s="4">
        <v>11</v>
      </c>
      <c r="O629" s="4">
        <f t="shared" si="47"/>
        <v>0</v>
      </c>
    </row>
    <row r="630" spans="1:15" x14ac:dyDescent="0.3">
      <c r="A630" s="11">
        <v>45990</v>
      </c>
      <c r="B630" s="4" t="str">
        <f>TEXT(Data!B630,"MMM-YYYY")</f>
        <v>Dec-2023</v>
      </c>
      <c r="C630" s="4" t="str">
        <f t="shared" si="48"/>
        <v>Nov-2025</v>
      </c>
      <c r="D630" s="12">
        <f t="shared" si="49"/>
        <v>45990</v>
      </c>
      <c r="E630" s="4" t="str">
        <f t="shared" si="45"/>
        <v>Q4-2025</v>
      </c>
      <c r="F630" t="s">
        <v>52</v>
      </c>
      <c r="G630" t="s">
        <v>53</v>
      </c>
      <c r="H630" t="s">
        <v>179</v>
      </c>
      <c r="I630" t="s">
        <v>42</v>
      </c>
      <c r="J630" s="7" t="str">
        <f t="shared" si="46"/>
        <v>High</v>
      </c>
      <c r="K630" s="4">
        <v>1435.54</v>
      </c>
      <c r="L630" s="4">
        <v>1435.54</v>
      </c>
      <c r="M630" s="4">
        <v>0</v>
      </c>
      <c r="N630" s="4">
        <v>23</v>
      </c>
      <c r="O630" s="4">
        <f t="shared" si="47"/>
        <v>0</v>
      </c>
    </row>
    <row r="631" spans="1:15" x14ac:dyDescent="0.3">
      <c r="A631" s="11">
        <v>45991</v>
      </c>
      <c r="B631" s="4" t="str">
        <f>TEXT(Data!B631,"MMM-YYYY")</f>
        <v>Nov-2023</v>
      </c>
      <c r="C631" s="4" t="str">
        <f t="shared" si="48"/>
        <v>Nov-2025</v>
      </c>
      <c r="D631" s="12">
        <f t="shared" si="49"/>
        <v>45991</v>
      </c>
      <c r="E631" s="4" t="str">
        <f t="shared" si="45"/>
        <v>Q4-2025</v>
      </c>
      <c r="F631" t="s">
        <v>78</v>
      </c>
      <c r="G631" t="s">
        <v>79</v>
      </c>
      <c r="H631" t="s">
        <v>335</v>
      </c>
      <c r="I631" t="s">
        <v>22</v>
      </c>
      <c r="J631" s="7" t="str">
        <f t="shared" si="46"/>
        <v>High</v>
      </c>
      <c r="K631" s="4">
        <v>2397.3000000000002</v>
      </c>
      <c r="L631" s="4">
        <v>2397.3000000000002</v>
      </c>
      <c r="M631" s="4">
        <v>6.2E-2</v>
      </c>
      <c r="N631" s="4">
        <v>18</v>
      </c>
      <c r="O631" s="4">
        <f t="shared" si="47"/>
        <v>0</v>
      </c>
    </row>
    <row r="632" spans="1:15" x14ac:dyDescent="0.3">
      <c r="A632" s="11">
        <v>45992</v>
      </c>
      <c r="B632" s="4" t="str">
        <f>TEXT(Data!B632,"MMM-YYYY")</f>
        <v>Feb-2025</v>
      </c>
      <c r="C632" s="4" t="str">
        <f t="shared" si="48"/>
        <v>Dec-2025</v>
      </c>
      <c r="D632" s="12">
        <f t="shared" si="49"/>
        <v>45992</v>
      </c>
      <c r="E632" s="4" t="str">
        <f t="shared" si="45"/>
        <v>Q4-2025</v>
      </c>
      <c r="F632" t="s">
        <v>45</v>
      </c>
      <c r="G632" t="s">
        <v>46</v>
      </c>
      <c r="H632" t="s">
        <v>231</v>
      </c>
      <c r="I632" t="s">
        <v>42</v>
      </c>
      <c r="J632" s="7" t="str">
        <f t="shared" si="46"/>
        <v>High</v>
      </c>
      <c r="K632" s="4">
        <v>1853.86</v>
      </c>
      <c r="L632" s="4">
        <v>1853.86</v>
      </c>
      <c r="M632" s="4">
        <v>0.13900000000000001</v>
      </c>
      <c r="N632" s="4">
        <v>8</v>
      </c>
      <c r="O632" s="4">
        <f t="shared" si="47"/>
        <v>0</v>
      </c>
    </row>
    <row r="633" spans="1:15" x14ac:dyDescent="0.3">
      <c r="A633" s="11">
        <v>45993</v>
      </c>
      <c r="B633" s="4" t="str">
        <f>TEXT(Data!B633,"MMM-YYYY")</f>
        <v>Feb-2025</v>
      </c>
      <c r="C633" s="4" t="str">
        <f t="shared" si="48"/>
        <v>Dec-2025</v>
      </c>
      <c r="D633" s="12">
        <f t="shared" si="49"/>
        <v>45993</v>
      </c>
      <c r="E633" s="4" t="str">
        <f t="shared" si="45"/>
        <v>Q4-2025</v>
      </c>
      <c r="F633" t="s">
        <v>45</v>
      </c>
      <c r="G633" t="s">
        <v>46</v>
      </c>
      <c r="H633" t="s">
        <v>47</v>
      </c>
      <c r="I633" t="s">
        <v>57</v>
      </c>
      <c r="J633" s="7" t="str">
        <f t="shared" si="46"/>
        <v>Low</v>
      </c>
      <c r="K633" s="4">
        <v>45.98</v>
      </c>
      <c r="L633" s="4">
        <v>45.98</v>
      </c>
      <c r="M633" s="4">
        <v>0.17299999999999999</v>
      </c>
      <c r="N633" s="4">
        <v>7</v>
      </c>
      <c r="O633" s="4">
        <f t="shared" si="47"/>
        <v>0</v>
      </c>
    </row>
  </sheetData>
  <conditionalFormatting sqref="K1:K1048576">
    <cfRule type="cellIs" dxfId="27" priority="2" operator="lessThan">
      <formula>0</formula>
    </cfRule>
  </conditionalFormatting>
  <conditionalFormatting sqref="L1:L633">
    <cfRule type="cellIs" dxfId="26" priority="1" operator="lessThan">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6F7A-7914-4DFC-82E7-908652B639E7}">
  <dimension ref="A1:AI27"/>
  <sheetViews>
    <sheetView topLeftCell="A2" workbookViewId="0">
      <selection activeCell="A3" sqref="A3"/>
    </sheetView>
  </sheetViews>
  <sheetFormatPr defaultRowHeight="14.4" x14ac:dyDescent="0.3"/>
  <cols>
    <col min="1" max="1" width="20" bestFit="1" customWidth="1"/>
    <col min="2" max="2" width="15.5546875" bestFit="1" customWidth="1"/>
    <col min="3" max="36" width="12" bestFit="1" customWidth="1"/>
    <col min="37" max="37" width="11" bestFit="1" customWidth="1"/>
    <col min="38" max="38" width="12" bestFit="1" customWidth="1"/>
    <col min="39" max="39" width="11" bestFit="1" customWidth="1"/>
    <col min="40" max="40" width="10" bestFit="1" customWidth="1"/>
    <col min="41" max="41" width="7" bestFit="1" customWidth="1"/>
    <col min="42" max="43" width="12" bestFit="1" customWidth="1"/>
    <col min="44" max="44" width="14.77734375" bestFit="1" customWidth="1"/>
    <col min="45" max="45" width="9" bestFit="1" customWidth="1"/>
    <col min="46" max="46" width="13.77734375" bestFit="1" customWidth="1"/>
    <col min="47" max="47" width="12" bestFit="1" customWidth="1"/>
    <col min="48" max="48" width="10" bestFit="1" customWidth="1"/>
    <col min="49" max="49" width="11" bestFit="1" customWidth="1"/>
    <col min="50" max="52" width="12" bestFit="1" customWidth="1"/>
    <col min="53" max="53" width="11" bestFit="1" customWidth="1"/>
    <col min="54" max="54" width="11.21875" bestFit="1" customWidth="1"/>
    <col min="55" max="55" width="14.77734375" bestFit="1" customWidth="1"/>
    <col min="56" max="56" width="12" bestFit="1" customWidth="1"/>
    <col min="57" max="57" width="13.77734375" bestFit="1" customWidth="1"/>
    <col min="58" max="58" width="11" bestFit="1" customWidth="1"/>
    <col min="59" max="61" width="12" bestFit="1" customWidth="1"/>
    <col min="62" max="62" width="11" bestFit="1" customWidth="1"/>
    <col min="63" max="63" width="12" bestFit="1" customWidth="1"/>
    <col min="64" max="65" width="10" bestFit="1" customWidth="1"/>
    <col min="66" max="66" width="12" bestFit="1" customWidth="1"/>
    <col min="67" max="67" width="14.77734375" bestFit="1" customWidth="1"/>
    <col min="68" max="68" width="12" bestFit="1" customWidth="1"/>
    <col min="69" max="69" width="13.77734375" bestFit="1" customWidth="1"/>
    <col min="70" max="71" width="12" bestFit="1" customWidth="1"/>
    <col min="72" max="72" width="8" bestFit="1" customWidth="1"/>
    <col min="73" max="73" width="12" bestFit="1" customWidth="1"/>
    <col min="74" max="74" width="11" bestFit="1" customWidth="1"/>
    <col min="75" max="76" width="12" bestFit="1" customWidth="1"/>
    <col min="77" max="77" width="11" bestFit="1" customWidth="1"/>
    <col min="78" max="79" width="12" bestFit="1" customWidth="1"/>
    <col min="80" max="80" width="13.5546875" bestFit="1" customWidth="1"/>
    <col min="81" max="87" width="12" bestFit="1" customWidth="1"/>
    <col min="88" max="88" width="14.77734375" bestFit="1" customWidth="1"/>
    <col min="89" max="89" width="12" bestFit="1" customWidth="1"/>
    <col min="90" max="90" width="13.5546875" bestFit="1" customWidth="1"/>
    <col min="91" max="91" width="10.77734375" bestFit="1" customWidth="1"/>
    <col min="92" max="92" width="11" bestFit="1" customWidth="1"/>
    <col min="93" max="95" width="12" bestFit="1" customWidth="1"/>
    <col min="96" max="96" width="11" bestFit="1" customWidth="1"/>
    <col min="97" max="99" width="12" bestFit="1" customWidth="1"/>
    <col min="100" max="100" width="14.77734375" bestFit="1" customWidth="1"/>
    <col min="101" max="101" width="12" bestFit="1" customWidth="1"/>
    <col min="102" max="102" width="13.44140625" bestFit="1" customWidth="1"/>
    <col min="103" max="104" width="11" bestFit="1" customWidth="1"/>
    <col min="105" max="105" width="12" bestFit="1" customWidth="1"/>
    <col min="106" max="106" width="10" bestFit="1" customWidth="1"/>
    <col min="107" max="108" width="12" bestFit="1" customWidth="1"/>
    <col min="109" max="109" width="11" bestFit="1" customWidth="1"/>
    <col min="110" max="110" width="12" bestFit="1" customWidth="1"/>
    <col min="111" max="111" width="8" bestFit="1" customWidth="1"/>
    <col min="112" max="112" width="13.44140625" bestFit="1" customWidth="1"/>
    <col min="113" max="113" width="12" bestFit="1" customWidth="1"/>
    <col min="114" max="114" width="11" bestFit="1" customWidth="1"/>
    <col min="115" max="115" width="12" bestFit="1" customWidth="1"/>
    <col min="116" max="117" width="11" bestFit="1" customWidth="1"/>
    <col min="118" max="118" width="10" bestFit="1" customWidth="1"/>
    <col min="119" max="119" width="11" bestFit="1" customWidth="1"/>
    <col min="120" max="120" width="12" bestFit="1" customWidth="1"/>
    <col min="121" max="121" width="14.77734375" bestFit="1" customWidth="1"/>
    <col min="122" max="122" width="11" bestFit="1" customWidth="1"/>
    <col min="123" max="123" width="13.44140625" bestFit="1" customWidth="1"/>
    <col min="124" max="124" width="11" bestFit="1" customWidth="1"/>
    <col min="125" max="125" width="9" bestFit="1" customWidth="1"/>
    <col min="126" max="126" width="7" bestFit="1" customWidth="1"/>
    <col min="127" max="130" width="12" bestFit="1" customWidth="1"/>
    <col min="131" max="131" width="11" bestFit="1" customWidth="1"/>
    <col min="132" max="132" width="11.21875" bestFit="1" customWidth="1"/>
    <col min="133" max="133" width="14.77734375" bestFit="1" customWidth="1"/>
    <col min="134" max="134" width="12" bestFit="1" customWidth="1"/>
    <col min="135" max="135" width="13.21875" bestFit="1" customWidth="1"/>
    <col min="136" max="136" width="10.44140625" bestFit="1" customWidth="1"/>
    <col min="137" max="138" width="11" bestFit="1" customWidth="1"/>
    <col min="139" max="142" width="12" bestFit="1" customWidth="1"/>
    <col min="143" max="143" width="14.77734375" bestFit="1" customWidth="1"/>
    <col min="144" max="144" width="11" bestFit="1" customWidth="1"/>
    <col min="145" max="145" width="13.21875" bestFit="1" customWidth="1"/>
    <col min="146" max="146" width="11" bestFit="1" customWidth="1"/>
    <col min="147" max="148" width="12" bestFit="1" customWidth="1"/>
    <col min="149" max="149" width="7" bestFit="1" customWidth="1"/>
    <col min="150" max="150" width="12" bestFit="1" customWidth="1"/>
    <col min="151" max="151" width="11" bestFit="1" customWidth="1"/>
    <col min="152" max="152" width="11.21875" bestFit="1" customWidth="1"/>
    <col min="153" max="153" width="14.77734375" bestFit="1" customWidth="1"/>
    <col min="154" max="154" width="11" bestFit="1" customWidth="1"/>
    <col min="155" max="155" width="13.21875" bestFit="1" customWidth="1"/>
    <col min="156" max="156" width="12" bestFit="1" customWidth="1"/>
    <col min="157" max="157" width="10" bestFit="1" customWidth="1"/>
    <col min="158" max="158" width="12" bestFit="1" customWidth="1"/>
    <col min="159" max="160" width="10" bestFit="1" customWidth="1"/>
    <col min="161" max="161" width="12" bestFit="1" customWidth="1"/>
    <col min="162" max="162" width="11" bestFit="1" customWidth="1"/>
    <col min="163" max="164" width="12" bestFit="1" customWidth="1"/>
    <col min="165" max="165" width="14.77734375" bestFit="1" customWidth="1"/>
    <col min="166" max="166" width="12" bestFit="1" customWidth="1"/>
    <col min="167" max="167" width="12.5546875" bestFit="1" customWidth="1"/>
    <col min="168" max="168" width="9.77734375" bestFit="1" customWidth="1"/>
    <col min="169" max="171" width="12" bestFit="1" customWidth="1"/>
    <col min="172" max="172" width="5.21875" bestFit="1" customWidth="1"/>
    <col min="173" max="173" width="12" bestFit="1" customWidth="1"/>
    <col min="174" max="174" width="11" bestFit="1" customWidth="1"/>
    <col min="175" max="175" width="10" bestFit="1" customWidth="1"/>
    <col min="176" max="176" width="12.5546875" bestFit="1" customWidth="1"/>
    <col min="177" max="177" width="12" bestFit="1" customWidth="1"/>
    <col min="178" max="178" width="11" bestFit="1" customWidth="1"/>
    <col min="179" max="183" width="12" bestFit="1" customWidth="1"/>
    <col min="184" max="184" width="14.77734375" bestFit="1" customWidth="1"/>
    <col min="185" max="185" width="12.5546875" bestFit="1" customWidth="1"/>
    <col min="186" max="187" width="12" bestFit="1" customWidth="1"/>
    <col min="188" max="188" width="10" bestFit="1" customWidth="1"/>
    <col min="189" max="189" width="9" bestFit="1" customWidth="1"/>
    <col min="190" max="190" width="11" bestFit="1" customWidth="1"/>
    <col min="191" max="191" width="9" bestFit="1" customWidth="1"/>
    <col min="192" max="192" width="12" bestFit="1" customWidth="1"/>
    <col min="193" max="193" width="10" bestFit="1" customWidth="1"/>
    <col min="194" max="194" width="9" bestFit="1" customWidth="1"/>
    <col min="195" max="195" width="14.77734375" bestFit="1" customWidth="1"/>
    <col min="196" max="196" width="12" bestFit="1" customWidth="1"/>
    <col min="197" max="197" width="13.21875" bestFit="1" customWidth="1"/>
    <col min="198" max="199" width="11" bestFit="1" customWidth="1"/>
    <col min="200" max="200" width="12" bestFit="1" customWidth="1"/>
    <col min="201" max="201" width="11" bestFit="1" customWidth="1"/>
    <col min="202" max="206" width="12" bestFit="1" customWidth="1"/>
    <col min="207" max="207" width="14.77734375" bestFit="1" customWidth="1"/>
    <col min="208" max="208" width="13.21875" bestFit="1" customWidth="1"/>
    <col min="209" max="210" width="12" bestFit="1" customWidth="1"/>
    <col min="211" max="212" width="11" bestFit="1" customWidth="1"/>
    <col min="213" max="216" width="12" bestFit="1" customWidth="1"/>
    <col min="217" max="217" width="14.77734375" bestFit="1" customWidth="1"/>
    <col min="218" max="218" width="13.21875" bestFit="1" customWidth="1"/>
    <col min="219" max="219" width="11.21875" bestFit="1" customWidth="1"/>
    <col min="220" max="220" width="12" bestFit="1" customWidth="1"/>
    <col min="221" max="221" width="11" bestFit="1" customWidth="1"/>
    <col min="222" max="226" width="12" bestFit="1" customWidth="1"/>
    <col min="227" max="227" width="14.77734375" bestFit="1" customWidth="1"/>
    <col min="228" max="228" width="13.77734375" bestFit="1" customWidth="1"/>
    <col min="229" max="229" width="11.21875" bestFit="1" customWidth="1"/>
    <col min="230" max="230" width="12" bestFit="1" customWidth="1"/>
    <col min="231" max="231" width="11" bestFit="1" customWidth="1"/>
    <col min="232" max="234" width="12" bestFit="1" customWidth="1"/>
    <col min="235" max="235" width="11" bestFit="1" customWidth="1"/>
    <col min="236" max="236" width="12" bestFit="1" customWidth="1"/>
    <col min="237" max="237" width="11.21875" bestFit="1" customWidth="1"/>
    <col min="238" max="238" width="14.77734375" bestFit="1" customWidth="1"/>
    <col min="239" max="239" width="12" bestFit="1" customWidth="1"/>
    <col min="240" max="240" width="13.77734375" bestFit="1" customWidth="1"/>
    <col min="241" max="241" width="11.21875" bestFit="1" customWidth="1"/>
    <col min="242" max="245" width="12" bestFit="1" customWidth="1"/>
    <col min="246" max="246" width="7" bestFit="1" customWidth="1"/>
    <col min="247" max="248" width="12" bestFit="1" customWidth="1"/>
    <col min="249" max="249" width="14.77734375" bestFit="1" customWidth="1"/>
    <col min="250" max="250" width="13.77734375" bestFit="1" customWidth="1"/>
    <col min="251" max="258" width="12" bestFit="1" customWidth="1"/>
    <col min="259" max="259" width="14.77734375" bestFit="1" customWidth="1"/>
    <col min="260" max="260" width="12" bestFit="1" customWidth="1"/>
    <col min="261" max="261" width="14.21875" bestFit="1" customWidth="1"/>
    <col min="262" max="262" width="12" bestFit="1" customWidth="1"/>
    <col min="263" max="263" width="11" bestFit="1" customWidth="1"/>
    <col min="264" max="264" width="12" bestFit="1" customWidth="1"/>
    <col min="265" max="265" width="11" bestFit="1" customWidth="1"/>
    <col min="266" max="266" width="12" bestFit="1" customWidth="1"/>
    <col min="267" max="268" width="11" bestFit="1" customWidth="1"/>
    <col min="269" max="270" width="12" bestFit="1" customWidth="1"/>
    <col min="271" max="271" width="14.77734375" bestFit="1" customWidth="1"/>
    <col min="272" max="272" width="12" bestFit="1" customWidth="1"/>
    <col min="273" max="273" width="14.21875" bestFit="1" customWidth="1"/>
    <col min="274" max="274" width="11.44140625" bestFit="1" customWidth="1"/>
    <col min="275" max="275" width="12" bestFit="1" customWidth="1"/>
    <col min="276" max="276" width="11" bestFit="1" customWidth="1"/>
    <col min="277" max="277" width="10" bestFit="1" customWidth="1"/>
    <col min="278" max="278" width="11" bestFit="1" customWidth="1"/>
    <col min="279" max="279" width="12" bestFit="1" customWidth="1"/>
    <col min="280" max="280" width="11" bestFit="1" customWidth="1"/>
    <col min="281" max="281" width="10" bestFit="1" customWidth="1"/>
    <col min="282" max="282" width="11" bestFit="1" customWidth="1"/>
    <col min="283" max="283" width="11.21875" bestFit="1" customWidth="1"/>
    <col min="284" max="284" width="14.77734375" bestFit="1" customWidth="1"/>
    <col min="285" max="285" width="11" bestFit="1" customWidth="1"/>
    <col min="286" max="286" width="14.21875" bestFit="1" customWidth="1"/>
    <col min="287" max="287" width="12" bestFit="1" customWidth="1"/>
    <col min="288" max="288" width="11" bestFit="1" customWidth="1"/>
    <col min="289" max="289" width="12" bestFit="1" customWidth="1"/>
    <col min="290" max="290" width="11" bestFit="1" customWidth="1"/>
    <col min="291" max="291" width="9" bestFit="1" customWidth="1"/>
    <col min="292" max="292" width="12" bestFit="1" customWidth="1"/>
    <col min="293" max="293" width="14.77734375" bestFit="1" customWidth="1"/>
    <col min="294" max="294" width="13.77734375" bestFit="1" customWidth="1"/>
    <col min="295" max="296" width="12" bestFit="1" customWidth="1"/>
    <col min="297" max="297" width="8" bestFit="1" customWidth="1"/>
    <col min="298" max="298" width="12" bestFit="1" customWidth="1"/>
    <col min="299" max="299" width="11" bestFit="1" customWidth="1"/>
    <col min="300" max="301" width="12" bestFit="1" customWidth="1"/>
    <col min="302" max="302" width="14.77734375" bestFit="1" customWidth="1"/>
    <col min="303" max="303" width="13.77734375" bestFit="1" customWidth="1"/>
    <col min="304" max="304" width="12" bestFit="1" customWidth="1"/>
    <col min="305" max="305" width="10" bestFit="1" customWidth="1"/>
    <col min="306" max="306" width="12" bestFit="1" customWidth="1"/>
    <col min="307" max="309" width="11" bestFit="1" customWidth="1"/>
    <col min="310" max="310" width="10" bestFit="1" customWidth="1"/>
    <col min="311" max="311" width="6.77734375" bestFit="1" customWidth="1"/>
    <col min="312" max="312" width="11.21875" bestFit="1" customWidth="1"/>
    <col min="313" max="313" width="14.77734375" bestFit="1" customWidth="1"/>
    <col min="314" max="314" width="11" bestFit="1" customWidth="1"/>
    <col min="315" max="315" width="13.21875" bestFit="1" customWidth="1"/>
    <col min="316" max="316" width="12" bestFit="1" customWidth="1"/>
    <col min="317" max="317" width="6.5546875" bestFit="1" customWidth="1"/>
    <col min="318" max="318" width="11" bestFit="1" customWidth="1"/>
    <col min="319" max="322" width="12" bestFit="1" customWidth="1"/>
    <col min="323" max="323" width="14.77734375" bestFit="1" customWidth="1"/>
    <col min="324" max="324" width="12" bestFit="1" customWidth="1"/>
    <col min="325" max="325" width="13.21875" bestFit="1" customWidth="1"/>
    <col min="326" max="326" width="11.44140625" bestFit="1" customWidth="1"/>
    <col min="327" max="327" width="11" bestFit="1" customWidth="1"/>
    <col min="328" max="328" width="12" bestFit="1" customWidth="1"/>
    <col min="329" max="329" width="9" bestFit="1" customWidth="1"/>
    <col min="330" max="331" width="12" bestFit="1" customWidth="1"/>
    <col min="332" max="332" width="6.21875" bestFit="1" customWidth="1"/>
    <col min="333" max="333" width="11" bestFit="1" customWidth="1"/>
    <col min="334" max="334" width="14.21875" bestFit="1" customWidth="1"/>
    <col min="335" max="335" width="12" bestFit="1" customWidth="1"/>
    <col min="336" max="336" width="9" bestFit="1" customWidth="1"/>
    <col min="337" max="340" width="12" bestFit="1" customWidth="1"/>
    <col min="341" max="341" width="9" bestFit="1" customWidth="1"/>
    <col min="342" max="342" width="11.21875" bestFit="1" customWidth="1"/>
    <col min="343" max="343" width="14.77734375" bestFit="1" customWidth="1"/>
    <col min="344" max="344" width="12" bestFit="1" customWidth="1"/>
    <col min="345" max="345" width="14.21875" bestFit="1" customWidth="1"/>
    <col min="346" max="346" width="12" bestFit="1" customWidth="1"/>
    <col min="347" max="347" width="11" bestFit="1" customWidth="1"/>
    <col min="348" max="348" width="9" bestFit="1" customWidth="1"/>
    <col min="349" max="349" width="12" bestFit="1" customWidth="1"/>
    <col min="350" max="350" width="10" bestFit="1" customWidth="1"/>
    <col min="351" max="351" width="12" bestFit="1" customWidth="1"/>
    <col min="352" max="352" width="14.77734375" bestFit="1" customWidth="1"/>
    <col min="353" max="353" width="14.21875" bestFit="1" customWidth="1"/>
    <col min="354" max="354" width="12" bestFit="1" customWidth="1"/>
  </cols>
  <sheetData>
    <row r="1" spans="1:35" x14ac:dyDescent="0.3">
      <c r="A1" s="8" t="s">
        <v>4</v>
      </c>
      <c r="B1" t="s">
        <v>1412</v>
      </c>
    </row>
    <row r="3" spans="1:35" x14ac:dyDescent="0.3">
      <c r="A3" s="8" t="s">
        <v>1419</v>
      </c>
      <c r="B3" s="8" t="s">
        <v>1411</v>
      </c>
    </row>
    <row r="4" spans="1:35" x14ac:dyDescent="0.3">
      <c r="A4" s="8" t="s">
        <v>1376</v>
      </c>
      <c r="B4" t="s">
        <v>1381</v>
      </c>
      <c r="C4" t="s">
        <v>1393</v>
      </c>
      <c r="D4" t="s">
        <v>1405</v>
      </c>
      <c r="E4" t="s">
        <v>1385</v>
      </c>
      <c r="F4" t="s">
        <v>1397</v>
      </c>
      <c r="G4" t="s">
        <v>1409</v>
      </c>
      <c r="H4" t="s">
        <v>1389</v>
      </c>
      <c r="I4" t="s">
        <v>1401</v>
      </c>
      <c r="J4" t="s">
        <v>1379</v>
      </c>
      <c r="K4" t="s">
        <v>1391</v>
      </c>
      <c r="L4" t="s">
        <v>1403</v>
      </c>
      <c r="M4" t="s">
        <v>1378</v>
      </c>
      <c r="N4" t="s">
        <v>1390</v>
      </c>
      <c r="O4" t="s">
        <v>1402</v>
      </c>
      <c r="P4" t="s">
        <v>1384</v>
      </c>
      <c r="Q4" t="s">
        <v>1396</v>
      </c>
      <c r="R4" t="s">
        <v>1408</v>
      </c>
      <c r="S4" t="s">
        <v>1383</v>
      </c>
      <c r="T4" t="s">
        <v>1395</v>
      </c>
      <c r="U4" t="s">
        <v>1407</v>
      </c>
      <c r="V4" t="s">
        <v>1380</v>
      </c>
      <c r="W4" t="s">
        <v>1392</v>
      </c>
      <c r="X4" t="s">
        <v>1404</v>
      </c>
      <c r="Y4" t="s">
        <v>1382</v>
      </c>
      <c r="Z4" t="s">
        <v>1394</v>
      </c>
      <c r="AA4" t="s">
        <v>1406</v>
      </c>
      <c r="AB4" t="s">
        <v>1388</v>
      </c>
      <c r="AC4" t="s">
        <v>1400</v>
      </c>
      <c r="AD4" t="s">
        <v>1387</v>
      </c>
      <c r="AE4" t="s">
        <v>1399</v>
      </c>
      <c r="AF4" t="s">
        <v>1386</v>
      </c>
      <c r="AG4" t="s">
        <v>1398</v>
      </c>
      <c r="AH4" t="s">
        <v>1410</v>
      </c>
      <c r="AI4" t="s">
        <v>1377</v>
      </c>
    </row>
    <row r="5" spans="1:35" x14ac:dyDescent="0.3">
      <c r="A5" s="9" t="s">
        <v>1393</v>
      </c>
      <c r="B5">
        <v>14824.899239999997</v>
      </c>
      <c r="C5">
        <v>22477.30575</v>
      </c>
      <c r="D5">
        <v>11781.338519999999</v>
      </c>
      <c r="F5">
        <v>49294.844100000002</v>
      </c>
      <c r="I5">
        <v>43367.691729999999</v>
      </c>
      <c r="J5">
        <v>41567.724199999997</v>
      </c>
      <c r="N5">
        <v>7368.0599999999995</v>
      </c>
      <c r="P5">
        <v>21312.892040000002</v>
      </c>
      <c r="Q5">
        <v>1243.5675000000001</v>
      </c>
      <c r="R5">
        <v>-19.309279999999998</v>
      </c>
      <c r="S5">
        <v>27907.737130000001</v>
      </c>
      <c r="T5">
        <v>353.76639999999998</v>
      </c>
      <c r="U5">
        <v>29284.637119999999</v>
      </c>
      <c r="V5">
        <v>86276.904139999999</v>
      </c>
      <c r="W5">
        <v>25427.751119999997</v>
      </c>
      <c r="Y5">
        <v>24160.543999999998</v>
      </c>
      <c r="Z5">
        <v>53971.102800000008</v>
      </c>
      <c r="AA5">
        <v>17662.129100000002</v>
      </c>
      <c r="AC5">
        <v>21665.382399999999</v>
      </c>
      <c r="AE5">
        <v>32079.35108</v>
      </c>
      <c r="AI5">
        <v>532008.31909</v>
      </c>
    </row>
    <row r="6" spans="1:35" x14ac:dyDescent="0.3">
      <c r="A6" s="9" t="s">
        <v>1405</v>
      </c>
      <c r="D6">
        <v>26377.532999999999</v>
      </c>
      <c r="E6">
        <v>6993.8619799999997</v>
      </c>
      <c r="F6">
        <v>30066.424610000002</v>
      </c>
      <c r="G6">
        <v>51745.059600000001</v>
      </c>
      <c r="H6">
        <v>10899.599999999999</v>
      </c>
      <c r="I6">
        <v>22741.535920000002</v>
      </c>
      <c r="L6">
        <v>15273.329759999999</v>
      </c>
      <c r="O6">
        <v>11831.2565</v>
      </c>
      <c r="Q6">
        <v>9079.5053000000007</v>
      </c>
      <c r="T6">
        <v>22569.275520000003</v>
      </c>
      <c r="U6">
        <v>9830.4127899999985</v>
      </c>
      <c r="V6">
        <v>20289.089519999998</v>
      </c>
      <c r="W6">
        <v>5499.1688399999994</v>
      </c>
      <c r="X6">
        <v>1687.7889600000003</v>
      </c>
      <c r="Y6">
        <v>11663.26656</v>
      </c>
      <c r="Z6">
        <v>41010.924360000005</v>
      </c>
      <c r="AA6">
        <v>47770.043099999995</v>
      </c>
      <c r="AC6">
        <v>5658.8054400000001</v>
      </c>
      <c r="AD6">
        <v>31288.406300000002</v>
      </c>
      <c r="AF6">
        <v>44766.472129999995</v>
      </c>
      <c r="AG6">
        <v>18353.975399999999</v>
      </c>
      <c r="AH6">
        <v>14660.399949999999</v>
      </c>
      <c r="AI6">
        <v>460056.13554000005</v>
      </c>
    </row>
    <row r="7" spans="1:35" x14ac:dyDescent="0.3">
      <c r="A7" s="9" t="s">
        <v>1397</v>
      </c>
      <c r="B7">
        <v>32735.194359999998</v>
      </c>
      <c r="C7">
        <v>45741.465980000001</v>
      </c>
      <c r="D7">
        <v>26608.919040000001</v>
      </c>
      <c r="F7">
        <v>57488.471080000003</v>
      </c>
      <c r="G7">
        <v>10180.661399999999</v>
      </c>
      <c r="H7">
        <v>2454.4137600000004</v>
      </c>
      <c r="J7">
        <v>97289.670199999993</v>
      </c>
      <c r="K7">
        <v>15076.000319999999</v>
      </c>
      <c r="L7">
        <v>7100.6851799999995</v>
      </c>
      <c r="P7">
        <v>31848.366780000004</v>
      </c>
      <c r="Q7">
        <v>18676.97536</v>
      </c>
      <c r="T7">
        <v>13928.6554</v>
      </c>
      <c r="V7">
        <v>50207.703000000001</v>
      </c>
      <c r="Z7">
        <v>5308.1555399999997</v>
      </c>
      <c r="AA7">
        <v>36583.530899999998</v>
      </c>
      <c r="AB7">
        <v>42353.882679999995</v>
      </c>
      <c r="AD7">
        <v>1815.2108999999998</v>
      </c>
      <c r="AE7">
        <v>14878.7914</v>
      </c>
      <c r="AF7">
        <v>8757.7692000000006</v>
      </c>
      <c r="AG7">
        <v>57712.049999999996</v>
      </c>
      <c r="AH7">
        <v>49.780199999999994</v>
      </c>
      <c r="AI7">
        <v>576796.35267999989</v>
      </c>
    </row>
    <row r="8" spans="1:35" x14ac:dyDescent="0.3">
      <c r="A8" s="9" t="s">
        <v>1409</v>
      </c>
      <c r="B8">
        <v>25448.667200000004</v>
      </c>
      <c r="C8">
        <v>17160.8115</v>
      </c>
      <c r="D8">
        <v>11813.082300000002</v>
      </c>
      <c r="E8">
        <v>44990.512799999997</v>
      </c>
      <c r="F8">
        <v>31548.788040000003</v>
      </c>
      <c r="G8">
        <v>30771.51</v>
      </c>
      <c r="L8">
        <v>36886.575600000004</v>
      </c>
      <c r="M8">
        <v>7653.6</v>
      </c>
      <c r="N8">
        <v>30255.49626</v>
      </c>
      <c r="O8">
        <v>9162.3608000000004</v>
      </c>
      <c r="P8">
        <v>32372.731400000001</v>
      </c>
      <c r="Q8">
        <v>33964.936800000003</v>
      </c>
      <c r="S8">
        <v>11222.701599999999</v>
      </c>
      <c r="T8">
        <v>53128.40832000001</v>
      </c>
      <c r="U8">
        <v>9059.1936000000005</v>
      </c>
      <c r="W8">
        <v>28098.68448</v>
      </c>
      <c r="X8">
        <v>8687.4149000000016</v>
      </c>
      <c r="Y8">
        <v>62896.528430000006</v>
      </c>
      <c r="Z8">
        <v>6873.6311000000005</v>
      </c>
      <c r="AA8">
        <v>5994.1017599999996</v>
      </c>
      <c r="AC8">
        <v>6953.9874000000009</v>
      </c>
      <c r="AE8">
        <v>40152.022679999995</v>
      </c>
      <c r="AF8">
        <v>50294.07125999999</v>
      </c>
      <c r="AI8">
        <v>595389.81822999998</v>
      </c>
    </row>
    <row r="9" spans="1:35" x14ac:dyDescent="0.3">
      <c r="A9" s="9" t="s">
        <v>1401</v>
      </c>
      <c r="D9">
        <v>30054.98444</v>
      </c>
      <c r="E9">
        <v>28032.603800000001</v>
      </c>
      <c r="G9">
        <v>7371.4888800000008</v>
      </c>
      <c r="H9">
        <v>15054.199999999999</v>
      </c>
      <c r="L9">
        <v>6753.7724800000005</v>
      </c>
      <c r="N9">
        <v>79337.233440000011</v>
      </c>
      <c r="P9">
        <v>17447.836719999999</v>
      </c>
      <c r="S9">
        <v>16255.516439999998</v>
      </c>
      <c r="T9">
        <v>8039.3543999999993</v>
      </c>
      <c r="U9">
        <v>9349.0342000000001</v>
      </c>
      <c r="W9">
        <v>99322.510710000002</v>
      </c>
      <c r="X9">
        <v>13554.149039999998</v>
      </c>
      <c r="Y9">
        <v>3736.3119999999999</v>
      </c>
      <c r="AA9">
        <v>8208.8608800000002</v>
      </c>
      <c r="AD9">
        <v>3444.5590999999999</v>
      </c>
      <c r="AE9">
        <v>32644.137120000007</v>
      </c>
      <c r="AG9">
        <v>11640.572819999999</v>
      </c>
      <c r="AH9">
        <v>1617.8811600000001</v>
      </c>
      <c r="AI9">
        <v>391865.00763000001</v>
      </c>
    </row>
    <row r="10" spans="1:35" x14ac:dyDescent="0.3">
      <c r="A10" s="9" t="s">
        <v>1416</v>
      </c>
      <c r="L10">
        <v>0</v>
      </c>
      <c r="AB10">
        <v>0</v>
      </c>
      <c r="AI10">
        <v>0</v>
      </c>
    </row>
    <row r="11" spans="1:35" x14ac:dyDescent="0.3">
      <c r="A11" s="9" t="s">
        <v>1403</v>
      </c>
      <c r="B11">
        <v>36385.454160000001</v>
      </c>
      <c r="C11">
        <v>2362.5509599999996</v>
      </c>
      <c r="D11">
        <v>7038.4882499999994</v>
      </c>
      <c r="E11">
        <v>2377.9312</v>
      </c>
      <c r="F11">
        <v>31286.9964</v>
      </c>
      <c r="H11">
        <v>79516.988160000008</v>
      </c>
      <c r="J11">
        <v>19625.658360000001</v>
      </c>
      <c r="K11">
        <v>34122.605040000002</v>
      </c>
      <c r="O11">
        <v>27369.282600000002</v>
      </c>
      <c r="P11">
        <v>79487.856060000006</v>
      </c>
      <c r="Q11">
        <v>106718.60248</v>
      </c>
      <c r="S11">
        <v>5667.829200000001</v>
      </c>
      <c r="U11">
        <v>6418.5448799999995</v>
      </c>
      <c r="Y11">
        <v>3760.95</v>
      </c>
      <c r="AA11">
        <v>841.56720000000018</v>
      </c>
      <c r="AB11">
        <v>6720.9426000000003</v>
      </c>
      <c r="AC11">
        <v>4722.4031999999997</v>
      </c>
      <c r="AD11">
        <v>11668.448000000002</v>
      </c>
      <c r="AE11">
        <v>33921.800000000003</v>
      </c>
      <c r="AH11">
        <v>21779.835220000001</v>
      </c>
      <c r="AI11">
        <v>521794.73397</v>
      </c>
    </row>
    <row r="12" spans="1:35" x14ac:dyDescent="0.3">
      <c r="A12" s="9" t="s">
        <v>1402</v>
      </c>
      <c r="D12">
        <v>9947.2986599999986</v>
      </c>
      <c r="I12">
        <v>13444.761599999998</v>
      </c>
      <c r="J12">
        <v>24902.262840000003</v>
      </c>
      <c r="K12">
        <v>24630.101600000002</v>
      </c>
      <c r="M12">
        <v>35096.967360000002</v>
      </c>
      <c r="N12">
        <v>8113.3334400000003</v>
      </c>
      <c r="O12">
        <v>47441.618839999996</v>
      </c>
      <c r="P12">
        <v>18252.954719999998</v>
      </c>
      <c r="S12">
        <v>6452.9218000000001</v>
      </c>
      <c r="T12">
        <v>13585.840979999999</v>
      </c>
      <c r="U12">
        <v>26888.394400000001</v>
      </c>
      <c r="V12">
        <v>125232.05063999999</v>
      </c>
      <c r="W12">
        <v>68306.553449999992</v>
      </c>
      <c r="X12">
        <v>52560.144000000008</v>
      </c>
      <c r="Y12">
        <v>45984.887640000001</v>
      </c>
      <c r="Z12">
        <v>39089.557999999997</v>
      </c>
      <c r="AA12">
        <v>18720.940640000001</v>
      </c>
      <c r="AB12">
        <v>27971.861250000002</v>
      </c>
      <c r="AC12">
        <v>35911.89</v>
      </c>
      <c r="AD12">
        <v>10311.923699999999</v>
      </c>
      <c r="AG12">
        <v>4829.1857899999995</v>
      </c>
      <c r="AI12">
        <v>657675.4513500001</v>
      </c>
    </row>
    <row r="13" spans="1:35" x14ac:dyDescent="0.3">
      <c r="A13" s="9" t="s">
        <v>1396</v>
      </c>
      <c r="B13">
        <v>14342.18838</v>
      </c>
      <c r="E13">
        <v>20235.176319999999</v>
      </c>
      <c r="G13">
        <v>40507.245110000003</v>
      </c>
      <c r="H13">
        <v>7009.2643199999993</v>
      </c>
      <c r="I13">
        <v>62986.846780000007</v>
      </c>
      <c r="K13">
        <v>35027.455319999994</v>
      </c>
      <c r="L13">
        <v>10997.906320000002</v>
      </c>
      <c r="M13">
        <v>33178.341359999999</v>
      </c>
      <c r="O13">
        <v>17422.404779999997</v>
      </c>
      <c r="P13">
        <v>27251.100119999996</v>
      </c>
      <c r="R13">
        <v>4225.1932799999995</v>
      </c>
      <c r="S13">
        <v>9278.4804000000004</v>
      </c>
      <c r="T13">
        <v>44519.542379999999</v>
      </c>
      <c r="U13">
        <v>38245.204890000001</v>
      </c>
      <c r="V13">
        <v>9902.9228199999998</v>
      </c>
      <c r="X13">
        <v>15583.45932</v>
      </c>
      <c r="Y13">
        <v>15179.749199999998</v>
      </c>
      <c r="Z13">
        <v>9877.5109800000009</v>
      </c>
      <c r="AB13">
        <v>21486.14229</v>
      </c>
      <c r="AC13">
        <v>47159.893899999995</v>
      </c>
      <c r="AI13">
        <v>484416.02827000001</v>
      </c>
    </row>
    <row r="14" spans="1:35" x14ac:dyDescent="0.3">
      <c r="A14" s="9" t="s">
        <v>1408</v>
      </c>
      <c r="B14">
        <v>31378.531800000001</v>
      </c>
      <c r="C14">
        <v>21447.614419999998</v>
      </c>
      <c r="D14">
        <v>20815.887770000001</v>
      </c>
      <c r="E14">
        <v>9504.8996900000002</v>
      </c>
      <c r="F14">
        <v>20669.091990000001</v>
      </c>
      <c r="G14">
        <v>5660.0544</v>
      </c>
      <c r="I14">
        <v>6964.3963200000007</v>
      </c>
      <c r="J14">
        <v>10393.181259999999</v>
      </c>
      <c r="N14">
        <v>24019.121280000003</v>
      </c>
      <c r="P14">
        <v>20043.767520000001</v>
      </c>
      <c r="R14">
        <v>16395.611540000002</v>
      </c>
      <c r="S14">
        <v>10084.108319999999</v>
      </c>
      <c r="V14">
        <v>22462.4519</v>
      </c>
      <c r="W14">
        <v>2603.4792000000002</v>
      </c>
      <c r="X14">
        <v>23976.75935</v>
      </c>
      <c r="Y14">
        <v>2493.1506600000002</v>
      </c>
      <c r="Z14">
        <v>97889.280270000003</v>
      </c>
      <c r="AA14">
        <v>3415.8503999999998</v>
      </c>
      <c r="AC14">
        <v>14894.108099999999</v>
      </c>
      <c r="AD14">
        <v>29896.224119999999</v>
      </c>
      <c r="AE14">
        <v>7506.8196000000007</v>
      </c>
      <c r="AG14">
        <v>160976.27061000001</v>
      </c>
      <c r="AH14">
        <v>8401.8940200000015</v>
      </c>
      <c r="AI14">
        <v>571892.55454000016</v>
      </c>
    </row>
    <row r="15" spans="1:35" x14ac:dyDescent="0.3">
      <c r="A15" s="9" t="s">
        <v>1395</v>
      </c>
      <c r="B15">
        <v>47694.762360000001</v>
      </c>
      <c r="C15">
        <v>36.970199999999998</v>
      </c>
      <c r="D15">
        <v>4544.8391500000007</v>
      </c>
      <c r="F15">
        <v>5654.22948</v>
      </c>
      <c r="G15">
        <v>9137.6140799999994</v>
      </c>
      <c r="H15">
        <v>18364.589100000001</v>
      </c>
      <c r="I15">
        <v>24706.764000000003</v>
      </c>
      <c r="J15">
        <v>8854.276319999999</v>
      </c>
      <c r="N15">
        <v>3521.1077</v>
      </c>
      <c r="O15">
        <v>31422.63</v>
      </c>
      <c r="R15">
        <v>3615.67416</v>
      </c>
      <c r="S15">
        <v>30168.894079999998</v>
      </c>
      <c r="T15">
        <v>54227.522300000004</v>
      </c>
      <c r="U15">
        <v>74251.58</v>
      </c>
      <c r="X15">
        <v>14467.482400000001</v>
      </c>
      <c r="Y15">
        <v>22483.549139999999</v>
      </c>
      <c r="Z15">
        <v>29865.731760000002</v>
      </c>
      <c r="AA15">
        <v>2281.3896</v>
      </c>
      <c r="AE15">
        <v>7561.2927300000001</v>
      </c>
      <c r="AG15">
        <v>4270.2181499999997</v>
      </c>
      <c r="AH15">
        <v>9873.8135999999995</v>
      </c>
      <c r="AI15">
        <v>407004.93030999997</v>
      </c>
    </row>
    <row r="16" spans="1:35" x14ac:dyDescent="0.3">
      <c r="A16" s="9" t="s">
        <v>1407</v>
      </c>
      <c r="D16">
        <v>31644.291119999994</v>
      </c>
      <c r="E16">
        <v>19353.546419999999</v>
      </c>
      <c r="G16">
        <v>13790.9763</v>
      </c>
      <c r="H16">
        <v>116731.22306999999</v>
      </c>
      <c r="I16">
        <v>674.07536000000005</v>
      </c>
      <c r="K16">
        <v>8549.7651600000008</v>
      </c>
      <c r="M16">
        <v>3365.5755999999997</v>
      </c>
      <c r="P16">
        <v>6140.80314</v>
      </c>
      <c r="R16">
        <v>13652.985640000001</v>
      </c>
      <c r="T16">
        <v>46314.985820000002</v>
      </c>
      <c r="U16">
        <v>19287.106050000002</v>
      </c>
      <c r="W16">
        <v>733.01119999999992</v>
      </c>
      <c r="X16">
        <v>40309.207710000002</v>
      </c>
      <c r="Y16">
        <v>129059.83639</v>
      </c>
      <c r="Z16">
        <v>39751.899980000002</v>
      </c>
      <c r="AB16">
        <v>35310.318749999999</v>
      </c>
      <c r="AC16">
        <v>21031.899600000001</v>
      </c>
      <c r="AI16">
        <v>545701.50731000002</v>
      </c>
    </row>
    <row r="17" spans="1:35" x14ac:dyDescent="0.3">
      <c r="A17" s="9" t="s">
        <v>1392</v>
      </c>
      <c r="B17">
        <v>14666.089860000002</v>
      </c>
      <c r="H17">
        <v>8510.0765999999985</v>
      </c>
      <c r="I17">
        <v>88929.73023999999</v>
      </c>
      <c r="J17">
        <v>4534.0944</v>
      </c>
      <c r="M17">
        <v>31735.889799999997</v>
      </c>
      <c r="N17">
        <v>28021.033619999998</v>
      </c>
      <c r="O17">
        <v>26031.15</v>
      </c>
      <c r="Q17">
        <v>3565.5894400000002</v>
      </c>
      <c r="R17">
        <v>15979.62168</v>
      </c>
      <c r="W17">
        <v>1403.9546399999999</v>
      </c>
      <c r="X17">
        <v>46661.229280000007</v>
      </c>
      <c r="Z17">
        <v>17656.36218</v>
      </c>
      <c r="AA17">
        <v>30794.85987</v>
      </c>
      <c r="AE17">
        <v>17934.41419</v>
      </c>
      <c r="AH17">
        <v>33813.980960000001</v>
      </c>
      <c r="AI17">
        <v>370238.07676000003</v>
      </c>
    </row>
    <row r="18" spans="1:35" x14ac:dyDescent="0.3">
      <c r="A18" s="9" t="s">
        <v>1404</v>
      </c>
      <c r="B18">
        <v>59066.056200000006</v>
      </c>
      <c r="C18">
        <v>28646.702999999998</v>
      </c>
      <c r="D18">
        <v>26958.519419999997</v>
      </c>
      <c r="G18">
        <v>42205.544160000005</v>
      </c>
      <c r="H18">
        <v>17698.503240000002</v>
      </c>
      <c r="J18">
        <v>15891.92</v>
      </c>
      <c r="L18">
        <v>35734.358879999992</v>
      </c>
      <c r="N18">
        <v>28945.63956</v>
      </c>
      <c r="O18">
        <v>41965.129939999999</v>
      </c>
      <c r="P18">
        <v>45086.595219999996</v>
      </c>
      <c r="Q18">
        <v>14867.190359999997</v>
      </c>
      <c r="R18">
        <v>13660.278240000001</v>
      </c>
      <c r="S18">
        <v>98011.346159999986</v>
      </c>
      <c r="T18">
        <v>26511.736639999999</v>
      </c>
      <c r="U18">
        <v>54798.866120000006</v>
      </c>
      <c r="V18">
        <v>11379.122369999999</v>
      </c>
      <c r="W18">
        <v>35913.937600000005</v>
      </c>
      <c r="X18">
        <v>23605.161030000003</v>
      </c>
      <c r="Y18">
        <v>20697.168600000001</v>
      </c>
      <c r="Z18">
        <v>11597.65056</v>
      </c>
      <c r="AC18">
        <v>4499.1500000000005</v>
      </c>
      <c r="AF18">
        <v>12985.618199999999</v>
      </c>
      <c r="AI18">
        <v>670726.19550000003</v>
      </c>
    </row>
    <row r="19" spans="1:35" x14ac:dyDescent="0.3">
      <c r="A19" s="9" t="s">
        <v>1394</v>
      </c>
      <c r="B19">
        <v>11803.702499999998</v>
      </c>
      <c r="C19">
        <v>5807.6003499999997</v>
      </c>
      <c r="D19">
        <v>78030.316940000004</v>
      </c>
      <c r="E19">
        <v>57129.953519999995</v>
      </c>
      <c r="F19">
        <v>21984.960139999999</v>
      </c>
      <c r="H19">
        <v>9671.5257600000004</v>
      </c>
      <c r="I19">
        <v>34632.215859999997</v>
      </c>
      <c r="J19">
        <v>45029.793740000001</v>
      </c>
      <c r="L19">
        <v>4119.0446000000002</v>
      </c>
      <c r="O19">
        <v>21238.118460000002</v>
      </c>
      <c r="S19">
        <v>44117.408199999998</v>
      </c>
      <c r="T19">
        <v>3822.3670400000005</v>
      </c>
      <c r="U19">
        <v>93667.868000000002</v>
      </c>
      <c r="V19">
        <v>28786.488319999997</v>
      </c>
      <c r="W19">
        <v>29809.478520000004</v>
      </c>
      <c r="Y19">
        <v>10198.97235</v>
      </c>
      <c r="Z19">
        <v>11273.616900000001</v>
      </c>
      <c r="AA19">
        <v>4086.5861999999997</v>
      </c>
      <c r="AC19">
        <v>6580.1227499999995</v>
      </c>
      <c r="AE19">
        <v>11819.917200000002</v>
      </c>
      <c r="AF19">
        <v>2073.2045600000001</v>
      </c>
      <c r="AH19">
        <v>7255.4580000000005</v>
      </c>
      <c r="AI19">
        <v>542938.7199100001</v>
      </c>
    </row>
    <row r="20" spans="1:35" x14ac:dyDescent="0.3">
      <c r="A20" s="9" t="s">
        <v>1406</v>
      </c>
      <c r="B20">
        <v>989.39469999999983</v>
      </c>
      <c r="F20">
        <v>39489.653639999997</v>
      </c>
      <c r="G20">
        <v>33475.68</v>
      </c>
      <c r="H20">
        <v>22309.837440000003</v>
      </c>
      <c r="I20">
        <v>59221.440720000006</v>
      </c>
      <c r="J20">
        <v>15339.646139999999</v>
      </c>
      <c r="K20">
        <v>105981.70272</v>
      </c>
      <c r="L20">
        <v>1853.32482</v>
      </c>
      <c r="N20">
        <v>5749.1559000000007</v>
      </c>
      <c r="R20">
        <v>78253.279020000002</v>
      </c>
      <c r="S20">
        <v>7167.5668799999994</v>
      </c>
      <c r="U20">
        <v>1948.1462000000001</v>
      </c>
      <c r="W20">
        <v>48582.215760000006</v>
      </c>
      <c r="X20">
        <v>4846.6447200000002</v>
      </c>
      <c r="Y20">
        <v>5497.3325000000004</v>
      </c>
      <c r="AA20">
        <v>41071.932000000001</v>
      </c>
      <c r="AC20">
        <v>45872.984250000001</v>
      </c>
      <c r="AD20">
        <v>17009.911999999997</v>
      </c>
      <c r="AF20">
        <v>20287.469400000002</v>
      </c>
      <c r="AG20">
        <v>21303.279840000003</v>
      </c>
      <c r="AH20">
        <v>20866.559999999998</v>
      </c>
      <c r="AI20">
        <v>597117.15865000011</v>
      </c>
    </row>
    <row r="21" spans="1:35" x14ac:dyDescent="0.3">
      <c r="A21" s="9" t="s">
        <v>1400</v>
      </c>
      <c r="B21">
        <v>7944.7970799999994</v>
      </c>
      <c r="C21">
        <v>39508.723799999992</v>
      </c>
      <c r="D21">
        <v>51929.128719999993</v>
      </c>
      <c r="E21">
        <v>12481.436800000001</v>
      </c>
      <c r="G21">
        <v>9431.7695999999996</v>
      </c>
      <c r="I21">
        <v>5532.6686399999999</v>
      </c>
      <c r="K21">
        <v>6352.3798799999995</v>
      </c>
      <c r="N21">
        <v>31218.691400000003</v>
      </c>
      <c r="Q21">
        <v>29033.704000000002</v>
      </c>
      <c r="R21">
        <v>5002.3123200000009</v>
      </c>
      <c r="U21">
        <v>15357.69966</v>
      </c>
      <c r="V21">
        <v>17084.938320000001</v>
      </c>
      <c r="W21">
        <v>74491.454809999996</v>
      </c>
      <c r="Y21">
        <v>17985.918359999996</v>
      </c>
      <c r="AA21">
        <v>17830.4548</v>
      </c>
      <c r="AB21">
        <v>15275.5965</v>
      </c>
      <c r="AC21">
        <v>2237.6023999999998</v>
      </c>
      <c r="AD21">
        <v>10855.105869999999</v>
      </c>
      <c r="AE21">
        <v>18599.828130000002</v>
      </c>
      <c r="AF21">
        <v>18307.712480000002</v>
      </c>
      <c r="AG21">
        <v>48863.066359999997</v>
      </c>
      <c r="AH21">
        <v>11792.958000000001</v>
      </c>
      <c r="AI21">
        <v>467117.94792999991</v>
      </c>
    </row>
    <row r="22" spans="1:35" x14ac:dyDescent="0.3">
      <c r="A22" s="9" t="s">
        <v>1417</v>
      </c>
      <c r="B22">
        <v>10511.386199999999</v>
      </c>
      <c r="D22">
        <v>0</v>
      </c>
      <c r="E22">
        <v>0</v>
      </c>
      <c r="F22">
        <v>3208.8335999999999</v>
      </c>
      <c r="G22">
        <v>2667.2333200000003</v>
      </c>
      <c r="H22">
        <v>0</v>
      </c>
      <c r="I22">
        <v>0</v>
      </c>
      <c r="K22">
        <v>0</v>
      </c>
      <c r="N22">
        <v>0</v>
      </c>
      <c r="P22">
        <v>0</v>
      </c>
      <c r="Q22">
        <v>0</v>
      </c>
      <c r="R22">
        <v>0</v>
      </c>
      <c r="S22">
        <v>0</v>
      </c>
      <c r="T22">
        <v>0</v>
      </c>
      <c r="U22">
        <v>0</v>
      </c>
      <c r="W22">
        <v>18416.456609999997</v>
      </c>
      <c r="X22">
        <v>0</v>
      </c>
      <c r="AA22">
        <v>34640.985000000001</v>
      </c>
      <c r="AB22">
        <v>0</v>
      </c>
      <c r="AC22">
        <v>0</v>
      </c>
      <c r="AD22">
        <v>0</v>
      </c>
      <c r="AE22">
        <v>0</v>
      </c>
      <c r="AF22">
        <v>486.56036000000006</v>
      </c>
      <c r="AI22">
        <v>69931.455090000003</v>
      </c>
    </row>
    <row r="23" spans="1:35" x14ac:dyDescent="0.3">
      <c r="A23" s="9" t="s">
        <v>1399</v>
      </c>
      <c r="B23">
        <v>24416.278989999999</v>
      </c>
      <c r="D23">
        <v>4648.9350599999998</v>
      </c>
      <c r="E23">
        <v>9151.630000000001</v>
      </c>
      <c r="G23">
        <v>31629.554919999999</v>
      </c>
      <c r="H23">
        <v>18916.432219999999</v>
      </c>
      <c r="K23">
        <v>64128.8586</v>
      </c>
      <c r="L23">
        <v>554.97959999999989</v>
      </c>
      <c r="M23">
        <v>789.46368000000007</v>
      </c>
      <c r="O23">
        <v>6823.2037199999995</v>
      </c>
      <c r="P23">
        <v>20805.370690000003</v>
      </c>
      <c r="R23">
        <v>87186.760439999998</v>
      </c>
      <c r="V23">
        <v>32095.464200000002</v>
      </c>
      <c r="Y23">
        <v>34932.681600000004</v>
      </c>
      <c r="AB23">
        <v>6137.98416</v>
      </c>
      <c r="AD23">
        <v>6770.0719200000003</v>
      </c>
      <c r="AE23">
        <v>25491.11796</v>
      </c>
      <c r="AF23">
        <v>158.16520000000003</v>
      </c>
      <c r="AG23">
        <v>36310.30197</v>
      </c>
      <c r="AI23">
        <v>410947.25492999994</v>
      </c>
    </row>
    <row r="24" spans="1:35" x14ac:dyDescent="0.3">
      <c r="A24" s="9" t="s">
        <v>1418</v>
      </c>
      <c r="B24">
        <v>19117.733100000001</v>
      </c>
      <c r="D24">
        <v>51926.012279999995</v>
      </c>
      <c r="E24">
        <v>109937.11616000001</v>
      </c>
      <c r="F24">
        <v>62066.492319999998</v>
      </c>
      <c r="G24">
        <v>7543.8005999999996</v>
      </c>
      <c r="H24">
        <v>28925.557119999998</v>
      </c>
      <c r="J24">
        <v>24128.64272</v>
      </c>
      <c r="K24">
        <v>21446.400000000001</v>
      </c>
      <c r="L24">
        <v>17843.72193</v>
      </c>
      <c r="M24">
        <v>8582.8799799999997</v>
      </c>
      <c r="N24">
        <v>6980.1763200000005</v>
      </c>
      <c r="Q24">
        <v>4083.4300000000003</v>
      </c>
      <c r="R24">
        <v>20722.29348</v>
      </c>
      <c r="S24">
        <v>19816.344349999999</v>
      </c>
      <c r="T24">
        <v>66005.49987</v>
      </c>
      <c r="U24">
        <v>4921.3008</v>
      </c>
      <c r="W24">
        <v>46878.839200000002</v>
      </c>
      <c r="X24">
        <v>31581.441959999996</v>
      </c>
      <c r="Y24">
        <v>3085.38</v>
      </c>
      <c r="AC24">
        <v>8728.9427399999986</v>
      </c>
      <c r="AG24">
        <v>2183.9422500000001</v>
      </c>
      <c r="AI24">
        <v>566505.94718000002</v>
      </c>
    </row>
    <row r="25" spans="1:35" x14ac:dyDescent="0.3">
      <c r="A25" s="9" t="s">
        <v>1398</v>
      </c>
      <c r="B25">
        <v>85336.720950000003</v>
      </c>
      <c r="D25">
        <v>17694.882399999999</v>
      </c>
      <c r="E25">
        <v>61980.596730000005</v>
      </c>
      <c r="F25">
        <v>13882.919040000001</v>
      </c>
      <c r="G25">
        <v>26302.966559999997</v>
      </c>
      <c r="K25">
        <v>74200.581009999994</v>
      </c>
      <c r="L25">
        <v>7256.5421999999999</v>
      </c>
      <c r="M25">
        <v>132103.00212000002</v>
      </c>
      <c r="N25">
        <v>11002.004999999999</v>
      </c>
      <c r="O25">
        <v>6319.9846800000005</v>
      </c>
      <c r="P25">
        <v>9587.7280800000008</v>
      </c>
      <c r="S25">
        <v>1541.5919999999999</v>
      </c>
      <c r="Y25">
        <v>14139.90576</v>
      </c>
      <c r="Z25">
        <v>9097.867400000001</v>
      </c>
      <c r="AD25">
        <v>5219.7772800000002</v>
      </c>
      <c r="AE25">
        <v>101008.88751000002</v>
      </c>
      <c r="AG25">
        <v>3645.6088500000001</v>
      </c>
      <c r="AH25">
        <v>593.52160000000003</v>
      </c>
      <c r="AI25">
        <v>580915.08916999993</v>
      </c>
    </row>
    <row r="26" spans="1:35" x14ac:dyDescent="0.3">
      <c r="A26" s="9" t="s">
        <v>1410</v>
      </c>
      <c r="B26">
        <v>11393.722979999999</v>
      </c>
      <c r="F26">
        <v>23507.575000000001</v>
      </c>
      <c r="G26">
        <v>9301.9459999999999</v>
      </c>
      <c r="H26">
        <v>35256.783040000002</v>
      </c>
      <c r="I26">
        <v>10814.319</v>
      </c>
      <c r="J26">
        <v>39068.859620000003</v>
      </c>
      <c r="K26">
        <v>26490.27576</v>
      </c>
      <c r="L26">
        <v>20641.897199999999</v>
      </c>
      <c r="M26">
        <v>14063.653600000001</v>
      </c>
      <c r="N26">
        <v>5968.5955599999998</v>
      </c>
      <c r="P26">
        <v>18398.4388</v>
      </c>
      <c r="Q26">
        <v>1119.492</v>
      </c>
      <c r="T26">
        <v>25485.499680000001</v>
      </c>
      <c r="U26">
        <v>29597.640160000003</v>
      </c>
      <c r="V26">
        <v>10310.463239999999</v>
      </c>
      <c r="W26">
        <v>8118.5574299999998</v>
      </c>
      <c r="Y26">
        <v>1551.6000000000001</v>
      </c>
      <c r="Z26">
        <v>8897.572979999999</v>
      </c>
      <c r="AA26">
        <v>58944.550499999998</v>
      </c>
      <c r="AC26">
        <v>64527.264049999998</v>
      </c>
      <c r="AE26">
        <v>22209.693749999999</v>
      </c>
      <c r="AF26">
        <v>4778.8646400000007</v>
      </c>
      <c r="AI26">
        <v>450447.26498999994</v>
      </c>
    </row>
    <row r="27" spans="1:35" x14ac:dyDescent="0.3">
      <c r="A27" s="9" t="s">
        <v>1377</v>
      </c>
      <c r="B27">
        <v>448055.58006000007</v>
      </c>
      <c r="C27">
        <v>183189.74595999997</v>
      </c>
      <c r="D27">
        <v>411814.45707</v>
      </c>
      <c r="E27">
        <v>382169.26542000001</v>
      </c>
      <c r="F27">
        <v>390149.27944000007</v>
      </c>
      <c r="G27">
        <v>331723.10493000003</v>
      </c>
      <c r="H27">
        <v>391318.99383000011</v>
      </c>
      <c r="I27">
        <v>374016.44617000001</v>
      </c>
      <c r="J27">
        <v>346625.72980000009</v>
      </c>
      <c r="K27">
        <v>416006.12540999998</v>
      </c>
      <c r="L27">
        <v>165016.13856999998</v>
      </c>
      <c r="M27">
        <v>266569.37350000005</v>
      </c>
      <c r="N27">
        <v>270499.64948000002</v>
      </c>
      <c r="O27">
        <v>247027.14031999998</v>
      </c>
      <c r="P27">
        <v>348036.44128999999</v>
      </c>
      <c r="Q27">
        <v>222352.99324000001</v>
      </c>
      <c r="R27">
        <v>258674.70052000001</v>
      </c>
      <c r="S27">
        <v>287692.44656000001</v>
      </c>
      <c r="T27">
        <v>378492.45475000003</v>
      </c>
      <c r="U27">
        <v>422905.62887000007</v>
      </c>
      <c r="V27">
        <v>414027.59846999997</v>
      </c>
      <c r="W27">
        <v>493606.05356999999</v>
      </c>
      <c r="X27">
        <v>277520.88267000002</v>
      </c>
      <c r="Y27">
        <v>429507.73319</v>
      </c>
      <c r="Z27">
        <v>382160.86480999994</v>
      </c>
      <c r="AA27">
        <v>328847.78194999998</v>
      </c>
      <c r="AB27">
        <v>155256.72823000001</v>
      </c>
      <c r="AC27">
        <v>290444.43622999999</v>
      </c>
      <c r="AD27">
        <v>128279.63919</v>
      </c>
      <c r="AE27">
        <v>365808.07334999996</v>
      </c>
      <c r="AF27">
        <v>162895.90742999999</v>
      </c>
      <c r="AG27">
        <v>370088.47204000002</v>
      </c>
      <c r="AH27">
        <v>130706.08270999999</v>
      </c>
      <c r="AI27">
        <v>10471485.949030001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67D0-BB52-47C5-BC55-2F994F050856}">
  <dimension ref="A1:W633"/>
  <sheetViews>
    <sheetView workbookViewId="0">
      <selection activeCell="W1" sqref="W1"/>
    </sheetView>
  </sheetViews>
  <sheetFormatPr defaultRowHeight="14.4" x14ac:dyDescent="0.3"/>
  <cols>
    <col min="1" max="1" width="16.21875" bestFit="1" customWidth="1"/>
    <col min="2" max="2" width="9.77734375" bestFit="1" customWidth="1"/>
    <col min="3" max="3" width="12.44140625" bestFit="1" customWidth="1"/>
    <col min="4" max="4" width="13.21875" bestFit="1" customWidth="1"/>
    <col min="5" max="5" width="9.21875" bestFit="1" customWidth="1"/>
    <col min="6" max="6" width="8" bestFit="1" customWidth="1"/>
    <col min="7" max="7" width="8.44140625" bestFit="1" customWidth="1"/>
    <col min="8" max="8" width="14" bestFit="1" customWidth="1"/>
    <col min="9" max="9" width="12.44140625" bestFit="1" customWidth="1"/>
    <col min="10" max="10" width="16.77734375" bestFit="1" customWidth="1"/>
    <col min="11" max="12" width="11.77734375" bestFit="1" customWidth="1"/>
    <col min="13" max="13" width="15.21875" bestFit="1" customWidth="1"/>
    <col min="14" max="14" width="10" bestFit="1" customWidth="1"/>
    <col min="15" max="15" width="8.21875" bestFit="1" customWidth="1"/>
    <col min="16" max="16" width="9.77734375" bestFit="1" customWidth="1"/>
    <col min="17" max="17" width="8.77734375" bestFit="1" customWidth="1"/>
    <col min="18" max="18" width="11" bestFit="1" customWidth="1"/>
    <col min="19" max="19" width="8.21875" bestFit="1" customWidth="1"/>
    <col min="20" max="20" width="13.44140625" bestFit="1" customWidth="1"/>
    <col min="21" max="21" width="12.77734375" bestFit="1" customWidth="1"/>
    <col min="22" max="22" width="10.77734375" bestFit="1" customWidth="1"/>
    <col min="23" max="23" width="17" bestFit="1" customWidth="1"/>
  </cols>
  <sheetData>
    <row r="1" spans="1:23" x14ac:dyDescent="0.3">
      <c r="A1" s="34" t="s">
        <v>15</v>
      </c>
      <c r="B1" s="35">
        <v>45362</v>
      </c>
      <c r="C1" s="36">
        <v>45388</v>
      </c>
      <c r="D1" s="37">
        <f>DATEDIF(B1,C1, "MD")</f>
        <v>26</v>
      </c>
      <c r="E1" s="37" t="str">
        <f>TEXT(Data!B1,"MMM-YYYY")</f>
        <v>Mar-2024</v>
      </c>
      <c r="F1" s="37" t="str">
        <f>"Q"&amp;ROUNDUP(MONTH(B1)/3,0)&amp;"-"&amp;YEAR(B1)</f>
        <v>Q1-2024</v>
      </c>
      <c r="G1" s="32" t="s">
        <v>16</v>
      </c>
      <c r="H1" s="32" t="s">
        <v>17</v>
      </c>
      <c r="I1" s="32" t="s">
        <v>18</v>
      </c>
      <c r="J1" s="32" t="s">
        <v>19</v>
      </c>
      <c r="K1" s="32" t="s">
        <v>20</v>
      </c>
      <c r="L1" s="32" t="s">
        <v>21</v>
      </c>
      <c r="M1" s="32" t="s">
        <v>22</v>
      </c>
      <c r="N1" s="32" t="s">
        <v>23</v>
      </c>
      <c r="O1" s="37">
        <v>279.24</v>
      </c>
      <c r="P1" s="38" t="str">
        <f>IF(Q1&lt;50, "Low", IF(Q1&lt;200, "Medium", "High"))</f>
        <v>High</v>
      </c>
      <c r="Q1" s="37">
        <v>608.9</v>
      </c>
      <c r="R1" s="37">
        <v>0.112</v>
      </c>
      <c r="S1" s="37">
        <v>9</v>
      </c>
      <c r="T1" s="37">
        <f t="shared" ref="T1:T64" si="0">(Q27*S1)*(1-R1)</f>
        <v>1403.9546399999999</v>
      </c>
      <c r="U1" s="32">
        <f t="shared" ref="U1:U64" si="1">(O1*S1)</f>
        <v>2513.16</v>
      </c>
      <c r="V1" s="37">
        <f>(T1-U1)</f>
        <v>-1109.2053599999999</v>
      </c>
      <c r="W1" s="39">
        <f>IF(T1=0, 0, V1/T1)</f>
        <v>-0.79005783263766982</v>
      </c>
    </row>
    <row r="2" spans="1:23" x14ac:dyDescent="0.3">
      <c r="A2" s="40" t="s">
        <v>24</v>
      </c>
      <c r="B2" s="41">
        <v>45588</v>
      </c>
      <c r="C2" s="42">
        <v>45587</v>
      </c>
      <c r="D2" s="43">
        <f>DATEDIF(C2, B2, "MD")</f>
        <v>1</v>
      </c>
      <c r="E2" s="43" t="str">
        <f>TEXT(Data!B2,"MMM-YYYY")</f>
        <v>Oct-2024</v>
      </c>
      <c r="F2" s="43" t="str">
        <f t="shared" ref="F2:F65" si="2">"Q"&amp;ROUNDUP(MONTH(B2)/3,0)&amp;"-"&amp;YEAR(B2)</f>
        <v>Q4-2024</v>
      </c>
      <c r="G2" s="33" t="s">
        <v>16</v>
      </c>
      <c r="H2" s="33" t="s">
        <v>25</v>
      </c>
      <c r="I2" s="33" t="s">
        <v>26</v>
      </c>
      <c r="J2" s="33" t="s">
        <v>27</v>
      </c>
      <c r="K2" s="33" t="s">
        <v>28</v>
      </c>
      <c r="L2" s="33" t="s">
        <v>29</v>
      </c>
      <c r="M2" s="33" t="s">
        <v>30</v>
      </c>
      <c r="N2" s="33" t="s">
        <v>31</v>
      </c>
      <c r="O2" s="43">
        <v>1084.3900000000001</v>
      </c>
      <c r="P2" s="44" t="str">
        <f t="shared" ref="P2:P65" si="3">IF(Q2&lt;50, "Low", IF(Q2&lt;200, "Medium", "High"))</f>
        <v>High</v>
      </c>
      <c r="Q2" s="43">
        <v>759.33</v>
      </c>
      <c r="R2" s="43">
        <v>0.23699999999999999</v>
      </c>
      <c r="S2" s="43">
        <v>31</v>
      </c>
      <c r="T2" s="43">
        <f t="shared" si="0"/>
        <v>17934.41419</v>
      </c>
      <c r="U2" s="33">
        <f t="shared" si="1"/>
        <v>33616.090000000004</v>
      </c>
      <c r="V2" s="43">
        <f t="shared" ref="V2:V65" si="4">(T2-U2)</f>
        <v>-15681.675810000004</v>
      </c>
      <c r="W2" s="45">
        <f t="shared" ref="W2:W65" si="5">IF(T2=0, 0, V2/T2)</f>
        <v>-0.87439018882166253</v>
      </c>
    </row>
    <row r="3" spans="1:23" x14ac:dyDescent="0.3">
      <c r="A3" s="34" t="s">
        <v>32</v>
      </c>
      <c r="B3" s="35">
        <v>44985</v>
      </c>
      <c r="C3" s="36">
        <v>45010</v>
      </c>
      <c r="D3" s="37">
        <f t="shared" ref="D3:D66" si="6">DATEDIF(B3,C3, "MD")</f>
        <v>25</v>
      </c>
      <c r="E3" s="37" t="str">
        <f>TEXT(Data!B3,"MMM-YYYY")</f>
        <v>Feb-2023</v>
      </c>
      <c r="F3" s="37" t="str">
        <f t="shared" si="2"/>
        <v>Q1-2023</v>
      </c>
      <c r="G3" s="32" t="s">
        <v>16</v>
      </c>
      <c r="H3" s="32" t="s">
        <v>17</v>
      </c>
      <c r="I3" s="32" t="s">
        <v>33</v>
      </c>
      <c r="J3" s="32" t="s">
        <v>19</v>
      </c>
      <c r="K3" s="32" t="s">
        <v>20</v>
      </c>
      <c r="L3" s="32" t="s">
        <v>34</v>
      </c>
      <c r="M3" s="32" t="s">
        <v>35</v>
      </c>
      <c r="N3" s="32" t="s">
        <v>36</v>
      </c>
      <c r="O3" s="37">
        <v>1460.76</v>
      </c>
      <c r="P3" s="38" t="str">
        <f t="shared" si="3"/>
        <v>Low</v>
      </c>
      <c r="Q3" s="37">
        <v>-30.66</v>
      </c>
      <c r="R3" s="37">
        <v>0.13100000000000001</v>
      </c>
      <c r="S3" s="37">
        <v>12</v>
      </c>
      <c r="T3" s="37">
        <f t="shared" si="0"/>
        <v>4534.0944</v>
      </c>
      <c r="U3" s="32">
        <f t="shared" si="1"/>
        <v>17529.12</v>
      </c>
      <c r="V3" s="37">
        <f t="shared" si="4"/>
        <v>-12995.025599999999</v>
      </c>
      <c r="W3" s="39">
        <f t="shared" si="5"/>
        <v>-2.8660686023652264</v>
      </c>
    </row>
    <row r="4" spans="1:23" x14ac:dyDescent="0.3">
      <c r="A4" s="40" t="s">
        <v>37</v>
      </c>
      <c r="B4" s="41">
        <v>45745</v>
      </c>
      <c r="C4" s="42">
        <v>45749</v>
      </c>
      <c r="D4" s="43">
        <f t="shared" si="6"/>
        <v>4</v>
      </c>
      <c r="E4" s="43" t="str">
        <f>TEXT(Data!B4,"MMM-YYYY")</f>
        <v>Mar-2025</v>
      </c>
      <c r="F4" s="43" t="str">
        <f t="shared" si="2"/>
        <v>Q1-2025</v>
      </c>
      <c r="G4" s="33" t="s">
        <v>16</v>
      </c>
      <c r="H4" s="33" t="s">
        <v>25</v>
      </c>
      <c r="I4" s="33" t="s">
        <v>38</v>
      </c>
      <c r="J4" s="33" t="s">
        <v>39</v>
      </c>
      <c r="K4" s="33" t="s">
        <v>40</v>
      </c>
      <c r="L4" s="33" t="s">
        <v>41</v>
      </c>
      <c r="M4" s="33" t="s">
        <v>42</v>
      </c>
      <c r="N4" s="33" t="s">
        <v>43</v>
      </c>
      <c r="O4" s="43">
        <v>259.93</v>
      </c>
      <c r="P4" s="44" t="str">
        <f t="shared" si="3"/>
        <v>High</v>
      </c>
      <c r="Q4" s="43">
        <v>255.94</v>
      </c>
      <c r="R4" s="43">
        <v>7.1999999999999995E-2</v>
      </c>
      <c r="S4" s="43">
        <v>22</v>
      </c>
      <c r="T4" s="43">
        <f t="shared" si="0"/>
        <v>34016.730880000003</v>
      </c>
      <c r="U4" s="33">
        <f t="shared" si="1"/>
        <v>5718.46</v>
      </c>
      <c r="V4" s="43">
        <f t="shared" si="4"/>
        <v>28298.270880000004</v>
      </c>
      <c r="W4" s="45">
        <f t="shared" si="5"/>
        <v>0.83189272301994943</v>
      </c>
    </row>
    <row r="5" spans="1:23" x14ac:dyDescent="0.3">
      <c r="A5" s="34" t="s">
        <v>44</v>
      </c>
      <c r="B5" s="35">
        <v>45266</v>
      </c>
      <c r="C5" s="36">
        <v>45291</v>
      </c>
      <c r="D5" s="37">
        <f t="shared" si="6"/>
        <v>25</v>
      </c>
      <c r="E5" s="37" t="str">
        <f>TEXT(Data!B5,"MMM-YYYY")</f>
        <v>Dec-2023</v>
      </c>
      <c r="F5" s="37" t="str">
        <f t="shared" si="2"/>
        <v>Q4-2023</v>
      </c>
      <c r="G5" s="32" t="s">
        <v>45</v>
      </c>
      <c r="H5" s="32" t="s">
        <v>46</v>
      </c>
      <c r="I5" s="32" t="s">
        <v>47</v>
      </c>
      <c r="J5" s="32" t="s">
        <v>48</v>
      </c>
      <c r="K5" s="32" t="s">
        <v>20</v>
      </c>
      <c r="L5" s="32" t="s">
        <v>49</v>
      </c>
      <c r="M5" s="32" t="s">
        <v>30</v>
      </c>
      <c r="N5" s="32" t="s">
        <v>50</v>
      </c>
      <c r="O5" s="37">
        <v>663.03</v>
      </c>
      <c r="P5" s="38" t="str">
        <f t="shared" si="3"/>
        <v>High</v>
      </c>
      <c r="Q5" s="37">
        <v>813.51</v>
      </c>
      <c r="R5" s="37">
        <v>0.10199999999999999</v>
      </c>
      <c r="S5" s="37">
        <v>15</v>
      </c>
      <c r="T5" s="37">
        <f t="shared" si="0"/>
        <v>8510.0765999999985</v>
      </c>
      <c r="U5" s="32">
        <f t="shared" si="1"/>
        <v>9945.4499999999989</v>
      </c>
      <c r="V5" s="37">
        <f t="shared" si="4"/>
        <v>-1435.3734000000004</v>
      </c>
      <c r="W5" s="39">
        <f t="shared" si="5"/>
        <v>-0.16866750647109341</v>
      </c>
    </row>
    <row r="6" spans="1:23" x14ac:dyDescent="0.3">
      <c r="A6" s="40" t="s">
        <v>51</v>
      </c>
      <c r="B6" s="41">
        <v>44928</v>
      </c>
      <c r="C6" s="42">
        <v>44931</v>
      </c>
      <c r="D6" s="43">
        <f t="shared" si="6"/>
        <v>3</v>
      </c>
      <c r="E6" s="43" t="str">
        <f>TEXT(Data!B6,"MMM-YYYY")</f>
        <v>Jan-2023</v>
      </c>
      <c r="F6" s="43" t="str">
        <f t="shared" si="2"/>
        <v>Q1-2023</v>
      </c>
      <c r="G6" s="33" t="s">
        <v>52</v>
      </c>
      <c r="H6" s="33" t="s">
        <v>53</v>
      </c>
      <c r="I6" s="33" t="s">
        <v>54</v>
      </c>
      <c r="J6" s="33" t="s">
        <v>19</v>
      </c>
      <c r="K6" s="33" t="s">
        <v>55</v>
      </c>
      <c r="L6" s="33" t="s">
        <v>56</v>
      </c>
      <c r="M6" s="33" t="s">
        <v>57</v>
      </c>
      <c r="N6" s="33" t="s">
        <v>58</v>
      </c>
      <c r="O6" s="43">
        <v>315.87</v>
      </c>
      <c r="P6" s="44" t="str">
        <f t="shared" si="3"/>
        <v>High</v>
      </c>
      <c r="Q6" s="43">
        <v>591.67999999999995</v>
      </c>
      <c r="R6" s="43">
        <v>0</v>
      </c>
      <c r="S6" s="43">
        <v>7</v>
      </c>
      <c r="T6" s="43">
        <f t="shared" si="0"/>
        <v>12558.49</v>
      </c>
      <c r="U6" s="33">
        <f t="shared" si="1"/>
        <v>2211.09</v>
      </c>
      <c r="V6" s="43">
        <f t="shared" si="4"/>
        <v>10347.4</v>
      </c>
      <c r="W6" s="45">
        <f t="shared" si="5"/>
        <v>0.82393663569425946</v>
      </c>
    </row>
    <row r="7" spans="1:23" x14ac:dyDescent="0.3">
      <c r="A7" s="34" t="s">
        <v>59</v>
      </c>
      <c r="B7" s="35">
        <v>45653</v>
      </c>
      <c r="C7" s="36">
        <v>45671</v>
      </c>
      <c r="D7" s="37">
        <f t="shared" si="6"/>
        <v>18</v>
      </c>
      <c r="E7" s="37" t="str">
        <f>TEXT(Data!B7,"MMM-YYYY")</f>
        <v>Dec-2024</v>
      </c>
      <c r="F7" s="37" t="str">
        <f t="shared" si="2"/>
        <v>Q4-2024</v>
      </c>
      <c r="G7" s="32" t="s">
        <v>45</v>
      </c>
      <c r="H7" s="32" t="s">
        <v>60</v>
      </c>
      <c r="I7" s="32" t="s">
        <v>61</v>
      </c>
      <c r="J7" s="32" t="s">
        <v>62</v>
      </c>
      <c r="K7" s="32" t="s">
        <v>40</v>
      </c>
      <c r="L7" s="32" t="s">
        <v>63</v>
      </c>
      <c r="M7" s="32" t="s">
        <v>64</v>
      </c>
      <c r="N7" s="32" t="s">
        <v>65</v>
      </c>
      <c r="O7" s="37">
        <v>586.07000000000005</v>
      </c>
      <c r="P7" s="38" t="str">
        <f t="shared" si="3"/>
        <v>High</v>
      </c>
      <c r="Q7" s="37">
        <v>845.97</v>
      </c>
      <c r="R7" s="37">
        <v>0.14699999999999999</v>
      </c>
      <c r="S7" s="37">
        <v>4</v>
      </c>
      <c r="T7" s="37">
        <f t="shared" si="0"/>
        <v>8983.864239999999</v>
      </c>
      <c r="U7" s="32">
        <f t="shared" si="1"/>
        <v>2344.2800000000002</v>
      </c>
      <c r="V7" s="37">
        <f t="shared" si="4"/>
        <v>6639.5842399999983</v>
      </c>
      <c r="W7" s="39">
        <f t="shared" si="5"/>
        <v>0.73905660889639613</v>
      </c>
    </row>
    <row r="8" spans="1:23" x14ac:dyDescent="0.3">
      <c r="A8" s="40" t="s">
        <v>66</v>
      </c>
      <c r="B8" s="41">
        <v>44941</v>
      </c>
      <c r="C8" s="42">
        <v>44939</v>
      </c>
      <c r="D8" s="43">
        <f>DATEDIF(C8,B8, "MD")</f>
        <v>2</v>
      </c>
      <c r="E8" s="43" t="str">
        <f>TEXT(Data!B8,"MMM-YYYY")</f>
        <v>Jan-2023</v>
      </c>
      <c r="F8" s="43" t="str">
        <f t="shared" si="2"/>
        <v>Q1-2023</v>
      </c>
      <c r="G8" s="33" t="s">
        <v>16</v>
      </c>
      <c r="H8" s="33" t="s">
        <v>25</v>
      </c>
      <c r="I8" s="33" t="s">
        <v>67</v>
      </c>
      <c r="J8" s="33" t="s">
        <v>27</v>
      </c>
      <c r="K8" s="33" t="s">
        <v>28</v>
      </c>
      <c r="L8" s="33" t="s">
        <v>68</v>
      </c>
      <c r="M8" s="33" t="s">
        <v>30</v>
      </c>
      <c r="N8" s="33" t="s">
        <v>69</v>
      </c>
      <c r="O8" s="43">
        <v>28.38</v>
      </c>
      <c r="P8" s="44" t="str">
        <f t="shared" si="3"/>
        <v>Low</v>
      </c>
      <c r="Q8" s="43">
        <v>47.22</v>
      </c>
      <c r="R8" s="43">
        <v>0.19400000000000001</v>
      </c>
      <c r="S8" s="43">
        <v>18</v>
      </c>
      <c r="T8" s="43">
        <f t="shared" si="0"/>
        <v>19177.399799999999</v>
      </c>
      <c r="U8" s="33">
        <f t="shared" si="1"/>
        <v>510.84</v>
      </c>
      <c r="V8" s="43">
        <f t="shared" si="4"/>
        <v>18666.559799999999</v>
      </c>
      <c r="W8" s="45">
        <f t="shared" si="5"/>
        <v>0.97336239504168864</v>
      </c>
    </row>
    <row r="9" spans="1:23" x14ac:dyDescent="0.3">
      <c r="A9" s="34" t="s">
        <v>70</v>
      </c>
      <c r="B9" s="35">
        <v>45416</v>
      </c>
      <c r="C9" s="36">
        <v>45441</v>
      </c>
      <c r="D9" s="37">
        <f t="shared" si="6"/>
        <v>25</v>
      </c>
      <c r="E9" s="37" t="str">
        <f>TEXT(Data!B9,"MMM-YYYY")</f>
        <v>May-2024</v>
      </c>
      <c r="F9" s="37" t="str">
        <f t="shared" si="2"/>
        <v>Q2-2024</v>
      </c>
      <c r="G9" s="32" t="s">
        <v>16</v>
      </c>
      <c r="H9" s="32" t="s">
        <v>25</v>
      </c>
      <c r="I9" s="32" t="s">
        <v>67</v>
      </c>
      <c r="J9" s="32" t="s">
        <v>39</v>
      </c>
      <c r="K9" s="32" t="s">
        <v>40</v>
      </c>
      <c r="L9" s="32" t="s">
        <v>68</v>
      </c>
      <c r="M9" s="32" t="s">
        <v>64</v>
      </c>
      <c r="N9" s="32" t="s">
        <v>71</v>
      </c>
      <c r="O9" s="37">
        <v>1295.3399999999999</v>
      </c>
      <c r="P9" s="38" t="str">
        <f t="shared" si="3"/>
        <v>High</v>
      </c>
      <c r="Q9" s="37">
        <v>2530.81</v>
      </c>
      <c r="R9" s="37">
        <v>3.1E-2</v>
      </c>
      <c r="S9" s="37">
        <v>6</v>
      </c>
      <c r="T9" s="37">
        <f t="shared" si="0"/>
        <v>17656.36218</v>
      </c>
      <c r="U9" s="32">
        <f t="shared" si="1"/>
        <v>7772.0399999999991</v>
      </c>
      <c r="V9" s="37">
        <f t="shared" si="4"/>
        <v>9884.322180000001</v>
      </c>
      <c r="W9" s="39">
        <f t="shared" si="5"/>
        <v>0.55981646044825306</v>
      </c>
    </row>
    <row r="10" spans="1:23" x14ac:dyDescent="0.3">
      <c r="A10" s="40" t="s">
        <v>72</v>
      </c>
      <c r="B10" s="41">
        <v>45798</v>
      </c>
      <c r="C10" s="42">
        <v>45817</v>
      </c>
      <c r="D10" s="43">
        <f t="shared" si="6"/>
        <v>19</v>
      </c>
      <c r="E10" s="43" t="str">
        <f>TEXT(Data!B10,"MMM-YYYY")</f>
        <v>May-2025</v>
      </c>
      <c r="F10" s="43" t="str">
        <f t="shared" si="2"/>
        <v>Q2-2025</v>
      </c>
      <c r="G10" s="33" t="s">
        <v>52</v>
      </c>
      <c r="H10" s="33" t="s">
        <v>73</v>
      </c>
      <c r="I10" s="33" t="s">
        <v>74</v>
      </c>
      <c r="J10" s="33" t="s">
        <v>39</v>
      </c>
      <c r="K10" s="33" t="s">
        <v>28</v>
      </c>
      <c r="L10" s="33" t="s">
        <v>75</v>
      </c>
      <c r="M10" s="33" t="s">
        <v>22</v>
      </c>
      <c r="N10" s="33" t="s">
        <v>76</v>
      </c>
      <c r="O10" s="43">
        <v>1331.38</v>
      </c>
      <c r="P10" s="44" t="str">
        <f t="shared" si="3"/>
        <v>High</v>
      </c>
      <c r="Q10" s="43">
        <v>2309.56</v>
      </c>
      <c r="R10" s="43">
        <v>0.14899999999999999</v>
      </c>
      <c r="S10" s="43">
        <v>31</v>
      </c>
      <c r="T10" s="43">
        <f t="shared" si="0"/>
        <v>5259.5799699999998</v>
      </c>
      <c r="U10" s="33">
        <f t="shared" si="1"/>
        <v>41272.780000000006</v>
      </c>
      <c r="V10" s="43">
        <f t="shared" si="4"/>
        <v>-36013.200030000007</v>
      </c>
      <c r="W10" s="45">
        <f t="shared" si="5"/>
        <v>-6.8471627459635354</v>
      </c>
    </row>
    <row r="11" spans="1:23" x14ac:dyDescent="0.3">
      <c r="A11" s="34" t="s">
        <v>77</v>
      </c>
      <c r="B11" s="35">
        <v>45319</v>
      </c>
      <c r="C11" s="36">
        <v>45331</v>
      </c>
      <c r="D11" s="37">
        <f t="shared" si="6"/>
        <v>12</v>
      </c>
      <c r="E11" s="37" t="str">
        <f>TEXT(Data!B11,"MMM-YYYY")</f>
        <v>Jan-2024</v>
      </c>
      <c r="F11" s="37" t="str">
        <f t="shared" si="2"/>
        <v>Q1-2024</v>
      </c>
      <c r="G11" s="32" t="s">
        <v>78</v>
      </c>
      <c r="H11" s="32" t="s">
        <v>79</v>
      </c>
      <c r="I11" s="32" t="s">
        <v>80</v>
      </c>
      <c r="J11" s="32" t="s">
        <v>19</v>
      </c>
      <c r="K11" s="32" t="s">
        <v>28</v>
      </c>
      <c r="L11" s="32" t="s">
        <v>41</v>
      </c>
      <c r="M11" s="32" t="s">
        <v>81</v>
      </c>
      <c r="N11" s="32" t="s">
        <v>82</v>
      </c>
      <c r="O11" s="37">
        <v>644.16999999999996</v>
      </c>
      <c r="P11" s="38" t="str">
        <f t="shared" si="3"/>
        <v>High</v>
      </c>
      <c r="Q11" s="37">
        <v>700.12</v>
      </c>
      <c r="R11" s="37">
        <v>6.0000000000000001E-3</v>
      </c>
      <c r="S11" s="37">
        <v>23</v>
      </c>
      <c r="T11" s="37">
        <f t="shared" si="0"/>
        <v>21204.733619999999</v>
      </c>
      <c r="U11" s="32">
        <f t="shared" si="1"/>
        <v>14815.91</v>
      </c>
      <c r="V11" s="37">
        <f t="shared" si="4"/>
        <v>6388.8236199999992</v>
      </c>
      <c r="W11" s="39">
        <f t="shared" si="5"/>
        <v>0.30129233097152197</v>
      </c>
    </row>
    <row r="12" spans="1:23" x14ac:dyDescent="0.3">
      <c r="A12" s="40" t="s">
        <v>83</v>
      </c>
      <c r="B12" s="41">
        <v>45660</v>
      </c>
      <c r="C12" s="42">
        <v>45680</v>
      </c>
      <c r="D12" s="43">
        <f t="shared" si="6"/>
        <v>20</v>
      </c>
      <c r="E12" s="43" t="str">
        <f>TEXT(Data!B12,"MMM-YYYY")</f>
        <v>Jan-2025</v>
      </c>
      <c r="F12" s="43" t="str">
        <f t="shared" si="2"/>
        <v>Q1-2025</v>
      </c>
      <c r="G12" s="33" t="s">
        <v>45</v>
      </c>
      <c r="H12" s="33" t="s">
        <v>46</v>
      </c>
      <c r="I12" s="33" t="s">
        <v>47</v>
      </c>
      <c r="J12" s="33" t="s">
        <v>19</v>
      </c>
      <c r="K12" s="33" t="s">
        <v>55</v>
      </c>
      <c r="L12" s="33" t="s">
        <v>84</v>
      </c>
      <c r="M12" s="33" t="s">
        <v>42</v>
      </c>
      <c r="N12" s="33" t="s">
        <v>85</v>
      </c>
      <c r="O12" s="43">
        <v>908.6</v>
      </c>
      <c r="P12" s="44" t="str">
        <f t="shared" si="3"/>
        <v>High</v>
      </c>
      <c r="Q12" s="43">
        <v>691.37</v>
      </c>
      <c r="R12" s="43">
        <v>0.25</v>
      </c>
      <c r="S12" s="43">
        <v>20</v>
      </c>
      <c r="T12" s="43">
        <f t="shared" si="0"/>
        <v>26031.15</v>
      </c>
      <c r="U12" s="33">
        <f t="shared" si="1"/>
        <v>18172</v>
      </c>
      <c r="V12" s="43">
        <f t="shared" si="4"/>
        <v>7859.1500000000015</v>
      </c>
      <c r="W12" s="45">
        <f t="shared" si="5"/>
        <v>0.30191328466087747</v>
      </c>
    </row>
    <row r="13" spans="1:23" x14ac:dyDescent="0.3">
      <c r="A13" s="34" t="s">
        <v>86</v>
      </c>
      <c r="B13" s="35">
        <v>45722</v>
      </c>
      <c r="C13" s="36">
        <v>45747</v>
      </c>
      <c r="D13" s="37">
        <f t="shared" si="6"/>
        <v>25</v>
      </c>
      <c r="E13" s="37" t="str">
        <f>TEXT(Data!B13,"MMM-YYYY")</f>
        <v>Mar-2025</v>
      </c>
      <c r="F13" s="37" t="str">
        <f t="shared" si="2"/>
        <v>Q1-2025</v>
      </c>
      <c r="G13" s="32" t="s">
        <v>52</v>
      </c>
      <c r="H13" s="32" t="s">
        <v>73</v>
      </c>
      <c r="I13" s="32" t="s">
        <v>87</v>
      </c>
      <c r="J13" s="32" t="s">
        <v>39</v>
      </c>
      <c r="K13" s="32" t="s">
        <v>28</v>
      </c>
      <c r="L13" s="32" t="s">
        <v>29</v>
      </c>
      <c r="M13" s="32" t="s">
        <v>22</v>
      </c>
      <c r="N13" s="32" t="s">
        <v>88</v>
      </c>
      <c r="O13" s="37">
        <v>331.57</v>
      </c>
      <c r="P13" s="38" t="str">
        <f t="shared" si="3"/>
        <v>High</v>
      </c>
      <c r="Q13" s="37">
        <v>548.4</v>
      </c>
      <c r="R13" s="37">
        <v>9.4E-2</v>
      </c>
      <c r="S13" s="37">
        <v>10</v>
      </c>
      <c r="T13" s="37">
        <f t="shared" si="0"/>
        <v>12644.498400000002</v>
      </c>
      <c r="U13" s="32">
        <f t="shared" si="1"/>
        <v>3315.7</v>
      </c>
      <c r="V13" s="37">
        <f t="shared" si="4"/>
        <v>9328.7984000000033</v>
      </c>
      <c r="W13" s="39">
        <f t="shared" si="5"/>
        <v>0.73777528415045723</v>
      </c>
    </row>
    <row r="14" spans="1:23" x14ac:dyDescent="0.3">
      <c r="A14" s="40" t="s">
        <v>89</v>
      </c>
      <c r="B14" s="41">
        <v>45311</v>
      </c>
      <c r="C14" s="42">
        <v>45335</v>
      </c>
      <c r="D14" s="43">
        <f t="shared" si="6"/>
        <v>24</v>
      </c>
      <c r="E14" s="43" t="str">
        <f>TEXT(Data!B14,"MMM-YYYY")</f>
        <v>Jan-2024</v>
      </c>
      <c r="F14" s="43" t="str">
        <f t="shared" si="2"/>
        <v>Q1-2024</v>
      </c>
      <c r="G14" s="33" t="s">
        <v>78</v>
      </c>
      <c r="H14" s="33" t="s">
        <v>90</v>
      </c>
      <c r="I14" s="33" t="s">
        <v>91</v>
      </c>
      <c r="J14" s="33" t="s">
        <v>19</v>
      </c>
      <c r="K14" s="33" t="s">
        <v>20</v>
      </c>
      <c r="L14" s="33" t="s">
        <v>92</v>
      </c>
      <c r="M14" s="33" t="s">
        <v>30</v>
      </c>
      <c r="N14" s="33" t="s">
        <v>93</v>
      </c>
      <c r="O14" s="43">
        <v>643.53</v>
      </c>
      <c r="P14" s="44" t="str">
        <f t="shared" si="3"/>
        <v>High</v>
      </c>
      <c r="Q14" s="43">
        <v>1439.01</v>
      </c>
      <c r="R14" s="43">
        <v>0</v>
      </c>
      <c r="S14" s="43">
        <v>15</v>
      </c>
      <c r="T14" s="43">
        <f t="shared" si="0"/>
        <v>6816.3</v>
      </c>
      <c r="U14" s="33">
        <f t="shared" si="1"/>
        <v>9652.9499999999989</v>
      </c>
      <c r="V14" s="43">
        <f t="shared" si="4"/>
        <v>-2836.6499999999987</v>
      </c>
      <c r="W14" s="45">
        <f t="shared" si="5"/>
        <v>-0.4161568592931647</v>
      </c>
    </row>
    <row r="15" spans="1:23" x14ac:dyDescent="0.3">
      <c r="A15" s="34" t="s">
        <v>94</v>
      </c>
      <c r="B15" s="35">
        <v>45901</v>
      </c>
      <c r="C15" s="36">
        <v>45930</v>
      </c>
      <c r="D15" s="37">
        <f t="shared" si="6"/>
        <v>29</v>
      </c>
      <c r="E15" s="37" t="str">
        <f>TEXT(Data!B15,"MMM-YYYY")</f>
        <v>Sep-2025</v>
      </c>
      <c r="F15" s="37" t="str">
        <f t="shared" si="2"/>
        <v>Q3-2025</v>
      </c>
      <c r="G15" s="32" t="s">
        <v>52</v>
      </c>
      <c r="H15" s="32" t="s">
        <v>73</v>
      </c>
      <c r="I15" s="32" t="s">
        <v>87</v>
      </c>
      <c r="J15" s="32" t="s">
        <v>27</v>
      </c>
      <c r="K15" s="32" t="s">
        <v>20</v>
      </c>
      <c r="L15" s="32" t="s">
        <v>95</v>
      </c>
      <c r="M15" s="32" t="s">
        <v>81</v>
      </c>
      <c r="N15" s="32" t="s">
        <v>96</v>
      </c>
      <c r="O15" s="37">
        <v>780.59</v>
      </c>
      <c r="P15" s="38" t="str">
        <f t="shared" si="3"/>
        <v>High</v>
      </c>
      <c r="Q15" s="37">
        <v>631.57000000000005</v>
      </c>
      <c r="R15" s="37">
        <v>0</v>
      </c>
      <c r="S15" s="37">
        <v>12</v>
      </c>
      <c r="T15" s="37">
        <f t="shared" si="0"/>
        <v>18971.64</v>
      </c>
      <c r="U15" s="32">
        <f t="shared" si="1"/>
        <v>9367.08</v>
      </c>
      <c r="V15" s="37">
        <f t="shared" si="4"/>
        <v>9604.56</v>
      </c>
      <c r="W15" s="39">
        <f t="shared" si="5"/>
        <v>0.50625881579030596</v>
      </c>
    </row>
    <row r="16" spans="1:23" x14ac:dyDescent="0.3">
      <c r="A16" s="40" t="s">
        <v>97</v>
      </c>
      <c r="B16" s="41">
        <v>45039</v>
      </c>
      <c r="C16" s="42">
        <v>45038</v>
      </c>
      <c r="D16" s="43">
        <f>DATEDIF(C16, B16, "MD")</f>
        <v>1</v>
      </c>
      <c r="E16" s="43" t="str">
        <f>TEXT(Data!B16,"MMM-YYYY")</f>
        <v>Apr-2023</v>
      </c>
      <c r="F16" s="43" t="str">
        <f t="shared" si="2"/>
        <v>Q2-2023</v>
      </c>
      <c r="G16" s="33" t="s">
        <v>16</v>
      </c>
      <c r="H16" s="33" t="s">
        <v>17</v>
      </c>
      <c r="I16" s="33" t="s">
        <v>33</v>
      </c>
      <c r="J16" s="33" t="s">
        <v>62</v>
      </c>
      <c r="K16" s="33" t="s">
        <v>98</v>
      </c>
      <c r="L16" s="33" t="s">
        <v>63</v>
      </c>
      <c r="M16" s="33" t="s">
        <v>57</v>
      </c>
      <c r="N16" s="33" t="s">
        <v>99</v>
      </c>
      <c r="O16" s="43">
        <v>756.51</v>
      </c>
      <c r="P16" s="44" t="str">
        <f t="shared" si="3"/>
        <v>High</v>
      </c>
      <c r="Q16" s="43">
        <v>850.8</v>
      </c>
      <c r="R16" s="43">
        <v>7.3999999999999996E-2</v>
      </c>
      <c r="S16" s="43">
        <v>9</v>
      </c>
      <c r="T16" s="43">
        <f t="shared" si="0"/>
        <v>14666.089860000002</v>
      </c>
      <c r="U16" s="33">
        <f t="shared" si="1"/>
        <v>6808.59</v>
      </c>
      <c r="V16" s="43">
        <f t="shared" si="4"/>
        <v>7857.4998600000017</v>
      </c>
      <c r="W16" s="45">
        <f t="shared" si="5"/>
        <v>0.53575969702943038</v>
      </c>
    </row>
    <row r="17" spans="1:23" x14ac:dyDescent="0.3">
      <c r="A17" s="34" t="s">
        <v>100</v>
      </c>
      <c r="B17" s="35">
        <v>45636</v>
      </c>
      <c r="C17" s="36">
        <v>45665</v>
      </c>
      <c r="D17" s="37">
        <f t="shared" si="6"/>
        <v>29</v>
      </c>
      <c r="E17" s="37" t="str">
        <f>TEXT(Data!B17,"MMM-YYYY")</f>
        <v>Dec-2024</v>
      </c>
      <c r="F17" s="37" t="str">
        <f t="shared" si="2"/>
        <v>Q4-2024</v>
      </c>
      <c r="G17" s="32" t="s">
        <v>78</v>
      </c>
      <c r="H17" s="32" t="s">
        <v>90</v>
      </c>
      <c r="I17" s="32" t="s">
        <v>91</v>
      </c>
      <c r="J17" s="32" t="s">
        <v>62</v>
      </c>
      <c r="K17" s="32" t="s">
        <v>20</v>
      </c>
      <c r="L17" s="32" t="s">
        <v>95</v>
      </c>
      <c r="M17" s="32" t="s">
        <v>30</v>
      </c>
      <c r="N17" s="32" t="s">
        <v>101</v>
      </c>
      <c r="O17" s="37">
        <v>891.08</v>
      </c>
      <c r="P17" s="38" t="str">
        <f t="shared" si="3"/>
        <v>High</v>
      </c>
      <c r="Q17" s="37">
        <v>1040.0999999999999</v>
      </c>
      <c r="R17" s="37">
        <v>0.109</v>
      </c>
      <c r="S17" s="37">
        <v>28</v>
      </c>
      <c r="T17" s="37">
        <f t="shared" si="0"/>
        <v>79945.865999999995</v>
      </c>
      <c r="U17" s="32">
        <f t="shared" si="1"/>
        <v>24950.240000000002</v>
      </c>
      <c r="V17" s="37">
        <f t="shared" si="4"/>
        <v>54995.625999999989</v>
      </c>
      <c r="W17" s="39">
        <f t="shared" si="5"/>
        <v>0.68791081705212864</v>
      </c>
    </row>
    <row r="18" spans="1:23" x14ac:dyDescent="0.3">
      <c r="A18" s="40" t="s">
        <v>102</v>
      </c>
      <c r="B18" s="41">
        <v>45908</v>
      </c>
      <c r="C18" s="42">
        <v>45916</v>
      </c>
      <c r="D18" s="43">
        <f t="shared" si="6"/>
        <v>8</v>
      </c>
      <c r="E18" s="43" t="str">
        <f>TEXT(Data!B18,"MMM-YYYY")</f>
        <v>Sep-2025</v>
      </c>
      <c r="F18" s="43" t="str">
        <f t="shared" si="2"/>
        <v>Q3-2025</v>
      </c>
      <c r="G18" s="33" t="s">
        <v>45</v>
      </c>
      <c r="H18" s="33" t="s">
        <v>46</v>
      </c>
      <c r="I18" s="33" t="s">
        <v>47</v>
      </c>
      <c r="J18" s="33" t="s">
        <v>19</v>
      </c>
      <c r="K18" s="33" t="s">
        <v>55</v>
      </c>
      <c r="L18" s="33" t="s">
        <v>21</v>
      </c>
      <c r="M18" s="33" t="s">
        <v>42</v>
      </c>
      <c r="N18" s="33" t="s">
        <v>103</v>
      </c>
      <c r="O18" s="43">
        <v>1225.57</v>
      </c>
      <c r="P18" s="44" t="str">
        <f t="shared" si="3"/>
        <v>High</v>
      </c>
      <c r="Q18" s="43">
        <v>2705.57</v>
      </c>
      <c r="R18" s="43">
        <v>0.183</v>
      </c>
      <c r="S18" s="43">
        <v>16</v>
      </c>
      <c r="T18" s="43">
        <f t="shared" si="0"/>
        <v>14842.34096</v>
      </c>
      <c r="U18" s="33">
        <f t="shared" si="1"/>
        <v>19609.12</v>
      </c>
      <c r="V18" s="43">
        <f t="shared" si="4"/>
        <v>-4766.7790399999994</v>
      </c>
      <c r="W18" s="45">
        <f t="shared" si="5"/>
        <v>-0.32116086356232038</v>
      </c>
    </row>
    <row r="19" spans="1:23" x14ac:dyDescent="0.3">
      <c r="A19" s="34" t="s">
        <v>104</v>
      </c>
      <c r="B19" s="35">
        <v>45858</v>
      </c>
      <c r="C19" s="36">
        <v>45874</v>
      </c>
      <c r="D19" s="37">
        <f t="shared" si="6"/>
        <v>16</v>
      </c>
      <c r="E19" s="37" t="str">
        <f>TEXT(Data!B19,"MMM-YYYY")</f>
        <v>Jul-2025</v>
      </c>
      <c r="F19" s="37" t="str">
        <f t="shared" si="2"/>
        <v>Q3-2025</v>
      </c>
      <c r="G19" s="32" t="s">
        <v>52</v>
      </c>
      <c r="H19" s="32" t="s">
        <v>73</v>
      </c>
      <c r="I19" s="32" t="s">
        <v>87</v>
      </c>
      <c r="J19" s="32" t="s">
        <v>105</v>
      </c>
      <c r="K19" s="32" t="s">
        <v>40</v>
      </c>
      <c r="L19" s="32" t="s">
        <v>41</v>
      </c>
      <c r="M19" s="32" t="s">
        <v>81</v>
      </c>
      <c r="N19" s="32" t="s">
        <v>106</v>
      </c>
      <c r="O19" s="37">
        <v>1068.17</v>
      </c>
      <c r="P19" s="38" t="str">
        <f t="shared" si="3"/>
        <v>High</v>
      </c>
      <c r="Q19" s="37">
        <v>2375.37</v>
      </c>
      <c r="R19" s="37">
        <v>0.109</v>
      </c>
      <c r="S19" s="37">
        <v>18</v>
      </c>
      <c r="T19" s="37">
        <f t="shared" si="0"/>
        <v>15979.62168</v>
      </c>
      <c r="U19" s="32">
        <f t="shared" si="1"/>
        <v>19227.060000000001</v>
      </c>
      <c r="V19" s="37">
        <f t="shared" si="4"/>
        <v>-3247.4383200000011</v>
      </c>
      <c r="W19" s="39">
        <f t="shared" si="5"/>
        <v>-0.20322372988745258</v>
      </c>
    </row>
    <row r="20" spans="1:23" x14ac:dyDescent="0.3">
      <c r="A20" s="40" t="s">
        <v>107</v>
      </c>
      <c r="B20" s="41">
        <v>45798</v>
      </c>
      <c r="C20" s="42">
        <v>45796</v>
      </c>
      <c r="D20" s="43">
        <f>DATEDIF(C20,B20, "MD")</f>
        <v>2</v>
      </c>
      <c r="E20" s="43" t="str">
        <f>TEXT(Data!B20,"MMM-YYYY")</f>
        <v>May-2025</v>
      </c>
      <c r="F20" s="43" t="str">
        <f t="shared" si="2"/>
        <v>Q2-2025</v>
      </c>
      <c r="G20" s="33" t="s">
        <v>78</v>
      </c>
      <c r="H20" s="33" t="s">
        <v>108</v>
      </c>
      <c r="I20" s="33" t="s">
        <v>109</v>
      </c>
      <c r="J20" s="33" t="s">
        <v>105</v>
      </c>
      <c r="K20" s="33" t="s">
        <v>28</v>
      </c>
      <c r="L20" s="33" t="s">
        <v>110</v>
      </c>
      <c r="M20" s="33" t="s">
        <v>57</v>
      </c>
      <c r="N20" s="33" t="s">
        <v>111</v>
      </c>
      <c r="O20" s="43">
        <v>1015.16</v>
      </c>
      <c r="P20" s="44" t="str">
        <f t="shared" si="3"/>
        <v>High</v>
      </c>
      <c r="Q20" s="43">
        <v>2148.14</v>
      </c>
      <c r="R20" s="43">
        <v>3.7999999999999999E-2</v>
      </c>
      <c r="S20" s="43">
        <v>19</v>
      </c>
      <c r="T20" s="43">
        <f t="shared" si="0"/>
        <v>25535.279900000001</v>
      </c>
      <c r="U20" s="33">
        <f t="shared" si="1"/>
        <v>19288.04</v>
      </c>
      <c r="V20" s="43">
        <f t="shared" si="4"/>
        <v>6247.2399000000005</v>
      </c>
      <c r="W20" s="45">
        <f t="shared" si="5"/>
        <v>0.24465131866441769</v>
      </c>
    </row>
    <row r="21" spans="1:23" x14ac:dyDescent="0.3">
      <c r="A21" s="34" t="s">
        <v>112</v>
      </c>
      <c r="B21" s="35">
        <v>45498</v>
      </c>
      <c r="C21" s="36">
        <v>45497</v>
      </c>
      <c r="D21" s="37">
        <f>DATEDIF(C21,B21, "MD")</f>
        <v>1</v>
      </c>
      <c r="E21" s="37" t="str">
        <f>TEXT(Data!B21,"MMM-YYYY")</f>
        <v>Jul-2024</v>
      </c>
      <c r="F21" s="37" t="str">
        <f t="shared" si="2"/>
        <v>Q3-2024</v>
      </c>
      <c r="G21" s="32" t="s">
        <v>16</v>
      </c>
      <c r="H21" s="32" t="s">
        <v>17</v>
      </c>
      <c r="I21" s="32" t="s">
        <v>113</v>
      </c>
      <c r="J21" s="32" t="s">
        <v>39</v>
      </c>
      <c r="K21" s="32" t="s">
        <v>98</v>
      </c>
      <c r="L21" s="32" t="s">
        <v>29</v>
      </c>
      <c r="M21" s="32" t="s">
        <v>57</v>
      </c>
      <c r="N21" s="32" t="s">
        <v>114</v>
      </c>
      <c r="O21" s="37">
        <v>1494.4</v>
      </c>
      <c r="P21" s="38" t="str">
        <f t="shared" si="3"/>
        <v>High</v>
      </c>
      <c r="Q21" s="37">
        <v>3661.07</v>
      </c>
      <c r="R21" s="37">
        <v>7.1999999999999995E-2</v>
      </c>
      <c r="S21" s="37">
        <v>7</v>
      </c>
      <c r="T21" s="37">
        <f t="shared" si="0"/>
        <v>3565.5894400000002</v>
      </c>
      <c r="U21" s="32">
        <f t="shared" si="1"/>
        <v>10460.800000000001</v>
      </c>
      <c r="V21" s="37">
        <f t="shared" si="4"/>
        <v>-6895.2105600000014</v>
      </c>
      <c r="W21" s="39">
        <f t="shared" si="5"/>
        <v>-1.9338206700544864</v>
      </c>
    </row>
    <row r="22" spans="1:23" x14ac:dyDescent="0.3">
      <c r="A22" s="40" t="s">
        <v>115</v>
      </c>
      <c r="B22" s="41">
        <v>45057</v>
      </c>
      <c r="C22" s="42">
        <v>45074</v>
      </c>
      <c r="D22" s="43">
        <f t="shared" si="6"/>
        <v>17</v>
      </c>
      <c r="E22" s="43" t="str">
        <f>TEXT(Data!B22,"MMM-YYYY")</f>
        <v>May-2023</v>
      </c>
      <c r="F22" s="43" t="str">
        <f t="shared" si="2"/>
        <v>Q2-2023</v>
      </c>
      <c r="G22" s="33" t="s">
        <v>45</v>
      </c>
      <c r="H22" s="33" t="s">
        <v>116</v>
      </c>
      <c r="I22" s="33" t="s">
        <v>117</v>
      </c>
      <c r="J22" s="33" t="s">
        <v>105</v>
      </c>
      <c r="K22" s="33" t="s">
        <v>40</v>
      </c>
      <c r="L22" s="33" t="s">
        <v>63</v>
      </c>
      <c r="M22" s="33" t="s">
        <v>35</v>
      </c>
      <c r="N22" s="33" t="s">
        <v>118</v>
      </c>
      <c r="O22" s="43">
        <v>1331.19</v>
      </c>
      <c r="P22" s="44" t="str">
        <f t="shared" si="3"/>
        <v>High</v>
      </c>
      <c r="Q22" s="43">
        <v>2903.09</v>
      </c>
      <c r="R22" s="43">
        <v>0.14299999999999999</v>
      </c>
      <c r="S22" s="43">
        <v>8</v>
      </c>
      <c r="T22" s="43">
        <f t="shared" si="0"/>
        <v>24160.543999999998</v>
      </c>
      <c r="U22" s="33">
        <f t="shared" si="1"/>
        <v>10649.52</v>
      </c>
      <c r="V22" s="43">
        <f t="shared" si="4"/>
        <v>13511.023999999998</v>
      </c>
      <c r="W22" s="45">
        <f t="shared" si="5"/>
        <v>0.55921853415221112</v>
      </c>
    </row>
    <row r="23" spans="1:23" x14ac:dyDescent="0.3">
      <c r="A23" s="34" t="s">
        <v>119</v>
      </c>
      <c r="B23" s="35">
        <v>45822</v>
      </c>
      <c r="C23" s="36">
        <v>45837</v>
      </c>
      <c r="D23" s="37">
        <f t="shared" si="6"/>
        <v>15</v>
      </c>
      <c r="E23" s="37" t="str">
        <f>TEXT(Data!B23,"MMM-YYYY")</f>
        <v>Jun-2025</v>
      </c>
      <c r="F23" s="37" t="str">
        <f t="shared" si="2"/>
        <v>Q2-2025</v>
      </c>
      <c r="G23" s="32" t="s">
        <v>16</v>
      </c>
      <c r="H23" s="32" t="s">
        <v>25</v>
      </c>
      <c r="I23" s="32" t="s">
        <v>26</v>
      </c>
      <c r="J23" s="32" t="s">
        <v>48</v>
      </c>
      <c r="K23" s="32" t="s">
        <v>40</v>
      </c>
      <c r="L23" s="32" t="s">
        <v>110</v>
      </c>
      <c r="M23" s="32" t="s">
        <v>81</v>
      </c>
      <c r="N23" s="32" t="s">
        <v>120</v>
      </c>
      <c r="O23" s="37">
        <v>730.99</v>
      </c>
      <c r="P23" s="38" t="str">
        <f t="shared" si="3"/>
        <v>High</v>
      </c>
      <c r="Q23" s="37">
        <v>1242.8399999999999</v>
      </c>
      <c r="R23" s="37">
        <v>0.12</v>
      </c>
      <c r="S23" s="37">
        <v>10</v>
      </c>
      <c r="T23" s="37">
        <f t="shared" si="0"/>
        <v>16065.367999999999</v>
      </c>
      <c r="U23" s="32">
        <f t="shared" si="1"/>
        <v>7309.9</v>
      </c>
      <c r="V23" s="37">
        <f t="shared" si="4"/>
        <v>8755.4679999999989</v>
      </c>
      <c r="W23" s="39">
        <f t="shared" si="5"/>
        <v>0.54499019256826231</v>
      </c>
    </row>
    <row r="24" spans="1:23" x14ac:dyDescent="0.3">
      <c r="A24" s="40" t="s">
        <v>121</v>
      </c>
      <c r="B24" s="41">
        <v>45430</v>
      </c>
      <c r="C24" s="42">
        <v>45435</v>
      </c>
      <c r="D24" s="43">
        <f t="shared" si="6"/>
        <v>5</v>
      </c>
      <c r="E24" s="43" t="str">
        <f>TEXT(Data!B24,"MMM-YYYY")</f>
        <v>May-2024</v>
      </c>
      <c r="F24" s="43" t="str">
        <f t="shared" si="2"/>
        <v>Q2-2024</v>
      </c>
      <c r="G24" s="33" t="s">
        <v>52</v>
      </c>
      <c r="H24" s="33" t="s">
        <v>122</v>
      </c>
      <c r="I24" s="33" t="s">
        <v>123</v>
      </c>
      <c r="J24" s="33" t="s">
        <v>105</v>
      </c>
      <c r="K24" s="33" t="s">
        <v>20</v>
      </c>
      <c r="L24" s="33" t="s">
        <v>92</v>
      </c>
      <c r="M24" s="33" t="s">
        <v>57</v>
      </c>
      <c r="N24" s="33" t="s">
        <v>124</v>
      </c>
      <c r="O24" s="43">
        <v>1274.5899999999999</v>
      </c>
      <c r="P24" s="44" t="str">
        <f t="shared" si="3"/>
        <v>High</v>
      </c>
      <c r="Q24" s="43">
        <v>2553.69</v>
      </c>
      <c r="R24" s="43">
        <v>0.01</v>
      </c>
      <c r="S24" s="43">
        <v>8</v>
      </c>
      <c r="T24" s="43">
        <f t="shared" si="0"/>
        <v>14187.650399999999</v>
      </c>
      <c r="U24" s="33">
        <f t="shared" si="1"/>
        <v>10196.719999999999</v>
      </c>
      <c r="V24" s="43">
        <f t="shared" si="4"/>
        <v>3990.9303999999993</v>
      </c>
      <c r="W24" s="45">
        <f t="shared" si="5"/>
        <v>0.28129607704458237</v>
      </c>
    </row>
    <row r="25" spans="1:23" x14ac:dyDescent="0.3">
      <c r="A25" s="34" t="s">
        <v>125</v>
      </c>
      <c r="B25" s="35">
        <v>44964</v>
      </c>
      <c r="C25" s="36">
        <v>44969</v>
      </c>
      <c r="D25" s="37">
        <f t="shared" si="6"/>
        <v>5</v>
      </c>
      <c r="E25" s="37" t="str">
        <f>TEXT(Data!B25,"MMM-YYYY")</f>
        <v>Feb-2023</v>
      </c>
      <c r="F25" s="37" t="str">
        <f t="shared" si="2"/>
        <v>Q1-2023</v>
      </c>
      <c r="G25" s="32" t="s">
        <v>52</v>
      </c>
      <c r="H25" s="32" t="s">
        <v>73</v>
      </c>
      <c r="I25" s="32" t="s">
        <v>74</v>
      </c>
      <c r="J25" s="32" t="s">
        <v>27</v>
      </c>
      <c r="K25" s="32" t="s">
        <v>28</v>
      </c>
      <c r="L25" s="32" t="s">
        <v>126</v>
      </c>
      <c r="M25" s="32" t="s">
        <v>22</v>
      </c>
      <c r="N25" s="32" t="s">
        <v>127</v>
      </c>
      <c r="O25" s="37">
        <v>948.55</v>
      </c>
      <c r="P25" s="38" t="str">
        <f t="shared" si="3"/>
        <v>High</v>
      </c>
      <c r="Q25" s="37">
        <v>2089.16</v>
      </c>
      <c r="R25" s="37">
        <v>7.0000000000000001E-3</v>
      </c>
      <c r="S25" s="37">
        <v>12</v>
      </c>
      <c r="T25" s="37">
        <f t="shared" si="0"/>
        <v>31336.100999999999</v>
      </c>
      <c r="U25" s="32">
        <f t="shared" si="1"/>
        <v>11382.599999999999</v>
      </c>
      <c r="V25" s="37">
        <f t="shared" si="4"/>
        <v>19953.501</v>
      </c>
      <c r="W25" s="39">
        <f t="shared" si="5"/>
        <v>0.63675761703729516</v>
      </c>
    </row>
    <row r="26" spans="1:23" x14ac:dyDescent="0.3">
      <c r="A26" s="40" t="s">
        <v>128</v>
      </c>
      <c r="B26" s="41">
        <v>45473</v>
      </c>
      <c r="C26" s="42">
        <v>45487</v>
      </c>
      <c r="D26" s="43">
        <f t="shared" si="6"/>
        <v>14</v>
      </c>
      <c r="E26" s="43" t="str">
        <f>TEXT(Data!B26,"MMM-YYYY")</f>
        <v>Jun-2024</v>
      </c>
      <c r="F26" s="43" t="str">
        <f t="shared" si="2"/>
        <v>Q2-2024</v>
      </c>
      <c r="G26" s="33" t="s">
        <v>52</v>
      </c>
      <c r="H26" s="33" t="s">
        <v>73</v>
      </c>
      <c r="I26" s="33" t="s">
        <v>87</v>
      </c>
      <c r="J26" s="33" t="s">
        <v>27</v>
      </c>
      <c r="K26" s="33" t="s">
        <v>20</v>
      </c>
      <c r="L26" s="33" t="s">
        <v>21</v>
      </c>
      <c r="M26" s="33" t="s">
        <v>81</v>
      </c>
      <c r="N26" s="33" t="s">
        <v>129</v>
      </c>
      <c r="O26" s="43">
        <v>1491.85</v>
      </c>
      <c r="P26" s="44" t="str">
        <f t="shared" si="3"/>
        <v>High</v>
      </c>
      <c r="Q26" s="43">
        <v>2583.02</v>
      </c>
      <c r="R26" s="43">
        <v>0.16800000000000001</v>
      </c>
      <c r="S26" s="43">
        <v>4</v>
      </c>
      <c r="T26" s="43">
        <f t="shared" si="0"/>
        <v>353.76639999999998</v>
      </c>
      <c r="U26" s="33">
        <f t="shared" si="1"/>
        <v>5967.4</v>
      </c>
      <c r="V26" s="43">
        <f t="shared" si="4"/>
        <v>-5613.6335999999992</v>
      </c>
      <c r="W26" s="45">
        <f t="shared" si="5"/>
        <v>-15.868193248426079</v>
      </c>
    </row>
    <row r="27" spans="1:23" x14ac:dyDescent="0.3">
      <c r="A27" s="34" t="s">
        <v>130</v>
      </c>
      <c r="B27" s="35">
        <v>45626</v>
      </c>
      <c r="C27" s="36">
        <v>45656</v>
      </c>
      <c r="D27" s="37">
        <f t="shared" si="6"/>
        <v>0</v>
      </c>
      <c r="E27" s="37" t="str">
        <f>TEXT(Data!B27,"MMM-YYYY")</f>
        <v>Nov-2024</v>
      </c>
      <c r="F27" s="37" t="str">
        <f t="shared" si="2"/>
        <v>Q4-2024</v>
      </c>
      <c r="G27" s="32" t="s">
        <v>78</v>
      </c>
      <c r="H27" s="32" t="s">
        <v>90</v>
      </c>
      <c r="I27" s="32" t="s">
        <v>91</v>
      </c>
      <c r="J27" s="32" t="s">
        <v>48</v>
      </c>
      <c r="K27" s="32" t="s">
        <v>40</v>
      </c>
      <c r="L27" s="32" t="s">
        <v>84</v>
      </c>
      <c r="M27" s="32" t="s">
        <v>30</v>
      </c>
      <c r="N27" s="32" t="s">
        <v>131</v>
      </c>
      <c r="O27" s="37">
        <v>117.64</v>
      </c>
      <c r="P27" s="38" t="str">
        <f t="shared" si="3"/>
        <v>Medium</v>
      </c>
      <c r="Q27" s="37">
        <v>175.67</v>
      </c>
      <c r="R27" s="37">
        <v>0</v>
      </c>
      <c r="S27" s="37">
        <v>10</v>
      </c>
      <c r="T27" s="37">
        <f t="shared" si="0"/>
        <v>3857.2000000000003</v>
      </c>
      <c r="U27" s="32">
        <f t="shared" si="1"/>
        <v>1176.4000000000001</v>
      </c>
      <c r="V27" s="37">
        <f t="shared" si="4"/>
        <v>2680.8</v>
      </c>
      <c r="W27" s="39">
        <f t="shared" si="5"/>
        <v>0.69501192574924819</v>
      </c>
    </row>
    <row r="28" spans="1:23" x14ac:dyDescent="0.3">
      <c r="A28" s="40" t="s">
        <v>132</v>
      </c>
      <c r="B28" s="41">
        <v>45492</v>
      </c>
      <c r="C28" s="42">
        <v>45492</v>
      </c>
      <c r="D28" s="43">
        <f t="shared" si="6"/>
        <v>0</v>
      </c>
      <c r="E28" s="43" t="str">
        <f>TEXT(Data!B28,"MMM-YYYY")</f>
        <v>Jul-2024</v>
      </c>
      <c r="F28" s="43" t="str">
        <f t="shared" si="2"/>
        <v>Q3-2024</v>
      </c>
      <c r="G28" s="33" t="s">
        <v>16</v>
      </c>
      <c r="H28" s="33" t="s">
        <v>17</v>
      </c>
      <c r="I28" s="33" t="s">
        <v>18</v>
      </c>
      <c r="J28" s="33" t="s">
        <v>62</v>
      </c>
      <c r="K28" s="33" t="s">
        <v>20</v>
      </c>
      <c r="L28" s="33" t="s">
        <v>75</v>
      </c>
      <c r="M28" s="33" t="s">
        <v>42</v>
      </c>
      <c r="N28" s="33" t="s">
        <v>133</v>
      </c>
      <c r="O28" s="43">
        <v>857.24</v>
      </c>
      <c r="P28" s="44" t="str">
        <f t="shared" si="3"/>
        <v>High</v>
      </c>
      <c r="Q28" s="43">
        <v>758.23</v>
      </c>
      <c r="R28" s="43">
        <v>0.125</v>
      </c>
      <c r="S28" s="43">
        <v>6</v>
      </c>
      <c r="T28" s="43">
        <f t="shared" si="0"/>
        <v>1243.5675000000001</v>
      </c>
      <c r="U28" s="33">
        <f t="shared" si="1"/>
        <v>5143.4400000000005</v>
      </c>
      <c r="V28" s="43">
        <f t="shared" si="4"/>
        <v>-3899.8725000000004</v>
      </c>
      <c r="W28" s="45">
        <f t="shared" si="5"/>
        <v>-3.1360360414694015</v>
      </c>
    </row>
    <row r="29" spans="1:23" x14ac:dyDescent="0.3">
      <c r="A29" s="34" t="s">
        <v>134</v>
      </c>
      <c r="B29" s="35">
        <v>45030</v>
      </c>
      <c r="C29" s="36">
        <v>45060</v>
      </c>
      <c r="D29" s="37">
        <f t="shared" si="6"/>
        <v>0</v>
      </c>
      <c r="E29" s="37" t="str">
        <f>TEXT(Data!B29,"MMM-YYYY")</f>
        <v>Apr-2023</v>
      </c>
      <c r="F29" s="37" t="str">
        <f t="shared" si="2"/>
        <v>Q2-2023</v>
      </c>
      <c r="G29" s="32" t="s">
        <v>16</v>
      </c>
      <c r="H29" s="32" t="s">
        <v>17</v>
      </c>
      <c r="I29" s="32" t="s">
        <v>135</v>
      </c>
      <c r="J29" s="32" t="s">
        <v>48</v>
      </c>
      <c r="K29" s="32" t="s">
        <v>40</v>
      </c>
      <c r="L29" s="32" t="s">
        <v>110</v>
      </c>
      <c r="M29" s="32" t="s">
        <v>42</v>
      </c>
      <c r="N29" s="32" t="s">
        <v>136</v>
      </c>
      <c r="O29" s="37">
        <v>209.25</v>
      </c>
      <c r="P29" s="38" t="str">
        <f t="shared" si="3"/>
        <v>High</v>
      </c>
      <c r="Q29" s="37">
        <v>434.8</v>
      </c>
      <c r="R29" s="37">
        <v>0</v>
      </c>
      <c r="S29" s="37">
        <v>9</v>
      </c>
      <c r="T29" s="37">
        <f t="shared" si="0"/>
        <v>377.09999999999997</v>
      </c>
      <c r="U29" s="32">
        <f t="shared" si="1"/>
        <v>1883.25</v>
      </c>
      <c r="V29" s="37">
        <f t="shared" si="4"/>
        <v>-1506.15</v>
      </c>
      <c r="W29" s="39">
        <f t="shared" si="5"/>
        <v>-3.9940334128878288</v>
      </c>
    </row>
    <row r="30" spans="1:23" x14ac:dyDescent="0.3">
      <c r="A30" s="40" t="s">
        <v>137</v>
      </c>
      <c r="B30" s="41">
        <v>45754</v>
      </c>
      <c r="C30" s="42">
        <v>45758</v>
      </c>
      <c r="D30" s="43">
        <f t="shared" si="6"/>
        <v>4</v>
      </c>
      <c r="E30" s="43" t="str">
        <f>TEXT(Data!B30,"MMM-YYYY")</f>
        <v>Apr-2025</v>
      </c>
      <c r="F30" s="43" t="str">
        <f t="shared" si="2"/>
        <v>Q2-2025</v>
      </c>
      <c r="G30" s="33" t="s">
        <v>78</v>
      </c>
      <c r="H30" s="33" t="s">
        <v>90</v>
      </c>
      <c r="I30" s="33" t="s">
        <v>138</v>
      </c>
      <c r="J30" s="33" t="s">
        <v>27</v>
      </c>
      <c r="K30" s="33" t="s">
        <v>20</v>
      </c>
      <c r="L30" s="33" t="s">
        <v>63</v>
      </c>
      <c r="M30" s="33" t="s">
        <v>35</v>
      </c>
      <c r="N30" s="33" t="s">
        <v>139</v>
      </c>
      <c r="O30" s="43">
        <v>754.77</v>
      </c>
      <c r="P30" s="44" t="str">
        <f t="shared" si="3"/>
        <v>High</v>
      </c>
      <c r="Q30" s="43">
        <v>1666.18</v>
      </c>
      <c r="R30" s="43">
        <v>0.13900000000000001</v>
      </c>
      <c r="S30" s="43">
        <v>14</v>
      </c>
      <c r="T30" s="43">
        <f t="shared" si="0"/>
        <v>11781.338519999999</v>
      </c>
      <c r="U30" s="33">
        <f t="shared" si="1"/>
        <v>10566.779999999999</v>
      </c>
      <c r="V30" s="43">
        <f t="shared" si="4"/>
        <v>1214.5585200000005</v>
      </c>
      <c r="W30" s="45">
        <f t="shared" si="5"/>
        <v>0.10309172577786183</v>
      </c>
    </row>
    <row r="31" spans="1:23" x14ac:dyDescent="0.3">
      <c r="A31" s="34" t="s">
        <v>140</v>
      </c>
      <c r="B31" s="35">
        <v>45653</v>
      </c>
      <c r="C31" s="36">
        <v>45672</v>
      </c>
      <c r="D31" s="37">
        <f t="shared" si="6"/>
        <v>19</v>
      </c>
      <c r="E31" s="37" t="str">
        <f>TEXT(Data!B31,"MMM-YYYY")</f>
        <v>Dec-2024</v>
      </c>
      <c r="F31" s="37" t="str">
        <f t="shared" si="2"/>
        <v>Q4-2024</v>
      </c>
      <c r="G31" s="32" t="s">
        <v>45</v>
      </c>
      <c r="H31" s="32" t="s">
        <v>60</v>
      </c>
      <c r="I31" s="32" t="s">
        <v>141</v>
      </c>
      <c r="J31" s="32" t="s">
        <v>39</v>
      </c>
      <c r="K31" s="32" t="s">
        <v>55</v>
      </c>
      <c r="L31" s="32" t="s">
        <v>41</v>
      </c>
      <c r="M31" s="32" t="s">
        <v>22</v>
      </c>
      <c r="N31" s="32" t="s">
        <v>142</v>
      </c>
      <c r="O31" s="37">
        <v>495.59</v>
      </c>
      <c r="P31" s="38" t="str">
        <f t="shared" si="3"/>
        <v>High</v>
      </c>
      <c r="Q31" s="37">
        <v>631.78</v>
      </c>
      <c r="R31" s="37">
        <v>8.6999999999999994E-2</v>
      </c>
      <c r="S31" s="37">
        <v>17</v>
      </c>
      <c r="T31" s="37">
        <f t="shared" si="0"/>
        <v>43367.691729999999</v>
      </c>
      <c r="U31" s="32">
        <f t="shared" si="1"/>
        <v>8425.0299999999988</v>
      </c>
      <c r="V31" s="37">
        <f t="shared" si="4"/>
        <v>34942.66173</v>
      </c>
      <c r="W31" s="39">
        <f t="shared" si="5"/>
        <v>0.8057302645376464</v>
      </c>
    </row>
    <row r="32" spans="1:23" x14ac:dyDescent="0.3">
      <c r="A32" s="40" t="s">
        <v>143</v>
      </c>
      <c r="B32" s="41">
        <v>44980</v>
      </c>
      <c r="C32" s="42">
        <v>45010</v>
      </c>
      <c r="D32" s="43">
        <f t="shared" si="6"/>
        <v>2</v>
      </c>
      <c r="E32" s="43" t="str">
        <f>TEXT(Data!B32,"MMM-YYYY")</f>
        <v>Feb-2023</v>
      </c>
      <c r="F32" s="43" t="str">
        <f t="shared" si="2"/>
        <v>Q1-2023</v>
      </c>
      <c r="G32" s="33" t="s">
        <v>52</v>
      </c>
      <c r="H32" s="33" t="s">
        <v>53</v>
      </c>
      <c r="I32" s="33" t="s">
        <v>144</v>
      </c>
      <c r="J32" s="33" t="s">
        <v>105</v>
      </c>
      <c r="K32" s="33" t="s">
        <v>28</v>
      </c>
      <c r="L32" s="33" t="s">
        <v>145</v>
      </c>
      <c r="M32" s="33" t="s">
        <v>42</v>
      </c>
      <c r="N32" s="33" t="s">
        <v>146</v>
      </c>
      <c r="O32" s="43">
        <v>1242.6600000000001</v>
      </c>
      <c r="P32" s="44" t="str">
        <f t="shared" si="3"/>
        <v>High</v>
      </c>
      <c r="Q32" s="43">
        <v>1794.07</v>
      </c>
      <c r="R32" s="43">
        <v>8.8999999999999996E-2</v>
      </c>
      <c r="S32" s="43">
        <v>16</v>
      </c>
      <c r="T32" s="43">
        <f t="shared" si="0"/>
        <v>10231.623200000002</v>
      </c>
      <c r="U32" s="33">
        <f t="shared" si="1"/>
        <v>19882.560000000001</v>
      </c>
      <c r="V32" s="43">
        <f t="shared" si="4"/>
        <v>-9650.9367999999995</v>
      </c>
      <c r="W32" s="45">
        <f t="shared" si="5"/>
        <v>-0.94324591624914389</v>
      </c>
    </row>
    <row r="33" spans="1:23" x14ac:dyDescent="0.3">
      <c r="A33" s="34" t="s">
        <v>147</v>
      </c>
      <c r="B33" s="35">
        <v>45862</v>
      </c>
      <c r="C33" s="36">
        <v>45875</v>
      </c>
      <c r="D33" s="37">
        <f t="shared" si="6"/>
        <v>13</v>
      </c>
      <c r="E33" s="37" t="str">
        <f>TEXT(Data!B33,"MMM-YYYY")</f>
        <v>Jul-2025</v>
      </c>
      <c r="F33" s="37" t="str">
        <f t="shared" si="2"/>
        <v>Q3-2025</v>
      </c>
      <c r="G33" s="32" t="s">
        <v>16</v>
      </c>
      <c r="H33" s="32" t="s">
        <v>148</v>
      </c>
      <c r="I33" s="32" t="s">
        <v>149</v>
      </c>
      <c r="J33" s="32" t="s">
        <v>27</v>
      </c>
      <c r="K33" s="32" t="s">
        <v>40</v>
      </c>
      <c r="L33" s="32" t="s">
        <v>145</v>
      </c>
      <c r="M33" s="32" t="s">
        <v>35</v>
      </c>
      <c r="N33" s="32" t="s">
        <v>150</v>
      </c>
      <c r="O33" s="37">
        <v>1463.9</v>
      </c>
      <c r="P33" s="38" t="str">
        <f t="shared" si="3"/>
        <v>High</v>
      </c>
      <c r="Q33" s="37">
        <v>2633.02</v>
      </c>
      <c r="R33" s="37">
        <v>8.4000000000000005E-2</v>
      </c>
      <c r="S33" s="37">
        <v>4</v>
      </c>
      <c r="T33" s="37">
        <f t="shared" si="0"/>
        <v>-19.309279999999998</v>
      </c>
      <c r="U33" s="32">
        <f t="shared" si="1"/>
        <v>5855.6</v>
      </c>
      <c r="V33" s="37">
        <f t="shared" si="4"/>
        <v>-5874.9092800000008</v>
      </c>
      <c r="W33" s="39">
        <f t="shared" si="5"/>
        <v>304.25315081660227</v>
      </c>
    </row>
    <row r="34" spans="1:23" x14ac:dyDescent="0.3">
      <c r="A34" s="40" t="s">
        <v>151</v>
      </c>
      <c r="B34" s="41">
        <v>45400</v>
      </c>
      <c r="C34" s="42">
        <v>45420</v>
      </c>
      <c r="D34" s="43">
        <f t="shared" si="6"/>
        <v>20</v>
      </c>
      <c r="E34" s="43" t="str">
        <f>TEXT(Data!B34,"MMM-YYYY")</f>
        <v>Apr-2024</v>
      </c>
      <c r="F34" s="43" t="str">
        <f t="shared" si="2"/>
        <v>Q2-2024</v>
      </c>
      <c r="G34" s="33" t="s">
        <v>78</v>
      </c>
      <c r="H34" s="33" t="s">
        <v>108</v>
      </c>
      <c r="I34" s="33" t="s">
        <v>152</v>
      </c>
      <c r="J34" s="33" t="s">
        <v>39</v>
      </c>
      <c r="K34" s="33" t="s">
        <v>1364</v>
      </c>
      <c r="L34" s="33" t="s">
        <v>145</v>
      </c>
      <c r="M34" s="33" t="s">
        <v>57</v>
      </c>
      <c r="N34" s="33" t="s">
        <v>153</v>
      </c>
      <c r="O34" s="43">
        <v>645.33000000000004</v>
      </c>
      <c r="P34" s="44" t="str">
        <f t="shared" si="3"/>
        <v>High</v>
      </c>
      <c r="Q34" s="43">
        <v>1321.85</v>
      </c>
      <c r="R34" s="43">
        <v>0</v>
      </c>
      <c r="S34" s="43">
        <v>10</v>
      </c>
      <c r="T34" s="43">
        <f t="shared" si="0"/>
        <v>14370.599999999999</v>
      </c>
      <c r="U34" s="33">
        <f t="shared" si="1"/>
        <v>6453.3</v>
      </c>
      <c r="V34" s="43">
        <f t="shared" si="4"/>
        <v>7917.2999999999984</v>
      </c>
      <c r="W34" s="45">
        <f t="shared" si="5"/>
        <v>0.55093733038286496</v>
      </c>
    </row>
    <row r="35" spans="1:23" x14ac:dyDescent="0.3">
      <c r="A35" s="34" t="s">
        <v>154</v>
      </c>
      <c r="B35" s="35">
        <v>45527</v>
      </c>
      <c r="C35" s="36">
        <v>45525</v>
      </c>
      <c r="D35" s="37">
        <f>DATEDIF(C35,B35, "MD")</f>
        <v>2</v>
      </c>
      <c r="E35" s="37" t="str">
        <f>TEXT(Data!B35,"MMM-YYYY")</f>
        <v>Aug-2024</v>
      </c>
      <c r="F35" s="37" t="str">
        <f t="shared" si="2"/>
        <v>Q3-2024</v>
      </c>
      <c r="G35" s="32" t="s">
        <v>16</v>
      </c>
      <c r="H35" s="32" t="s">
        <v>148</v>
      </c>
      <c r="I35" s="32" t="s">
        <v>149</v>
      </c>
      <c r="J35" s="32" t="s">
        <v>27</v>
      </c>
      <c r="K35" s="32" t="s">
        <v>20</v>
      </c>
      <c r="L35" s="32" t="s">
        <v>63</v>
      </c>
      <c r="M35" s="32" t="s">
        <v>22</v>
      </c>
      <c r="N35" s="32" t="s">
        <v>155</v>
      </c>
      <c r="O35" s="37">
        <v>1432.52</v>
      </c>
      <c r="P35" s="38" t="str">
        <f t="shared" si="3"/>
        <v>High</v>
      </c>
      <c r="Q35" s="37">
        <v>3036.87</v>
      </c>
      <c r="R35" s="37">
        <v>0</v>
      </c>
      <c r="S35" s="37">
        <v>9</v>
      </c>
      <c r="T35" s="37">
        <f t="shared" si="0"/>
        <v>17207.010000000002</v>
      </c>
      <c r="U35" s="32">
        <f t="shared" si="1"/>
        <v>12892.68</v>
      </c>
      <c r="V35" s="37">
        <f t="shared" si="4"/>
        <v>4314.3300000000017</v>
      </c>
      <c r="W35" s="39">
        <f t="shared" si="5"/>
        <v>0.25073095209452434</v>
      </c>
    </row>
    <row r="36" spans="1:23" x14ac:dyDescent="0.3">
      <c r="A36" s="40" t="s">
        <v>156</v>
      </c>
      <c r="B36" s="41">
        <v>45012</v>
      </c>
      <c r="C36" s="42">
        <v>45038</v>
      </c>
      <c r="D36" s="43">
        <f t="shared" si="6"/>
        <v>26</v>
      </c>
      <c r="E36" s="43" t="str">
        <f>TEXT(Data!B36,"MMM-YYYY")</f>
        <v>Mar-2023</v>
      </c>
      <c r="F36" s="43" t="str">
        <f t="shared" si="2"/>
        <v>Q1-2023</v>
      </c>
      <c r="G36" s="33" t="s">
        <v>45</v>
      </c>
      <c r="H36" s="33" t="s">
        <v>60</v>
      </c>
      <c r="I36" s="33" t="s">
        <v>141</v>
      </c>
      <c r="J36" s="33" t="s">
        <v>39</v>
      </c>
      <c r="K36" s="33" t="s">
        <v>40</v>
      </c>
      <c r="L36" s="33" t="s">
        <v>29</v>
      </c>
      <c r="M36" s="33" t="s">
        <v>30</v>
      </c>
      <c r="N36" s="33" t="s">
        <v>157</v>
      </c>
      <c r="O36" s="43">
        <v>178.53</v>
      </c>
      <c r="P36" s="44" t="str">
        <f t="shared" si="3"/>
        <v>Medium</v>
      </c>
      <c r="Q36" s="43">
        <v>199.37</v>
      </c>
      <c r="R36" s="43">
        <v>0.10100000000000001</v>
      </c>
      <c r="S36" s="43">
        <v>37</v>
      </c>
      <c r="T36" s="43">
        <f t="shared" si="0"/>
        <v>86276.904139999999</v>
      </c>
      <c r="U36" s="33">
        <f t="shared" si="1"/>
        <v>6605.61</v>
      </c>
      <c r="V36" s="43">
        <f t="shared" si="4"/>
        <v>79671.294139999998</v>
      </c>
      <c r="W36" s="45">
        <f t="shared" si="5"/>
        <v>0.92343709981432354</v>
      </c>
    </row>
    <row r="37" spans="1:23" x14ac:dyDescent="0.3">
      <c r="A37" s="34" t="s">
        <v>158</v>
      </c>
      <c r="B37" s="35">
        <v>45358</v>
      </c>
      <c r="C37" s="36">
        <v>45376</v>
      </c>
      <c r="D37" s="37">
        <f t="shared" si="6"/>
        <v>18</v>
      </c>
      <c r="E37" s="37" t="str">
        <f>TEXT(Data!B37,"MMM-YYYY")</f>
        <v>Mar-2024</v>
      </c>
      <c r="F37" s="37" t="str">
        <f t="shared" si="2"/>
        <v>Q1-2024</v>
      </c>
      <c r="G37" s="32" t="s">
        <v>78</v>
      </c>
      <c r="H37" s="32" t="s">
        <v>79</v>
      </c>
      <c r="I37" s="32" t="s">
        <v>159</v>
      </c>
      <c r="J37" s="32" t="s">
        <v>19</v>
      </c>
      <c r="K37" s="32" t="s">
        <v>28</v>
      </c>
      <c r="L37" s="32" t="s">
        <v>56</v>
      </c>
      <c r="M37" s="32" t="s">
        <v>22</v>
      </c>
      <c r="N37" s="32" t="s">
        <v>160</v>
      </c>
      <c r="O37" s="37">
        <v>712.84</v>
      </c>
      <c r="P37" s="38" t="str">
        <f t="shared" si="3"/>
        <v>High</v>
      </c>
      <c r="Q37" s="37">
        <v>927.51</v>
      </c>
      <c r="R37" s="37">
        <v>0.24299999999999999</v>
      </c>
      <c r="S37" s="37">
        <v>27</v>
      </c>
      <c r="T37" s="37">
        <f t="shared" si="0"/>
        <v>25427.751119999997</v>
      </c>
      <c r="U37" s="32">
        <f t="shared" si="1"/>
        <v>19246.68</v>
      </c>
      <c r="V37" s="37">
        <f t="shared" si="4"/>
        <v>6181.0711199999969</v>
      </c>
      <c r="W37" s="39">
        <f t="shared" si="5"/>
        <v>0.24308367227718869</v>
      </c>
    </row>
    <row r="38" spans="1:23" x14ac:dyDescent="0.3">
      <c r="A38" s="40" t="s">
        <v>161</v>
      </c>
      <c r="B38" s="41">
        <v>45832</v>
      </c>
      <c r="C38" s="42">
        <v>45848</v>
      </c>
      <c r="D38" s="43">
        <f t="shared" si="6"/>
        <v>16</v>
      </c>
      <c r="E38" s="43" t="str">
        <f>TEXT(Data!B38,"MMM-YYYY")</f>
        <v>Jun-2025</v>
      </c>
      <c r="F38" s="43" t="str">
        <f t="shared" si="2"/>
        <v>Q2-2025</v>
      </c>
      <c r="G38" s="33" t="s">
        <v>45</v>
      </c>
      <c r="H38" s="33" t="s">
        <v>116</v>
      </c>
      <c r="I38" s="33" t="s">
        <v>162</v>
      </c>
      <c r="J38" s="33" t="s">
        <v>105</v>
      </c>
      <c r="K38" s="33" t="s">
        <v>98</v>
      </c>
      <c r="L38" s="33" t="s">
        <v>126</v>
      </c>
      <c r="M38" s="33" t="s">
        <v>22</v>
      </c>
      <c r="N38" s="33" t="s">
        <v>163</v>
      </c>
      <c r="O38" s="43">
        <v>757.19</v>
      </c>
      <c r="P38" s="44" t="str">
        <f t="shared" si="3"/>
        <v>High</v>
      </c>
      <c r="Q38" s="43">
        <v>1735.41</v>
      </c>
      <c r="R38" s="43">
        <v>0.13600000000000001</v>
      </c>
      <c r="S38" s="43">
        <v>8</v>
      </c>
      <c r="T38" s="43">
        <f t="shared" si="0"/>
        <v>13219.269119999999</v>
      </c>
      <c r="U38" s="33">
        <f t="shared" si="1"/>
        <v>6057.52</v>
      </c>
      <c r="V38" s="43">
        <f t="shared" si="4"/>
        <v>7161.7491199999986</v>
      </c>
      <c r="W38" s="45">
        <f t="shared" si="5"/>
        <v>0.54176589151700383</v>
      </c>
    </row>
    <row r="39" spans="1:23" x14ac:dyDescent="0.3">
      <c r="A39" s="34" t="s">
        <v>164</v>
      </c>
      <c r="B39" s="35">
        <v>45401</v>
      </c>
      <c r="C39" s="36">
        <v>45418</v>
      </c>
      <c r="D39" s="37">
        <f t="shared" si="6"/>
        <v>17</v>
      </c>
      <c r="E39" s="37" t="str">
        <f>TEXT(Data!B39,"MMM-YYYY")</f>
        <v>Apr-2024</v>
      </c>
      <c r="F39" s="37" t="str">
        <f t="shared" si="2"/>
        <v>Q2-2024</v>
      </c>
      <c r="G39" s="32" t="s">
        <v>16</v>
      </c>
      <c r="H39" s="32" t="s">
        <v>25</v>
      </c>
      <c r="I39" s="32" t="s">
        <v>26</v>
      </c>
      <c r="J39" s="32" t="s">
        <v>39</v>
      </c>
      <c r="K39" s="32" t="s">
        <v>28</v>
      </c>
      <c r="L39" s="32" t="s">
        <v>75</v>
      </c>
      <c r="M39" s="32" t="s">
        <v>30</v>
      </c>
      <c r="N39" s="32" t="s">
        <v>165</v>
      </c>
      <c r="O39" s="37">
        <v>865.33</v>
      </c>
      <c r="P39" s="38" t="str">
        <f t="shared" si="3"/>
        <v>High</v>
      </c>
      <c r="Q39" s="37">
        <v>1395.64</v>
      </c>
      <c r="R39" s="37">
        <v>0.17499999999999999</v>
      </c>
      <c r="S39" s="37">
        <v>13</v>
      </c>
      <c r="T39" s="37">
        <f t="shared" si="0"/>
        <v>8106.7057499999992</v>
      </c>
      <c r="U39" s="32">
        <f t="shared" si="1"/>
        <v>11249.29</v>
      </c>
      <c r="V39" s="37">
        <f t="shared" si="4"/>
        <v>-3142.5842500000017</v>
      </c>
      <c r="W39" s="39">
        <f t="shared" si="5"/>
        <v>-0.38765243822991874</v>
      </c>
    </row>
    <row r="40" spans="1:23" x14ac:dyDescent="0.3">
      <c r="A40" s="40" t="s">
        <v>166</v>
      </c>
      <c r="B40" s="41">
        <v>45094</v>
      </c>
      <c r="C40" s="42">
        <v>45101</v>
      </c>
      <c r="D40" s="43">
        <f t="shared" si="6"/>
        <v>7</v>
      </c>
      <c r="E40" s="43" t="str">
        <f>TEXT(Data!B40,"MMM-YYYY")</f>
        <v>Jun-2023</v>
      </c>
      <c r="F40" s="43" t="str">
        <f t="shared" si="2"/>
        <v>Q2-2023</v>
      </c>
      <c r="G40" s="33" t="s">
        <v>52</v>
      </c>
      <c r="H40" s="33" t="s">
        <v>122</v>
      </c>
      <c r="I40" s="33" t="s">
        <v>167</v>
      </c>
      <c r="J40" s="33" t="s">
        <v>19</v>
      </c>
      <c r="K40" s="33" t="s">
        <v>20</v>
      </c>
      <c r="L40" s="33" t="s">
        <v>34</v>
      </c>
      <c r="M40" s="33" t="s">
        <v>30</v>
      </c>
      <c r="N40" s="33" t="s">
        <v>168</v>
      </c>
      <c r="O40" s="43">
        <v>313.99</v>
      </c>
      <c r="P40" s="44" t="str">
        <f t="shared" si="3"/>
        <v>High</v>
      </c>
      <c r="Q40" s="43">
        <v>454.42</v>
      </c>
      <c r="R40" s="43">
        <v>0.129</v>
      </c>
      <c r="S40" s="43">
        <v>9</v>
      </c>
      <c r="T40" s="43">
        <f t="shared" si="0"/>
        <v>8980.9071300000014</v>
      </c>
      <c r="U40" s="33">
        <f t="shared" si="1"/>
        <v>2825.91</v>
      </c>
      <c r="V40" s="43">
        <f t="shared" si="4"/>
        <v>6154.9971300000016</v>
      </c>
      <c r="W40" s="45">
        <f t="shared" si="5"/>
        <v>0.68534247608904963</v>
      </c>
    </row>
    <row r="41" spans="1:23" x14ac:dyDescent="0.3">
      <c r="A41" s="34" t="s">
        <v>169</v>
      </c>
      <c r="B41" s="35">
        <v>45531</v>
      </c>
      <c r="C41" s="36">
        <v>45554</v>
      </c>
      <c r="D41" s="37">
        <f t="shared" si="6"/>
        <v>23</v>
      </c>
      <c r="E41" s="37" t="str">
        <f>TEXT(Data!B41,"MMM-YYYY")</f>
        <v>Aug-2024</v>
      </c>
      <c r="F41" s="37" t="str">
        <f t="shared" si="2"/>
        <v>Q3-2024</v>
      </c>
      <c r="G41" s="32" t="s">
        <v>78</v>
      </c>
      <c r="H41" s="32" t="s">
        <v>79</v>
      </c>
      <c r="I41" s="32" t="s">
        <v>80</v>
      </c>
      <c r="J41" s="32" t="s">
        <v>62</v>
      </c>
      <c r="K41" s="32" t="s">
        <v>98</v>
      </c>
      <c r="L41" s="32" t="s">
        <v>145</v>
      </c>
      <c r="M41" s="32" t="s">
        <v>64</v>
      </c>
      <c r="N41" s="32" t="s">
        <v>170</v>
      </c>
      <c r="O41" s="37">
        <v>1024.01</v>
      </c>
      <c r="P41" s="38" t="str">
        <f t="shared" si="3"/>
        <v>High</v>
      </c>
      <c r="Q41" s="37">
        <v>1580.97</v>
      </c>
      <c r="R41" s="37">
        <v>3.6999999999999998E-2</v>
      </c>
      <c r="S41" s="37">
        <v>27</v>
      </c>
      <c r="T41" s="37">
        <f t="shared" si="0"/>
        <v>32087.834099999996</v>
      </c>
      <c r="U41" s="32">
        <f t="shared" si="1"/>
        <v>27648.27</v>
      </c>
      <c r="V41" s="37">
        <f t="shared" si="4"/>
        <v>4439.564099999996</v>
      </c>
      <c r="W41" s="39">
        <f t="shared" si="5"/>
        <v>0.13835661472707492</v>
      </c>
    </row>
    <row r="42" spans="1:23" x14ac:dyDescent="0.3">
      <c r="A42" s="40" t="s">
        <v>171</v>
      </c>
      <c r="B42" s="41">
        <v>45302</v>
      </c>
      <c r="C42" s="42">
        <v>45324</v>
      </c>
      <c r="D42" s="43">
        <f t="shared" si="6"/>
        <v>22</v>
      </c>
      <c r="E42" s="43" t="str">
        <f>TEXT(Data!B42,"MMM-YYYY")</f>
        <v>Jan-2024</v>
      </c>
      <c r="F42" s="43" t="str">
        <f t="shared" si="2"/>
        <v>Q1-2024</v>
      </c>
      <c r="G42" s="33" t="s">
        <v>16</v>
      </c>
      <c r="H42" s="33" t="s">
        <v>148</v>
      </c>
      <c r="I42" s="33" t="s">
        <v>172</v>
      </c>
      <c r="J42" s="33" t="s">
        <v>48</v>
      </c>
      <c r="K42" s="33" t="s">
        <v>28</v>
      </c>
      <c r="L42" s="33" t="s">
        <v>95</v>
      </c>
      <c r="M42" s="33" t="s">
        <v>35</v>
      </c>
      <c r="N42" s="33" t="s">
        <v>173</v>
      </c>
      <c r="O42" s="43">
        <v>1206.2</v>
      </c>
      <c r="P42" s="44" t="str">
        <f t="shared" si="3"/>
        <v>High</v>
      </c>
      <c r="Q42" s="43">
        <v>1759.79</v>
      </c>
      <c r="R42" s="43">
        <v>0</v>
      </c>
      <c r="S42" s="43">
        <v>6</v>
      </c>
      <c r="T42" s="43">
        <f t="shared" si="0"/>
        <v>7368.0599999999995</v>
      </c>
      <c r="U42" s="33">
        <f t="shared" si="1"/>
        <v>7237.2000000000007</v>
      </c>
      <c r="V42" s="43">
        <f t="shared" si="4"/>
        <v>130.85999999999876</v>
      </c>
      <c r="W42" s="45">
        <f t="shared" si="5"/>
        <v>1.7760441690214082E-2</v>
      </c>
    </row>
    <row r="43" spans="1:23" x14ac:dyDescent="0.3">
      <c r="A43" s="34" t="s">
        <v>174</v>
      </c>
      <c r="B43" s="35">
        <v>45590</v>
      </c>
      <c r="C43" s="36">
        <v>45610</v>
      </c>
      <c r="D43" s="37">
        <f t="shared" si="6"/>
        <v>20</v>
      </c>
      <c r="E43" s="37" t="str">
        <f>TEXT(Data!B43,"MMM-YYYY")</f>
        <v>Oct-2024</v>
      </c>
      <c r="F43" s="37" t="str">
        <f t="shared" si="2"/>
        <v>Q4-2024</v>
      </c>
      <c r="G43" s="32" t="s">
        <v>16</v>
      </c>
      <c r="H43" s="32" t="s">
        <v>17</v>
      </c>
      <c r="I43" s="32" t="s">
        <v>113</v>
      </c>
      <c r="J43" s="32" t="s">
        <v>19</v>
      </c>
      <c r="K43" s="32" t="s">
        <v>98</v>
      </c>
      <c r="L43" s="32" t="s">
        <v>92</v>
      </c>
      <c r="M43" s="32" t="s">
        <v>30</v>
      </c>
      <c r="N43" s="32" t="s">
        <v>175</v>
      </c>
      <c r="O43" s="37">
        <v>1396.48</v>
      </c>
      <c r="P43" s="38" t="str">
        <f t="shared" si="3"/>
        <v>High</v>
      </c>
      <c r="Q43" s="37">
        <v>3204.5</v>
      </c>
      <c r="R43" s="37">
        <v>0.318</v>
      </c>
      <c r="S43" s="37">
        <v>14</v>
      </c>
      <c r="T43" s="37">
        <f t="shared" si="0"/>
        <v>5778.7360400000007</v>
      </c>
      <c r="U43" s="32">
        <f t="shared" si="1"/>
        <v>19550.72</v>
      </c>
      <c r="V43" s="37">
        <f t="shared" si="4"/>
        <v>-13771.983960000001</v>
      </c>
      <c r="W43" s="39">
        <f t="shared" si="5"/>
        <v>-2.3832173445319715</v>
      </c>
    </row>
    <row r="44" spans="1:23" x14ac:dyDescent="0.3">
      <c r="A44" s="40" t="s">
        <v>176</v>
      </c>
      <c r="B44" s="41">
        <v>45806</v>
      </c>
      <c r="C44" s="42">
        <v>45828</v>
      </c>
      <c r="D44" s="43">
        <f t="shared" si="6"/>
        <v>22</v>
      </c>
      <c r="E44" s="43" t="str">
        <f>TEXT(Data!B44,"MMM-YYYY")</f>
        <v>May-2025</v>
      </c>
      <c r="F44" s="43" t="str">
        <f t="shared" si="2"/>
        <v>Q2-2025</v>
      </c>
      <c r="G44" s="33" t="s">
        <v>78</v>
      </c>
      <c r="H44" s="33" t="s">
        <v>79</v>
      </c>
      <c r="I44" s="33" t="s">
        <v>80</v>
      </c>
      <c r="J44" s="33" t="s">
        <v>19</v>
      </c>
      <c r="K44" s="33" t="s">
        <v>98</v>
      </c>
      <c r="L44" s="33" t="s">
        <v>75</v>
      </c>
      <c r="M44" s="33" t="s">
        <v>30</v>
      </c>
      <c r="N44" s="33" t="s">
        <v>177</v>
      </c>
      <c r="O44" s="43">
        <v>483.47</v>
      </c>
      <c r="P44" s="44" t="str">
        <f t="shared" si="3"/>
        <v>High</v>
      </c>
      <c r="Q44" s="43">
        <v>1135.43</v>
      </c>
      <c r="R44" s="43">
        <v>0.14599999999999999</v>
      </c>
      <c r="S44" s="43">
        <v>11</v>
      </c>
      <c r="T44" s="43">
        <f t="shared" si="0"/>
        <v>17662.129100000002</v>
      </c>
      <c r="U44" s="33">
        <f t="shared" si="1"/>
        <v>5318.17</v>
      </c>
      <c r="V44" s="43">
        <f t="shared" si="4"/>
        <v>12343.959100000002</v>
      </c>
      <c r="W44" s="45">
        <f t="shared" si="5"/>
        <v>0.6988941723905755</v>
      </c>
    </row>
    <row r="45" spans="1:23" x14ac:dyDescent="0.3">
      <c r="A45" s="34" t="s">
        <v>178</v>
      </c>
      <c r="B45" s="35">
        <v>45432</v>
      </c>
      <c r="C45" s="36">
        <v>45445</v>
      </c>
      <c r="D45" s="37">
        <f t="shared" si="6"/>
        <v>13</v>
      </c>
      <c r="E45" s="37" t="str">
        <f>TEXT(Data!B45,"MMM-YYYY")</f>
        <v>May-2024</v>
      </c>
      <c r="F45" s="37" t="str">
        <f t="shared" si="2"/>
        <v>Q2-2024</v>
      </c>
      <c r="G45" s="32" t="s">
        <v>52</v>
      </c>
      <c r="H45" s="32" t="s">
        <v>53</v>
      </c>
      <c r="I45" s="32" t="s">
        <v>179</v>
      </c>
      <c r="J45" s="32" t="s">
        <v>105</v>
      </c>
      <c r="K45" s="32" t="s">
        <v>40</v>
      </c>
      <c r="L45" s="32" t="s">
        <v>95</v>
      </c>
      <c r="M45" s="32" t="s">
        <v>22</v>
      </c>
      <c r="N45" s="32" t="s">
        <v>180</v>
      </c>
      <c r="O45" s="37">
        <v>675.43</v>
      </c>
      <c r="P45" s="38" t="str">
        <f t="shared" si="3"/>
        <v>High</v>
      </c>
      <c r="Q45" s="37">
        <v>996.36</v>
      </c>
      <c r="R45" s="37">
        <v>0.182</v>
      </c>
      <c r="S45" s="37">
        <v>22</v>
      </c>
      <c r="T45" s="37">
        <f t="shared" si="0"/>
        <v>22844.122400000004</v>
      </c>
      <c r="U45" s="32">
        <f t="shared" si="1"/>
        <v>14859.46</v>
      </c>
      <c r="V45" s="37">
        <f t="shared" si="4"/>
        <v>7984.6624000000047</v>
      </c>
      <c r="W45" s="39">
        <f t="shared" si="5"/>
        <v>0.34952808692707771</v>
      </c>
    </row>
    <row r="46" spans="1:23" x14ac:dyDescent="0.3">
      <c r="A46" s="40" t="s">
        <v>181</v>
      </c>
      <c r="B46" s="41">
        <v>45035</v>
      </c>
      <c r="C46" s="42">
        <v>45046</v>
      </c>
      <c r="D46" s="43">
        <f t="shared" si="6"/>
        <v>11</v>
      </c>
      <c r="E46" s="43" t="str">
        <f>TEXT(Data!B46,"MMM-YYYY")</f>
        <v>Apr-2023</v>
      </c>
      <c r="F46" s="43" t="str">
        <f t="shared" si="2"/>
        <v>Q2-2023</v>
      </c>
      <c r="G46" s="33" t="s">
        <v>45</v>
      </c>
      <c r="H46" s="33" t="s">
        <v>60</v>
      </c>
      <c r="I46" s="33" t="s">
        <v>141</v>
      </c>
      <c r="J46" s="33" t="s">
        <v>62</v>
      </c>
      <c r="K46" s="33" t="s">
        <v>20</v>
      </c>
      <c r="L46" s="33" t="s">
        <v>75</v>
      </c>
      <c r="M46" s="33" t="s">
        <v>35</v>
      </c>
      <c r="N46" s="33" t="s">
        <v>182</v>
      </c>
      <c r="O46" s="43">
        <v>826.55</v>
      </c>
      <c r="P46" s="44" t="str">
        <f t="shared" si="3"/>
        <v>High</v>
      </c>
      <c r="Q46" s="43">
        <v>1397.05</v>
      </c>
      <c r="R46" s="43">
        <v>0.16900000000000001</v>
      </c>
      <c r="S46" s="43">
        <v>28</v>
      </c>
      <c r="T46" s="43">
        <f t="shared" si="0"/>
        <v>14447.799239999997</v>
      </c>
      <c r="U46" s="33">
        <f t="shared" si="1"/>
        <v>23143.399999999998</v>
      </c>
      <c r="V46" s="43">
        <f t="shared" si="4"/>
        <v>-8695.6007600000012</v>
      </c>
      <c r="W46" s="45">
        <f t="shared" si="5"/>
        <v>-0.6018633437212686</v>
      </c>
    </row>
    <row r="47" spans="1:23" x14ac:dyDescent="0.3">
      <c r="A47" s="34" t="s">
        <v>183</v>
      </c>
      <c r="B47" s="35">
        <v>45100</v>
      </c>
      <c r="C47" s="36">
        <v>45110</v>
      </c>
      <c r="D47" s="37">
        <f t="shared" si="6"/>
        <v>10</v>
      </c>
      <c r="E47" s="37" t="str">
        <f>TEXT(Data!B47,"MMM-YYYY")</f>
        <v>Jun-2023</v>
      </c>
      <c r="F47" s="37" t="str">
        <f t="shared" si="2"/>
        <v>Q2-2023</v>
      </c>
      <c r="G47" s="32" t="s">
        <v>16</v>
      </c>
      <c r="H47" s="32" t="s">
        <v>25</v>
      </c>
      <c r="I47" s="32" t="s">
        <v>67</v>
      </c>
      <c r="J47" s="32" t="s">
        <v>48</v>
      </c>
      <c r="K47" s="32" t="s">
        <v>28</v>
      </c>
      <c r="L47" s="32" t="s">
        <v>29</v>
      </c>
      <c r="M47" s="32" t="s">
        <v>30</v>
      </c>
      <c r="N47" s="32" t="s">
        <v>184</v>
      </c>
      <c r="O47" s="37">
        <v>337.75</v>
      </c>
      <c r="P47" s="38" t="str">
        <f t="shared" si="3"/>
        <v>High</v>
      </c>
      <c r="Q47" s="37">
        <v>548.89</v>
      </c>
      <c r="R47" s="37">
        <v>0</v>
      </c>
      <c r="S47" s="37">
        <v>13</v>
      </c>
      <c r="T47" s="37">
        <f t="shared" si="0"/>
        <v>18926.830000000002</v>
      </c>
      <c r="U47" s="32">
        <f t="shared" si="1"/>
        <v>4390.75</v>
      </c>
      <c r="V47" s="37">
        <f t="shared" si="4"/>
        <v>14536.080000000002</v>
      </c>
      <c r="W47" s="39">
        <f t="shared" si="5"/>
        <v>0.76801450639119173</v>
      </c>
    </row>
    <row r="48" spans="1:23" x14ac:dyDescent="0.3">
      <c r="A48" s="40" t="s">
        <v>185</v>
      </c>
      <c r="B48" s="41">
        <v>45426</v>
      </c>
      <c r="C48" s="42">
        <v>45440</v>
      </c>
      <c r="D48" s="43">
        <f t="shared" si="6"/>
        <v>14</v>
      </c>
      <c r="E48" s="43" t="str">
        <f>TEXT(Data!B48,"MMM-YYYY")</f>
        <v>May-2024</v>
      </c>
      <c r="F48" s="43" t="str">
        <f t="shared" si="2"/>
        <v>Q2-2024</v>
      </c>
      <c r="G48" s="33" t="s">
        <v>78</v>
      </c>
      <c r="H48" s="33" t="s">
        <v>108</v>
      </c>
      <c r="I48" s="33" t="s">
        <v>109</v>
      </c>
      <c r="J48" s="33" t="s">
        <v>48</v>
      </c>
      <c r="K48" s="33" t="s">
        <v>20</v>
      </c>
      <c r="L48" s="33" t="s">
        <v>56</v>
      </c>
      <c r="M48" s="33" t="s">
        <v>35</v>
      </c>
      <c r="N48" s="33" t="s">
        <v>186</v>
      </c>
      <c r="O48" s="43">
        <v>1421.14</v>
      </c>
      <c r="P48" s="44" t="str">
        <f t="shared" si="3"/>
        <v>High</v>
      </c>
      <c r="Q48" s="43">
        <v>3524</v>
      </c>
      <c r="R48" s="43">
        <v>0</v>
      </c>
      <c r="S48" s="43">
        <v>31</v>
      </c>
      <c r="T48" s="43">
        <f t="shared" si="0"/>
        <v>16939.329999999998</v>
      </c>
      <c r="U48" s="33">
        <f t="shared" si="1"/>
        <v>44055.340000000004</v>
      </c>
      <c r="V48" s="43">
        <f t="shared" si="4"/>
        <v>-27116.010000000006</v>
      </c>
      <c r="W48" s="45">
        <f t="shared" si="5"/>
        <v>-1.6007722855626527</v>
      </c>
    </row>
    <row r="49" spans="1:23" x14ac:dyDescent="0.3">
      <c r="A49" s="34" t="s">
        <v>187</v>
      </c>
      <c r="B49" s="35">
        <v>45579</v>
      </c>
      <c r="C49" s="36">
        <v>45604</v>
      </c>
      <c r="D49" s="37">
        <f t="shared" si="6"/>
        <v>25</v>
      </c>
      <c r="E49" s="37" t="str">
        <f>TEXT(Data!B49,"MMM-YYYY")</f>
        <v>Oct-2024</v>
      </c>
      <c r="F49" s="37" t="str">
        <f t="shared" si="2"/>
        <v>Q4-2024</v>
      </c>
      <c r="G49" s="32" t="s">
        <v>16</v>
      </c>
      <c r="H49" s="32" t="s">
        <v>25</v>
      </c>
      <c r="I49" s="32" t="s">
        <v>38</v>
      </c>
      <c r="J49" s="32" t="s">
        <v>105</v>
      </c>
      <c r="K49" s="32" t="s">
        <v>28</v>
      </c>
      <c r="L49" s="32" t="s">
        <v>68</v>
      </c>
      <c r="M49" s="32" t="s">
        <v>35</v>
      </c>
      <c r="N49" s="32" t="s">
        <v>188</v>
      </c>
      <c r="O49" s="37">
        <v>859.35</v>
      </c>
      <c r="P49" s="38" t="str">
        <f t="shared" si="3"/>
        <v>High</v>
      </c>
      <c r="Q49" s="37">
        <v>1825.61</v>
      </c>
      <c r="R49" s="37">
        <v>0.187</v>
      </c>
      <c r="S49" s="37">
        <v>24</v>
      </c>
      <c r="T49" s="37">
        <f t="shared" si="0"/>
        <v>26300.615040000001</v>
      </c>
      <c r="U49" s="32">
        <f t="shared" si="1"/>
        <v>20624.400000000001</v>
      </c>
      <c r="V49" s="37">
        <f t="shared" si="4"/>
        <v>5676.2150399999991</v>
      </c>
      <c r="W49" s="39">
        <f t="shared" si="5"/>
        <v>0.21582061983596865</v>
      </c>
    </row>
    <row r="50" spans="1:23" x14ac:dyDescent="0.3">
      <c r="A50" s="40" t="s">
        <v>189</v>
      </c>
      <c r="B50" s="41">
        <v>45117</v>
      </c>
      <c r="C50" s="42">
        <v>45139</v>
      </c>
      <c r="D50" s="43">
        <f t="shared" si="6"/>
        <v>22</v>
      </c>
      <c r="E50" s="43" t="str">
        <f>TEXT(Data!B50,"MMM-YYYY")</f>
        <v>Jul-2023</v>
      </c>
      <c r="F50" s="43" t="str">
        <f t="shared" si="2"/>
        <v>Q3-2023</v>
      </c>
      <c r="G50" s="33" t="s">
        <v>78</v>
      </c>
      <c r="H50" s="33" t="s">
        <v>90</v>
      </c>
      <c r="I50" s="33" t="s">
        <v>91</v>
      </c>
      <c r="J50" s="33" t="s">
        <v>48</v>
      </c>
      <c r="K50" s="33" t="s">
        <v>40</v>
      </c>
      <c r="L50" s="33" t="s">
        <v>56</v>
      </c>
      <c r="M50" s="33" t="s">
        <v>30</v>
      </c>
      <c r="N50" s="33" t="s">
        <v>190</v>
      </c>
      <c r="O50" s="43">
        <v>1303.56</v>
      </c>
      <c r="P50" s="44" t="str">
        <f t="shared" si="3"/>
        <v>High</v>
      </c>
      <c r="Q50" s="43">
        <v>1791.37</v>
      </c>
      <c r="R50" s="43">
        <v>0.126</v>
      </c>
      <c r="S50" s="43">
        <v>22</v>
      </c>
      <c r="T50" s="43">
        <f t="shared" si="0"/>
        <v>21312.892040000002</v>
      </c>
      <c r="U50" s="33">
        <f t="shared" si="1"/>
        <v>28678.32</v>
      </c>
      <c r="V50" s="43">
        <f t="shared" si="4"/>
        <v>-7365.4279599999973</v>
      </c>
      <c r="W50" s="45">
        <f t="shared" si="5"/>
        <v>-0.34558557075110097</v>
      </c>
    </row>
    <row r="51" spans="1:23" x14ac:dyDescent="0.3">
      <c r="A51" s="34" t="s">
        <v>191</v>
      </c>
      <c r="B51" s="35">
        <v>45602</v>
      </c>
      <c r="C51" s="36">
        <v>45618</v>
      </c>
      <c r="D51" s="37">
        <f t="shared" si="6"/>
        <v>16</v>
      </c>
      <c r="E51" s="37" t="str">
        <f>TEXT(Data!B51,"MMM-YYYY")</f>
        <v>Nov-2024</v>
      </c>
      <c r="F51" s="37" t="str">
        <f t="shared" si="2"/>
        <v>Q4-2024</v>
      </c>
      <c r="G51" s="32" t="s">
        <v>52</v>
      </c>
      <c r="H51" s="32" t="s">
        <v>53</v>
      </c>
      <c r="I51" s="32" t="s">
        <v>54</v>
      </c>
      <c r="J51" s="32" t="s">
        <v>39</v>
      </c>
      <c r="K51" s="32" t="s">
        <v>55</v>
      </c>
      <c r="L51" s="32" t="s">
        <v>145</v>
      </c>
      <c r="M51" s="32" t="s">
        <v>81</v>
      </c>
      <c r="N51" s="32" t="s">
        <v>192</v>
      </c>
      <c r="O51" s="37">
        <v>1454.11</v>
      </c>
      <c r="P51" s="38" t="str">
        <f t="shared" si="3"/>
        <v>High</v>
      </c>
      <c r="Q51" s="37">
        <v>2629.75</v>
      </c>
      <c r="R51" s="37">
        <v>0.29199999999999998</v>
      </c>
      <c r="S51" s="37">
        <v>8</v>
      </c>
      <c r="T51" s="37">
        <f t="shared" si="0"/>
        <v>17808.182399999998</v>
      </c>
      <c r="U51" s="32">
        <f t="shared" si="1"/>
        <v>11632.88</v>
      </c>
      <c r="V51" s="37">
        <f t="shared" si="4"/>
        <v>6175.3023999999987</v>
      </c>
      <c r="W51" s="39">
        <f t="shared" si="5"/>
        <v>0.34676769707839467</v>
      </c>
    </row>
    <row r="52" spans="1:23" x14ac:dyDescent="0.3">
      <c r="A52" s="40" t="s">
        <v>193</v>
      </c>
      <c r="B52" s="41">
        <v>45582</v>
      </c>
      <c r="C52" s="42">
        <v>45602</v>
      </c>
      <c r="D52" s="43">
        <f t="shared" si="6"/>
        <v>20</v>
      </c>
      <c r="E52" s="43" t="str">
        <f>TEXT(Data!B52,"MMM-YYYY")</f>
        <v>Oct-2024</v>
      </c>
      <c r="F52" s="43" t="str">
        <f t="shared" si="2"/>
        <v>Q4-2024</v>
      </c>
      <c r="G52" s="33" t="s">
        <v>45</v>
      </c>
      <c r="H52" s="33" t="s">
        <v>60</v>
      </c>
      <c r="I52" s="33" t="s">
        <v>61</v>
      </c>
      <c r="J52" s="33" t="s">
        <v>105</v>
      </c>
      <c r="K52" s="33" t="s">
        <v>55</v>
      </c>
      <c r="L52" s="33" t="s">
        <v>68</v>
      </c>
      <c r="M52" s="33" t="s">
        <v>64</v>
      </c>
      <c r="N52" s="33" t="s">
        <v>194</v>
      </c>
      <c r="O52" s="43">
        <v>72.94</v>
      </c>
      <c r="P52" s="44" t="str">
        <f t="shared" si="3"/>
        <v>Medium</v>
      </c>
      <c r="Q52" s="43">
        <v>106.3</v>
      </c>
      <c r="R52" s="43">
        <v>0.29499999999999998</v>
      </c>
      <c r="S52" s="43">
        <v>8</v>
      </c>
      <c r="T52" s="43">
        <f t="shared" si="0"/>
        <v>11819.917200000002</v>
      </c>
      <c r="U52" s="33">
        <f t="shared" si="1"/>
        <v>583.52</v>
      </c>
      <c r="V52" s="43">
        <f t="shared" si="4"/>
        <v>11236.397200000001</v>
      </c>
      <c r="W52" s="45">
        <f t="shared" si="5"/>
        <v>0.95063247989588284</v>
      </c>
    </row>
    <row r="53" spans="1:23" x14ac:dyDescent="0.3">
      <c r="A53" s="34" t="s">
        <v>195</v>
      </c>
      <c r="B53" s="35">
        <v>45016</v>
      </c>
      <c r="C53" s="36">
        <v>45021</v>
      </c>
      <c r="D53" s="37">
        <f t="shared" si="6"/>
        <v>5</v>
      </c>
      <c r="E53" s="37" t="str">
        <f>TEXT(Data!B53,"MMM-YYYY")</f>
        <v>Mar-2023</v>
      </c>
      <c r="F53" s="37" t="str">
        <f t="shared" si="2"/>
        <v>Q1-2023</v>
      </c>
      <c r="G53" s="32" t="s">
        <v>16</v>
      </c>
      <c r="H53" s="32" t="s">
        <v>17</v>
      </c>
      <c r="I53" s="32" t="s">
        <v>135</v>
      </c>
      <c r="J53" s="32" t="s">
        <v>27</v>
      </c>
      <c r="K53" s="32" t="s">
        <v>40</v>
      </c>
      <c r="L53" s="32" t="s">
        <v>56</v>
      </c>
      <c r="M53" s="32" t="s">
        <v>57</v>
      </c>
      <c r="N53" s="32" t="s">
        <v>196</v>
      </c>
      <c r="O53" s="37">
        <v>533.26</v>
      </c>
      <c r="P53" s="38" t="str">
        <f t="shared" si="3"/>
        <v>High</v>
      </c>
      <c r="Q53" s="37">
        <v>385.72</v>
      </c>
      <c r="R53" s="37">
        <v>0</v>
      </c>
      <c r="S53" s="37">
        <v>15</v>
      </c>
      <c r="T53" s="37">
        <f t="shared" si="0"/>
        <v>10554.3</v>
      </c>
      <c r="U53" s="32">
        <f t="shared" si="1"/>
        <v>7998.9</v>
      </c>
      <c r="V53" s="37">
        <f t="shared" si="4"/>
        <v>2555.3999999999996</v>
      </c>
      <c r="W53" s="39">
        <f t="shared" si="5"/>
        <v>0.24211932577243397</v>
      </c>
    </row>
    <row r="54" spans="1:23" x14ac:dyDescent="0.3">
      <c r="A54" s="40" t="s">
        <v>197</v>
      </c>
      <c r="B54" s="41">
        <v>45678</v>
      </c>
      <c r="C54" s="42">
        <v>45704</v>
      </c>
      <c r="D54" s="43">
        <f t="shared" si="6"/>
        <v>26</v>
      </c>
      <c r="E54" s="43" t="str">
        <f>TEXT(Data!B54,"MMM-YYYY")</f>
        <v>Jan-2025</v>
      </c>
      <c r="F54" s="43" t="str">
        <f t="shared" si="2"/>
        <v>Q1-2025</v>
      </c>
      <c r="G54" s="33" t="s">
        <v>78</v>
      </c>
      <c r="H54" s="33" t="s">
        <v>90</v>
      </c>
      <c r="I54" s="33" t="s">
        <v>138</v>
      </c>
      <c r="J54" s="33" t="s">
        <v>19</v>
      </c>
      <c r="K54" s="33" t="s">
        <v>55</v>
      </c>
      <c r="L54" s="33" t="s">
        <v>68</v>
      </c>
      <c r="M54" s="33" t="s">
        <v>57</v>
      </c>
      <c r="N54" s="33" t="s">
        <v>198</v>
      </c>
      <c r="O54" s="43">
        <v>204.11</v>
      </c>
      <c r="P54" s="44" t="str">
        <f t="shared" si="3"/>
        <v>High</v>
      </c>
      <c r="Q54" s="43">
        <v>236.87</v>
      </c>
      <c r="R54" s="43">
        <v>0.182</v>
      </c>
      <c r="S54" s="43">
        <v>13</v>
      </c>
      <c r="T54" s="43">
        <f t="shared" si="0"/>
        <v>21238.118460000002</v>
      </c>
      <c r="U54" s="33">
        <f t="shared" si="1"/>
        <v>2653.4300000000003</v>
      </c>
      <c r="V54" s="43">
        <f t="shared" si="4"/>
        <v>18584.688460000001</v>
      </c>
      <c r="W54" s="45">
        <f t="shared" si="5"/>
        <v>0.87506284961177294</v>
      </c>
    </row>
    <row r="55" spans="1:23" x14ac:dyDescent="0.3">
      <c r="A55" s="34" t="s">
        <v>199</v>
      </c>
      <c r="B55" s="35">
        <v>45168</v>
      </c>
      <c r="C55" s="36">
        <v>45170</v>
      </c>
      <c r="D55" s="37">
        <f t="shared" si="6"/>
        <v>2</v>
      </c>
      <c r="E55" s="37" t="str">
        <f>TEXT(Data!B55,"MMM-YYYY")</f>
        <v>Aug-2023</v>
      </c>
      <c r="F55" s="37" t="str">
        <f t="shared" si="2"/>
        <v>Q3-2023</v>
      </c>
      <c r="G55" s="32" t="s">
        <v>78</v>
      </c>
      <c r="H55" s="32" t="s">
        <v>79</v>
      </c>
      <c r="I55" s="32" t="s">
        <v>159</v>
      </c>
      <c r="J55" s="32" t="s">
        <v>19</v>
      </c>
      <c r="K55" s="32" t="s">
        <v>98</v>
      </c>
      <c r="L55" s="32" t="s">
        <v>126</v>
      </c>
      <c r="M55" s="32" t="s">
        <v>35</v>
      </c>
      <c r="N55" s="32" t="s">
        <v>200</v>
      </c>
      <c r="O55" s="37">
        <v>44.42</v>
      </c>
      <c r="P55" s="38" t="str">
        <f t="shared" si="3"/>
        <v>Low</v>
      </c>
      <c r="Q55" s="37">
        <v>41.9</v>
      </c>
      <c r="R55" s="37">
        <v>0.14399999999999999</v>
      </c>
      <c r="S55" s="37">
        <v>6</v>
      </c>
      <c r="T55" s="37">
        <f t="shared" si="0"/>
        <v>14195.647199999998</v>
      </c>
      <c r="U55" s="32">
        <f t="shared" si="1"/>
        <v>266.52</v>
      </c>
      <c r="V55" s="37">
        <f t="shared" si="4"/>
        <v>13929.127199999997</v>
      </c>
      <c r="W55" s="39">
        <f t="shared" si="5"/>
        <v>0.9812252307876459</v>
      </c>
    </row>
    <row r="56" spans="1:23" x14ac:dyDescent="0.3">
      <c r="A56" s="40" t="s">
        <v>201</v>
      </c>
      <c r="B56" s="41">
        <v>45753</v>
      </c>
      <c r="C56" s="42">
        <v>45777</v>
      </c>
      <c r="D56" s="43">
        <f t="shared" si="6"/>
        <v>24</v>
      </c>
      <c r="E56" s="43" t="str">
        <f>TEXT(Data!B56,"MMM-YYYY")</f>
        <v>Apr-2025</v>
      </c>
      <c r="F56" s="43" t="str">
        <f t="shared" si="2"/>
        <v>Q2-2025</v>
      </c>
      <c r="G56" s="33" t="s">
        <v>52</v>
      </c>
      <c r="H56" s="33" t="s">
        <v>73</v>
      </c>
      <c r="I56" s="33" t="s">
        <v>87</v>
      </c>
      <c r="J56" s="33" t="s">
        <v>27</v>
      </c>
      <c r="K56" s="33" t="s">
        <v>28</v>
      </c>
      <c r="L56" s="33" t="s">
        <v>95</v>
      </c>
      <c r="M56" s="33" t="s">
        <v>64</v>
      </c>
      <c r="N56" s="33" t="s">
        <v>202</v>
      </c>
      <c r="O56" s="43">
        <v>855.78</v>
      </c>
      <c r="P56" s="44" t="str">
        <f t="shared" si="3"/>
        <v>High</v>
      </c>
      <c r="Q56" s="43">
        <v>977.38</v>
      </c>
      <c r="R56" s="43">
        <v>0.14699999999999999</v>
      </c>
      <c r="S56" s="43">
        <v>38</v>
      </c>
      <c r="T56" s="43">
        <f t="shared" si="0"/>
        <v>48735.421419999999</v>
      </c>
      <c r="U56" s="33">
        <f t="shared" si="1"/>
        <v>32519.64</v>
      </c>
      <c r="V56" s="43">
        <f t="shared" si="4"/>
        <v>16215.781419999999</v>
      </c>
      <c r="W56" s="45">
        <f t="shared" si="5"/>
        <v>0.33273091619036216</v>
      </c>
    </row>
    <row r="57" spans="1:23" x14ac:dyDescent="0.3">
      <c r="A57" s="34" t="s">
        <v>203</v>
      </c>
      <c r="B57" s="35">
        <v>45697</v>
      </c>
      <c r="C57" s="36">
        <v>45717</v>
      </c>
      <c r="D57" s="37">
        <f t="shared" si="6"/>
        <v>20</v>
      </c>
      <c r="E57" s="37" t="str">
        <f>TEXT(Data!B57,"MMM-YYYY")</f>
        <v>Feb-2025</v>
      </c>
      <c r="F57" s="37" t="str">
        <f t="shared" si="2"/>
        <v>Q1-2025</v>
      </c>
      <c r="G57" s="32" t="s">
        <v>52</v>
      </c>
      <c r="H57" s="32" t="s">
        <v>73</v>
      </c>
      <c r="I57" s="32" t="s">
        <v>74</v>
      </c>
      <c r="J57" s="32" t="s">
        <v>19</v>
      </c>
      <c r="K57" s="32" t="s">
        <v>55</v>
      </c>
      <c r="L57" s="32" t="s">
        <v>56</v>
      </c>
      <c r="M57" s="32" t="s">
        <v>57</v>
      </c>
      <c r="N57" s="32" t="s">
        <v>204</v>
      </c>
      <c r="O57" s="37">
        <v>1154.6400000000001</v>
      </c>
      <c r="P57" s="38" t="str">
        <f t="shared" si="3"/>
        <v>High</v>
      </c>
      <c r="Q57" s="37">
        <v>2794.13</v>
      </c>
      <c r="R57" s="37">
        <v>3.5000000000000003E-2</v>
      </c>
      <c r="S57" s="37">
        <v>11</v>
      </c>
      <c r="T57" s="37">
        <f t="shared" si="0"/>
        <v>4119.0446000000002</v>
      </c>
      <c r="U57" s="32">
        <f t="shared" si="1"/>
        <v>12701.04</v>
      </c>
      <c r="V57" s="37">
        <f t="shared" si="4"/>
        <v>-8581.9953999999998</v>
      </c>
      <c r="W57" s="39">
        <f t="shared" si="5"/>
        <v>-2.0834917398078185</v>
      </c>
    </row>
    <row r="58" spans="1:23" x14ac:dyDescent="0.3">
      <c r="A58" s="40" t="s">
        <v>205</v>
      </c>
      <c r="B58" s="41">
        <v>45643</v>
      </c>
      <c r="C58" s="42">
        <v>45644</v>
      </c>
      <c r="D58" s="43">
        <f t="shared" si="6"/>
        <v>1</v>
      </c>
      <c r="E58" s="43" t="str">
        <f>TEXT(Data!B58,"MMM-YYYY")</f>
        <v>Dec-2024</v>
      </c>
      <c r="F58" s="43" t="str">
        <f t="shared" si="2"/>
        <v>Q4-2024</v>
      </c>
      <c r="G58" s="33" t="s">
        <v>78</v>
      </c>
      <c r="H58" s="33" t="s">
        <v>79</v>
      </c>
      <c r="I58" s="33" t="s">
        <v>159</v>
      </c>
      <c r="J58" s="33" t="s">
        <v>27</v>
      </c>
      <c r="K58" s="33" t="s">
        <v>20</v>
      </c>
      <c r="L58" s="33" t="s">
        <v>49</v>
      </c>
      <c r="M58" s="33" t="s">
        <v>81</v>
      </c>
      <c r="N58" s="33" t="s">
        <v>206</v>
      </c>
      <c r="O58" s="43">
        <v>346.82</v>
      </c>
      <c r="P58" s="44" t="str">
        <f t="shared" si="3"/>
        <v>High</v>
      </c>
      <c r="Q58" s="43">
        <v>701.95</v>
      </c>
      <c r="R58" s="43">
        <v>0.14699999999999999</v>
      </c>
      <c r="S58" s="43">
        <v>8</v>
      </c>
      <c r="T58" s="43">
        <f t="shared" si="0"/>
        <v>304.14567999999997</v>
      </c>
      <c r="U58" s="33">
        <f t="shared" si="1"/>
        <v>2774.56</v>
      </c>
      <c r="V58" s="43">
        <f t="shared" si="4"/>
        <v>-2470.4143199999999</v>
      </c>
      <c r="W58" s="45">
        <f t="shared" si="5"/>
        <v>-8.122470521363315</v>
      </c>
    </row>
    <row r="59" spans="1:23" x14ac:dyDescent="0.3">
      <c r="A59" s="34" t="s">
        <v>207</v>
      </c>
      <c r="B59" s="35">
        <v>45817</v>
      </c>
      <c r="C59" s="36">
        <v>45826</v>
      </c>
      <c r="D59" s="37">
        <f t="shared" si="6"/>
        <v>9</v>
      </c>
      <c r="E59" s="37" t="str">
        <f>TEXT(Data!B59,"MMM-YYYY")</f>
        <v>Jun-2025</v>
      </c>
      <c r="F59" s="37" t="str">
        <f t="shared" si="2"/>
        <v>Q2-2025</v>
      </c>
      <c r="G59" s="32" t="s">
        <v>78</v>
      </c>
      <c r="H59" s="32" t="s">
        <v>90</v>
      </c>
      <c r="I59" s="32" t="s">
        <v>91</v>
      </c>
      <c r="J59" s="32" t="s">
        <v>62</v>
      </c>
      <c r="K59" s="32" t="s">
        <v>40</v>
      </c>
      <c r="L59" s="32" t="s">
        <v>92</v>
      </c>
      <c r="M59" s="32" t="s">
        <v>81</v>
      </c>
      <c r="N59" s="32" t="s">
        <v>208</v>
      </c>
      <c r="O59" s="37">
        <v>1225.5</v>
      </c>
      <c r="P59" s="38" t="str">
        <f t="shared" si="3"/>
        <v>Low</v>
      </c>
      <c r="Q59" s="37">
        <v>-5.27</v>
      </c>
      <c r="R59" s="37">
        <v>7.4999999999999997E-2</v>
      </c>
      <c r="S59" s="37">
        <v>56</v>
      </c>
      <c r="T59" s="37">
        <f t="shared" si="0"/>
        <v>93667.868000000002</v>
      </c>
      <c r="U59" s="32">
        <f t="shared" si="1"/>
        <v>68628</v>
      </c>
      <c r="V59" s="37">
        <f t="shared" si="4"/>
        <v>25039.868000000002</v>
      </c>
      <c r="W59" s="39">
        <f t="shared" si="5"/>
        <v>0.2673261229774121</v>
      </c>
    </row>
    <row r="60" spans="1:23" x14ac:dyDescent="0.3">
      <c r="A60" s="40" t="s">
        <v>209</v>
      </c>
      <c r="B60" s="41">
        <v>45779</v>
      </c>
      <c r="C60" s="42">
        <v>45790</v>
      </c>
      <c r="D60" s="43">
        <f t="shared" si="6"/>
        <v>11</v>
      </c>
      <c r="E60" s="43" t="str">
        <f>TEXT(Data!B60,"MMM-YYYY")</f>
        <v>May-2025</v>
      </c>
      <c r="F60" s="43" t="str">
        <f t="shared" si="2"/>
        <v>Q2-2025</v>
      </c>
      <c r="G60" s="33" t="s">
        <v>16</v>
      </c>
      <c r="H60" s="33" t="s">
        <v>17</v>
      </c>
      <c r="I60" s="33" t="s">
        <v>135</v>
      </c>
      <c r="J60" s="33" t="s">
        <v>62</v>
      </c>
      <c r="K60" s="33" t="s">
        <v>28</v>
      </c>
      <c r="L60" s="33" t="s">
        <v>75</v>
      </c>
      <c r="M60" s="33" t="s">
        <v>81</v>
      </c>
      <c r="N60" s="33" t="s">
        <v>210</v>
      </c>
      <c r="O60" s="43">
        <v>1057.5999999999999</v>
      </c>
      <c r="P60" s="44" t="str">
        <f t="shared" si="3"/>
        <v>High</v>
      </c>
      <c r="Q60" s="43">
        <v>1437.06</v>
      </c>
      <c r="R60" s="43">
        <v>0.20499999999999999</v>
      </c>
      <c r="S60" s="43">
        <v>4</v>
      </c>
      <c r="T60" s="43">
        <f t="shared" si="0"/>
        <v>4086.5861999999997</v>
      </c>
      <c r="U60" s="33">
        <f t="shared" si="1"/>
        <v>4230.3999999999996</v>
      </c>
      <c r="V60" s="43">
        <f t="shared" si="4"/>
        <v>-143.8137999999999</v>
      </c>
      <c r="W60" s="45">
        <f t="shared" si="5"/>
        <v>-3.5191671718560573E-2</v>
      </c>
    </row>
    <row r="61" spans="1:23" x14ac:dyDescent="0.3">
      <c r="A61" s="34" t="s">
        <v>211</v>
      </c>
      <c r="B61" s="35">
        <v>45361</v>
      </c>
      <c r="C61" s="36">
        <v>45391</v>
      </c>
      <c r="D61" s="37">
        <f t="shared" si="6"/>
        <v>30</v>
      </c>
      <c r="E61" s="37" t="str">
        <f>TEXT(Data!B61,"MMM-YYYY")</f>
        <v>Mar-2024</v>
      </c>
      <c r="F61" s="37" t="str">
        <f t="shared" si="2"/>
        <v>Q1-2024</v>
      </c>
      <c r="G61" s="32" t="s">
        <v>78</v>
      </c>
      <c r="H61" s="32" t="s">
        <v>90</v>
      </c>
      <c r="I61" s="32" t="s">
        <v>138</v>
      </c>
      <c r="J61" s="32" t="s">
        <v>19</v>
      </c>
      <c r="K61" s="32" t="s">
        <v>98</v>
      </c>
      <c r="L61" s="32" t="s">
        <v>34</v>
      </c>
      <c r="M61" s="32" t="s">
        <v>22</v>
      </c>
      <c r="N61" s="32" t="s">
        <v>212</v>
      </c>
      <c r="O61" s="37">
        <v>1176.56</v>
      </c>
      <c r="P61" s="38" t="str">
        <f t="shared" si="3"/>
        <v>High</v>
      </c>
      <c r="Q61" s="37">
        <v>1911.89</v>
      </c>
      <c r="R61" s="37">
        <v>0.11899999999999999</v>
      </c>
      <c r="S61" s="37">
        <v>20</v>
      </c>
      <c r="T61" s="37">
        <f t="shared" si="0"/>
        <v>29568.826800000003</v>
      </c>
      <c r="U61" s="32">
        <f t="shared" si="1"/>
        <v>23531.199999999997</v>
      </c>
      <c r="V61" s="37">
        <f t="shared" si="4"/>
        <v>6037.6268000000055</v>
      </c>
      <c r="W61" s="39">
        <f t="shared" si="5"/>
        <v>0.20418891966319086</v>
      </c>
    </row>
    <row r="62" spans="1:23" x14ac:dyDescent="0.3">
      <c r="A62" s="40" t="s">
        <v>213</v>
      </c>
      <c r="B62" s="41">
        <v>45910</v>
      </c>
      <c r="C62" s="42">
        <v>45912</v>
      </c>
      <c r="D62" s="43">
        <f t="shared" si="6"/>
        <v>2</v>
      </c>
      <c r="E62" s="43" t="str">
        <f>TEXT(Data!B62,"MMM-YYYY")</f>
        <v>Sep-2025</v>
      </c>
      <c r="F62" s="43" t="str">
        <f t="shared" si="2"/>
        <v>Q3-2025</v>
      </c>
      <c r="G62" s="33" t="s">
        <v>45</v>
      </c>
      <c r="H62" s="33" t="s">
        <v>46</v>
      </c>
      <c r="I62" s="33" t="s">
        <v>214</v>
      </c>
      <c r="J62" s="33" t="s">
        <v>48</v>
      </c>
      <c r="K62" s="33" t="s">
        <v>28</v>
      </c>
      <c r="L62" s="33" t="s">
        <v>68</v>
      </c>
      <c r="M62" s="33" t="s">
        <v>22</v>
      </c>
      <c r="N62" s="33" t="s">
        <v>215</v>
      </c>
      <c r="O62" s="43">
        <v>1470.15</v>
      </c>
      <c r="P62" s="44" t="str">
        <f t="shared" si="3"/>
        <v>High</v>
      </c>
      <c r="Q62" s="43">
        <v>2593.7800000000002</v>
      </c>
      <c r="R62" s="43">
        <v>0.11</v>
      </c>
      <c r="S62" s="43">
        <v>12</v>
      </c>
      <c r="T62" s="43">
        <f t="shared" si="0"/>
        <v>7255.4580000000005</v>
      </c>
      <c r="U62" s="33">
        <f t="shared" si="1"/>
        <v>17641.800000000003</v>
      </c>
      <c r="V62" s="43">
        <f t="shared" si="4"/>
        <v>-10386.342000000002</v>
      </c>
      <c r="W62" s="45">
        <f t="shared" si="5"/>
        <v>-1.4315212078961799</v>
      </c>
    </row>
    <row r="63" spans="1:23" x14ac:dyDescent="0.3">
      <c r="A63" s="34" t="s">
        <v>216</v>
      </c>
      <c r="B63" s="35">
        <v>45774</v>
      </c>
      <c r="C63" s="36">
        <v>45802</v>
      </c>
      <c r="D63" s="37">
        <f t="shared" si="6"/>
        <v>28</v>
      </c>
      <c r="E63" s="37" t="str">
        <f>TEXT(Data!B63,"MMM-YYYY")</f>
        <v>Apr-2025</v>
      </c>
      <c r="F63" s="37" t="str">
        <f t="shared" si="2"/>
        <v>Q2-2025</v>
      </c>
      <c r="G63" s="32" t="s">
        <v>78</v>
      </c>
      <c r="H63" s="32" t="s">
        <v>90</v>
      </c>
      <c r="I63" s="32" t="s">
        <v>217</v>
      </c>
      <c r="J63" s="32" t="s">
        <v>62</v>
      </c>
      <c r="K63" s="32" t="s">
        <v>40</v>
      </c>
      <c r="L63" s="32" t="s">
        <v>34</v>
      </c>
      <c r="M63" s="32" t="s">
        <v>42</v>
      </c>
      <c r="N63" s="32" t="s">
        <v>218</v>
      </c>
      <c r="O63" s="37">
        <v>603.45000000000005</v>
      </c>
      <c r="P63" s="38" t="str">
        <f t="shared" si="3"/>
        <v>High</v>
      </c>
      <c r="Q63" s="37">
        <v>1244.08</v>
      </c>
      <c r="R63" s="37">
        <v>0.2</v>
      </c>
      <c r="S63" s="37">
        <v>11</v>
      </c>
      <c r="T63" s="37">
        <f t="shared" si="0"/>
        <v>9767.2960000000003</v>
      </c>
      <c r="U63" s="32">
        <f t="shared" si="1"/>
        <v>6637.9500000000007</v>
      </c>
      <c r="V63" s="37">
        <f t="shared" si="4"/>
        <v>3129.3459999999995</v>
      </c>
      <c r="W63" s="39">
        <f t="shared" si="5"/>
        <v>0.32039020830330106</v>
      </c>
    </row>
    <row r="64" spans="1:23" x14ac:dyDescent="0.3">
      <c r="A64" s="40" t="s">
        <v>219</v>
      </c>
      <c r="B64" s="41">
        <v>45598</v>
      </c>
      <c r="C64" s="42">
        <v>45614</v>
      </c>
      <c r="D64" s="43">
        <f t="shared" si="6"/>
        <v>16</v>
      </c>
      <c r="E64" s="43" t="str">
        <f>TEXT(Data!B64,"MMM-YYYY")</f>
        <v>Nov-2024</v>
      </c>
      <c r="F64" s="43" t="str">
        <f t="shared" si="2"/>
        <v>Q4-2024</v>
      </c>
      <c r="G64" s="33" t="s">
        <v>45</v>
      </c>
      <c r="H64" s="33" t="s">
        <v>60</v>
      </c>
      <c r="I64" s="33" t="s">
        <v>220</v>
      </c>
      <c r="J64" s="33" t="s">
        <v>62</v>
      </c>
      <c r="K64" s="33" t="s">
        <v>55</v>
      </c>
      <c r="L64" s="33" t="s">
        <v>68</v>
      </c>
      <c r="M64" s="33" t="s">
        <v>64</v>
      </c>
      <c r="N64" s="33" t="s">
        <v>221</v>
      </c>
      <c r="O64" s="43">
        <v>1233.58</v>
      </c>
      <c r="P64" s="44" t="str">
        <f t="shared" si="3"/>
        <v>High</v>
      </c>
      <c r="Q64" s="43">
        <v>1912.51</v>
      </c>
      <c r="R64" s="43">
        <v>0.255</v>
      </c>
      <c r="S64" s="43">
        <v>51</v>
      </c>
      <c r="T64" s="43">
        <f t="shared" si="0"/>
        <v>3175.2421499999996</v>
      </c>
      <c r="U64" s="33">
        <f t="shared" si="1"/>
        <v>62912.579999999994</v>
      </c>
      <c r="V64" s="43">
        <f t="shared" si="4"/>
        <v>-59737.337849999996</v>
      </c>
      <c r="W64" s="45">
        <f t="shared" si="5"/>
        <v>-18.813474698299782</v>
      </c>
    </row>
    <row r="65" spans="1:23" x14ac:dyDescent="0.3">
      <c r="A65" s="34" t="s">
        <v>222</v>
      </c>
      <c r="B65" s="35">
        <v>44972</v>
      </c>
      <c r="C65" s="36">
        <v>44983</v>
      </c>
      <c r="D65" s="37">
        <f t="shared" si="6"/>
        <v>11</v>
      </c>
      <c r="E65" s="37" t="str">
        <f>TEXT(Data!B65,"MMM-YYYY")</f>
        <v>Feb-2023</v>
      </c>
      <c r="F65" s="37" t="str">
        <f t="shared" si="2"/>
        <v>Q1-2023</v>
      </c>
      <c r="G65" s="32" t="s">
        <v>16</v>
      </c>
      <c r="H65" s="32" t="s">
        <v>148</v>
      </c>
      <c r="I65" s="32" t="s">
        <v>149</v>
      </c>
      <c r="J65" s="32" t="s">
        <v>39</v>
      </c>
      <c r="K65" s="32" t="s">
        <v>20</v>
      </c>
      <c r="L65" s="32" t="s">
        <v>95</v>
      </c>
      <c r="M65" s="32" t="s">
        <v>57</v>
      </c>
      <c r="N65" s="32" t="s">
        <v>223</v>
      </c>
      <c r="O65" s="37">
        <v>498.5</v>
      </c>
      <c r="P65" s="38" t="str">
        <f t="shared" si="3"/>
        <v>High</v>
      </c>
      <c r="Q65" s="37">
        <v>755.87</v>
      </c>
      <c r="R65" s="37">
        <v>0.13</v>
      </c>
      <c r="S65" s="37">
        <v>40</v>
      </c>
      <c r="T65" s="37">
        <f t="shared" ref="T65:T128" si="7">(Q91*S65)*(1-R65)</f>
        <v>44693.64</v>
      </c>
      <c r="U65" s="32">
        <f t="shared" ref="U65:U128" si="8">(O65*S65)</f>
        <v>19940</v>
      </c>
      <c r="V65" s="37">
        <f t="shared" si="4"/>
        <v>24753.64</v>
      </c>
      <c r="W65" s="39">
        <f t="shared" si="5"/>
        <v>0.55385150996875621</v>
      </c>
    </row>
    <row r="66" spans="1:23" x14ac:dyDescent="0.3">
      <c r="A66" s="40" t="s">
        <v>224</v>
      </c>
      <c r="B66" s="41">
        <v>45263</v>
      </c>
      <c r="C66" s="42">
        <v>45286</v>
      </c>
      <c r="D66" s="43">
        <f t="shared" si="6"/>
        <v>23</v>
      </c>
      <c r="E66" s="43" t="str">
        <f>TEXT(Data!B66,"MMM-YYYY")</f>
        <v>Dec-2023</v>
      </c>
      <c r="F66" s="43" t="str">
        <f t="shared" ref="F66:F129" si="9">"Q"&amp;ROUNDUP(MONTH(B66)/3,0)&amp;"-"&amp;YEAR(B66)</f>
        <v>Q4-2023</v>
      </c>
      <c r="G66" s="33" t="s">
        <v>52</v>
      </c>
      <c r="H66" s="33" t="s">
        <v>73</v>
      </c>
      <c r="I66" s="33" t="s">
        <v>225</v>
      </c>
      <c r="J66" s="33" t="s">
        <v>27</v>
      </c>
      <c r="K66" s="33" t="s">
        <v>20</v>
      </c>
      <c r="L66" s="33" t="s">
        <v>68</v>
      </c>
      <c r="M66" s="33" t="s">
        <v>42</v>
      </c>
      <c r="N66" s="33" t="s">
        <v>226</v>
      </c>
      <c r="O66" s="43">
        <v>1303.1099999999999</v>
      </c>
      <c r="P66" s="44" t="str">
        <f t="shared" ref="P66:P129" si="10">IF(Q66&lt;50, "Low", IF(Q66&lt;200, "Medium", "High"))</f>
        <v>High</v>
      </c>
      <c r="Q66" s="43">
        <v>1145.67</v>
      </c>
      <c r="R66" s="43">
        <v>0.184</v>
      </c>
      <c r="S66" s="43">
        <v>13</v>
      </c>
      <c r="T66" s="43">
        <f t="shared" si="7"/>
        <v>9671.5257600000004</v>
      </c>
      <c r="U66" s="33">
        <f t="shared" si="8"/>
        <v>16940.43</v>
      </c>
      <c r="V66" s="43">
        <f t="shared" ref="V66:V129" si="11">(T66-U66)</f>
        <v>-7268.9042399999998</v>
      </c>
      <c r="W66" s="45">
        <f t="shared" ref="W66:W129" si="12">IF(T66=0, 0, V66/T66)</f>
        <v>-0.75157781929952694</v>
      </c>
    </row>
    <row r="67" spans="1:23" x14ac:dyDescent="0.3">
      <c r="A67" s="34" t="s">
        <v>227</v>
      </c>
      <c r="B67" s="35">
        <v>45004</v>
      </c>
      <c r="C67" s="36">
        <v>45025</v>
      </c>
      <c r="D67" s="37">
        <f t="shared" ref="D67:D130" si="13">DATEDIF(B67,C67, "MD")</f>
        <v>21</v>
      </c>
      <c r="E67" s="37" t="str">
        <f>TEXT(Data!B67,"MMM-YYYY")</f>
        <v>Mar-2023</v>
      </c>
      <c r="F67" s="37" t="str">
        <f t="shared" si="9"/>
        <v>Q1-2023</v>
      </c>
      <c r="G67" s="32" t="s">
        <v>78</v>
      </c>
      <c r="H67" s="32" t="s">
        <v>108</v>
      </c>
      <c r="I67" s="32" t="s">
        <v>228</v>
      </c>
      <c r="J67" s="32" t="s">
        <v>48</v>
      </c>
      <c r="K67" s="32" t="s">
        <v>20</v>
      </c>
      <c r="L67" s="32" t="s">
        <v>49</v>
      </c>
      <c r="M67" s="32" t="s">
        <v>81</v>
      </c>
      <c r="N67" s="32" t="s">
        <v>229</v>
      </c>
      <c r="O67" s="37">
        <v>1082.17</v>
      </c>
      <c r="P67" s="38" t="str">
        <f t="shared" si="10"/>
        <v>High</v>
      </c>
      <c r="Q67" s="37">
        <v>1234.0999999999999</v>
      </c>
      <c r="R67" s="37">
        <v>0.189</v>
      </c>
      <c r="S67" s="37">
        <v>16</v>
      </c>
      <c r="T67" s="37">
        <f t="shared" si="7"/>
        <v>18232.188319999997</v>
      </c>
      <c r="U67" s="32">
        <f t="shared" si="8"/>
        <v>17314.72</v>
      </c>
      <c r="V67" s="37">
        <f t="shared" si="11"/>
        <v>917.46831999999631</v>
      </c>
      <c r="W67" s="39">
        <f t="shared" si="12"/>
        <v>5.0321349467061474E-2</v>
      </c>
    </row>
    <row r="68" spans="1:23" x14ac:dyDescent="0.3">
      <c r="A68" s="40" t="s">
        <v>230</v>
      </c>
      <c r="B68" s="41">
        <v>45434</v>
      </c>
      <c r="C68" s="42">
        <v>45449</v>
      </c>
      <c r="D68" s="43">
        <f t="shared" si="13"/>
        <v>15</v>
      </c>
      <c r="E68" s="43" t="str">
        <f>TEXT(Data!B68,"MMM-YYYY")</f>
        <v>May-2024</v>
      </c>
      <c r="F68" s="43" t="str">
        <f t="shared" si="9"/>
        <v>Q2-2024</v>
      </c>
      <c r="G68" s="33" t="s">
        <v>45</v>
      </c>
      <c r="H68" s="33" t="s">
        <v>46</v>
      </c>
      <c r="I68" s="33" t="s">
        <v>231</v>
      </c>
      <c r="J68" s="33" t="s">
        <v>19</v>
      </c>
      <c r="K68" s="33" t="s">
        <v>55</v>
      </c>
      <c r="L68" s="33" t="s">
        <v>21</v>
      </c>
      <c r="M68" s="33" t="s">
        <v>64</v>
      </c>
      <c r="N68" s="33" t="s">
        <v>232</v>
      </c>
      <c r="O68" s="43">
        <v>673.88</v>
      </c>
      <c r="P68" s="44" t="str">
        <f t="shared" si="10"/>
        <v>High</v>
      </c>
      <c r="Q68" s="43">
        <v>1228.01</v>
      </c>
      <c r="R68" s="43">
        <v>0.105</v>
      </c>
      <c r="S68" s="43">
        <v>13</v>
      </c>
      <c r="T68" s="43">
        <f t="shared" si="7"/>
        <v>11273.616900000001</v>
      </c>
      <c r="U68" s="33">
        <f t="shared" si="8"/>
        <v>8760.44</v>
      </c>
      <c r="V68" s="43">
        <f t="shared" si="11"/>
        <v>2513.1769000000004</v>
      </c>
      <c r="W68" s="45">
        <f t="shared" si="12"/>
        <v>0.22292551913840536</v>
      </c>
    </row>
    <row r="69" spans="1:23" x14ac:dyDescent="0.3">
      <c r="A69" s="34" t="s">
        <v>233</v>
      </c>
      <c r="B69" s="35">
        <v>45157</v>
      </c>
      <c r="C69" s="36">
        <v>45176</v>
      </c>
      <c r="D69" s="37">
        <f t="shared" si="13"/>
        <v>19</v>
      </c>
      <c r="E69" s="37" t="str">
        <f>TEXT(Data!B69,"MMM-YYYY")</f>
        <v>Aug-2023</v>
      </c>
      <c r="F69" s="37" t="str">
        <f t="shared" si="9"/>
        <v>Q3-2023</v>
      </c>
      <c r="G69" s="32" t="s">
        <v>16</v>
      </c>
      <c r="H69" s="32" t="s">
        <v>148</v>
      </c>
      <c r="I69" s="32" t="s">
        <v>149</v>
      </c>
      <c r="J69" s="32" t="s">
        <v>105</v>
      </c>
      <c r="K69" s="32" t="s">
        <v>20</v>
      </c>
      <c r="L69" s="32" t="s">
        <v>145</v>
      </c>
      <c r="M69" s="32" t="s">
        <v>64</v>
      </c>
      <c r="N69" s="32" t="s">
        <v>234</v>
      </c>
      <c r="O69" s="37">
        <v>494.61</v>
      </c>
      <c r="P69" s="38" t="str">
        <f t="shared" si="10"/>
        <v>High</v>
      </c>
      <c r="Q69" s="37">
        <v>605.23</v>
      </c>
      <c r="R69" s="37">
        <v>0.20399999999999999</v>
      </c>
      <c r="S69" s="37">
        <v>18</v>
      </c>
      <c r="T69" s="37">
        <f t="shared" si="7"/>
        <v>15600.46968</v>
      </c>
      <c r="U69" s="32">
        <f t="shared" si="8"/>
        <v>8902.98</v>
      </c>
      <c r="V69" s="37">
        <f t="shared" si="11"/>
        <v>6697.4896800000006</v>
      </c>
      <c r="W69" s="39">
        <f t="shared" si="12"/>
        <v>0.42931333590464055</v>
      </c>
    </row>
    <row r="70" spans="1:23" x14ac:dyDescent="0.3">
      <c r="A70" s="40" t="s">
        <v>235</v>
      </c>
      <c r="B70" s="41">
        <v>45037</v>
      </c>
      <c r="C70" s="42">
        <v>45056</v>
      </c>
      <c r="D70" s="43">
        <f t="shared" si="13"/>
        <v>19</v>
      </c>
      <c r="E70" s="43" t="str">
        <f>TEXT(Data!B70,"MMM-YYYY")</f>
        <v>Apr-2023</v>
      </c>
      <c r="F70" s="43" t="str">
        <f t="shared" si="9"/>
        <v>Q2-2023</v>
      </c>
      <c r="G70" s="33" t="s">
        <v>45</v>
      </c>
      <c r="H70" s="33" t="s">
        <v>116</v>
      </c>
      <c r="I70" s="33" t="s">
        <v>162</v>
      </c>
      <c r="J70" s="33" t="s">
        <v>19</v>
      </c>
      <c r="K70" s="33" t="s">
        <v>20</v>
      </c>
      <c r="L70" s="33" t="s">
        <v>75</v>
      </c>
      <c r="M70" s="33" t="s">
        <v>22</v>
      </c>
      <c r="N70" s="33" t="s">
        <v>236</v>
      </c>
      <c r="O70" s="43">
        <v>882.33</v>
      </c>
      <c r="P70" s="44" t="str">
        <f t="shared" si="10"/>
        <v>High</v>
      </c>
      <c r="Q70" s="43">
        <v>1880.15</v>
      </c>
      <c r="R70" s="43">
        <v>0.05</v>
      </c>
      <c r="S70" s="43">
        <v>5</v>
      </c>
      <c r="T70" s="43">
        <f t="shared" si="7"/>
        <v>11803.702499999998</v>
      </c>
      <c r="U70" s="33">
        <f t="shared" si="8"/>
        <v>4411.6500000000005</v>
      </c>
      <c r="V70" s="43">
        <f t="shared" si="11"/>
        <v>7392.0524999999971</v>
      </c>
      <c r="W70" s="45">
        <f t="shared" si="12"/>
        <v>0.6262486283435218</v>
      </c>
    </row>
    <row r="71" spans="1:23" x14ac:dyDescent="0.3">
      <c r="A71" s="34" t="s">
        <v>237</v>
      </c>
      <c r="B71" s="35">
        <v>45369</v>
      </c>
      <c r="C71" s="36">
        <v>45372</v>
      </c>
      <c r="D71" s="37">
        <f t="shared" si="13"/>
        <v>3</v>
      </c>
      <c r="E71" s="37" t="str">
        <f>TEXT(Data!B71,"MMM-YYYY")</f>
        <v>Mar-2024</v>
      </c>
      <c r="F71" s="37" t="str">
        <f t="shared" si="9"/>
        <v>Q1-2024</v>
      </c>
      <c r="G71" s="32" t="s">
        <v>78</v>
      </c>
      <c r="H71" s="32" t="s">
        <v>79</v>
      </c>
      <c r="I71" s="32" t="s">
        <v>159</v>
      </c>
      <c r="J71" s="32" t="s">
        <v>62</v>
      </c>
      <c r="K71" s="32" t="s">
        <v>28</v>
      </c>
      <c r="L71" s="32" t="s">
        <v>110</v>
      </c>
      <c r="M71" s="32" t="s">
        <v>81</v>
      </c>
      <c r="N71" s="32" t="s">
        <v>238</v>
      </c>
      <c r="O71" s="37">
        <v>910.63</v>
      </c>
      <c r="P71" s="38" t="str">
        <f t="shared" si="10"/>
        <v>High</v>
      </c>
      <c r="Q71" s="37">
        <v>1269.4000000000001</v>
      </c>
      <c r="R71" s="37">
        <v>6.8000000000000005E-2</v>
      </c>
      <c r="S71" s="37">
        <v>9</v>
      </c>
      <c r="T71" s="37">
        <f t="shared" si="7"/>
        <v>240.65172000000001</v>
      </c>
      <c r="U71" s="32">
        <f t="shared" si="8"/>
        <v>8195.67</v>
      </c>
      <c r="V71" s="37">
        <f t="shared" si="11"/>
        <v>-7955.0182800000002</v>
      </c>
      <c r="W71" s="39">
        <f t="shared" si="12"/>
        <v>-33.05614553679483</v>
      </c>
    </row>
    <row r="72" spans="1:23" x14ac:dyDescent="0.3">
      <c r="A72" s="40" t="s">
        <v>239</v>
      </c>
      <c r="B72" s="41">
        <v>45756</v>
      </c>
      <c r="C72" s="42">
        <v>45783</v>
      </c>
      <c r="D72" s="43">
        <f t="shared" si="13"/>
        <v>27</v>
      </c>
      <c r="E72" s="43" t="str">
        <f>TEXT(Data!B72,"MMM-YYYY")</f>
        <v>Apr-2025</v>
      </c>
      <c r="F72" s="43" t="str">
        <f t="shared" si="9"/>
        <v>Q2-2025</v>
      </c>
      <c r="G72" s="33" t="s">
        <v>52</v>
      </c>
      <c r="H72" s="33" t="s">
        <v>73</v>
      </c>
      <c r="I72" s="33" t="s">
        <v>87</v>
      </c>
      <c r="J72" s="33" t="s">
        <v>105</v>
      </c>
      <c r="K72" s="33" t="s">
        <v>40</v>
      </c>
      <c r="L72" s="33" t="s">
        <v>84</v>
      </c>
      <c r="M72" s="33" t="s">
        <v>57</v>
      </c>
      <c r="N72" s="33" t="s">
        <v>240</v>
      </c>
      <c r="O72" s="43">
        <v>264.19</v>
      </c>
      <c r="P72" s="44" t="str">
        <f t="shared" si="10"/>
        <v>High</v>
      </c>
      <c r="Q72" s="43">
        <v>620.92999999999995</v>
      </c>
      <c r="R72" s="43">
        <v>0.14199999999999999</v>
      </c>
      <c r="S72" s="43">
        <v>12</v>
      </c>
      <c r="T72" s="43">
        <f t="shared" si="7"/>
        <v>19527.59952</v>
      </c>
      <c r="U72" s="33">
        <f t="shared" si="8"/>
        <v>3170.2799999999997</v>
      </c>
      <c r="V72" s="43">
        <f t="shared" si="11"/>
        <v>16357.319520000001</v>
      </c>
      <c r="W72" s="45">
        <f t="shared" si="12"/>
        <v>0.83765132028885447</v>
      </c>
    </row>
    <row r="73" spans="1:23" x14ac:dyDescent="0.3">
      <c r="A73" s="34" t="s">
        <v>241</v>
      </c>
      <c r="B73" s="35">
        <v>45394</v>
      </c>
      <c r="C73" s="36">
        <v>45419</v>
      </c>
      <c r="D73" s="37">
        <f t="shared" si="13"/>
        <v>25</v>
      </c>
      <c r="E73" s="37" t="str">
        <f>TEXT(Data!B73,"MMM-YYYY")</f>
        <v>Apr-2024</v>
      </c>
      <c r="F73" s="37" t="str">
        <f t="shared" si="9"/>
        <v>Q2-2024</v>
      </c>
      <c r="G73" s="32" t="s">
        <v>16</v>
      </c>
      <c r="H73" s="32" t="s">
        <v>148</v>
      </c>
      <c r="I73" s="32" t="s">
        <v>149</v>
      </c>
      <c r="J73" s="32" t="s">
        <v>27</v>
      </c>
      <c r="K73" s="32" t="s">
        <v>55</v>
      </c>
      <c r="L73" s="32" t="s">
        <v>75</v>
      </c>
      <c r="M73" s="32" t="s">
        <v>57</v>
      </c>
      <c r="N73" s="32" t="s">
        <v>242</v>
      </c>
      <c r="O73" s="37">
        <v>1376.51</v>
      </c>
      <c r="P73" s="38" t="str">
        <f t="shared" si="10"/>
        <v>High</v>
      </c>
      <c r="Q73" s="37">
        <v>1455.91</v>
      </c>
      <c r="R73" s="37">
        <v>0.185</v>
      </c>
      <c r="S73" s="37">
        <v>17</v>
      </c>
      <c r="T73" s="37">
        <f t="shared" si="7"/>
        <v>5807.6003499999997</v>
      </c>
      <c r="U73" s="32">
        <f t="shared" si="8"/>
        <v>23400.67</v>
      </c>
      <c r="V73" s="37">
        <f t="shared" si="11"/>
        <v>-17593.069649999998</v>
      </c>
      <c r="W73" s="39">
        <f t="shared" si="12"/>
        <v>-3.0293182364037841</v>
      </c>
    </row>
    <row r="74" spans="1:23" x14ac:dyDescent="0.3">
      <c r="A74" s="40" t="s">
        <v>243</v>
      </c>
      <c r="B74" s="41">
        <v>45641</v>
      </c>
      <c r="C74" s="42">
        <v>45646</v>
      </c>
      <c r="D74" s="43">
        <f t="shared" si="13"/>
        <v>5</v>
      </c>
      <c r="E74" s="43" t="str">
        <f>TEXT(Data!B74,"MMM-YYYY")</f>
        <v>Dec-2024</v>
      </c>
      <c r="F74" s="43" t="str">
        <f t="shared" si="9"/>
        <v>Q4-2024</v>
      </c>
      <c r="G74" s="33" t="s">
        <v>45</v>
      </c>
      <c r="H74" s="33" t="s">
        <v>116</v>
      </c>
      <c r="I74" s="33" t="s">
        <v>117</v>
      </c>
      <c r="J74" s="33" t="s">
        <v>62</v>
      </c>
      <c r="K74" s="33" t="s">
        <v>98</v>
      </c>
      <c r="L74" s="33" t="s">
        <v>29</v>
      </c>
      <c r="M74" s="33" t="s">
        <v>35</v>
      </c>
      <c r="N74" s="33" t="s">
        <v>244</v>
      </c>
      <c r="O74" s="43">
        <v>717.55</v>
      </c>
      <c r="P74" s="44" t="str">
        <f t="shared" si="10"/>
        <v>High</v>
      </c>
      <c r="Q74" s="43">
        <v>546.42999999999995</v>
      </c>
      <c r="R74" s="43">
        <v>4.7E-2</v>
      </c>
      <c r="S74" s="43">
        <v>18</v>
      </c>
      <c r="T74" s="43">
        <f t="shared" si="7"/>
        <v>34328.070179999995</v>
      </c>
      <c r="U74" s="33">
        <f t="shared" si="8"/>
        <v>12915.9</v>
      </c>
      <c r="V74" s="43">
        <f t="shared" si="11"/>
        <v>21412.170179999994</v>
      </c>
      <c r="W74" s="45">
        <f t="shared" si="12"/>
        <v>0.62375106050893059</v>
      </c>
    </row>
    <row r="75" spans="1:23" x14ac:dyDescent="0.3">
      <c r="A75" s="34" t="s">
        <v>245</v>
      </c>
      <c r="B75" s="35">
        <v>45066</v>
      </c>
      <c r="C75" s="36">
        <v>45064</v>
      </c>
      <c r="D75" s="37">
        <f>DATEDIF(C75,B75, "MD")</f>
        <v>2</v>
      </c>
      <c r="E75" s="37" t="str">
        <f>TEXT(Data!B75,"MMM-YYYY")</f>
        <v>May-2023</v>
      </c>
      <c r="F75" s="37" t="str">
        <f t="shared" si="9"/>
        <v>Q2-2023</v>
      </c>
      <c r="G75" s="32" t="s">
        <v>16</v>
      </c>
      <c r="H75" s="32" t="s">
        <v>148</v>
      </c>
      <c r="I75" s="32" t="s">
        <v>172</v>
      </c>
      <c r="J75" s="32" t="s">
        <v>19</v>
      </c>
      <c r="K75" s="32" t="s">
        <v>55</v>
      </c>
      <c r="L75" s="32" t="s">
        <v>75</v>
      </c>
      <c r="M75" s="32" t="s">
        <v>22</v>
      </c>
      <c r="N75" s="32" t="s">
        <v>246</v>
      </c>
      <c r="O75" s="37">
        <v>917.88</v>
      </c>
      <c r="P75" s="38" t="str">
        <f t="shared" si="10"/>
        <v>High</v>
      </c>
      <c r="Q75" s="37">
        <v>1347.92</v>
      </c>
      <c r="R75" s="37">
        <v>0.34300000000000003</v>
      </c>
      <c r="S75" s="37">
        <v>5</v>
      </c>
      <c r="T75" s="37">
        <f t="shared" si="7"/>
        <v>10198.97235</v>
      </c>
      <c r="U75" s="32">
        <f t="shared" si="8"/>
        <v>4589.3999999999996</v>
      </c>
      <c r="V75" s="37">
        <f t="shared" si="11"/>
        <v>5609.5723500000004</v>
      </c>
      <c r="W75" s="39">
        <f t="shared" si="12"/>
        <v>0.55001348738826616</v>
      </c>
    </row>
    <row r="76" spans="1:23" x14ac:dyDescent="0.3">
      <c r="A76" s="40" t="s">
        <v>247</v>
      </c>
      <c r="B76" s="41">
        <v>45187</v>
      </c>
      <c r="C76" s="42">
        <v>45207</v>
      </c>
      <c r="D76" s="43">
        <f t="shared" si="13"/>
        <v>20</v>
      </c>
      <c r="E76" s="43" t="str">
        <f>TEXT(Data!B76,"MMM-YYYY")</f>
        <v>Sep-2023</v>
      </c>
      <c r="F76" s="43" t="str">
        <f t="shared" si="9"/>
        <v>Q3-2023</v>
      </c>
      <c r="G76" s="33" t="s">
        <v>45</v>
      </c>
      <c r="H76" s="33" t="s">
        <v>60</v>
      </c>
      <c r="I76" s="33" t="s">
        <v>141</v>
      </c>
      <c r="J76" s="33" t="s">
        <v>62</v>
      </c>
      <c r="K76" s="33" t="s">
        <v>98</v>
      </c>
      <c r="L76" s="33" t="s">
        <v>56</v>
      </c>
      <c r="M76" s="33" t="s">
        <v>22</v>
      </c>
      <c r="N76" s="33" t="s">
        <v>248</v>
      </c>
      <c r="O76" s="43">
        <v>825.64</v>
      </c>
      <c r="P76" s="44" t="str">
        <f t="shared" si="10"/>
        <v>High</v>
      </c>
      <c r="Q76" s="43">
        <v>1108.43</v>
      </c>
      <c r="R76" s="43">
        <v>0.114</v>
      </c>
      <c r="S76" s="43">
        <v>7</v>
      </c>
      <c r="T76" s="43">
        <f t="shared" si="7"/>
        <v>2073.2045600000001</v>
      </c>
      <c r="U76" s="33">
        <f t="shared" si="8"/>
        <v>5779.48</v>
      </c>
      <c r="V76" s="43">
        <f t="shared" si="11"/>
        <v>-3706.2754399999994</v>
      </c>
      <c r="W76" s="45">
        <f t="shared" si="12"/>
        <v>-1.7877036890175464</v>
      </c>
    </row>
    <row r="77" spans="1:23" x14ac:dyDescent="0.3">
      <c r="A77" s="34" t="s">
        <v>249</v>
      </c>
      <c r="B77" s="35">
        <v>45532</v>
      </c>
      <c r="C77" s="36">
        <v>45560</v>
      </c>
      <c r="D77" s="37">
        <f t="shared" si="13"/>
        <v>28</v>
      </c>
      <c r="E77" s="37" t="str">
        <f>TEXT(Data!B77,"MMM-YYYY")</f>
        <v>Aug-2024</v>
      </c>
      <c r="F77" s="37" t="str">
        <f t="shared" si="9"/>
        <v>Q3-2024</v>
      </c>
      <c r="G77" s="32" t="s">
        <v>52</v>
      </c>
      <c r="H77" s="32" t="s">
        <v>73</v>
      </c>
      <c r="I77" s="32" t="s">
        <v>225</v>
      </c>
      <c r="J77" s="32" t="s">
        <v>39</v>
      </c>
      <c r="K77" s="32" t="s">
        <v>28</v>
      </c>
      <c r="L77" s="32" t="s">
        <v>1364</v>
      </c>
      <c r="M77" s="32" t="s">
        <v>81</v>
      </c>
      <c r="N77" s="32" t="s">
        <v>250</v>
      </c>
      <c r="O77" s="37">
        <v>1394.65</v>
      </c>
      <c r="P77" s="38" t="str">
        <f t="shared" si="10"/>
        <v>High</v>
      </c>
      <c r="Q77" s="37">
        <v>3144.1</v>
      </c>
      <c r="R77" s="37">
        <v>0.13400000000000001</v>
      </c>
      <c r="S77" s="37">
        <v>13</v>
      </c>
      <c r="T77" s="37">
        <f t="shared" si="7"/>
        <v>21984.960139999999</v>
      </c>
      <c r="U77" s="32">
        <f t="shared" si="8"/>
        <v>18130.45</v>
      </c>
      <c r="V77" s="37">
        <f t="shared" si="11"/>
        <v>3854.5101399999985</v>
      </c>
      <c r="W77" s="39">
        <f t="shared" si="12"/>
        <v>0.17532486370020767</v>
      </c>
    </row>
    <row r="78" spans="1:23" x14ac:dyDescent="0.3">
      <c r="A78" s="40" t="s">
        <v>251</v>
      </c>
      <c r="B78" s="41">
        <v>45473</v>
      </c>
      <c r="C78" s="42">
        <v>45471</v>
      </c>
      <c r="D78" s="43">
        <f>DATEDIF(C78,B78, "MD")</f>
        <v>2</v>
      </c>
      <c r="E78" s="43" t="str">
        <f>TEXT(Data!B78,"MMM-YYYY")</f>
        <v>Jun-2024</v>
      </c>
      <c r="F78" s="43" t="str">
        <f t="shared" si="9"/>
        <v>Q2-2024</v>
      </c>
      <c r="G78" s="33" t="s">
        <v>52</v>
      </c>
      <c r="H78" s="33" t="s">
        <v>73</v>
      </c>
      <c r="I78" s="33" t="s">
        <v>225</v>
      </c>
      <c r="J78" s="33" t="s">
        <v>62</v>
      </c>
      <c r="K78" s="33" t="s">
        <v>98</v>
      </c>
      <c r="L78" s="33" t="s">
        <v>49</v>
      </c>
      <c r="M78" s="33" t="s">
        <v>81</v>
      </c>
      <c r="N78" s="33" t="s">
        <v>252</v>
      </c>
      <c r="O78" s="43">
        <v>1112.98</v>
      </c>
      <c r="P78" s="44" t="str">
        <f t="shared" si="10"/>
        <v>High</v>
      </c>
      <c r="Q78" s="43">
        <v>2095.73</v>
      </c>
      <c r="R78" s="43">
        <v>7.1999999999999995E-2</v>
      </c>
      <c r="S78" s="43">
        <v>17</v>
      </c>
      <c r="T78" s="43">
        <f t="shared" si="7"/>
        <v>3822.3670400000005</v>
      </c>
      <c r="U78" s="33">
        <f t="shared" si="8"/>
        <v>18920.66</v>
      </c>
      <c r="V78" s="43">
        <f t="shared" si="11"/>
        <v>-15098.292959999999</v>
      </c>
      <c r="W78" s="45">
        <f t="shared" si="12"/>
        <v>-3.9499851275402365</v>
      </c>
    </row>
    <row r="79" spans="1:23" x14ac:dyDescent="0.3">
      <c r="A79" s="34" t="s">
        <v>253</v>
      </c>
      <c r="B79" s="35">
        <v>45091</v>
      </c>
      <c r="C79" s="36">
        <v>45093</v>
      </c>
      <c r="D79" s="37">
        <f t="shared" si="13"/>
        <v>2</v>
      </c>
      <c r="E79" s="37" t="str">
        <f>TEXT(Data!B79,"MMM-YYYY")</f>
        <v>Jun-2023</v>
      </c>
      <c r="F79" s="37" t="str">
        <f t="shared" si="9"/>
        <v>Q2-2023</v>
      </c>
      <c r="G79" s="32" t="s">
        <v>78</v>
      </c>
      <c r="H79" s="32" t="s">
        <v>108</v>
      </c>
      <c r="I79" s="32" t="s">
        <v>228</v>
      </c>
      <c r="J79" s="32" t="s">
        <v>39</v>
      </c>
      <c r="K79" s="32" t="s">
        <v>98</v>
      </c>
      <c r="L79" s="32" t="s">
        <v>95</v>
      </c>
      <c r="M79" s="32" t="s">
        <v>22</v>
      </c>
      <c r="N79" s="32" t="s">
        <v>254</v>
      </c>
      <c r="O79" s="37">
        <v>357.36</v>
      </c>
      <c r="P79" s="38" t="str">
        <f t="shared" si="10"/>
        <v>High</v>
      </c>
      <c r="Q79" s="37">
        <v>703.62</v>
      </c>
      <c r="R79" s="37">
        <v>0.25700000000000001</v>
      </c>
      <c r="S79" s="37">
        <v>20</v>
      </c>
      <c r="T79" s="37">
        <f t="shared" si="7"/>
        <v>44117.408199999998</v>
      </c>
      <c r="U79" s="32">
        <f t="shared" si="8"/>
        <v>7147.2000000000007</v>
      </c>
      <c r="V79" s="37">
        <f t="shared" si="11"/>
        <v>36970.208199999994</v>
      </c>
      <c r="W79" s="39">
        <f t="shared" si="12"/>
        <v>0.83799592288832592</v>
      </c>
    </row>
    <row r="80" spans="1:23" x14ac:dyDescent="0.3">
      <c r="A80" s="40" t="s">
        <v>255</v>
      </c>
      <c r="B80" s="41">
        <v>45617</v>
      </c>
      <c r="C80" s="42">
        <v>45647</v>
      </c>
      <c r="D80" s="43">
        <f t="shared" si="13"/>
        <v>0</v>
      </c>
      <c r="E80" s="43" t="str">
        <f>TEXT(Data!B80,"MMM-YYYY")</f>
        <v>Nov-2024</v>
      </c>
      <c r="F80" s="43" t="str">
        <f t="shared" si="9"/>
        <v>Q4-2024</v>
      </c>
      <c r="G80" s="33" t="s">
        <v>78</v>
      </c>
      <c r="H80" s="33" t="s">
        <v>90</v>
      </c>
      <c r="I80" s="33" t="s">
        <v>91</v>
      </c>
      <c r="J80" s="33" t="s">
        <v>62</v>
      </c>
      <c r="K80" s="33" t="s">
        <v>98</v>
      </c>
      <c r="L80" s="33" t="s">
        <v>34</v>
      </c>
      <c r="M80" s="33" t="s">
        <v>64</v>
      </c>
      <c r="N80" s="33" t="s">
        <v>256</v>
      </c>
      <c r="O80" s="43">
        <v>1122.68</v>
      </c>
      <c r="P80" s="44" t="str">
        <f t="shared" si="10"/>
        <v>High</v>
      </c>
      <c r="Q80" s="43">
        <v>1997.19</v>
      </c>
      <c r="R80" s="43">
        <v>0.186</v>
      </c>
      <c r="S80" s="43">
        <v>3</v>
      </c>
      <c r="T80" s="43">
        <f t="shared" si="7"/>
        <v>3404.8806</v>
      </c>
      <c r="U80" s="33">
        <f t="shared" si="8"/>
        <v>3368.04</v>
      </c>
      <c r="V80" s="43">
        <f t="shared" si="11"/>
        <v>36.840599999999995</v>
      </c>
      <c r="W80" s="45">
        <f t="shared" si="12"/>
        <v>1.081993888420052E-2</v>
      </c>
    </row>
    <row r="81" spans="1:23" x14ac:dyDescent="0.3">
      <c r="A81" s="34" t="s">
        <v>257</v>
      </c>
      <c r="B81" s="35">
        <v>44965</v>
      </c>
      <c r="C81" s="36">
        <v>44968</v>
      </c>
      <c r="D81" s="37">
        <f t="shared" si="13"/>
        <v>3</v>
      </c>
      <c r="E81" s="37" t="str">
        <f>TEXT(Data!B81,"MMM-YYYY")</f>
        <v>Feb-2023</v>
      </c>
      <c r="F81" s="37" t="str">
        <f t="shared" si="9"/>
        <v>Q1-2023</v>
      </c>
      <c r="G81" s="32" t="s">
        <v>16</v>
      </c>
      <c r="H81" s="32" t="s">
        <v>148</v>
      </c>
      <c r="I81" s="32" t="s">
        <v>258</v>
      </c>
      <c r="J81" s="32" t="s">
        <v>19</v>
      </c>
      <c r="K81" s="32" t="s">
        <v>98</v>
      </c>
      <c r="L81" s="32" t="s">
        <v>110</v>
      </c>
      <c r="M81" s="32" t="s">
        <v>35</v>
      </c>
      <c r="N81" s="32" t="s">
        <v>259</v>
      </c>
      <c r="O81" s="37">
        <v>1410.05</v>
      </c>
      <c r="P81" s="38" t="str">
        <f t="shared" si="10"/>
        <v>High</v>
      </c>
      <c r="Q81" s="37">
        <v>2763.95</v>
      </c>
      <c r="R81" s="37">
        <v>0.161</v>
      </c>
      <c r="S81" s="37">
        <v>26</v>
      </c>
      <c r="T81" s="37">
        <f t="shared" si="7"/>
        <v>336.15374000000003</v>
      </c>
      <c r="U81" s="32">
        <f t="shared" si="8"/>
        <v>36661.299999999996</v>
      </c>
      <c r="V81" s="37">
        <f t="shared" si="11"/>
        <v>-36325.146259999994</v>
      </c>
      <c r="W81" s="39">
        <f t="shared" si="12"/>
        <v>-108.06110995522462</v>
      </c>
    </row>
    <row r="82" spans="1:23" x14ac:dyDescent="0.3">
      <c r="A82" s="40" t="s">
        <v>260</v>
      </c>
      <c r="B82" s="41">
        <v>45157</v>
      </c>
      <c r="C82" s="42">
        <v>45181</v>
      </c>
      <c r="D82" s="43">
        <f t="shared" si="13"/>
        <v>24</v>
      </c>
      <c r="E82" s="43" t="str">
        <f>TEXT(Data!B82,"MMM-YYYY")</f>
        <v>Aug-2023</v>
      </c>
      <c r="F82" s="43" t="str">
        <f t="shared" si="9"/>
        <v>Q3-2023</v>
      </c>
      <c r="G82" s="33" t="s">
        <v>52</v>
      </c>
      <c r="H82" s="33" t="s">
        <v>53</v>
      </c>
      <c r="I82" s="33" t="s">
        <v>179</v>
      </c>
      <c r="J82" s="33" t="s">
        <v>105</v>
      </c>
      <c r="K82" s="33" t="s">
        <v>20</v>
      </c>
      <c r="L82" s="33" t="s">
        <v>34</v>
      </c>
      <c r="M82" s="33" t="s">
        <v>30</v>
      </c>
      <c r="N82" s="33" t="s">
        <v>261</v>
      </c>
      <c r="O82" s="43">
        <v>1183.95</v>
      </c>
      <c r="P82" s="44" t="str">
        <f t="shared" si="10"/>
        <v>High</v>
      </c>
      <c r="Q82" s="43">
        <v>1503.53</v>
      </c>
      <c r="R82" s="43">
        <v>0.24099999999999999</v>
      </c>
      <c r="S82" s="43">
        <v>16</v>
      </c>
      <c r="T82" s="43">
        <f t="shared" si="7"/>
        <v>27333.836640000001</v>
      </c>
      <c r="U82" s="33">
        <f t="shared" si="8"/>
        <v>18943.2</v>
      </c>
      <c r="V82" s="43">
        <f t="shared" si="11"/>
        <v>8390.6366400000006</v>
      </c>
      <c r="W82" s="45">
        <f t="shared" si="12"/>
        <v>0.30696885879976488</v>
      </c>
    </row>
    <row r="83" spans="1:23" x14ac:dyDescent="0.3">
      <c r="A83" s="34" t="s">
        <v>262</v>
      </c>
      <c r="B83" s="35">
        <v>45791</v>
      </c>
      <c r="C83" s="36">
        <v>45801</v>
      </c>
      <c r="D83" s="37">
        <f t="shared" si="13"/>
        <v>10</v>
      </c>
      <c r="E83" s="37" t="str">
        <f>TEXT(Data!B83,"MMM-YYYY")</f>
        <v>May-2025</v>
      </c>
      <c r="F83" s="37" t="str">
        <f t="shared" si="9"/>
        <v>Q2-2025</v>
      </c>
      <c r="G83" s="32" t="s">
        <v>78</v>
      </c>
      <c r="H83" s="32" t="s">
        <v>90</v>
      </c>
      <c r="I83" s="32" t="s">
        <v>217</v>
      </c>
      <c r="J83" s="32" t="s">
        <v>62</v>
      </c>
      <c r="K83" s="32" t="s">
        <v>40</v>
      </c>
      <c r="L83" s="32" t="s">
        <v>95</v>
      </c>
      <c r="M83" s="32" t="s">
        <v>22</v>
      </c>
      <c r="N83" s="32" t="s">
        <v>263</v>
      </c>
      <c r="O83" s="37">
        <v>170.39</v>
      </c>
      <c r="P83" s="38" t="str">
        <f t="shared" si="10"/>
        <v>High</v>
      </c>
      <c r="Q83" s="37">
        <v>388.04</v>
      </c>
      <c r="R83" s="37">
        <v>8.4000000000000005E-2</v>
      </c>
      <c r="S83" s="37">
        <v>15</v>
      </c>
      <c r="T83" s="37">
        <f t="shared" si="7"/>
        <v>2281.3896</v>
      </c>
      <c r="U83" s="32">
        <f t="shared" si="8"/>
        <v>2555.85</v>
      </c>
      <c r="V83" s="37">
        <f t="shared" si="11"/>
        <v>-274.46039999999994</v>
      </c>
      <c r="W83" s="39">
        <f t="shared" si="12"/>
        <v>-0.12030404627074653</v>
      </c>
    </row>
    <row r="84" spans="1:23" x14ac:dyDescent="0.3">
      <c r="A84" s="40" t="s">
        <v>264</v>
      </c>
      <c r="B84" s="41">
        <v>45770</v>
      </c>
      <c r="C84" s="42">
        <v>45769</v>
      </c>
      <c r="D84" s="43">
        <f>DATEDIF(C84,B84, "MD")</f>
        <v>1</v>
      </c>
      <c r="E84" s="43" t="str">
        <f>TEXT(Data!B84,"MMM-YYYY")</f>
        <v>Apr-2025</v>
      </c>
      <c r="F84" s="43" t="str">
        <f t="shared" si="9"/>
        <v>Q2-2025</v>
      </c>
      <c r="G84" s="33" t="s">
        <v>52</v>
      </c>
      <c r="H84" s="33" t="s">
        <v>122</v>
      </c>
      <c r="I84" s="33" t="s">
        <v>167</v>
      </c>
      <c r="J84" s="33" t="s">
        <v>39</v>
      </c>
      <c r="K84" s="33" t="s">
        <v>55</v>
      </c>
      <c r="L84" s="33" t="s">
        <v>145</v>
      </c>
      <c r="M84" s="33" t="s">
        <v>64</v>
      </c>
      <c r="N84" s="33" t="s">
        <v>265</v>
      </c>
      <c r="O84" s="43">
        <v>23.24</v>
      </c>
      <c r="P84" s="44" t="str">
        <f t="shared" si="10"/>
        <v>Low</v>
      </c>
      <c r="Q84" s="43">
        <v>44.57</v>
      </c>
      <c r="R84" s="43">
        <v>0.215</v>
      </c>
      <c r="S84" s="43">
        <v>15</v>
      </c>
      <c r="T84" s="43">
        <f t="shared" si="7"/>
        <v>4198.3762500000003</v>
      </c>
      <c r="U84" s="33">
        <f t="shared" si="8"/>
        <v>348.59999999999997</v>
      </c>
      <c r="V84" s="43">
        <f t="shared" si="11"/>
        <v>3849.7762500000003</v>
      </c>
      <c r="W84" s="45">
        <f t="shared" si="12"/>
        <v>0.91696789919674304</v>
      </c>
    </row>
    <row r="85" spans="1:23" x14ac:dyDescent="0.3">
      <c r="A85" s="34" t="s">
        <v>266</v>
      </c>
      <c r="B85" s="35">
        <v>45741</v>
      </c>
      <c r="C85" s="36">
        <v>45764</v>
      </c>
      <c r="D85" s="37">
        <f t="shared" si="13"/>
        <v>23</v>
      </c>
      <c r="E85" s="37" t="str">
        <f>TEXT(Data!B85,"MMM-YYYY")</f>
        <v>Mar-2025</v>
      </c>
      <c r="F85" s="37" t="str">
        <f t="shared" si="9"/>
        <v>Q1-2025</v>
      </c>
      <c r="G85" s="32" t="s">
        <v>78</v>
      </c>
      <c r="H85" s="32" t="s">
        <v>108</v>
      </c>
      <c r="I85" s="32" t="s">
        <v>152</v>
      </c>
      <c r="J85" s="32" t="s">
        <v>48</v>
      </c>
      <c r="K85" s="32" t="s">
        <v>20</v>
      </c>
      <c r="L85" s="32" t="s">
        <v>92</v>
      </c>
      <c r="M85" s="32" t="s">
        <v>35</v>
      </c>
      <c r="N85" s="32" t="s">
        <v>267</v>
      </c>
      <c r="O85" s="37">
        <v>1421.19</v>
      </c>
      <c r="P85" s="38" t="str">
        <f t="shared" si="10"/>
        <v>High</v>
      </c>
      <c r="Q85" s="37">
        <v>1808.26</v>
      </c>
      <c r="R85" s="37">
        <v>0.104</v>
      </c>
      <c r="S85" s="37">
        <v>13</v>
      </c>
      <c r="T85" s="37">
        <f t="shared" si="7"/>
        <v>11939.7824</v>
      </c>
      <c r="U85" s="32">
        <f t="shared" si="8"/>
        <v>18475.47</v>
      </c>
      <c r="V85" s="37">
        <f t="shared" si="11"/>
        <v>-6535.6876000000011</v>
      </c>
      <c r="W85" s="39">
        <f t="shared" si="12"/>
        <v>-0.54738749677716081</v>
      </c>
    </row>
    <row r="86" spans="1:23" x14ac:dyDescent="0.3">
      <c r="A86" s="40" t="s">
        <v>268</v>
      </c>
      <c r="B86" s="41">
        <v>45282</v>
      </c>
      <c r="C86" s="42">
        <v>45283</v>
      </c>
      <c r="D86" s="43">
        <f t="shared" si="13"/>
        <v>1</v>
      </c>
      <c r="E86" s="43" t="str">
        <f>TEXT(Data!B86,"MMM-YYYY")</f>
        <v>Dec-2023</v>
      </c>
      <c r="F86" s="43" t="str">
        <f t="shared" si="9"/>
        <v>Q4-2023</v>
      </c>
      <c r="G86" s="33" t="s">
        <v>16</v>
      </c>
      <c r="H86" s="33" t="s">
        <v>148</v>
      </c>
      <c r="I86" s="33" t="s">
        <v>258</v>
      </c>
      <c r="J86" s="33" t="s">
        <v>39</v>
      </c>
      <c r="K86" s="33" t="s">
        <v>40</v>
      </c>
      <c r="L86" s="33" t="s">
        <v>145</v>
      </c>
      <c r="M86" s="33" t="s">
        <v>22</v>
      </c>
      <c r="N86" s="33" t="s">
        <v>269</v>
      </c>
      <c r="O86" s="43">
        <v>1186.18</v>
      </c>
      <c r="P86" s="44" t="str">
        <f t="shared" si="10"/>
        <v>High</v>
      </c>
      <c r="Q86" s="43">
        <v>1285.0899999999999</v>
      </c>
      <c r="R86" s="43">
        <v>7.0000000000000007E-2</v>
      </c>
      <c r="S86" s="43">
        <v>11</v>
      </c>
      <c r="T86" s="43">
        <f t="shared" si="7"/>
        <v>18364.589100000001</v>
      </c>
      <c r="U86" s="33">
        <f t="shared" si="8"/>
        <v>13047.980000000001</v>
      </c>
      <c r="V86" s="43">
        <f t="shared" si="11"/>
        <v>5316.6090999999997</v>
      </c>
      <c r="W86" s="45">
        <f t="shared" si="12"/>
        <v>0.28950329740838032</v>
      </c>
    </row>
    <row r="87" spans="1:23" x14ac:dyDescent="0.3">
      <c r="A87" s="34" t="s">
        <v>270</v>
      </c>
      <c r="B87" s="35">
        <v>45388</v>
      </c>
      <c r="C87" s="36">
        <v>45407</v>
      </c>
      <c r="D87" s="37">
        <f t="shared" si="13"/>
        <v>19</v>
      </c>
      <c r="E87" s="37" t="str">
        <f>TEXT(Data!B87,"MMM-YYYY")</f>
        <v>Apr-2024</v>
      </c>
      <c r="F87" s="37" t="str">
        <f t="shared" si="9"/>
        <v>Q2-2024</v>
      </c>
      <c r="G87" s="32" t="s">
        <v>45</v>
      </c>
      <c r="H87" s="32" t="s">
        <v>116</v>
      </c>
      <c r="I87" s="32" t="s">
        <v>162</v>
      </c>
      <c r="J87" s="32" t="s">
        <v>19</v>
      </c>
      <c r="K87" s="32" t="s">
        <v>20</v>
      </c>
      <c r="L87" s="32" t="s">
        <v>95</v>
      </c>
      <c r="M87" s="32" t="s">
        <v>22</v>
      </c>
      <c r="N87" s="32" t="s">
        <v>271</v>
      </c>
      <c r="O87" s="37">
        <v>1366.48</v>
      </c>
      <c r="P87" s="38" t="str">
        <f t="shared" si="10"/>
        <v>High</v>
      </c>
      <c r="Q87" s="37">
        <v>1678.14</v>
      </c>
      <c r="R87" s="37">
        <v>0.154</v>
      </c>
      <c r="S87" s="37">
        <v>10</v>
      </c>
      <c r="T87" s="37">
        <f t="shared" si="7"/>
        <v>36.970199999999998</v>
      </c>
      <c r="U87" s="32">
        <f t="shared" si="8"/>
        <v>13664.8</v>
      </c>
      <c r="V87" s="37">
        <f t="shared" si="11"/>
        <v>-13627.8298</v>
      </c>
      <c r="W87" s="39">
        <f t="shared" si="12"/>
        <v>-368.61661013464897</v>
      </c>
    </row>
    <row r="88" spans="1:23" x14ac:dyDescent="0.3">
      <c r="A88" s="40" t="s">
        <v>272</v>
      </c>
      <c r="B88" s="41">
        <v>45876</v>
      </c>
      <c r="C88" s="42">
        <v>45888</v>
      </c>
      <c r="D88" s="43">
        <f t="shared" si="13"/>
        <v>12</v>
      </c>
      <c r="E88" s="43" t="str">
        <f>TEXT(Data!B88,"MMM-YYYY")</f>
        <v>Aug-2025</v>
      </c>
      <c r="F88" s="43" t="str">
        <f t="shared" si="9"/>
        <v>Q3-2025</v>
      </c>
      <c r="G88" s="33" t="s">
        <v>16</v>
      </c>
      <c r="H88" s="33" t="s">
        <v>17</v>
      </c>
      <c r="I88" s="33" t="s">
        <v>135</v>
      </c>
      <c r="J88" s="33" t="s">
        <v>19</v>
      </c>
      <c r="K88" s="33" t="s">
        <v>1364</v>
      </c>
      <c r="L88" s="33" t="s">
        <v>110</v>
      </c>
      <c r="M88" s="33" t="s">
        <v>22</v>
      </c>
      <c r="N88" s="33" t="s">
        <v>273</v>
      </c>
      <c r="O88" s="43">
        <v>601.51</v>
      </c>
      <c r="P88" s="44" t="str">
        <f t="shared" si="10"/>
        <v>High</v>
      </c>
      <c r="Q88" s="43">
        <v>679.35</v>
      </c>
      <c r="R88" s="43">
        <v>0.188</v>
      </c>
      <c r="S88" s="43">
        <v>3</v>
      </c>
      <c r="T88" s="43">
        <f t="shared" si="7"/>
        <v>532.26600000000008</v>
      </c>
      <c r="U88" s="33">
        <f t="shared" si="8"/>
        <v>1804.53</v>
      </c>
      <c r="V88" s="43">
        <f t="shared" si="11"/>
        <v>-1272.2639999999999</v>
      </c>
      <c r="W88" s="45">
        <f t="shared" si="12"/>
        <v>-2.3902785449380568</v>
      </c>
    </row>
    <row r="89" spans="1:23" x14ac:dyDescent="0.3">
      <c r="A89" s="34" t="s">
        <v>274</v>
      </c>
      <c r="B89" s="35">
        <v>45312</v>
      </c>
      <c r="C89" s="36">
        <v>45316</v>
      </c>
      <c r="D89" s="37">
        <f t="shared" si="13"/>
        <v>4</v>
      </c>
      <c r="E89" s="37" t="str">
        <f>TEXT(Data!B89,"MMM-YYYY")</f>
        <v>Jan-2024</v>
      </c>
      <c r="F89" s="37" t="str">
        <f t="shared" si="9"/>
        <v>Q1-2024</v>
      </c>
      <c r="G89" s="32" t="s">
        <v>45</v>
      </c>
      <c r="H89" s="32" t="s">
        <v>60</v>
      </c>
      <c r="I89" s="32" t="s">
        <v>141</v>
      </c>
      <c r="J89" s="32" t="s">
        <v>48</v>
      </c>
      <c r="K89" s="32" t="s">
        <v>98</v>
      </c>
      <c r="L89" s="32" t="s">
        <v>21</v>
      </c>
      <c r="M89" s="32" t="s">
        <v>64</v>
      </c>
      <c r="N89" s="32" t="s">
        <v>275</v>
      </c>
      <c r="O89" s="37">
        <v>523.70000000000005</v>
      </c>
      <c r="P89" s="38" t="str">
        <f t="shared" si="10"/>
        <v>High</v>
      </c>
      <c r="Q89" s="37">
        <v>1109.92</v>
      </c>
      <c r="R89" s="37">
        <v>0.03</v>
      </c>
      <c r="S89" s="37">
        <v>11</v>
      </c>
      <c r="T89" s="37">
        <f t="shared" si="7"/>
        <v>2666.1129000000001</v>
      </c>
      <c r="U89" s="32">
        <f t="shared" si="8"/>
        <v>5760.7000000000007</v>
      </c>
      <c r="V89" s="37">
        <f t="shared" si="11"/>
        <v>-3094.5871000000006</v>
      </c>
      <c r="W89" s="39">
        <f t="shared" si="12"/>
        <v>-1.160711198689298</v>
      </c>
    </row>
    <row r="90" spans="1:23" x14ac:dyDescent="0.3">
      <c r="A90" s="40" t="s">
        <v>276</v>
      </c>
      <c r="B90" s="41">
        <v>45106</v>
      </c>
      <c r="C90" s="42">
        <v>45109</v>
      </c>
      <c r="D90" s="43">
        <f t="shared" si="13"/>
        <v>3</v>
      </c>
      <c r="E90" s="43" t="str">
        <f>TEXT(Data!B90,"MMM-YYYY")</f>
        <v>Jun-2023</v>
      </c>
      <c r="F90" s="43" t="str">
        <f t="shared" si="9"/>
        <v>Q2-2023</v>
      </c>
      <c r="G90" s="33" t="s">
        <v>45</v>
      </c>
      <c r="H90" s="33" t="s">
        <v>46</v>
      </c>
      <c r="I90" s="33" t="s">
        <v>231</v>
      </c>
      <c r="J90" s="33" t="s">
        <v>27</v>
      </c>
      <c r="K90" s="33" t="s">
        <v>40</v>
      </c>
      <c r="L90" s="33" t="s">
        <v>84</v>
      </c>
      <c r="M90" s="33" t="s">
        <v>64</v>
      </c>
      <c r="N90" s="33" t="s">
        <v>277</v>
      </c>
      <c r="O90" s="43">
        <v>55.65</v>
      </c>
      <c r="P90" s="44" t="str">
        <f t="shared" si="10"/>
        <v>Medium</v>
      </c>
      <c r="Q90" s="43">
        <v>83.57</v>
      </c>
      <c r="R90" s="43">
        <v>6.6000000000000003E-2</v>
      </c>
      <c r="S90" s="43">
        <v>8</v>
      </c>
      <c r="T90" s="43">
        <f t="shared" si="7"/>
        <v>25677.677439999999</v>
      </c>
      <c r="U90" s="33">
        <f t="shared" si="8"/>
        <v>445.2</v>
      </c>
      <c r="V90" s="43">
        <f t="shared" si="11"/>
        <v>25232.477439999999</v>
      </c>
      <c r="W90" s="45">
        <f t="shared" si="12"/>
        <v>0.98266198331059018</v>
      </c>
    </row>
    <row r="91" spans="1:23" x14ac:dyDescent="0.3">
      <c r="A91" s="34" t="s">
        <v>278</v>
      </c>
      <c r="B91" s="35">
        <v>45775</v>
      </c>
      <c r="C91" s="36">
        <v>45792</v>
      </c>
      <c r="D91" s="37">
        <f t="shared" si="13"/>
        <v>17</v>
      </c>
      <c r="E91" s="37" t="str">
        <f>TEXT(Data!B91,"MMM-YYYY")</f>
        <v>Apr-2025</v>
      </c>
      <c r="F91" s="37" t="str">
        <f t="shared" si="9"/>
        <v>Q2-2025</v>
      </c>
      <c r="G91" s="32" t="s">
        <v>45</v>
      </c>
      <c r="H91" s="32" t="s">
        <v>46</v>
      </c>
      <c r="I91" s="32" t="s">
        <v>231</v>
      </c>
      <c r="J91" s="32" t="s">
        <v>27</v>
      </c>
      <c r="K91" s="32" t="s">
        <v>98</v>
      </c>
      <c r="L91" s="32" t="s">
        <v>126</v>
      </c>
      <c r="M91" s="32" t="s">
        <v>35</v>
      </c>
      <c r="N91" s="32" t="s">
        <v>279</v>
      </c>
      <c r="O91" s="37">
        <v>691.19</v>
      </c>
      <c r="P91" s="38" t="str">
        <f t="shared" si="10"/>
        <v>High</v>
      </c>
      <c r="Q91" s="37">
        <v>1284.3</v>
      </c>
      <c r="R91" s="37">
        <v>7.3999999999999996E-2</v>
      </c>
      <c r="S91" s="37">
        <v>7</v>
      </c>
      <c r="T91" s="37">
        <f t="shared" si="7"/>
        <v>346.46290000000005</v>
      </c>
      <c r="U91" s="32">
        <f t="shared" si="8"/>
        <v>4838.33</v>
      </c>
      <c r="V91" s="37">
        <f t="shared" si="11"/>
        <v>-4491.8670999999995</v>
      </c>
      <c r="W91" s="39">
        <f t="shared" si="12"/>
        <v>-12.964929578318483</v>
      </c>
    </row>
    <row r="92" spans="1:23" x14ac:dyDescent="0.3">
      <c r="A92" s="40" t="s">
        <v>280</v>
      </c>
      <c r="B92" s="41">
        <v>45817</v>
      </c>
      <c r="C92" s="42">
        <v>45833</v>
      </c>
      <c r="D92" s="43">
        <f t="shared" si="13"/>
        <v>16</v>
      </c>
      <c r="E92" s="43" t="str">
        <f>TEXT(Data!B92,"MMM-YYYY")</f>
        <v>Jun-2025</v>
      </c>
      <c r="F92" s="43" t="str">
        <f t="shared" si="9"/>
        <v>Q2-2025</v>
      </c>
      <c r="G92" s="33" t="s">
        <v>45</v>
      </c>
      <c r="H92" s="33" t="s">
        <v>60</v>
      </c>
      <c r="I92" s="33" t="s">
        <v>281</v>
      </c>
      <c r="J92" s="33" t="s">
        <v>105</v>
      </c>
      <c r="K92" s="33" t="s">
        <v>55</v>
      </c>
      <c r="L92" s="33" t="s">
        <v>110</v>
      </c>
      <c r="M92" s="33" t="s">
        <v>42</v>
      </c>
      <c r="N92" s="33" t="s">
        <v>282</v>
      </c>
      <c r="O92" s="43">
        <v>527.33000000000004</v>
      </c>
      <c r="P92" s="44" t="str">
        <f t="shared" si="10"/>
        <v>High</v>
      </c>
      <c r="Q92" s="43">
        <v>911.72</v>
      </c>
      <c r="R92" s="43">
        <v>0.14399999999999999</v>
      </c>
      <c r="S92" s="43">
        <v>25</v>
      </c>
      <c r="T92" s="43">
        <f t="shared" si="7"/>
        <v>74251.58</v>
      </c>
      <c r="U92" s="33">
        <f t="shared" si="8"/>
        <v>13183.250000000002</v>
      </c>
      <c r="V92" s="43">
        <f t="shared" si="11"/>
        <v>61068.33</v>
      </c>
      <c r="W92" s="45">
        <f t="shared" si="12"/>
        <v>0.82245158958233622</v>
      </c>
    </row>
    <row r="93" spans="1:23" x14ac:dyDescent="0.3">
      <c r="A93" s="34" t="s">
        <v>283</v>
      </c>
      <c r="B93" s="35">
        <v>45101</v>
      </c>
      <c r="C93" s="36">
        <v>45100</v>
      </c>
      <c r="D93" s="37">
        <f>DATEDIF(C93,B93, "MD")</f>
        <v>1</v>
      </c>
      <c r="E93" s="37" t="str">
        <f>TEXT(Data!B93,"MMM-YYYY")</f>
        <v>Jun-2023</v>
      </c>
      <c r="F93" s="37" t="str">
        <f t="shared" si="9"/>
        <v>Q2-2023</v>
      </c>
      <c r="G93" s="32" t="s">
        <v>52</v>
      </c>
      <c r="H93" s="32" t="s">
        <v>73</v>
      </c>
      <c r="I93" s="32" t="s">
        <v>225</v>
      </c>
      <c r="J93" s="32" t="s">
        <v>39</v>
      </c>
      <c r="K93" s="32" t="s">
        <v>20</v>
      </c>
      <c r="L93" s="32" t="s">
        <v>63</v>
      </c>
      <c r="M93" s="32" t="s">
        <v>30</v>
      </c>
      <c r="N93" s="32" t="s">
        <v>284</v>
      </c>
      <c r="O93" s="37">
        <v>804.01</v>
      </c>
      <c r="P93" s="38" t="str">
        <f t="shared" si="10"/>
        <v>High</v>
      </c>
      <c r="Q93" s="37">
        <v>1405.07</v>
      </c>
      <c r="R93" s="37">
        <v>9.6000000000000002E-2</v>
      </c>
      <c r="S93" s="37">
        <v>8</v>
      </c>
      <c r="T93" s="37">
        <f t="shared" si="7"/>
        <v>4491.2166399999996</v>
      </c>
      <c r="U93" s="32">
        <f t="shared" si="8"/>
        <v>6432.08</v>
      </c>
      <c r="V93" s="37">
        <f t="shared" si="11"/>
        <v>-1940.8633600000003</v>
      </c>
      <c r="W93" s="39">
        <f t="shared" si="12"/>
        <v>-0.43214645731273393</v>
      </c>
    </row>
    <row r="94" spans="1:23" x14ac:dyDescent="0.3">
      <c r="A94" s="40" t="s">
        <v>285</v>
      </c>
      <c r="B94" s="41">
        <v>45569</v>
      </c>
      <c r="C94" s="42">
        <v>45598</v>
      </c>
      <c r="D94" s="43">
        <f t="shared" si="13"/>
        <v>29</v>
      </c>
      <c r="E94" s="43" t="str">
        <f>TEXT(Data!B94,"MMM-YYYY")</f>
        <v>Oct-2024</v>
      </c>
      <c r="F94" s="43" t="str">
        <f t="shared" si="9"/>
        <v>Q4-2024</v>
      </c>
      <c r="G94" s="33" t="s">
        <v>16</v>
      </c>
      <c r="H94" s="33" t="s">
        <v>25</v>
      </c>
      <c r="I94" s="33" t="s">
        <v>67</v>
      </c>
      <c r="J94" s="33" t="s">
        <v>19</v>
      </c>
      <c r="K94" s="33" t="s">
        <v>55</v>
      </c>
      <c r="L94" s="33" t="s">
        <v>84</v>
      </c>
      <c r="M94" s="33" t="s">
        <v>81</v>
      </c>
      <c r="N94" s="33" t="s">
        <v>286</v>
      </c>
      <c r="O94" s="43">
        <v>412.09</v>
      </c>
      <c r="P94" s="44" t="str">
        <f t="shared" si="10"/>
        <v>High</v>
      </c>
      <c r="Q94" s="43">
        <v>968.94</v>
      </c>
      <c r="R94" s="43">
        <v>9.9000000000000005E-2</v>
      </c>
      <c r="S94" s="43">
        <v>23</v>
      </c>
      <c r="T94" s="43">
        <f t="shared" si="7"/>
        <v>1834.19273</v>
      </c>
      <c r="U94" s="33">
        <f t="shared" si="8"/>
        <v>9478.07</v>
      </c>
      <c r="V94" s="43">
        <f t="shared" si="11"/>
        <v>-7643.87727</v>
      </c>
      <c r="W94" s="45">
        <f t="shared" si="12"/>
        <v>-4.1674340678473847</v>
      </c>
    </row>
    <row r="95" spans="1:23" x14ac:dyDescent="0.3">
      <c r="A95" s="34" t="s">
        <v>287</v>
      </c>
      <c r="B95" s="35">
        <v>45910</v>
      </c>
      <c r="C95" s="36">
        <v>45930</v>
      </c>
      <c r="D95" s="37">
        <f t="shared" si="13"/>
        <v>20</v>
      </c>
      <c r="E95" s="37" t="str">
        <f>TEXT(Data!B95,"MMM-YYYY")</f>
        <v>Sep-2025</v>
      </c>
      <c r="F95" s="37" t="str">
        <f t="shared" si="9"/>
        <v>Q3-2025</v>
      </c>
      <c r="G95" s="32" t="s">
        <v>16</v>
      </c>
      <c r="H95" s="32" t="s">
        <v>17</v>
      </c>
      <c r="I95" s="32" t="s">
        <v>113</v>
      </c>
      <c r="J95" s="32" t="s">
        <v>19</v>
      </c>
      <c r="K95" s="32" t="s">
        <v>98</v>
      </c>
      <c r="L95" s="32" t="s">
        <v>49</v>
      </c>
      <c r="M95" s="32" t="s">
        <v>42</v>
      </c>
      <c r="N95" s="32" t="s">
        <v>288</v>
      </c>
      <c r="O95" s="37">
        <v>1009.48</v>
      </c>
      <c r="P95" s="38" t="str">
        <f t="shared" si="10"/>
        <v>High</v>
      </c>
      <c r="Q95" s="37">
        <v>1088.81</v>
      </c>
      <c r="R95" s="37">
        <v>0.16</v>
      </c>
      <c r="S95" s="37">
        <v>6</v>
      </c>
      <c r="T95" s="37">
        <f t="shared" si="7"/>
        <v>9873.8135999999995</v>
      </c>
      <c r="U95" s="32">
        <f t="shared" si="8"/>
        <v>6056.88</v>
      </c>
      <c r="V95" s="37">
        <f t="shared" si="11"/>
        <v>3816.9335999999994</v>
      </c>
      <c r="W95" s="39">
        <f t="shared" si="12"/>
        <v>0.38657136488782812</v>
      </c>
    </row>
    <row r="96" spans="1:23" x14ac:dyDescent="0.3">
      <c r="A96" s="40" t="s">
        <v>289</v>
      </c>
      <c r="B96" s="41">
        <v>45022</v>
      </c>
      <c r="C96" s="42">
        <v>45043</v>
      </c>
      <c r="D96" s="43">
        <f t="shared" si="13"/>
        <v>21</v>
      </c>
      <c r="E96" s="43" t="str">
        <f>TEXT(Data!B96,"MMM-YYYY")</f>
        <v>Apr-2023</v>
      </c>
      <c r="F96" s="43" t="str">
        <f t="shared" si="9"/>
        <v>Q2-2023</v>
      </c>
      <c r="G96" s="33" t="s">
        <v>78</v>
      </c>
      <c r="H96" s="33" t="s">
        <v>108</v>
      </c>
      <c r="I96" s="33" t="s">
        <v>228</v>
      </c>
      <c r="J96" s="33" t="s">
        <v>105</v>
      </c>
      <c r="K96" s="33" t="s">
        <v>55</v>
      </c>
      <c r="L96" s="33" t="s">
        <v>34</v>
      </c>
      <c r="M96" s="33" t="s">
        <v>30</v>
      </c>
      <c r="N96" s="33" t="s">
        <v>290</v>
      </c>
      <c r="O96" s="43">
        <v>1084.79</v>
      </c>
      <c r="P96" s="44" t="str">
        <f t="shared" si="10"/>
        <v>High</v>
      </c>
      <c r="Q96" s="43">
        <v>2484.9899999999998</v>
      </c>
      <c r="R96" s="43">
        <v>3.4000000000000002E-2</v>
      </c>
      <c r="S96" s="43">
        <v>18</v>
      </c>
      <c r="T96" s="43">
        <f t="shared" si="7"/>
        <v>47694.762360000001</v>
      </c>
      <c r="U96" s="33">
        <f t="shared" si="8"/>
        <v>19526.22</v>
      </c>
      <c r="V96" s="43">
        <f t="shared" si="11"/>
        <v>28168.542359999999</v>
      </c>
      <c r="W96" s="45">
        <f t="shared" si="12"/>
        <v>0.59060032939013052</v>
      </c>
    </row>
    <row r="97" spans="1:23" x14ac:dyDescent="0.3">
      <c r="A97" s="34" t="s">
        <v>291</v>
      </c>
      <c r="B97" s="35">
        <v>45870</v>
      </c>
      <c r="C97" s="36">
        <v>45885</v>
      </c>
      <c r="D97" s="37">
        <f t="shared" si="13"/>
        <v>15</v>
      </c>
      <c r="E97" s="37" t="str">
        <f>TEXT(Data!B97,"MMM-YYYY")</f>
        <v>Aug-2025</v>
      </c>
      <c r="F97" s="37" t="str">
        <f t="shared" si="9"/>
        <v>Q3-2025</v>
      </c>
      <c r="G97" s="32" t="s">
        <v>45</v>
      </c>
      <c r="H97" s="32" t="s">
        <v>60</v>
      </c>
      <c r="I97" s="32" t="s">
        <v>1364</v>
      </c>
      <c r="J97" s="32" t="s">
        <v>105</v>
      </c>
      <c r="K97" s="32" t="s">
        <v>98</v>
      </c>
      <c r="L97" s="32" t="s">
        <v>68</v>
      </c>
      <c r="M97" s="32" t="s">
        <v>64</v>
      </c>
      <c r="N97" s="32" t="s">
        <v>292</v>
      </c>
      <c r="O97" s="37">
        <v>24.44</v>
      </c>
      <c r="P97" s="38" t="str">
        <f t="shared" si="10"/>
        <v>Low</v>
      </c>
      <c r="Q97" s="37">
        <v>28.69</v>
      </c>
      <c r="R97" s="37">
        <v>0.14599999999999999</v>
      </c>
      <c r="S97" s="37">
        <v>6</v>
      </c>
      <c r="T97" s="37">
        <f t="shared" si="7"/>
        <v>8605.3480799999998</v>
      </c>
      <c r="U97" s="32">
        <f t="shared" si="8"/>
        <v>146.64000000000001</v>
      </c>
      <c r="V97" s="37">
        <f t="shared" si="11"/>
        <v>8458.7080800000003</v>
      </c>
      <c r="W97" s="39">
        <f t="shared" si="12"/>
        <v>0.98295943422197984</v>
      </c>
    </row>
    <row r="98" spans="1:23" x14ac:dyDescent="0.3">
      <c r="A98" s="40" t="s">
        <v>293</v>
      </c>
      <c r="B98" s="41">
        <v>45440</v>
      </c>
      <c r="C98" s="42">
        <v>45438</v>
      </c>
      <c r="D98" s="43">
        <f>DATEDIF(C98,B98, "MD")</f>
        <v>2</v>
      </c>
      <c r="E98" s="43" t="str">
        <f>TEXT(Data!B98,"MMM-YYYY")</f>
        <v>May-2024</v>
      </c>
      <c r="F98" s="43" t="str">
        <f t="shared" si="9"/>
        <v>Q2-2024</v>
      </c>
      <c r="G98" s="33" t="s">
        <v>16</v>
      </c>
      <c r="H98" s="33" t="s">
        <v>25</v>
      </c>
      <c r="I98" s="33" t="s">
        <v>67</v>
      </c>
      <c r="J98" s="33" t="s">
        <v>105</v>
      </c>
      <c r="K98" s="33" t="s">
        <v>28</v>
      </c>
      <c r="L98" s="33" t="s">
        <v>84</v>
      </c>
      <c r="M98" s="33" t="s">
        <v>81</v>
      </c>
      <c r="N98" s="33" t="s">
        <v>294</v>
      </c>
      <c r="O98" s="43">
        <v>1227.08</v>
      </c>
      <c r="P98" s="44" t="str">
        <f t="shared" si="10"/>
        <v>High</v>
      </c>
      <c r="Q98" s="43">
        <v>1896.62</v>
      </c>
      <c r="R98" s="43">
        <v>0</v>
      </c>
      <c r="S98" s="43">
        <v>18</v>
      </c>
      <c r="T98" s="43">
        <f t="shared" si="7"/>
        <v>25810.2</v>
      </c>
      <c r="U98" s="33">
        <f t="shared" si="8"/>
        <v>22087.439999999999</v>
      </c>
      <c r="V98" s="43">
        <f t="shared" si="11"/>
        <v>3722.760000000002</v>
      </c>
      <c r="W98" s="45">
        <f t="shared" si="12"/>
        <v>0.14423599972104059</v>
      </c>
    </row>
    <row r="99" spans="1:23" x14ac:dyDescent="0.3">
      <c r="A99" s="34" t="s">
        <v>295</v>
      </c>
      <c r="B99" s="35">
        <v>45860</v>
      </c>
      <c r="C99" s="36">
        <v>45887</v>
      </c>
      <c r="D99" s="37">
        <f t="shared" si="13"/>
        <v>27</v>
      </c>
      <c r="E99" s="37" t="str">
        <f>TEXT(Data!B99,"MMM-YYYY")</f>
        <v>Jul-2025</v>
      </c>
      <c r="F99" s="37" t="str">
        <f t="shared" si="9"/>
        <v>Q3-2025</v>
      </c>
      <c r="G99" s="32" t="s">
        <v>45</v>
      </c>
      <c r="H99" s="32" t="s">
        <v>116</v>
      </c>
      <c r="I99" s="32" t="s">
        <v>117</v>
      </c>
      <c r="J99" s="32" t="s">
        <v>39</v>
      </c>
      <c r="K99" s="32" t="s">
        <v>40</v>
      </c>
      <c r="L99" s="32" t="s">
        <v>110</v>
      </c>
      <c r="M99" s="32" t="s">
        <v>35</v>
      </c>
      <c r="N99" s="32" t="s">
        <v>296</v>
      </c>
      <c r="O99" s="37">
        <v>547.32000000000005</v>
      </c>
      <c r="P99" s="38" t="str">
        <f t="shared" si="10"/>
        <v>High</v>
      </c>
      <c r="Q99" s="37">
        <v>419.17</v>
      </c>
      <c r="R99" s="37">
        <v>9.1999999999999998E-2</v>
      </c>
      <c r="S99" s="37">
        <v>14</v>
      </c>
      <c r="T99" s="37">
        <f t="shared" si="7"/>
        <v>3615.67416</v>
      </c>
      <c r="U99" s="32">
        <f t="shared" si="8"/>
        <v>7662.4800000000005</v>
      </c>
      <c r="V99" s="37">
        <f t="shared" si="11"/>
        <v>-4046.8058400000004</v>
      </c>
      <c r="W99" s="39">
        <f t="shared" si="12"/>
        <v>-1.1192396385630061</v>
      </c>
    </row>
    <row r="100" spans="1:23" x14ac:dyDescent="0.3">
      <c r="A100" s="40" t="s">
        <v>297</v>
      </c>
      <c r="B100" s="41">
        <v>44985</v>
      </c>
      <c r="C100" s="42">
        <v>45005</v>
      </c>
      <c r="D100" s="43">
        <f t="shared" si="13"/>
        <v>20</v>
      </c>
      <c r="E100" s="43" t="str">
        <f>TEXT(Data!B100,"MMM-YYYY")</f>
        <v>Feb-2023</v>
      </c>
      <c r="F100" s="43" t="str">
        <f t="shared" si="9"/>
        <v>Q1-2023</v>
      </c>
      <c r="G100" s="33" t="s">
        <v>78</v>
      </c>
      <c r="H100" s="33" t="s">
        <v>79</v>
      </c>
      <c r="I100" s="33" t="s">
        <v>80</v>
      </c>
      <c r="J100" s="33" t="s">
        <v>62</v>
      </c>
      <c r="K100" s="33" t="s">
        <v>98</v>
      </c>
      <c r="L100" s="33" t="s">
        <v>92</v>
      </c>
      <c r="M100" s="33" t="s">
        <v>57</v>
      </c>
      <c r="N100" s="33" t="s">
        <v>298</v>
      </c>
      <c r="O100" s="43">
        <v>1200.78</v>
      </c>
      <c r="P100" s="44" t="str">
        <f t="shared" si="10"/>
        <v>High</v>
      </c>
      <c r="Q100" s="43">
        <v>2001.17</v>
      </c>
      <c r="R100" s="43">
        <v>0.29199999999999998</v>
      </c>
      <c r="S100" s="43">
        <v>18</v>
      </c>
      <c r="T100" s="43">
        <f t="shared" si="7"/>
        <v>8854.276319999999</v>
      </c>
      <c r="U100" s="33">
        <f t="shared" si="8"/>
        <v>21614.04</v>
      </c>
      <c r="V100" s="43">
        <f t="shared" si="11"/>
        <v>-12759.763680000002</v>
      </c>
      <c r="W100" s="45">
        <f t="shared" si="12"/>
        <v>-1.4410848745682701</v>
      </c>
    </row>
    <row r="101" spans="1:23" x14ac:dyDescent="0.3">
      <c r="A101" s="34" t="s">
        <v>299</v>
      </c>
      <c r="B101" s="35">
        <v>45684</v>
      </c>
      <c r="C101" s="36">
        <v>45703</v>
      </c>
      <c r="D101" s="37">
        <f t="shared" si="13"/>
        <v>19</v>
      </c>
      <c r="E101" s="37" t="str">
        <f>TEXT(Data!B101,"MMM-YYYY")</f>
        <v>Jan-2025</v>
      </c>
      <c r="F101" s="37" t="str">
        <f t="shared" si="9"/>
        <v>Q1-2025</v>
      </c>
      <c r="G101" s="32" t="s">
        <v>45</v>
      </c>
      <c r="H101" s="32" t="s">
        <v>116</v>
      </c>
      <c r="I101" s="32" t="s">
        <v>117</v>
      </c>
      <c r="J101" s="32" t="s">
        <v>39</v>
      </c>
      <c r="K101" s="32" t="s">
        <v>98</v>
      </c>
      <c r="L101" s="32" t="s">
        <v>49</v>
      </c>
      <c r="M101" s="32" t="s">
        <v>42</v>
      </c>
      <c r="N101" s="32" t="s">
        <v>300</v>
      </c>
      <c r="O101" s="37">
        <v>1253.22</v>
      </c>
      <c r="P101" s="38" t="str">
        <f t="shared" si="10"/>
        <v>High</v>
      </c>
      <c r="Q101" s="37">
        <v>3104.71</v>
      </c>
      <c r="R101" s="37">
        <v>0</v>
      </c>
      <c r="S101" s="37">
        <v>17</v>
      </c>
      <c r="T101" s="37">
        <f t="shared" si="7"/>
        <v>31422.63</v>
      </c>
      <c r="U101" s="32">
        <f t="shared" si="8"/>
        <v>21304.74</v>
      </c>
      <c r="V101" s="37">
        <f t="shared" si="11"/>
        <v>10117.89</v>
      </c>
      <c r="W101" s="39">
        <f t="shared" si="12"/>
        <v>0.3219937350883742</v>
      </c>
    </row>
    <row r="102" spans="1:23" x14ac:dyDescent="0.3">
      <c r="A102" s="40" t="s">
        <v>301</v>
      </c>
      <c r="B102" s="41">
        <v>45304</v>
      </c>
      <c r="C102" s="42">
        <v>45313</v>
      </c>
      <c r="D102" s="43">
        <f t="shared" si="13"/>
        <v>9</v>
      </c>
      <c r="E102" s="43" t="str">
        <f>TEXT(Data!B102,"MMM-YYYY")</f>
        <v>Jan-2024</v>
      </c>
      <c r="F102" s="43" t="str">
        <f t="shared" si="9"/>
        <v>Q1-2024</v>
      </c>
      <c r="G102" s="33" t="s">
        <v>45</v>
      </c>
      <c r="H102" s="33" t="s">
        <v>60</v>
      </c>
      <c r="I102" s="33" t="s">
        <v>220</v>
      </c>
      <c r="J102" s="33" t="s">
        <v>105</v>
      </c>
      <c r="K102" s="33" t="s">
        <v>40</v>
      </c>
      <c r="L102" s="33" t="s">
        <v>29</v>
      </c>
      <c r="M102" s="33" t="s">
        <v>22</v>
      </c>
      <c r="N102" s="33" t="s">
        <v>302</v>
      </c>
      <c r="O102" s="43">
        <v>313.60000000000002</v>
      </c>
      <c r="P102" s="44" t="str">
        <f t="shared" si="10"/>
        <v>High</v>
      </c>
      <c r="Q102" s="43">
        <v>334.28</v>
      </c>
      <c r="R102" s="43">
        <v>0.14000000000000001</v>
      </c>
      <c r="S102" s="43">
        <v>22</v>
      </c>
      <c r="T102" s="43">
        <f t="shared" si="7"/>
        <v>854.99479999999994</v>
      </c>
      <c r="U102" s="33">
        <f t="shared" si="8"/>
        <v>6899.2000000000007</v>
      </c>
      <c r="V102" s="43">
        <f t="shared" si="11"/>
        <v>-6044.2052000000003</v>
      </c>
      <c r="W102" s="45">
        <f t="shared" si="12"/>
        <v>-7.0692888424584579</v>
      </c>
    </row>
    <row r="103" spans="1:23" x14ac:dyDescent="0.3">
      <c r="A103" s="34" t="s">
        <v>303</v>
      </c>
      <c r="B103" s="35">
        <v>45747</v>
      </c>
      <c r="C103" s="36">
        <v>45751</v>
      </c>
      <c r="D103" s="37">
        <f t="shared" si="13"/>
        <v>4</v>
      </c>
      <c r="E103" s="37" t="str">
        <f>TEXT(Data!B103,"MMM-YYYY")</f>
        <v>Mar-2025</v>
      </c>
      <c r="F103" s="37" t="str">
        <f t="shared" si="9"/>
        <v>Q1-2025</v>
      </c>
      <c r="G103" s="32" t="s">
        <v>16</v>
      </c>
      <c r="H103" s="32" t="s">
        <v>17</v>
      </c>
      <c r="I103" s="32" t="s">
        <v>135</v>
      </c>
      <c r="J103" s="32" t="s">
        <v>19</v>
      </c>
      <c r="K103" s="32" t="s">
        <v>98</v>
      </c>
      <c r="L103" s="32" t="s">
        <v>21</v>
      </c>
      <c r="M103" s="32" t="s">
        <v>57</v>
      </c>
      <c r="N103" s="32" t="s">
        <v>304</v>
      </c>
      <c r="O103" s="37">
        <v>862.08</v>
      </c>
      <c r="P103" s="38" t="str">
        <f t="shared" si="10"/>
        <v>High</v>
      </c>
      <c r="Q103" s="37">
        <v>1952.83</v>
      </c>
      <c r="R103" s="37">
        <v>0</v>
      </c>
      <c r="S103" s="37">
        <v>7</v>
      </c>
      <c r="T103" s="37">
        <f t="shared" si="7"/>
        <v>2527.7000000000003</v>
      </c>
      <c r="U103" s="32">
        <f t="shared" si="8"/>
        <v>6034.56</v>
      </c>
      <c r="V103" s="37">
        <f t="shared" si="11"/>
        <v>-3506.86</v>
      </c>
      <c r="W103" s="39">
        <f t="shared" si="12"/>
        <v>-1.3873719191359732</v>
      </c>
    </row>
    <row r="104" spans="1:23" x14ac:dyDescent="0.3">
      <c r="A104" s="40" t="s">
        <v>305</v>
      </c>
      <c r="B104" s="41">
        <v>45631</v>
      </c>
      <c r="C104" s="42">
        <v>45654</v>
      </c>
      <c r="D104" s="43">
        <f t="shared" si="13"/>
        <v>23</v>
      </c>
      <c r="E104" s="43" t="str">
        <f>TEXT(Data!B104,"MMM-YYYY")</f>
        <v>Dec-2024</v>
      </c>
      <c r="F104" s="43" t="str">
        <f t="shared" si="9"/>
        <v>Q4-2024</v>
      </c>
      <c r="G104" s="33" t="s">
        <v>52</v>
      </c>
      <c r="H104" s="33" t="s">
        <v>53</v>
      </c>
      <c r="I104" s="33" t="s">
        <v>179</v>
      </c>
      <c r="J104" s="33" t="s">
        <v>19</v>
      </c>
      <c r="K104" s="33" t="s">
        <v>98</v>
      </c>
      <c r="L104" s="33" t="s">
        <v>84</v>
      </c>
      <c r="M104" s="33" t="s">
        <v>81</v>
      </c>
      <c r="N104" s="33" t="s">
        <v>306</v>
      </c>
      <c r="O104" s="43">
        <v>107.03</v>
      </c>
      <c r="P104" s="44" t="str">
        <f t="shared" si="10"/>
        <v>High</v>
      </c>
      <c r="Q104" s="43">
        <v>242.29</v>
      </c>
      <c r="R104" s="43">
        <v>0.18</v>
      </c>
      <c r="S104" s="43">
        <v>30</v>
      </c>
      <c r="T104" s="43">
        <f t="shared" si="7"/>
        <v>24706.764000000003</v>
      </c>
      <c r="U104" s="33">
        <f t="shared" si="8"/>
        <v>3210.9</v>
      </c>
      <c r="V104" s="43">
        <f t="shared" si="11"/>
        <v>21495.864000000001</v>
      </c>
      <c r="W104" s="45">
        <f t="shared" si="12"/>
        <v>0.87003963772835646</v>
      </c>
    </row>
    <row r="105" spans="1:23" x14ac:dyDescent="0.3">
      <c r="A105" s="34" t="s">
        <v>307</v>
      </c>
      <c r="B105" s="35">
        <v>45549</v>
      </c>
      <c r="C105" s="36">
        <v>45570</v>
      </c>
      <c r="D105" s="37">
        <f t="shared" si="13"/>
        <v>21</v>
      </c>
      <c r="E105" s="37" t="str">
        <f>TEXT(Data!B105,"MMM-YYYY")</f>
        <v>Sep-2024</v>
      </c>
      <c r="F105" s="37" t="str">
        <f t="shared" si="9"/>
        <v>Q3-2024</v>
      </c>
      <c r="G105" s="32" t="s">
        <v>45</v>
      </c>
      <c r="H105" s="32" t="s">
        <v>116</v>
      </c>
      <c r="I105" s="32" t="s">
        <v>162</v>
      </c>
      <c r="J105" s="32" t="s">
        <v>62</v>
      </c>
      <c r="K105" s="32" t="s">
        <v>28</v>
      </c>
      <c r="L105" s="32" t="s">
        <v>92</v>
      </c>
      <c r="M105" s="32" t="s">
        <v>57</v>
      </c>
      <c r="N105" s="32" t="s">
        <v>308</v>
      </c>
      <c r="O105" s="37">
        <v>1405.56</v>
      </c>
      <c r="P105" s="38" t="str">
        <f t="shared" si="10"/>
        <v>High</v>
      </c>
      <c r="Q105" s="37">
        <v>2968.87</v>
      </c>
      <c r="R105" s="37">
        <v>0.16900000000000001</v>
      </c>
      <c r="S105" s="37">
        <v>5</v>
      </c>
      <c r="T105" s="37">
        <f t="shared" si="7"/>
        <v>4270.2181499999997</v>
      </c>
      <c r="U105" s="32">
        <f t="shared" si="8"/>
        <v>7027.7999999999993</v>
      </c>
      <c r="V105" s="37">
        <f t="shared" si="11"/>
        <v>-2757.5818499999996</v>
      </c>
      <c r="W105" s="39">
        <f t="shared" si="12"/>
        <v>-0.64577072016800818</v>
      </c>
    </row>
    <row r="106" spans="1:23" x14ac:dyDescent="0.3">
      <c r="A106" s="40" t="s">
        <v>309</v>
      </c>
      <c r="B106" s="41">
        <v>45433</v>
      </c>
      <c r="C106" s="42">
        <v>45439</v>
      </c>
      <c r="D106" s="43">
        <f t="shared" si="13"/>
        <v>6</v>
      </c>
      <c r="E106" s="43" t="str">
        <f>TEXT(Data!B106,"MMM-YYYY")</f>
        <v>May-2024</v>
      </c>
      <c r="F106" s="43" t="str">
        <f t="shared" si="9"/>
        <v>Q2-2024</v>
      </c>
      <c r="G106" s="33" t="s">
        <v>16</v>
      </c>
      <c r="H106" s="33" t="s">
        <v>148</v>
      </c>
      <c r="I106" s="33" t="s">
        <v>149</v>
      </c>
      <c r="J106" s="33" t="s">
        <v>39</v>
      </c>
      <c r="K106" s="33" t="s">
        <v>28</v>
      </c>
      <c r="L106" s="33" t="s">
        <v>110</v>
      </c>
      <c r="M106" s="33" t="s">
        <v>22</v>
      </c>
      <c r="N106" s="33" t="s">
        <v>310</v>
      </c>
      <c r="O106" s="43">
        <v>1157.51</v>
      </c>
      <c r="P106" s="44" t="str">
        <f t="shared" si="10"/>
        <v>High</v>
      </c>
      <c r="Q106" s="43">
        <v>1394.3</v>
      </c>
      <c r="R106" s="43">
        <v>0.27800000000000002</v>
      </c>
      <c r="S106" s="43">
        <v>12</v>
      </c>
      <c r="T106" s="43">
        <f t="shared" si="7"/>
        <v>4055.5317599999998</v>
      </c>
      <c r="U106" s="33">
        <f t="shared" si="8"/>
        <v>13890.119999999999</v>
      </c>
      <c r="V106" s="43">
        <f t="shared" si="11"/>
        <v>-9834.5882399999991</v>
      </c>
      <c r="W106" s="45">
        <f t="shared" si="12"/>
        <v>-2.4249811916156712</v>
      </c>
    </row>
    <row r="107" spans="1:23" x14ac:dyDescent="0.3">
      <c r="A107" s="34" t="s">
        <v>311</v>
      </c>
      <c r="B107" s="35">
        <v>45057</v>
      </c>
      <c r="C107" s="36">
        <v>45084</v>
      </c>
      <c r="D107" s="37">
        <f t="shared" si="13"/>
        <v>27</v>
      </c>
      <c r="E107" s="37" t="str">
        <f>TEXT(Data!B107,"MMM-YYYY")</f>
        <v>May-2023</v>
      </c>
      <c r="F107" s="37" t="str">
        <f t="shared" si="9"/>
        <v>Q2-2023</v>
      </c>
      <c r="G107" s="32" t="s">
        <v>16</v>
      </c>
      <c r="H107" s="32" t="s">
        <v>17</v>
      </c>
      <c r="I107" s="32" t="s">
        <v>113</v>
      </c>
      <c r="J107" s="32" t="s">
        <v>19</v>
      </c>
      <c r="K107" s="32" t="s">
        <v>28</v>
      </c>
      <c r="L107" s="32" t="s">
        <v>29</v>
      </c>
      <c r="M107" s="32" t="s">
        <v>42</v>
      </c>
      <c r="N107" s="32" t="s">
        <v>312</v>
      </c>
      <c r="O107" s="37">
        <v>12.85</v>
      </c>
      <c r="P107" s="38" t="str">
        <f t="shared" si="10"/>
        <v>Low</v>
      </c>
      <c r="Q107" s="37">
        <v>15.41</v>
      </c>
      <c r="R107" s="37">
        <v>0.13700000000000001</v>
      </c>
      <c r="S107" s="37">
        <v>39</v>
      </c>
      <c r="T107" s="37">
        <f t="shared" si="7"/>
        <v>22483.549139999999</v>
      </c>
      <c r="U107" s="32">
        <f t="shared" si="8"/>
        <v>501.15</v>
      </c>
      <c r="V107" s="37">
        <f t="shared" si="11"/>
        <v>21982.399139999998</v>
      </c>
      <c r="W107" s="39">
        <f t="shared" si="12"/>
        <v>0.97771036961827273</v>
      </c>
    </row>
    <row r="108" spans="1:23" x14ac:dyDescent="0.3">
      <c r="A108" s="40" t="s">
        <v>313</v>
      </c>
      <c r="B108" s="41">
        <v>45518</v>
      </c>
      <c r="C108" s="42">
        <v>45539</v>
      </c>
      <c r="D108" s="43">
        <f t="shared" si="13"/>
        <v>21</v>
      </c>
      <c r="E108" s="43" t="str">
        <f>TEXT(Data!B108,"MMM-YYYY")</f>
        <v>Aug-2024</v>
      </c>
      <c r="F108" s="43" t="str">
        <f t="shared" si="9"/>
        <v>Q3-2024</v>
      </c>
      <c r="G108" s="33" t="s">
        <v>78</v>
      </c>
      <c r="H108" s="33" t="s">
        <v>108</v>
      </c>
      <c r="I108" s="33" t="s">
        <v>228</v>
      </c>
      <c r="J108" s="33" t="s">
        <v>39</v>
      </c>
      <c r="K108" s="33" t="s">
        <v>28</v>
      </c>
      <c r="L108" s="33" t="s">
        <v>29</v>
      </c>
      <c r="M108" s="33" t="s">
        <v>42</v>
      </c>
      <c r="N108" s="33" t="s">
        <v>314</v>
      </c>
      <c r="O108" s="43">
        <v>1138.8</v>
      </c>
      <c r="P108" s="44" t="str">
        <f t="shared" si="10"/>
        <v>High</v>
      </c>
      <c r="Q108" s="43">
        <v>2250.81</v>
      </c>
      <c r="R108" s="43">
        <v>0.123</v>
      </c>
      <c r="S108" s="43">
        <v>12</v>
      </c>
      <c r="T108" s="43">
        <f t="shared" si="7"/>
        <v>5654.22948</v>
      </c>
      <c r="U108" s="33">
        <f t="shared" si="8"/>
        <v>13665.599999999999</v>
      </c>
      <c r="V108" s="43">
        <f t="shared" si="11"/>
        <v>-8011.3705199999986</v>
      </c>
      <c r="W108" s="45">
        <f t="shared" si="12"/>
        <v>-1.4168810353979475</v>
      </c>
    </row>
    <row r="109" spans="1:23" x14ac:dyDescent="0.3">
      <c r="A109" s="34" t="s">
        <v>315</v>
      </c>
      <c r="B109" s="35">
        <v>45581</v>
      </c>
      <c r="C109" s="36">
        <v>45604</v>
      </c>
      <c r="D109" s="37">
        <f t="shared" si="13"/>
        <v>23</v>
      </c>
      <c r="E109" s="37" t="str">
        <f>TEXT(Data!B109,"MMM-YYYY")</f>
        <v>Oct-2024</v>
      </c>
      <c r="F109" s="37" t="str">
        <f t="shared" si="9"/>
        <v>Q4-2024</v>
      </c>
      <c r="G109" s="32" t="s">
        <v>45</v>
      </c>
      <c r="H109" s="32" t="s">
        <v>46</v>
      </c>
      <c r="I109" s="32" t="s">
        <v>47</v>
      </c>
      <c r="J109" s="32" t="s">
        <v>62</v>
      </c>
      <c r="K109" s="32" t="s">
        <v>20</v>
      </c>
      <c r="L109" s="32" t="s">
        <v>29</v>
      </c>
      <c r="M109" s="32" t="s">
        <v>35</v>
      </c>
      <c r="N109" s="32" t="s">
        <v>316</v>
      </c>
      <c r="O109" s="37">
        <v>82.14</v>
      </c>
      <c r="P109" s="38" t="str">
        <f t="shared" si="10"/>
        <v>Medium</v>
      </c>
      <c r="Q109" s="37">
        <v>166.04</v>
      </c>
      <c r="R109" s="37">
        <v>0</v>
      </c>
      <c r="S109" s="37">
        <v>10</v>
      </c>
      <c r="T109" s="37">
        <f t="shared" si="7"/>
        <v>5727.1</v>
      </c>
      <c r="U109" s="32">
        <f t="shared" si="8"/>
        <v>821.4</v>
      </c>
      <c r="V109" s="37">
        <f t="shared" si="11"/>
        <v>4905.7000000000007</v>
      </c>
      <c r="W109" s="39">
        <f t="shared" si="12"/>
        <v>0.85657662691414516</v>
      </c>
    </row>
    <row r="110" spans="1:23" x14ac:dyDescent="0.3">
      <c r="A110" s="40" t="s">
        <v>317</v>
      </c>
      <c r="B110" s="41">
        <v>45445</v>
      </c>
      <c r="C110" s="42">
        <v>45451</v>
      </c>
      <c r="D110" s="43">
        <f t="shared" si="13"/>
        <v>6</v>
      </c>
      <c r="E110" s="43" t="str">
        <f>TEXT(Data!B110,"MMM-YYYY")</f>
        <v>Jun-2024</v>
      </c>
      <c r="F110" s="43" t="str">
        <f t="shared" si="9"/>
        <v>Q2-2024</v>
      </c>
      <c r="G110" s="33" t="s">
        <v>16</v>
      </c>
      <c r="H110" s="33" t="s">
        <v>17</v>
      </c>
      <c r="I110" s="33" t="s">
        <v>18</v>
      </c>
      <c r="J110" s="33" t="s">
        <v>48</v>
      </c>
      <c r="K110" s="33" t="s">
        <v>40</v>
      </c>
      <c r="L110" s="33" t="s">
        <v>75</v>
      </c>
      <c r="M110" s="33" t="s">
        <v>81</v>
      </c>
      <c r="N110" s="33" t="s">
        <v>318</v>
      </c>
      <c r="O110" s="43">
        <v>292.94</v>
      </c>
      <c r="P110" s="44" t="str">
        <f t="shared" si="10"/>
        <v>High</v>
      </c>
      <c r="Q110" s="43">
        <v>356.55</v>
      </c>
      <c r="R110" s="43">
        <v>0.22900000000000001</v>
      </c>
      <c r="S110" s="43">
        <v>2</v>
      </c>
      <c r="T110" s="43">
        <f t="shared" si="7"/>
        <v>3583.4075399999997</v>
      </c>
      <c r="U110" s="33">
        <f t="shared" si="8"/>
        <v>585.88</v>
      </c>
      <c r="V110" s="43">
        <f t="shared" si="11"/>
        <v>2997.5275399999996</v>
      </c>
      <c r="W110" s="45">
        <f t="shared" si="12"/>
        <v>0.83650199050482543</v>
      </c>
    </row>
    <row r="111" spans="1:23" x14ac:dyDescent="0.3">
      <c r="A111" s="34" t="s">
        <v>319</v>
      </c>
      <c r="B111" s="35">
        <v>45452</v>
      </c>
      <c r="C111" s="36">
        <v>45480</v>
      </c>
      <c r="D111" s="37">
        <f t="shared" si="13"/>
        <v>28</v>
      </c>
      <c r="E111" s="37" t="str">
        <f>TEXT(Data!B111,"MMM-YYYY")</f>
        <v>Jun-2024</v>
      </c>
      <c r="F111" s="37" t="str">
        <f t="shared" si="9"/>
        <v>Q2-2024</v>
      </c>
      <c r="G111" s="32" t="s">
        <v>45</v>
      </c>
      <c r="H111" s="32" t="s">
        <v>116</v>
      </c>
      <c r="I111" s="32" t="s">
        <v>117</v>
      </c>
      <c r="J111" s="32" t="s">
        <v>19</v>
      </c>
      <c r="K111" s="32" t="s">
        <v>28</v>
      </c>
      <c r="L111" s="32" t="s">
        <v>29</v>
      </c>
      <c r="M111" s="32" t="s">
        <v>22</v>
      </c>
      <c r="N111" s="32" t="s">
        <v>320</v>
      </c>
      <c r="O111" s="37">
        <v>550.22</v>
      </c>
      <c r="P111" s="38" t="str">
        <f t="shared" si="10"/>
        <v>High</v>
      </c>
      <c r="Q111" s="37">
        <v>1025.05</v>
      </c>
      <c r="R111" s="37">
        <v>0</v>
      </c>
      <c r="S111" s="37">
        <v>27</v>
      </c>
      <c r="T111" s="37">
        <f t="shared" si="7"/>
        <v>44038.080000000002</v>
      </c>
      <c r="U111" s="32">
        <f t="shared" si="8"/>
        <v>14855.94</v>
      </c>
      <c r="V111" s="37">
        <f t="shared" si="11"/>
        <v>29182.14</v>
      </c>
      <c r="W111" s="39">
        <f t="shared" si="12"/>
        <v>0.66265695507161071</v>
      </c>
    </row>
    <row r="112" spans="1:23" x14ac:dyDescent="0.3">
      <c r="A112" s="40" t="s">
        <v>321</v>
      </c>
      <c r="B112" s="41">
        <v>45453</v>
      </c>
      <c r="C112" s="42">
        <v>45454</v>
      </c>
      <c r="D112" s="43">
        <f t="shared" si="13"/>
        <v>1</v>
      </c>
      <c r="E112" s="43" t="str">
        <f>TEXT(Data!B112,"MMM-YYYY")</f>
        <v>Jun-2024</v>
      </c>
      <c r="F112" s="43" t="str">
        <f t="shared" si="9"/>
        <v>Q2-2024</v>
      </c>
      <c r="G112" s="33" t="s">
        <v>78</v>
      </c>
      <c r="H112" s="33" t="s">
        <v>108</v>
      </c>
      <c r="I112" s="33" t="s">
        <v>109</v>
      </c>
      <c r="J112" s="33" t="s">
        <v>62</v>
      </c>
      <c r="K112" s="33" t="s">
        <v>40</v>
      </c>
      <c r="L112" s="33" t="s">
        <v>110</v>
      </c>
      <c r="M112" s="33" t="s">
        <v>57</v>
      </c>
      <c r="N112" s="33" t="s">
        <v>322</v>
      </c>
      <c r="O112" s="43">
        <v>1187.1300000000001</v>
      </c>
      <c r="P112" s="44" t="str">
        <f t="shared" si="10"/>
        <v>High</v>
      </c>
      <c r="Q112" s="43">
        <v>1795.17</v>
      </c>
      <c r="R112" s="43">
        <v>1.2E-2</v>
      </c>
      <c r="S112" s="43">
        <v>17</v>
      </c>
      <c r="T112" s="43">
        <f t="shared" si="7"/>
        <v>6606.0347600000005</v>
      </c>
      <c r="U112" s="33">
        <f t="shared" si="8"/>
        <v>20181.210000000003</v>
      </c>
      <c r="V112" s="43">
        <f t="shared" si="11"/>
        <v>-13575.175240000002</v>
      </c>
      <c r="W112" s="45">
        <f t="shared" si="12"/>
        <v>-2.0549657598229172</v>
      </c>
    </row>
    <row r="113" spans="1:23" x14ac:dyDescent="0.3">
      <c r="A113" s="34" t="s">
        <v>323</v>
      </c>
      <c r="B113" s="35">
        <v>45472</v>
      </c>
      <c r="C113" s="36">
        <v>45499</v>
      </c>
      <c r="D113" s="37">
        <f t="shared" si="13"/>
        <v>27</v>
      </c>
      <c r="E113" s="37" t="str">
        <f>TEXT(Data!B113,"MMM-YYYY")</f>
        <v>Jun-2024</v>
      </c>
      <c r="F113" s="37" t="str">
        <f t="shared" si="9"/>
        <v>Q2-2024</v>
      </c>
      <c r="G113" s="32" t="s">
        <v>16</v>
      </c>
      <c r="H113" s="32" t="s">
        <v>148</v>
      </c>
      <c r="I113" s="32" t="s">
        <v>172</v>
      </c>
      <c r="J113" s="32" t="s">
        <v>105</v>
      </c>
      <c r="K113" s="32" t="s">
        <v>55</v>
      </c>
      <c r="L113" s="32" t="s">
        <v>56</v>
      </c>
      <c r="M113" s="32" t="s">
        <v>35</v>
      </c>
      <c r="N113" s="32" t="s">
        <v>324</v>
      </c>
      <c r="O113" s="37">
        <v>5.36</v>
      </c>
      <c r="P113" s="38" t="str">
        <f t="shared" si="10"/>
        <v>Low</v>
      </c>
      <c r="Q113" s="37">
        <v>4.37</v>
      </c>
      <c r="R113" s="37">
        <v>0.11799999999999999</v>
      </c>
      <c r="S113" s="37">
        <v>9</v>
      </c>
      <c r="T113" s="37">
        <f t="shared" si="7"/>
        <v>14734.198080000002</v>
      </c>
      <c r="U113" s="32">
        <f t="shared" si="8"/>
        <v>48.24</v>
      </c>
      <c r="V113" s="37">
        <f t="shared" si="11"/>
        <v>14685.958080000002</v>
      </c>
      <c r="W113" s="39">
        <f t="shared" si="12"/>
        <v>0.99672598401771995</v>
      </c>
    </row>
    <row r="114" spans="1:23" x14ac:dyDescent="0.3">
      <c r="A114" s="40" t="s">
        <v>325</v>
      </c>
      <c r="B114" s="41">
        <v>45674</v>
      </c>
      <c r="C114" s="42">
        <v>45681</v>
      </c>
      <c r="D114" s="43">
        <f t="shared" si="13"/>
        <v>7</v>
      </c>
      <c r="E114" s="43" t="str">
        <f>TEXT(Data!B114,"MMM-YYYY")</f>
        <v>Jan-2025</v>
      </c>
      <c r="F114" s="43" t="str">
        <f t="shared" si="9"/>
        <v>Q1-2025</v>
      </c>
      <c r="G114" s="33" t="s">
        <v>52</v>
      </c>
      <c r="H114" s="33" t="s">
        <v>122</v>
      </c>
      <c r="I114" s="33" t="s">
        <v>326</v>
      </c>
      <c r="J114" s="33" t="s">
        <v>105</v>
      </c>
      <c r="K114" s="33" t="s">
        <v>28</v>
      </c>
      <c r="L114" s="33" t="s">
        <v>41</v>
      </c>
      <c r="M114" s="33" t="s">
        <v>81</v>
      </c>
      <c r="N114" s="33" t="s">
        <v>327</v>
      </c>
      <c r="O114" s="43">
        <v>142.09</v>
      </c>
      <c r="P114" s="44" t="str">
        <f t="shared" si="10"/>
        <v>High</v>
      </c>
      <c r="Q114" s="43">
        <v>218.5</v>
      </c>
      <c r="R114" s="43">
        <v>0.11899999999999999</v>
      </c>
      <c r="S114" s="43">
        <v>11</v>
      </c>
      <c r="T114" s="43">
        <f t="shared" si="7"/>
        <v>822.7659000000001</v>
      </c>
      <c r="U114" s="33">
        <f t="shared" si="8"/>
        <v>1562.99</v>
      </c>
      <c r="V114" s="43">
        <f t="shared" si="11"/>
        <v>-740.22409999999991</v>
      </c>
      <c r="W114" s="45">
        <f t="shared" si="12"/>
        <v>-0.89967766043779862</v>
      </c>
    </row>
    <row r="115" spans="1:23" x14ac:dyDescent="0.3">
      <c r="A115" s="34" t="s">
        <v>328</v>
      </c>
      <c r="B115" s="35">
        <v>45250</v>
      </c>
      <c r="C115" s="36">
        <v>45265</v>
      </c>
      <c r="D115" s="37">
        <f t="shared" si="13"/>
        <v>15</v>
      </c>
      <c r="E115" s="37" t="str">
        <f>TEXT(Data!B115,"MMM-YYYY")</f>
        <v>Nov-2023</v>
      </c>
      <c r="F115" s="37" t="str">
        <f t="shared" si="9"/>
        <v>Q4-2023</v>
      </c>
      <c r="G115" s="32" t="s">
        <v>45</v>
      </c>
      <c r="H115" s="32" t="s">
        <v>46</v>
      </c>
      <c r="I115" s="32" t="s">
        <v>214</v>
      </c>
      <c r="J115" s="32" t="s">
        <v>105</v>
      </c>
      <c r="K115" s="32" t="s">
        <v>20</v>
      </c>
      <c r="L115" s="32" t="s">
        <v>49</v>
      </c>
      <c r="M115" s="32" t="s">
        <v>35</v>
      </c>
      <c r="N115" s="32" t="s">
        <v>329</v>
      </c>
      <c r="O115" s="37">
        <v>354.24</v>
      </c>
      <c r="P115" s="38" t="str">
        <f t="shared" si="10"/>
        <v>High</v>
      </c>
      <c r="Q115" s="37">
        <v>249.87</v>
      </c>
      <c r="R115" s="37">
        <v>0</v>
      </c>
      <c r="S115" s="37">
        <v>6</v>
      </c>
      <c r="T115" s="37">
        <f t="shared" si="7"/>
        <v>13513.439999999999</v>
      </c>
      <c r="U115" s="32">
        <f t="shared" si="8"/>
        <v>2125.44</v>
      </c>
      <c r="V115" s="37">
        <f t="shared" si="11"/>
        <v>11387.999999999998</v>
      </c>
      <c r="W115" s="39">
        <f t="shared" si="12"/>
        <v>0.84271658437821895</v>
      </c>
    </row>
    <row r="116" spans="1:23" x14ac:dyDescent="0.3">
      <c r="A116" s="40" t="s">
        <v>330</v>
      </c>
      <c r="B116" s="41">
        <v>44987</v>
      </c>
      <c r="C116" s="42">
        <v>44990</v>
      </c>
      <c r="D116" s="43">
        <f t="shared" si="13"/>
        <v>3</v>
      </c>
      <c r="E116" s="43" t="str">
        <f>TEXT(Data!B116,"MMM-YYYY")</f>
        <v>Mar-2023</v>
      </c>
      <c r="F116" s="43" t="str">
        <f t="shared" si="9"/>
        <v>Q1-2023</v>
      </c>
      <c r="G116" s="33" t="s">
        <v>52</v>
      </c>
      <c r="H116" s="33" t="s">
        <v>73</v>
      </c>
      <c r="I116" s="33" t="s">
        <v>87</v>
      </c>
      <c r="J116" s="33" t="s">
        <v>105</v>
      </c>
      <c r="K116" s="33" t="s">
        <v>98</v>
      </c>
      <c r="L116" s="33" t="s">
        <v>41</v>
      </c>
      <c r="M116" s="33" t="s">
        <v>64</v>
      </c>
      <c r="N116" s="33" t="s">
        <v>331</v>
      </c>
      <c r="O116" s="43">
        <v>1473.58</v>
      </c>
      <c r="P116" s="44" t="str">
        <f t="shared" si="10"/>
        <v>High</v>
      </c>
      <c r="Q116" s="43">
        <v>3436.52</v>
      </c>
      <c r="R116" s="43">
        <v>0.108</v>
      </c>
      <c r="S116" s="43">
        <v>8</v>
      </c>
      <c r="T116" s="43">
        <f t="shared" si="7"/>
        <v>6576.6803200000004</v>
      </c>
      <c r="U116" s="33">
        <f t="shared" si="8"/>
        <v>11788.64</v>
      </c>
      <c r="V116" s="43">
        <f t="shared" si="11"/>
        <v>-5211.959679999999</v>
      </c>
      <c r="W116" s="45">
        <f t="shared" si="12"/>
        <v>-0.79249095689662452</v>
      </c>
    </row>
    <row r="117" spans="1:23" x14ac:dyDescent="0.3">
      <c r="A117" s="34" t="s">
        <v>332</v>
      </c>
      <c r="B117" s="35">
        <v>45811</v>
      </c>
      <c r="C117" s="36">
        <v>45818</v>
      </c>
      <c r="D117" s="37">
        <f t="shared" si="13"/>
        <v>7</v>
      </c>
      <c r="E117" s="37" t="str">
        <f>TEXT(Data!B117,"MMM-YYYY")</f>
        <v>Jun-2025</v>
      </c>
      <c r="F117" s="37" t="str">
        <f t="shared" si="9"/>
        <v>Q2-2025</v>
      </c>
      <c r="G117" s="32" t="s">
        <v>52</v>
      </c>
      <c r="H117" s="32" t="s">
        <v>53</v>
      </c>
      <c r="I117" s="32" t="s">
        <v>54</v>
      </c>
      <c r="J117" s="32" t="s">
        <v>48</v>
      </c>
      <c r="K117" s="32" t="s">
        <v>55</v>
      </c>
      <c r="L117" s="32" t="s">
        <v>68</v>
      </c>
      <c r="M117" s="32" t="s">
        <v>30</v>
      </c>
      <c r="N117" s="32" t="s">
        <v>333</v>
      </c>
      <c r="O117" s="37">
        <v>75.180000000000007</v>
      </c>
      <c r="P117" s="38" t="str">
        <f t="shared" si="10"/>
        <v>Medium</v>
      </c>
      <c r="Q117" s="37">
        <v>53.45</v>
      </c>
      <c r="R117" s="37">
        <v>0.157</v>
      </c>
      <c r="S117" s="37">
        <v>17</v>
      </c>
      <c r="T117" s="37">
        <f t="shared" si="7"/>
        <v>23548.41258</v>
      </c>
      <c r="U117" s="32">
        <f t="shared" si="8"/>
        <v>1278.0600000000002</v>
      </c>
      <c r="V117" s="37">
        <f t="shared" si="11"/>
        <v>22270.352579999999</v>
      </c>
      <c r="W117" s="39">
        <f t="shared" si="12"/>
        <v>0.94572627791117114</v>
      </c>
    </row>
    <row r="118" spans="1:23" x14ac:dyDescent="0.3">
      <c r="A118" s="40" t="s">
        <v>334</v>
      </c>
      <c r="B118" s="41">
        <v>45653</v>
      </c>
      <c r="C118" s="42">
        <v>45659</v>
      </c>
      <c r="D118" s="43">
        <f t="shared" si="13"/>
        <v>6</v>
      </c>
      <c r="E118" s="43" t="str">
        <f>TEXT(Data!B118,"MMM-YYYY")</f>
        <v>Dec-2024</v>
      </c>
      <c r="F118" s="43" t="str">
        <f t="shared" si="9"/>
        <v>Q4-2024</v>
      </c>
      <c r="G118" s="33" t="s">
        <v>78</v>
      </c>
      <c r="H118" s="33" t="s">
        <v>79</v>
      </c>
      <c r="I118" s="33" t="s">
        <v>335</v>
      </c>
      <c r="J118" s="33" t="s">
        <v>27</v>
      </c>
      <c r="K118" s="33" t="s">
        <v>98</v>
      </c>
      <c r="L118" s="33" t="s">
        <v>84</v>
      </c>
      <c r="M118" s="33" t="s">
        <v>57</v>
      </c>
      <c r="N118" s="33" t="s">
        <v>336</v>
      </c>
      <c r="O118" s="43">
        <v>1391.99</v>
      </c>
      <c r="P118" s="44" t="str">
        <f t="shared" si="10"/>
        <v>High</v>
      </c>
      <c r="Q118" s="43">
        <v>3469.7</v>
      </c>
      <c r="R118" s="43">
        <v>0.184</v>
      </c>
      <c r="S118" s="43">
        <v>23</v>
      </c>
      <c r="T118" s="43">
        <f t="shared" si="7"/>
        <v>27535.846560000005</v>
      </c>
      <c r="U118" s="33">
        <f t="shared" si="8"/>
        <v>32015.77</v>
      </c>
      <c r="V118" s="43">
        <f t="shared" si="11"/>
        <v>-4479.923439999995</v>
      </c>
      <c r="W118" s="45">
        <f t="shared" si="12"/>
        <v>-0.16269423314218215</v>
      </c>
    </row>
    <row r="119" spans="1:23" x14ac:dyDescent="0.3">
      <c r="A119" s="34" t="s">
        <v>337</v>
      </c>
      <c r="B119" s="35">
        <v>45086</v>
      </c>
      <c r="C119" s="36">
        <v>45096</v>
      </c>
      <c r="D119" s="37">
        <f t="shared" si="13"/>
        <v>10</v>
      </c>
      <c r="E119" s="37" t="str">
        <f>TEXT(Data!B119,"MMM-YYYY")</f>
        <v>Jun-2023</v>
      </c>
      <c r="F119" s="37" t="str">
        <f t="shared" si="9"/>
        <v>Q2-2023</v>
      </c>
      <c r="G119" s="32" t="s">
        <v>45</v>
      </c>
      <c r="H119" s="32" t="s">
        <v>116</v>
      </c>
      <c r="I119" s="32" t="s">
        <v>338</v>
      </c>
      <c r="J119" s="32" t="s">
        <v>105</v>
      </c>
      <c r="K119" s="32" t="s">
        <v>20</v>
      </c>
      <c r="L119" s="32" t="s">
        <v>84</v>
      </c>
      <c r="M119" s="32" t="s">
        <v>64</v>
      </c>
      <c r="N119" s="32" t="s">
        <v>339</v>
      </c>
      <c r="O119" s="37">
        <v>339.61</v>
      </c>
      <c r="P119" s="38" t="str">
        <f t="shared" si="10"/>
        <v>High</v>
      </c>
      <c r="Q119" s="37">
        <v>621.02</v>
      </c>
      <c r="R119" s="37">
        <v>7.0999999999999994E-2</v>
      </c>
      <c r="S119" s="37">
        <v>10</v>
      </c>
      <c r="T119" s="37">
        <f t="shared" si="7"/>
        <v>9278.4804000000004</v>
      </c>
      <c r="U119" s="32">
        <f t="shared" si="8"/>
        <v>3396.1000000000004</v>
      </c>
      <c r="V119" s="37">
        <f t="shared" si="11"/>
        <v>5882.3804</v>
      </c>
      <c r="W119" s="39">
        <f t="shared" si="12"/>
        <v>0.63398101266668616</v>
      </c>
    </row>
    <row r="120" spans="1:23" x14ac:dyDescent="0.3">
      <c r="A120" s="40" t="s">
        <v>340</v>
      </c>
      <c r="B120" s="41">
        <v>45847</v>
      </c>
      <c r="C120" s="42">
        <v>45856</v>
      </c>
      <c r="D120" s="43">
        <f t="shared" si="13"/>
        <v>9</v>
      </c>
      <c r="E120" s="43" t="str">
        <f>TEXT(Data!B120,"MMM-YYYY")</f>
        <v>Jul-2025</v>
      </c>
      <c r="F120" s="43" t="str">
        <f t="shared" si="9"/>
        <v>Q3-2025</v>
      </c>
      <c r="G120" s="33" t="s">
        <v>52</v>
      </c>
      <c r="H120" s="33" t="s">
        <v>53</v>
      </c>
      <c r="I120" s="33" t="s">
        <v>179</v>
      </c>
      <c r="J120" s="33" t="s">
        <v>27</v>
      </c>
      <c r="K120" s="33" t="s">
        <v>55</v>
      </c>
      <c r="L120" s="33" t="s">
        <v>34</v>
      </c>
      <c r="M120" s="33" t="s">
        <v>57</v>
      </c>
      <c r="N120" s="33" t="s">
        <v>341</v>
      </c>
      <c r="O120" s="43">
        <v>57.96</v>
      </c>
      <c r="P120" s="44" t="str">
        <f t="shared" si="10"/>
        <v>Medium</v>
      </c>
      <c r="Q120" s="43">
        <v>88.51</v>
      </c>
      <c r="R120" s="43">
        <v>4.2999999999999997E-2</v>
      </c>
      <c r="S120" s="43">
        <v>7</v>
      </c>
      <c r="T120" s="43">
        <f t="shared" si="7"/>
        <v>4225.1932799999995</v>
      </c>
      <c r="U120" s="33">
        <f t="shared" si="8"/>
        <v>405.72</v>
      </c>
      <c r="V120" s="43">
        <f t="shared" si="11"/>
        <v>3819.4732799999992</v>
      </c>
      <c r="W120" s="45">
        <f t="shared" si="12"/>
        <v>0.90397599041907017</v>
      </c>
    </row>
    <row r="121" spans="1:23" x14ac:dyDescent="0.3">
      <c r="A121" s="34" t="s">
        <v>342</v>
      </c>
      <c r="B121" s="35">
        <v>45827</v>
      </c>
      <c r="C121" s="36">
        <v>45850</v>
      </c>
      <c r="D121" s="37">
        <f t="shared" si="13"/>
        <v>23</v>
      </c>
      <c r="E121" s="37" t="str">
        <f>TEXT(Data!B121,"MMM-YYYY")</f>
        <v>Jun-2025</v>
      </c>
      <c r="F121" s="37" t="str">
        <f t="shared" si="9"/>
        <v>Q2-2025</v>
      </c>
      <c r="G121" s="32" t="s">
        <v>78</v>
      </c>
      <c r="H121" s="32" t="s">
        <v>108</v>
      </c>
      <c r="I121" s="32" t="s">
        <v>1364</v>
      </c>
      <c r="J121" s="32" t="s">
        <v>39</v>
      </c>
      <c r="K121" s="32" t="s">
        <v>98</v>
      </c>
      <c r="L121" s="32" t="s">
        <v>1364</v>
      </c>
      <c r="M121" s="32" t="s">
        <v>35</v>
      </c>
      <c r="N121" s="32" t="s">
        <v>343</v>
      </c>
      <c r="O121" s="37">
        <v>801.24</v>
      </c>
      <c r="P121" s="38" t="str">
        <f t="shared" si="10"/>
        <v>High</v>
      </c>
      <c r="Q121" s="37">
        <v>1959.09</v>
      </c>
      <c r="R121" s="37">
        <v>0.123</v>
      </c>
      <c r="S121" s="37">
        <v>23</v>
      </c>
      <c r="T121" s="37">
        <f t="shared" si="7"/>
        <v>14696.792309999999</v>
      </c>
      <c r="U121" s="32">
        <f t="shared" si="8"/>
        <v>18428.52</v>
      </c>
      <c r="V121" s="37">
        <f t="shared" si="11"/>
        <v>-3731.7276900000015</v>
      </c>
      <c r="W121" s="39">
        <f t="shared" si="12"/>
        <v>-0.25391443325091134</v>
      </c>
    </row>
    <row r="122" spans="1:23" x14ac:dyDescent="0.3">
      <c r="A122" s="40" t="s">
        <v>344</v>
      </c>
      <c r="B122" s="41">
        <v>45249</v>
      </c>
      <c r="C122" s="42">
        <v>45273</v>
      </c>
      <c r="D122" s="43">
        <f t="shared" si="13"/>
        <v>24</v>
      </c>
      <c r="E122" s="43" t="str">
        <f>TEXT(Data!B122,"MMM-YYYY")</f>
        <v>Nov-2023</v>
      </c>
      <c r="F122" s="43" t="str">
        <f t="shared" si="9"/>
        <v>Q4-2023</v>
      </c>
      <c r="G122" s="33" t="s">
        <v>78</v>
      </c>
      <c r="H122" s="33" t="s">
        <v>90</v>
      </c>
      <c r="I122" s="33" t="s">
        <v>138</v>
      </c>
      <c r="J122" s="33" t="s">
        <v>39</v>
      </c>
      <c r="K122" s="33" t="s">
        <v>98</v>
      </c>
      <c r="L122" s="33" t="s">
        <v>92</v>
      </c>
      <c r="M122" s="33" t="s">
        <v>64</v>
      </c>
      <c r="N122" s="33" t="s">
        <v>345</v>
      </c>
      <c r="O122" s="43">
        <v>1297.42</v>
      </c>
      <c r="P122" s="44" t="str">
        <f t="shared" si="10"/>
        <v>High</v>
      </c>
      <c r="Q122" s="43">
        <v>2742.97</v>
      </c>
      <c r="R122" s="43">
        <v>6.9000000000000006E-2</v>
      </c>
      <c r="S122" s="43">
        <v>9</v>
      </c>
      <c r="T122" s="43">
        <f t="shared" si="7"/>
        <v>7972.7022900000002</v>
      </c>
      <c r="U122" s="33">
        <f t="shared" si="8"/>
        <v>11676.78</v>
      </c>
      <c r="V122" s="43">
        <f t="shared" si="11"/>
        <v>-3704.0777100000005</v>
      </c>
      <c r="W122" s="45">
        <f t="shared" si="12"/>
        <v>-0.46459501123551927</v>
      </c>
    </row>
    <row r="123" spans="1:23" x14ac:dyDescent="0.3">
      <c r="A123" s="34" t="s">
        <v>346</v>
      </c>
      <c r="B123" s="35">
        <v>45289</v>
      </c>
      <c r="C123" s="36">
        <v>45311</v>
      </c>
      <c r="D123" s="37">
        <f t="shared" si="13"/>
        <v>22</v>
      </c>
      <c r="E123" s="37" t="str">
        <f>TEXT(Data!B123,"MMM-YYYY")</f>
        <v>Dec-2023</v>
      </c>
      <c r="F123" s="37" t="str">
        <f t="shared" si="9"/>
        <v>Q4-2023</v>
      </c>
      <c r="G123" s="32" t="s">
        <v>16</v>
      </c>
      <c r="H123" s="32" t="s">
        <v>17</v>
      </c>
      <c r="I123" s="32" t="s">
        <v>18</v>
      </c>
      <c r="J123" s="32" t="s">
        <v>19</v>
      </c>
      <c r="K123" s="32" t="s">
        <v>98</v>
      </c>
      <c r="L123" s="32" t="s">
        <v>49</v>
      </c>
      <c r="M123" s="32" t="s">
        <v>42</v>
      </c>
      <c r="N123" s="32" t="s">
        <v>347</v>
      </c>
      <c r="O123" s="37">
        <v>1395.49</v>
      </c>
      <c r="P123" s="38" t="str">
        <f t="shared" si="10"/>
        <v>High</v>
      </c>
      <c r="Q123" s="37">
        <v>1679.42</v>
      </c>
      <c r="R123" s="37">
        <v>0.20300000000000001</v>
      </c>
      <c r="S123" s="37">
        <v>12</v>
      </c>
      <c r="T123" s="37">
        <f t="shared" si="7"/>
        <v>7009.2643199999993</v>
      </c>
      <c r="U123" s="32">
        <f t="shared" si="8"/>
        <v>16745.88</v>
      </c>
      <c r="V123" s="37">
        <f t="shared" si="11"/>
        <v>-9736.6156800000026</v>
      </c>
      <c r="W123" s="39">
        <f t="shared" si="12"/>
        <v>-1.3891066502111884</v>
      </c>
    </row>
    <row r="124" spans="1:23" x14ac:dyDescent="0.3">
      <c r="A124" s="40" t="s">
        <v>348</v>
      </c>
      <c r="B124" s="41">
        <v>45598</v>
      </c>
      <c r="C124" s="42">
        <v>45625</v>
      </c>
      <c r="D124" s="43">
        <f t="shared" si="13"/>
        <v>27</v>
      </c>
      <c r="E124" s="43" t="str">
        <f>TEXT(Data!B124,"MMM-YYYY")</f>
        <v>Nov-2024</v>
      </c>
      <c r="F124" s="43" t="str">
        <f t="shared" si="9"/>
        <v>Q4-2024</v>
      </c>
      <c r="G124" s="33" t="s">
        <v>52</v>
      </c>
      <c r="H124" s="33" t="s">
        <v>73</v>
      </c>
      <c r="I124" s="33" t="s">
        <v>87</v>
      </c>
      <c r="J124" s="33" t="s">
        <v>62</v>
      </c>
      <c r="K124" s="33" t="s">
        <v>98</v>
      </c>
      <c r="L124" s="33" t="s">
        <v>34</v>
      </c>
      <c r="M124" s="33" t="s">
        <v>35</v>
      </c>
      <c r="N124" s="33" t="s">
        <v>349</v>
      </c>
      <c r="O124" s="43">
        <v>1363.51</v>
      </c>
      <c r="P124" s="44" t="str">
        <f t="shared" si="10"/>
        <v>High</v>
      </c>
      <c r="Q124" s="43">
        <v>1433.9</v>
      </c>
      <c r="R124" s="43">
        <v>5.7000000000000002E-2</v>
      </c>
      <c r="S124" s="43">
        <v>8</v>
      </c>
      <c r="T124" s="43">
        <f t="shared" si="7"/>
        <v>18192.506879999997</v>
      </c>
      <c r="U124" s="33">
        <f t="shared" si="8"/>
        <v>10908.08</v>
      </c>
      <c r="V124" s="43">
        <f t="shared" si="11"/>
        <v>7284.4268799999973</v>
      </c>
      <c r="W124" s="45">
        <f t="shared" si="12"/>
        <v>0.4004080871343883</v>
      </c>
    </row>
    <row r="125" spans="1:23" x14ac:dyDescent="0.3">
      <c r="A125" s="34" t="s">
        <v>350</v>
      </c>
      <c r="B125" s="35">
        <v>45159</v>
      </c>
      <c r="C125" s="36">
        <v>45173</v>
      </c>
      <c r="D125" s="37">
        <f t="shared" si="13"/>
        <v>14</v>
      </c>
      <c r="E125" s="37" t="str">
        <f>TEXT(Data!B125,"MMM-YYYY")</f>
        <v>Aug-2023</v>
      </c>
      <c r="F125" s="37" t="str">
        <f t="shared" si="9"/>
        <v>Q3-2023</v>
      </c>
      <c r="G125" s="32" t="s">
        <v>52</v>
      </c>
      <c r="H125" s="32" t="s">
        <v>53</v>
      </c>
      <c r="I125" s="32" t="s">
        <v>144</v>
      </c>
      <c r="J125" s="32" t="s">
        <v>27</v>
      </c>
      <c r="K125" s="32" t="s">
        <v>55</v>
      </c>
      <c r="L125" s="32" t="s">
        <v>84</v>
      </c>
      <c r="M125" s="32" t="s">
        <v>22</v>
      </c>
      <c r="N125" s="32" t="s">
        <v>351</v>
      </c>
      <c r="O125" s="37">
        <v>178.19</v>
      </c>
      <c r="P125" s="38" t="str">
        <f t="shared" si="10"/>
        <v>High</v>
      </c>
      <c r="Q125" s="37">
        <v>284.43</v>
      </c>
      <c r="R125" s="37">
        <v>8.8999999999999996E-2</v>
      </c>
      <c r="S125" s="37">
        <v>8</v>
      </c>
      <c r="T125" s="37">
        <f t="shared" si="7"/>
        <v>4141.6975199999997</v>
      </c>
      <c r="U125" s="32">
        <f t="shared" si="8"/>
        <v>1425.52</v>
      </c>
      <c r="V125" s="37">
        <f t="shared" si="11"/>
        <v>2716.1775199999997</v>
      </c>
      <c r="W125" s="39">
        <f t="shared" si="12"/>
        <v>0.65581262438498888</v>
      </c>
    </row>
    <row r="126" spans="1:23" x14ac:dyDescent="0.3">
      <c r="A126" s="40" t="s">
        <v>352</v>
      </c>
      <c r="B126" s="41">
        <v>45150</v>
      </c>
      <c r="C126" s="42">
        <v>45175</v>
      </c>
      <c r="D126" s="43">
        <f t="shared" si="13"/>
        <v>25</v>
      </c>
      <c r="E126" s="43" t="str">
        <f>TEXT(Data!B126,"MMM-YYYY")</f>
        <v>Aug-2023</v>
      </c>
      <c r="F126" s="43" t="str">
        <f t="shared" si="9"/>
        <v>Q3-2023</v>
      </c>
      <c r="G126" s="33" t="s">
        <v>45</v>
      </c>
      <c r="H126" s="33" t="s">
        <v>116</v>
      </c>
      <c r="I126" s="33" t="s">
        <v>162</v>
      </c>
      <c r="J126" s="33" t="s">
        <v>62</v>
      </c>
      <c r="K126" s="33" t="s">
        <v>20</v>
      </c>
      <c r="L126" s="33" t="s">
        <v>56</v>
      </c>
      <c r="M126" s="33" t="s">
        <v>22</v>
      </c>
      <c r="N126" s="33" t="s">
        <v>353</v>
      </c>
      <c r="O126" s="43">
        <v>950.77</v>
      </c>
      <c r="P126" s="44" t="str">
        <f t="shared" si="10"/>
        <v>High</v>
      </c>
      <c r="Q126" s="43">
        <v>694.78</v>
      </c>
      <c r="R126" s="43">
        <v>8.4000000000000005E-2</v>
      </c>
      <c r="S126" s="43">
        <v>14</v>
      </c>
      <c r="T126" s="43">
        <f t="shared" si="7"/>
        <v>16093.478800000001</v>
      </c>
      <c r="U126" s="33">
        <f t="shared" si="8"/>
        <v>13310.779999999999</v>
      </c>
      <c r="V126" s="43">
        <f t="shared" si="11"/>
        <v>2782.6988000000019</v>
      </c>
      <c r="W126" s="45">
        <f t="shared" si="12"/>
        <v>0.17290847023081185</v>
      </c>
    </row>
    <row r="127" spans="1:23" x14ac:dyDescent="0.3">
      <c r="A127" s="34" t="s">
        <v>354</v>
      </c>
      <c r="B127" s="35">
        <v>45450</v>
      </c>
      <c r="C127" s="36">
        <v>45469</v>
      </c>
      <c r="D127" s="37">
        <f t="shared" si="13"/>
        <v>19</v>
      </c>
      <c r="E127" s="37" t="str">
        <f>TEXT(Data!B127,"MMM-YYYY")</f>
        <v>Jun-2024</v>
      </c>
      <c r="F127" s="37" t="str">
        <f t="shared" si="9"/>
        <v>Q2-2024</v>
      </c>
      <c r="G127" s="32" t="s">
        <v>78</v>
      </c>
      <c r="H127" s="32" t="s">
        <v>79</v>
      </c>
      <c r="I127" s="32" t="s">
        <v>80</v>
      </c>
      <c r="J127" s="32" t="s">
        <v>39</v>
      </c>
      <c r="K127" s="32" t="s">
        <v>40</v>
      </c>
      <c r="L127" s="32" t="s">
        <v>110</v>
      </c>
      <c r="M127" s="32" t="s">
        <v>22</v>
      </c>
      <c r="N127" s="32" t="s">
        <v>355</v>
      </c>
      <c r="O127" s="37">
        <v>1064.32</v>
      </c>
      <c r="P127" s="38" t="str">
        <f t="shared" si="10"/>
        <v>High</v>
      </c>
      <c r="Q127" s="37">
        <v>1848.39</v>
      </c>
      <c r="R127" s="37">
        <v>7.2999999999999995E-2</v>
      </c>
      <c r="S127" s="37">
        <v>38</v>
      </c>
      <c r="T127" s="37">
        <f t="shared" si="7"/>
        <v>29785.344300000001</v>
      </c>
      <c r="U127" s="32">
        <f t="shared" si="8"/>
        <v>40444.159999999996</v>
      </c>
      <c r="V127" s="37">
        <f t="shared" si="11"/>
        <v>-10658.815699999996</v>
      </c>
      <c r="W127" s="39">
        <f t="shared" si="12"/>
        <v>-0.35785437269563458</v>
      </c>
    </row>
    <row r="128" spans="1:23" x14ac:dyDescent="0.3">
      <c r="A128" s="40" t="s">
        <v>356</v>
      </c>
      <c r="B128" s="41">
        <v>45874</v>
      </c>
      <c r="C128" s="42">
        <v>45883</v>
      </c>
      <c r="D128" s="43">
        <f t="shared" si="13"/>
        <v>9</v>
      </c>
      <c r="E128" s="43" t="str">
        <f>TEXT(Data!B128,"MMM-YYYY")</f>
        <v>Aug-2025</v>
      </c>
      <c r="F128" s="43" t="str">
        <f t="shared" si="9"/>
        <v>Q3-2025</v>
      </c>
      <c r="G128" s="33" t="s">
        <v>78</v>
      </c>
      <c r="H128" s="33" t="s">
        <v>108</v>
      </c>
      <c r="I128" s="33" t="s">
        <v>152</v>
      </c>
      <c r="J128" s="33" t="s">
        <v>39</v>
      </c>
      <c r="K128" s="33" t="s">
        <v>98</v>
      </c>
      <c r="L128" s="33" t="s">
        <v>63</v>
      </c>
      <c r="M128" s="33" t="s">
        <v>22</v>
      </c>
      <c r="N128" s="33" t="s">
        <v>357</v>
      </c>
      <c r="O128" s="43">
        <v>41.76</v>
      </c>
      <c r="P128" s="44" t="str">
        <f t="shared" si="10"/>
        <v>Low</v>
      </c>
      <c r="Q128" s="43">
        <v>45.19</v>
      </c>
      <c r="R128" s="43">
        <v>0.17899999999999999</v>
      </c>
      <c r="S128" s="43">
        <v>23</v>
      </c>
      <c r="T128" s="43">
        <f t="shared" si="7"/>
        <v>40507.245110000003</v>
      </c>
      <c r="U128" s="33">
        <f t="shared" si="8"/>
        <v>960.4799999999999</v>
      </c>
      <c r="V128" s="43">
        <f t="shared" si="11"/>
        <v>39546.76511</v>
      </c>
      <c r="W128" s="45">
        <f t="shared" si="12"/>
        <v>0.97628868619942533</v>
      </c>
    </row>
    <row r="129" spans="1:23" x14ac:dyDescent="0.3">
      <c r="A129" s="34" t="s">
        <v>358</v>
      </c>
      <c r="B129" s="35">
        <v>45442</v>
      </c>
      <c r="C129" s="36">
        <v>45456</v>
      </c>
      <c r="D129" s="37">
        <f t="shared" si="13"/>
        <v>14</v>
      </c>
      <c r="E129" s="37" t="str">
        <f>TEXT(Data!B129,"MMM-YYYY")</f>
        <v>May-2024</v>
      </c>
      <c r="F129" s="37" t="str">
        <f t="shared" si="9"/>
        <v>Q2-2024</v>
      </c>
      <c r="G129" s="32" t="s">
        <v>52</v>
      </c>
      <c r="H129" s="32" t="s">
        <v>122</v>
      </c>
      <c r="I129" s="32" t="s">
        <v>167</v>
      </c>
      <c r="J129" s="32" t="s">
        <v>62</v>
      </c>
      <c r="K129" s="32" t="s">
        <v>20</v>
      </c>
      <c r="L129" s="32" t="s">
        <v>84</v>
      </c>
      <c r="M129" s="32" t="s">
        <v>42</v>
      </c>
      <c r="N129" s="32" t="s">
        <v>359</v>
      </c>
      <c r="O129" s="37">
        <v>157.78</v>
      </c>
      <c r="P129" s="38" t="str">
        <f t="shared" si="10"/>
        <v>High</v>
      </c>
      <c r="Q129" s="37">
        <v>361.1</v>
      </c>
      <c r="R129" s="37">
        <v>0.187</v>
      </c>
      <c r="S129" s="37">
        <v>9</v>
      </c>
      <c r="T129" s="37">
        <f t="shared" ref="T129:T192" si="14">(Q155*S129)*(1-R129)</f>
        <v>9877.5109800000009</v>
      </c>
      <c r="U129" s="32">
        <f t="shared" ref="U129:U192" si="15">(O129*S129)</f>
        <v>1420.02</v>
      </c>
      <c r="V129" s="37">
        <f t="shared" si="11"/>
        <v>8457.4909800000005</v>
      </c>
      <c r="W129" s="39">
        <f t="shared" si="12"/>
        <v>0.85623706185948478</v>
      </c>
    </row>
    <row r="130" spans="1:23" x14ac:dyDescent="0.3">
      <c r="A130" s="40" t="s">
        <v>360</v>
      </c>
      <c r="B130" s="41">
        <v>44948</v>
      </c>
      <c r="C130" s="42">
        <v>44956</v>
      </c>
      <c r="D130" s="43">
        <f t="shared" si="13"/>
        <v>8</v>
      </c>
      <c r="E130" s="43" t="str">
        <f>TEXT(Data!B130,"MMM-YYYY")</f>
        <v>Jan-2023</v>
      </c>
      <c r="F130" s="43" t="str">
        <f t="shared" ref="F130:F193" si="16">"Q"&amp;ROUNDUP(MONTH(B130)/3,0)&amp;"-"&amp;YEAR(B130)</f>
        <v>Q1-2023</v>
      </c>
      <c r="G130" s="33" t="s">
        <v>52</v>
      </c>
      <c r="H130" s="33" t="s">
        <v>122</v>
      </c>
      <c r="I130" s="33" t="s">
        <v>167</v>
      </c>
      <c r="J130" s="33" t="s">
        <v>62</v>
      </c>
      <c r="K130" s="33" t="s">
        <v>28</v>
      </c>
      <c r="L130" s="33" t="s">
        <v>75</v>
      </c>
      <c r="M130" s="33" t="s">
        <v>35</v>
      </c>
      <c r="N130" s="33" t="s">
        <v>361</v>
      </c>
      <c r="O130" s="43">
        <v>413.52</v>
      </c>
      <c r="P130" s="44" t="str">
        <f t="shared" ref="P130:P193" si="17">IF(Q130&lt;50, "Low", IF(Q130&lt;200, "Medium", "High"))</f>
        <v>High</v>
      </c>
      <c r="Q130" s="43">
        <v>1004.34</v>
      </c>
      <c r="R130" s="43">
        <v>0.111</v>
      </c>
      <c r="S130" s="43">
        <v>18</v>
      </c>
      <c r="T130" s="43">
        <f t="shared" si="14"/>
        <v>8440.7349599999998</v>
      </c>
      <c r="U130" s="33">
        <f t="shared" si="15"/>
        <v>7443.36</v>
      </c>
      <c r="V130" s="43">
        <f t="shared" ref="V130:V193" si="18">(T130-U130)</f>
        <v>997.3749600000001</v>
      </c>
      <c r="W130" s="45">
        <f t="shared" ref="W130:W193" si="19">IF(T130=0, 0, V130/T130)</f>
        <v>0.11816209900281008</v>
      </c>
    </row>
    <row r="131" spans="1:23" x14ac:dyDescent="0.3">
      <c r="A131" s="34" t="s">
        <v>362</v>
      </c>
      <c r="B131" s="35">
        <v>45700</v>
      </c>
      <c r="C131" s="36">
        <v>45716</v>
      </c>
      <c r="D131" s="37">
        <f t="shared" ref="D131:D194" si="20">DATEDIF(B131,C131, "MD")</f>
        <v>16</v>
      </c>
      <c r="E131" s="37" t="str">
        <f>TEXT(Data!B131,"MMM-YYYY")</f>
        <v>Feb-2025</v>
      </c>
      <c r="F131" s="37" t="str">
        <f t="shared" si="16"/>
        <v>Q1-2025</v>
      </c>
      <c r="G131" s="32" t="s">
        <v>52</v>
      </c>
      <c r="H131" s="32" t="s">
        <v>73</v>
      </c>
      <c r="I131" s="32" t="s">
        <v>74</v>
      </c>
      <c r="J131" s="32" t="s">
        <v>39</v>
      </c>
      <c r="K131" s="32" t="s">
        <v>98</v>
      </c>
      <c r="L131" s="32" t="s">
        <v>56</v>
      </c>
      <c r="M131" s="32" t="s">
        <v>64</v>
      </c>
      <c r="N131" s="32" t="s">
        <v>363</v>
      </c>
      <c r="O131" s="37">
        <v>414.95</v>
      </c>
      <c r="P131" s="38" t="str">
        <f t="shared" si="17"/>
        <v>High</v>
      </c>
      <c r="Q131" s="37">
        <v>1027.73</v>
      </c>
      <c r="R131" s="37">
        <v>6.3E-2</v>
      </c>
      <c r="S131" s="37">
        <v>8</v>
      </c>
      <c r="T131" s="37">
        <f t="shared" si="14"/>
        <v>10997.906320000002</v>
      </c>
      <c r="U131" s="32">
        <f t="shared" si="15"/>
        <v>3319.6</v>
      </c>
      <c r="V131" s="37">
        <f t="shared" si="18"/>
        <v>7678.3063200000015</v>
      </c>
      <c r="W131" s="39">
        <f t="shared" si="19"/>
        <v>0.69816073137818835</v>
      </c>
    </row>
    <row r="132" spans="1:23" x14ac:dyDescent="0.3">
      <c r="A132" s="40" t="s">
        <v>364</v>
      </c>
      <c r="B132" s="41">
        <v>45719</v>
      </c>
      <c r="C132" s="42">
        <v>45740</v>
      </c>
      <c r="D132" s="43">
        <f t="shared" si="20"/>
        <v>21</v>
      </c>
      <c r="E132" s="43" t="str">
        <f>TEXT(Data!B132,"MMM-YYYY")</f>
        <v>Mar-2025</v>
      </c>
      <c r="F132" s="43" t="str">
        <f t="shared" si="16"/>
        <v>Q1-2025</v>
      </c>
      <c r="G132" s="33" t="s">
        <v>16</v>
      </c>
      <c r="H132" s="33" t="s">
        <v>25</v>
      </c>
      <c r="I132" s="33" t="s">
        <v>67</v>
      </c>
      <c r="J132" s="33" t="s">
        <v>105</v>
      </c>
      <c r="K132" s="33" t="s">
        <v>98</v>
      </c>
      <c r="L132" s="33" t="s">
        <v>92</v>
      </c>
      <c r="M132" s="33" t="s">
        <v>81</v>
      </c>
      <c r="N132" s="33" t="s">
        <v>365</v>
      </c>
      <c r="O132" s="43">
        <v>555.95000000000005</v>
      </c>
      <c r="P132" s="44" t="str">
        <f t="shared" si="17"/>
        <v>High</v>
      </c>
      <c r="Q132" s="43">
        <v>468.09</v>
      </c>
      <c r="R132" s="43">
        <v>0.14199999999999999</v>
      </c>
      <c r="S132" s="43">
        <v>11</v>
      </c>
      <c r="T132" s="43">
        <f t="shared" si="14"/>
        <v>15583.45932</v>
      </c>
      <c r="U132" s="33">
        <f t="shared" si="15"/>
        <v>6115.4500000000007</v>
      </c>
      <c r="V132" s="43">
        <f t="shared" si="18"/>
        <v>9468.0093199999992</v>
      </c>
      <c r="W132" s="45">
        <f t="shared" si="19"/>
        <v>0.60756787858063332</v>
      </c>
    </row>
    <row r="133" spans="1:23" x14ac:dyDescent="0.3">
      <c r="A133" s="34" t="s">
        <v>366</v>
      </c>
      <c r="B133" s="35">
        <v>44953</v>
      </c>
      <c r="C133" s="36">
        <v>44957</v>
      </c>
      <c r="D133" s="37">
        <f t="shared" si="20"/>
        <v>4</v>
      </c>
      <c r="E133" s="37" t="str">
        <f>TEXT(Data!B133,"MMM-YYYY")</f>
        <v>Jan-2023</v>
      </c>
      <c r="F133" s="37" t="str">
        <f t="shared" si="16"/>
        <v>Q1-2023</v>
      </c>
      <c r="G133" s="32" t="s">
        <v>78</v>
      </c>
      <c r="H133" s="32" t="s">
        <v>108</v>
      </c>
      <c r="I133" s="32" t="s">
        <v>228</v>
      </c>
      <c r="J133" s="32" t="s">
        <v>105</v>
      </c>
      <c r="K133" s="32" t="s">
        <v>28</v>
      </c>
      <c r="L133" s="32" t="s">
        <v>126</v>
      </c>
      <c r="M133" s="32" t="s">
        <v>57</v>
      </c>
      <c r="N133" s="32" t="s">
        <v>367</v>
      </c>
      <c r="O133" s="37">
        <v>941.2</v>
      </c>
      <c r="P133" s="38" t="str">
        <f t="shared" si="17"/>
        <v>High</v>
      </c>
      <c r="Q133" s="37">
        <v>668.02</v>
      </c>
      <c r="R133" s="37">
        <v>0.22</v>
      </c>
      <c r="S133" s="37">
        <v>16</v>
      </c>
      <c r="T133" s="37">
        <f t="shared" si="14"/>
        <v>24737.606400000001</v>
      </c>
      <c r="U133" s="32">
        <f t="shared" si="15"/>
        <v>15059.2</v>
      </c>
      <c r="V133" s="37">
        <f t="shared" si="18"/>
        <v>9678.4063999999998</v>
      </c>
      <c r="W133" s="39">
        <f t="shared" si="19"/>
        <v>0.3912426385763822</v>
      </c>
    </row>
    <row r="134" spans="1:23" x14ac:dyDescent="0.3">
      <c r="A134" s="40" t="s">
        <v>368</v>
      </c>
      <c r="B134" s="41">
        <v>45666</v>
      </c>
      <c r="C134" s="42">
        <v>45672</v>
      </c>
      <c r="D134" s="43">
        <f t="shared" si="20"/>
        <v>6</v>
      </c>
      <c r="E134" s="43" t="str">
        <f>TEXT(Data!B134,"MMM-YYYY")</f>
        <v>Jan-2025</v>
      </c>
      <c r="F134" s="43" t="str">
        <f t="shared" si="16"/>
        <v>Q1-2025</v>
      </c>
      <c r="G134" s="33" t="s">
        <v>45</v>
      </c>
      <c r="H134" s="33" t="s">
        <v>116</v>
      </c>
      <c r="I134" s="33" t="s">
        <v>338</v>
      </c>
      <c r="J134" s="33" t="s">
        <v>27</v>
      </c>
      <c r="K134" s="33" t="s">
        <v>28</v>
      </c>
      <c r="L134" s="33" t="s">
        <v>21</v>
      </c>
      <c r="M134" s="33" t="s">
        <v>42</v>
      </c>
      <c r="N134" s="33" t="s">
        <v>369</v>
      </c>
      <c r="O134" s="43">
        <v>304.77999999999997</v>
      </c>
      <c r="P134" s="44" t="str">
        <f t="shared" si="17"/>
        <v>High</v>
      </c>
      <c r="Q134" s="43">
        <v>537.27</v>
      </c>
      <c r="R134" s="43">
        <v>0.187</v>
      </c>
      <c r="S134" s="43">
        <v>8</v>
      </c>
      <c r="T134" s="43">
        <f t="shared" si="14"/>
        <v>16599.638879999999</v>
      </c>
      <c r="U134" s="33">
        <f t="shared" si="15"/>
        <v>2438.2399999999998</v>
      </c>
      <c r="V134" s="43">
        <f t="shared" si="18"/>
        <v>14161.398879999999</v>
      </c>
      <c r="W134" s="45">
        <f t="shared" si="19"/>
        <v>0.85311487691833454</v>
      </c>
    </row>
    <row r="135" spans="1:23" x14ac:dyDescent="0.3">
      <c r="A135" s="34" t="s">
        <v>370</v>
      </c>
      <c r="B135" s="35">
        <v>45647</v>
      </c>
      <c r="C135" s="36">
        <v>45652</v>
      </c>
      <c r="D135" s="37">
        <f t="shared" si="20"/>
        <v>5</v>
      </c>
      <c r="E135" s="37" t="str">
        <f>TEXT(Data!B135,"MMM-YYYY")</f>
        <v>Dec-2024</v>
      </c>
      <c r="F135" s="37" t="str">
        <f t="shared" si="16"/>
        <v>Q4-2024</v>
      </c>
      <c r="G135" s="32" t="s">
        <v>52</v>
      </c>
      <c r="H135" s="32" t="s">
        <v>122</v>
      </c>
      <c r="I135" s="32" t="s">
        <v>167</v>
      </c>
      <c r="J135" s="32" t="s">
        <v>48</v>
      </c>
      <c r="K135" s="32" t="s">
        <v>40</v>
      </c>
      <c r="L135" s="32" t="s">
        <v>110</v>
      </c>
      <c r="M135" s="32" t="s">
        <v>30</v>
      </c>
      <c r="N135" s="32" t="s">
        <v>371</v>
      </c>
      <c r="O135" s="37">
        <v>699.57</v>
      </c>
      <c r="P135" s="38" t="str">
        <f t="shared" si="17"/>
        <v>High</v>
      </c>
      <c r="Q135" s="37">
        <v>572.71</v>
      </c>
      <c r="R135" s="37">
        <v>0.192</v>
      </c>
      <c r="S135" s="37">
        <v>26</v>
      </c>
      <c r="T135" s="37">
        <f t="shared" si="14"/>
        <v>10987.39408</v>
      </c>
      <c r="U135" s="32">
        <f t="shared" si="15"/>
        <v>18188.82</v>
      </c>
      <c r="V135" s="37">
        <f t="shared" si="18"/>
        <v>-7201.4259199999997</v>
      </c>
      <c r="W135" s="39">
        <f t="shared" si="19"/>
        <v>-0.65542619729172391</v>
      </c>
    </row>
    <row r="136" spans="1:23" x14ac:dyDescent="0.3">
      <c r="A136" s="40" t="s">
        <v>372</v>
      </c>
      <c r="B136" s="41">
        <v>45028</v>
      </c>
      <c r="C136" s="42">
        <v>45033</v>
      </c>
      <c r="D136" s="43">
        <f t="shared" si="20"/>
        <v>5</v>
      </c>
      <c r="E136" s="43" t="str">
        <f>TEXT(Data!B136,"MMM-YYYY")</f>
        <v>Apr-2023</v>
      </c>
      <c r="F136" s="43" t="str">
        <f t="shared" si="16"/>
        <v>Q2-2023</v>
      </c>
      <c r="G136" s="33" t="s">
        <v>78</v>
      </c>
      <c r="H136" s="33" t="s">
        <v>90</v>
      </c>
      <c r="I136" s="33" t="s">
        <v>138</v>
      </c>
      <c r="J136" s="33" t="s">
        <v>105</v>
      </c>
      <c r="K136" s="33" t="s">
        <v>98</v>
      </c>
      <c r="L136" s="33" t="s">
        <v>63</v>
      </c>
      <c r="M136" s="33" t="s">
        <v>64</v>
      </c>
      <c r="N136" s="33" t="s">
        <v>373</v>
      </c>
      <c r="O136" s="43">
        <v>1087.81</v>
      </c>
      <c r="P136" s="44" t="str">
        <f t="shared" si="17"/>
        <v>High</v>
      </c>
      <c r="Q136" s="43">
        <v>2323.87</v>
      </c>
      <c r="R136" s="43">
        <v>9.4E-2</v>
      </c>
      <c r="S136" s="43">
        <v>13</v>
      </c>
      <c r="T136" s="43">
        <f t="shared" si="14"/>
        <v>14342.18838</v>
      </c>
      <c r="U136" s="33">
        <f t="shared" si="15"/>
        <v>14141.529999999999</v>
      </c>
      <c r="V136" s="43">
        <f t="shared" si="18"/>
        <v>200.65838000000076</v>
      </c>
      <c r="W136" s="45">
        <f t="shared" si="19"/>
        <v>1.399077844213902E-2</v>
      </c>
    </row>
    <row r="137" spans="1:23" x14ac:dyDescent="0.3">
      <c r="A137" s="34" t="s">
        <v>374</v>
      </c>
      <c r="B137" s="35">
        <v>45640</v>
      </c>
      <c r="C137" s="36">
        <v>45669</v>
      </c>
      <c r="D137" s="37">
        <f t="shared" si="20"/>
        <v>29</v>
      </c>
      <c r="E137" s="37" t="str">
        <f>TEXT(Data!B137,"MMM-YYYY")</f>
        <v>Dec-2024</v>
      </c>
      <c r="F137" s="37" t="str">
        <f t="shared" si="16"/>
        <v>Q4-2024</v>
      </c>
      <c r="G137" s="32" t="s">
        <v>45</v>
      </c>
      <c r="H137" s="32" t="s">
        <v>116</v>
      </c>
      <c r="I137" s="32" t="s">
        <v>117</v>
      </c>
      <c r="J137" s="32" t="s">
        <v>27</v>
      </c>
      <c r="K137" s="32" t="s">
        <v>28</v>
      </c>
      <c r="L137" s="32" t="s">
        <v>29</v>
      </c>
      <c r="M137" s="32" t="s">
        <v>22</v>
      </c>
      <c r="N137" s="32" t="s">
        <v>375</v>
      </c>
      <c r="O137" s="37">
        <v>1412.15</v>
      </c>
      <c r="P137" s="38" t="str">
        <f t="shared" si="17"/>
        <v>High</v>
      </c>
      <c r="Q137" s="37">
        <v>1631.04</v>
      </c>
      <c r="R137" s="37">
        <v>8.9999999999999993E-3</v>
      </c>
      <c r="S137" s="37">
        <v>6</v>
      </c>
      <c r="T137" s="37">
        <f t="shared" si="14"/>
        <v>7989.2834400000002</v>
      </c>
      <c r="U137" s="32">
        <f t="shared" si="15"/>
        <v>8472.9000000000015</v>
      </c>
      <c r="V137" s="37">
        <f t="shared" si="18"/>
        <v>-483.6165600000013</v>
      </c>
      <c r="W137" s="39">
        <f t="shared" si="19"/>
        <v>-6.0533158403002073E-2</v>
      </c>
    </row>
    <row r="138" spans="1:23" x14ac:dyDescent="0.3">
      <c r="A138" s="40" t="s">
        <v>376</v>
      </c>
      <c r="B138" s="41">
        <v>45016</v>
      </c>
      <c r="C138" s="42">
        <v>45028</v>
      </c>
      <c r="D138" s="43">
        <f t="shared" si="20"/>
        <v>12</v>
      </c>
      <c r="E138" s="43" t="str">
        <f>TEXT(Data!B138,"MMM-YYYY")</f>
        <v>Mar-2023</v>
      </c>
      <c r="F138" s="43" t="str">
        <f t="shared" si="16"/>
        <v>Q1-2023</v>
      </c>
      <c r="G138" s="33" t="s">
        <v>16</v>
      </c>
      <c r="H138" s="33" t="s">
        <v>17</v>
      </c>
      <c r="I138" s="33" t="s">
        <v>113</v>
      </c>
      <c r="J138" s="33" t="s">
        <v>62</v>
      </c>
      <c r="K138" s="33" t="s">
        <v>28</v>
      </c>
      <c r="L138" s="33" t="s">
        <v>21</v>
      </c>
      <c r="M138" s="33" t="s">
        <v>42</v>
      </c>
      <c r="N138" s="33" t="s">
        <v>377</v>
      </c>
      <c r="O138" s="43">
        <v>304.22000000000003</v>
      </c>
      <c r="P138" s="44" t="str">
        <f t="shared" si="17"/>
        <v>High</v>
      </c>
      <c r="Q138" s="43">
        <v>393.31</v>
      </c>
      <c r="R138" s="43">
        <v>0.26500000000000001</v>
      </c>
      <c r="S138" s="43">
        <v>15</v>
      </c>
      <c r="T138" s="43">
        <f t="shared" si="14"/>
        <v>3326.2424999999998</v>
      </c>
      <c r="U138" s="33">
        <f t="shared" si="15"/>
        <v>4563.3</v>
      </c>
      <c r="V138" s="43">
        <f t="shared" si="18"/>
        <v>-1237.0575000000003</v>
      </c>
      <c r="W138" s="45">
        <f t="shared" si="19"/>
        <v>-0.3719083921271526</v>
      </c>
    </row>
    <row r="139" spans="1:23" x14ac:dyDescent="0.3">
      <c r="A139" s="34" t="s">
        <v>378</v>
      </c>
      <c r="B139" s="35">
        <v>45616</v>
      </c>
      <c r="C139" s="36">
        <v>45641</v>
      </c>
      <c r="D139" s="37">
        <f t="shared" si="20"/>
        <v>25</v>
      </c>
      <c r="E139" s="37" t="str">
        <f>TEXT(Data!B139,"MMM-YYYY")</f>
        <v>Nov-2024</v>
      </c>
      <c r="F139" s="37" t="str">
        <f t="shared" si="16"/>
        <v>Q4-2024</v>
      </c>
      <c r="G139" s="32" t="s">
        <v>78</v>
      </c>
      <c r="H139" s="32" t="s">
        <v>90</v>
      </c>
      <c r="I139" s="32" t="s">
        <v>217</v>
      </c>
      <c r="J139" s="32" t="s">
        <v>19</v>
      </c>
      <c r="K139" s="32" t="s">
        <v>28</v>
      </c>
      <c r="L139" s="32" t="s">
        <v>41</v>
      </c>
      <c r="M139" s="32" t="s">
        <v>30</v>
      </c>
      <c r="N139" s="32" t="s">
        <v>379</v>
      </c>
      <c r="O139" s="37">
        <v>1203.58</v>
      </c>
      <c r="P139" s="38" t="str">
        <f t="shared" si="17"/>
        <v>High</v>
      </c>
      <c r="Q139" s="37">
        <v>1856.16</v>
      </c>
      <c r="R139" s="37">
        <v>0.129</v>
      </c>
      <c r="S139" s="37">
        <v>22</v>
      </c>
      <c r="T139" s="37">
        <f t="shared" si="14"/>
        <v>28967.387020000002</v>
      </c>
      <c r="U139" s="32">
        <f t="shared" si="15"/>
        <v>26478.76</v>
      </c>
      <c r="V139" s="37">
        <f t="shared" si="18"/>
        <v>2488.6270200000035</v>
      </c>
      <c r="W139" s="39">
        <f t="shared" si="19"/>
        <v>8.591133947572753E-2</v>
      </c>
    </row>
    <row r="140" spans="1:23" x14ac:dyDescent="0.3">
      <c r="A140" s="40" t="s">
        <v>380</v>
      </c>
      <c r="B140" s="41">
        <v>45336</v>
      </c>
      <c r="C140" s="42">
        <v>45336</v>
      </c>
      <c r="D140" s="43">
        <f t="shared" si="20"/>
        <v>0</v>
      </c>
      <c r="E140" s="43" t="str">
        <f>TEXT(Data!B140,"MMM-YYYY")</f>
        <v>Feb-2024</v>
      </c>
      <c r="F140" s="43" t="str">
        <f t="shared" si="16"/>
        <v>Q1-2024</v>
      </c>
      <c r="G140" s="33" t="s">
        <v>45</v>
      </c>
      <c r="H140" s="33" t="s">
        <v>116</v>
      </c>
      <c r="I140" s="33" t="s">
        <v>338</v>
      </c>
      <c r="J140" s="33" t="s">
        <v>19</v>
      </c>
      <c r="K140" s="33" t="s">
        <v>55</v>
      </c>
      <c r="L140" s="33" t="s">
        <v>49</v>
      </c>
      <c r="M140" s="33" t="s">
        <v>81</v>
      </c>
      <c r="N140" s="33" t="s">
        <v>381</v>
      </c>
      <c r="O140" s="43">
        <v>65.930000000000007</v>
      </c>
      <c r="P140" s="44" t="str">
        <f t="shared" si="17"/>
        <v>Medium</v>
      </c>
      <c r="Q140" s="43">
        <v>84.9</v>
      </c>
      <c r="R140" s="43">
        <v>0.25900000000000001</v>
      </c>
      <c r="S140" s="43">
        <v>23</v>
      </c>
      <c r="T140" s="43">
        <f t="shared" si="14"/>
        <v>35027.455319999994</v>
      </c>
      <c r="U140" s="33">
        <f t="shared" si="15"/>
        <v>1516.39</v>
      </c>
      <c r="V140" s="43">
        <f t="shared" si="18"/>
        <v>33511.065319999994</v>
      </c>
      <c r="W140" s="45">
        <f t="shared" si="19"/>
        <v>0.95670853088964847</v>
      </c>
    </row>
    <row r="141" spans="1:23" x14ac:dyDescent="0.3">
      <c r="A141" s="34" t="s">
        <v>382</v>
      </c>
      <c r="B141" s="35">
        <v>45048</v>
      </c>
      <c r="C141" s="36">
        <v>45064</v>
      </c>
      <c r="D141" s="37">
        <f t="shared" si="20"/>
        <v>16</v>
      </c>
      <c r="E141" s="37" t="str">
        <f>TEXT(Data!B141,"MMM-YYYY")</f>
        <v>May-2023</v>
      </c>
      <c r="F141" s="37" t="str">
        <f t="shared" si="16"/>
        <v>Q2-2023</v>
      </c>
      <c r="G141" s="32" t="s">
        <v>45</v>
      </c>
      <c r="H141" s="32" t="s">
        <v>60</v>
      </c>
      <c r="I141" s="32" t="s">
        <v>141</v>
      </c>
      <c r="J141" s="32" t="s">
        <v>62</v>
      </c>
      <c r="K141" s="32" t="s">
        <v>40</v>
      </c>
      <c r="L141" s="32" t="s">
        <v>95</v>
      </c>
      <c r="M141" s="32" t="s">
        <v>64</v>
      </c>
      <c r="N141" s="32" t="s">
        <v>383</v>
      </c>
      <c r="O141" s="37">
        <v>1463.92</v>
      </c>
      <c r="P141" s="38" t="str">
        <f t="shared" si="17"/>
        <v>High</v>
      </c>
      <c r="Q141" s="37">
        <v>2252.2399999999998</v>
      </c>
      <c r="R141" s="37">
        <v>0.11799999999999999</v>
      </c>
      <c r="S141" s="37">
        <v>44</v>
      </c>
      <c r="T141" s="37">
        <f t="shared" si="14"/>
        <v>15179.749199999998</v>
      </c>
      <c r="U141" s="32">
        <f t="shared" si="15"/>
        <v>64412.480000000003</v>
      </c>
      <c r="V141" s="37">
        <f t="shared" si="18"/>
        <v>-49232.730800000005</v>
      </c>
      <c r="W141" s="39">
        <f t="shared" si="19"/>
        <v>-3.2433164837795876</v>
      </c>
    </row>
    <row r="142" spans="1:23" x14ac:dyDescent="0.3">
      <c r="A142" s="40" t="s">
        <v>384</v>
      </c>
      <c r="B142" s="41">
        <v>45649</v>
      </c>
      <c r="C142" s="42">
        <v>45668</v>
      </c>
      <c r="D142" s="43">
        <f t="shared" si="20"/>
        <v>19</v>
      </c>
      <c r="E142" s="43" t="str">
        <f>TEXT(Data!B142,"MMM-YYYY")</f>
        <v>Dec-2024</v>
      </c>
      <c r="F142" s="43" t="str">
        <f t="shared" si="16"/>
        <v>Q4-2024</v>
      </c>
      <c r="G142" s="33" t="s">
        <v>78</v>
      </c>
      <c r="H142" s="33" t="s">
        <v>79</v>
      </c>
      <c r="I142" s="33" t="s">
        <v>80</v>
      </c>
      <c r="J142" s="33" t="s">
        <v>27</v>
      </c>
      <c r="K142" s="33" t="s">
        <v>20</v>
      </c>
      <c r="L142" s="33" t="s">
        <v>95</v>
      </c>
      <c r="M142" s="33" t="s">
        <v>42</v>
      </c>
      <c r="N142" s="33" t="s">
        <v>385</v>
      </c>
      <c r="O142" s="43">
        <v>501.81</v>
      </c>
      <c r="P142" s="44" t="str">
        <f t="shared" si="17"/>
        <v>High</v>
      </c>
      <c r="Q142" s="43">
        <v>921.62</v>
      </c>
      <c r="R142" s="43">
        <v>0.01</v>
      </c>
      <c r="S142" s="43">
        <v>9</v>
      </c>
      <c r="T142" s="43">
        <f t="shared" si="14"/>
        <v>16474.322700000001</v>
      </c>
      <c r="U142" s="33">
        <f t="shared" si="15"/>
        <v>4516.29</v>
      </c>
      <c r="V142" s="43">
        <f t="shared" si="18"/>
        <v>11958.0327</v>
      </c>
      <c r="W142" s="45">
        <f t="shared" si="19"/>
        <v>0.72585883606614066</v>
      </c>
    </row>
    <row r="143" spans="1:23" x14ac:dyDescent="0.3">
      <c r="A143" s="34" t="s">
        <v>386</v>
      </c>
      <c r="B143" s="35">
        <v>45133</v>
      </c>
      <c r="C143" s="36">
        <v>45163</v>
      </c>
      <c r="D143" s="37">
        <f t="shared" si="20"/>
        <v>30</v>
      </c>
      <c r="E143" s="37" t="str">
        <f>TEXT(Data!B143,"MMM-YYYY")</f>
        <v>Jul-2023</v>
      </c>
      <c r="F143" s="37" t="str">
        <f t="shared" si="16"/>
        <v>Q3-2023</v>
      </c>
      <c r="G143" s="32" t="s">
        <v>52</v>
      </c>
      <c r="H143" s="32" t="s">
        <v>122</v>
      </c>
      <c r="I143" s="32" t="s">
        <v>387</v>
      </c>
      <c r="J143" s="32" t="s">
        <v>48</v>
      </c>
      <c r="K143" s="32" t="s">
        <v>20</v>
      </c>
      <c r="L143" s="32" t="s">
        <v>110</v>
      </c>
      <c r="M143" s="32" t="s">
        <v>81</v>
      </c>
      <c r="N143" s="32" t="s">
        <v>388</v>
      </c>
      <c r="O143" s="37">
        <v>1261.48</v>
      </c>
      <c r="P143" s="38" t="str">
        <f t="shared" si="17"/>
        <v>High</v>
      </c>
      <c r="Q143" s="37">
        <v>1643.18</v>
      </c>
      <c r="R143" s="37">
        <v>0.151</v>
      </c>
      <c r="S143" s="37">
        <v>23</v>
      </c>
      <c r="T143" s="37">
        <f t="shared" si="14"/>
        <v>27251.100119999996</v>
      </c>
      <c r="U143" s="32">
        <f t="shared" si="15"/>
        <v>29014.04</v>
      </c>
      <c r="V143" s="37">
        <f t="shared" si="18"/>
        <v>-1762.9398800000054</v>
      </c>
      <c r="W143" s="39">
        <f t="shared" si="19"/>
        <v>-6.4692429745475011E-2</v>
      </c>
    </row>
    <row r="144" spans="1:23" x14ac:dyDescent="0.3">
      <c r="A144" s="40" t="s">
        <v>389</v>
      </c>
      <c r="B144" s="41">
        <v>45458</v>
      </c>
      <c r="C144" s="42">
        <v>45479</v>
      </c>
      <c r="D144" s="43">
        <f t="shared" si="20"/>
        <v>21</v>
      </c>
      <c r="E144" s="43" t="str">
        <f>TEXT(Data!B144,"MMM-YYYY")</f>
        <v>Jun-2024</v>
      </c>
      <c r="F144" s="43" t="str">
        <f t="shared" si="16"/>
        <v>Q2-2024</v>
      </c>
      <c r="G144" s="33" t="s">
        <v>52</v>
      </c>
      <c r="H144" s="33" t="s">
        <v>53</v>
      </c>
      <c r="I144" s="33" t="s">
        <v>54</v>
      </c>
      <c r="J144" s="33" t="s">
        <v>105</v>
      </c>
      <c r="K144" s="33" t="s">
        <v>55</v>
      </c>
      <c r="L144" s="33" t="s">
        <v>49</v>
      </c>
      <c r="M144" s="33" t="s">
        <v>30</v>
      </c>
      <c r="N144" s="33" t="s">
        <v>390</v>
      </c>
      <c r="O144" s="43">
        <v>817.23</v>
      </c>
      <c r="P144" s="44" t="str">
        <f t="shared" si="17"/>
        <v>High</v>
      </c>
      <c r="Q144" s="43">
        <v>1467.17</v>
      </c>
      <c r="R144" s="43">
        <v>0.245</v>
      </c>
      <c r="S144" s="43">
        <v>9</v>
      </c>
      <c r="T144" s="43">
        <f t="shared" si="14"/>
        <v>3655.9817999999996</v>
      </c>
      <c r="U144" s="33">
        <f t="shared" si="15"/>
        <v>7355.07</v>
      </c>
      <c r="V144" s="43">
        <f t="shared" si="18"/>
        <v>-3699.0882000000001</v>
      </c>
      <c r="W144" s="45">
        <f t="shared" si="19"/>
        <v>-1.0117906495048745</v>
      </c>
    </row>
    <row r="145" spans="1:23" x14ac:dyDescent="0.3">
      <c r="A145" s="34" t="s">
        <v>391</v>
      </c>
      <c r="B145" s="35">
        <v>45112</v>
      </c>
      <c r="C145" s="36">
        <v>45121</v>
      </c>
      <c r="D145" s="37">
        <f t="shared" si="20"/>
        <v>9</v>
      </c>
      <c r="E145" s="37" t="str">
        <f>TEXT(Data!B145,"MMM-YYYY")</f>
        <v>Jul-2023</v>
      </c>
      <c r="F145" s="37" t="str">
        <f t="shared" si="16"/>
        <v>Q3-2023</v>
      </c>
      <c r="G145" s="32" t="s">
        <v>52</v>
      </c>
      <c r="H145" s="32" t="s">
        <v>73</v>
      </c>
      <c r="I145" s="32" t="s">
        <v>87</v>
      </c>
      <c r="J145" s="32" t="s">
        <v>105</v>
      </c>
      <c r="K145" s="32" t="s">
        <v>98</v>
      </c>
      <c r="L145" s="32" t="s">
        <v>56</v>
      </c>
      <c r="M145" s="32" t="s">
        <v>35</v>
      </c>
      <c r="N145" s="32" t="s">
        <v>392</v>
      </c>
      <c r="O145" s="37">
        <v>578.85</v>
      </c>
      <c r="P145" s="38" t="str">
        <f t="shared" si="17"/>
        <v>High</v>
      </c>
      <c r="Q145" s="37">
        <v>998.76</v>
      </c>
      <c r="R145" s="37">
        <v>8.2000000000000003E-2</v>
      </c>
      <c r="S145" s="37">
        <v>28</v>
      </c>
      <c r="T145" s="37">
        <f t="shared" si="14"/>
        <v>31331.119680000003</v>
      </c>
      <c r="U145" s="32">
        <f t="shared" si="15"/>
        <v>16207.800000000001</v>
      </c>
      <c r="V145" s="37">
        <f t="shared" si="18"/>
        <v>15123.319680000002</v>
      </c>
      <c r="W145" s="39">
        <f t="shared" si="19"/>
        <v>0.4826932402819254</v>
      </c>
    </row>
    <row r="146" spans="1:23" x14ac:dyDescent="0.3">
      <c r="A146" s="40" t="s">
        <v>393</v>
      </c>
      <c r="B146" s="41">
        <v>45260</v>
      </c>
      <c r="C146" s="42">
        <v>45259</v>
      </c>
      <c r="D146" s="43">
        <f>DATEDIF(C146,B146, "MD")</f>
        <v>1</v>
      </c>
      <c r="E146" s="43" t="str">
        <f>TEXT(Data!B146,"MMM-YYYY")</f>
        <v>Nov-2023</v>
      </c>
      <c r="F146" s="43" t="str">
        <f t="shared" si="16"/>
        <v>Q4-2023</v>
      </c>
      <c r="G146" s="33" t="s">
        <v>16</v>
      </c>
      <c r="H146" s="33" t="s">
        <v>148</v>
      </c>
      <c r="I146" s="33" t="s">
        <v>172</v>
      </c>
      <c r="J146" s="33" t="s">
        <v>62</v>
      </c>
      <c r="K146" s="33" t="s">
        <v>40</v>
      </c>
      <c r="L146" s="33" t="s">
        <v>63</v>
      </c>
      <c r="M146" s="33" t="s">
        <v>57</v>
      </c>
      <c r="N146" s="33" t="s">
        <v>394</v>
      </c>
      <c r="O146" s="43">
        <v>275.56</v>
      </c>
      <c r="P146" s="44" t="str">
        <f t="shared" si="17"/>
        <v>High</v>
      </c>
      <c r="Q146" s="43">
        <v>630.72</v>
      </c>
      <c r="R146" s="43">
        <v>0.107</v>
      </c>
      <c r="S146" s="43">
        <v>23</v>
      </c>
      <c r="T146" s="43">
        <f t="shared" si="14"/>
        <v>42353.882679999995</v>
      </c>
      <c r="U146" s="33">
        <f t="shared" si="15"/>
        <v>6337.88</v>
      </c>
      <c r="V146" s="43">
        <f t="shared" si="18"/>
        <v>36016.002679999998</v>
      </c>
      <c r="W146" s="45">
        <f t="shared" si="19"/>
        <v>0.85035893762361436</v>
      </c>
    </row>
    <row r="147" spans="1:23" x14ac:dyDescent="0.3">
      <c r="A147" s="34" t="s">
        <v>395</v>
      </c>
      <c r="B147" s="35">
        <v>45911</v>
      </c>
      <c r="C147" s="36">
        <v>45928</v>
      </c>
      <c r="D147" s="37">
        <f t="shared" si="20"/>
        <v>17</v>
      </c>
      <c r="E147" s="37" t="str">
        <f>TEXT(Data!B147,"MMM-YYYY")</f>
        <v>Sep-2025</v>
      </c>
      <c r="F147" s="37" t="str">
        <f t="shared" si="16"/>
        <v>Q3-2025</v>
      </c>
      <c r="G147" s="32" t="s">
        <v>16</v>
      </c>
      <c r="H147" s="32" t="s">
        <v>17</v>
      </c>
      <c r="I147" s="32" t="s">
        <v>33</v>
      </c>
      <c r="J147" s="32" t="s">
        <v>39</v>
      </c>
      <c r="K147" s="32" t="s">
        <v>55</v>
      </c>
      <c r="L147" s="32" t="s">
        <v>29</v>
      </c>
      <c r="M147" s="32" t="s">
        <v>57</v>
      </c>
      <c r="N147" s="32" t="s">
        <v>396</v>
      </c>
      <c r="O147" s="37">
        <v>891.46</v>
      </c>
      <c r="P147" s="38" t="str">
        <f t="shared" si="17"/>
        <v>High</v>
      </c>
      <c r="Q147" s="37">
        <v>728.61</v>
      </c>
      <c r="R147" s="37">
        <v>0.185</v>
      </c>
      <c r="S147" s="37">
        <v>6</v>
      </c>
      <c r="T147" s="37">
        <f t="shared" si="14"/>
        <v>49.780199999999994</v>
      </c>
      <c r="U147" s="32">
        <f t="shared" si="15"/>
        <v>5348.76</v>
      </c>
      <c r="V147" s="37">
        <f t="shared" si="18"/>
        <v>-5298.9798000000001</v>
      </c>
      <c r="W147" s="39">
        <f t="shared" si="19"/>
        <v>-106.44753938312824</v>
      </c>
    </row>
    <row r="148" spans="1:23" x14ac:dyDescent="0.3">
      <c r="A148" s="40" t="s">
        <v>397</v>
      </c>
      <c r="B148" s="41">
        <v>45386</v>
      </c>
      <c r="C148" s="42">
        <v>45406</v>
      </c>
      <c r="D148" s="43">
        <f t="shared" si="20"/>
        <v>20</v>
      </c>
      <c r="E148" s="43" t="str">
        <f>TEXT(Data!B148,"MMM-YYYY")</f>
        <v>Apr-2024</v>
      </c>
      <c r="F148" s="43" t="str">
        <f t="shared" si="16"/>
        <v>Q2-2024</v>
      </c>
      <c r="G148" s="33" t="s">
        <v>78</v>
      </c>
      <c r="H148" s="33" t="s">
        <v>79</v>
      </c>
      <c r="I148" s="33" t="s">
        <v>335</v>
      </c>
      <c r="J148" s="33" t="s">
        <v>39</v>
      </c>
      <c r="K148" s="33" t="s">
        <v>98</v>
      </c>
      <c r="L148" s="33" t="s">
        <v>68</v>
      </c>
      <c r="M148" s="33" t="s">
        <v>81</v>
      </c>
      <c r="N148" s="33" t="s">
        <v>398</v>
      </c>
      <c r="O148" s="43">
        <v>683.42</v>
      </c>
      <c r="P148" s="44" t="str">
        <f t="shared" si="17"/>
        <v>High</v>
      </c>
      <c r="Q148" s="43">
        <v>951.51</v>
      </c>
      <c r="R148" s="43">
        <v>0</v>
      </c>
      <c r="S148" s="43">
        <v>14</v>
      </c>
      <c r="T148" s="43">
        <f t="shared" si="14"/>
        <v>31944.079999999998</v>
      </c>
      <c r="U148" s="33">
        <f t="shared" si="15"/>
        <v>9567.8799999999992</v>
      </c>
      <c r="V148" s="43">
        <f t="shared" si="18"/>
        <v>22376.199999999997</v>
      </c>
      <c r="W148" s="45">
        <f t="shared" si="19"/>
        <v>0.7004803393930894</v>
      </c>
    </row>
    <row r="149" spans="1:23" x14ac:dyDescent="0.3">
      <c r="A149" s="34" t="s">
        <v>399</v>
      </c>
      <c r="B149" s="35">
        <v>45183</v>
      </c>
      <c r="C149" s="36">
        <v>45185</v>
      </c>
      <c r="D149" s="37">
        <f t="shared" si="20"/>
        <v>2</v>
      </c>
      <c r="E149" s="37" t="str">
        <f>TEXT(Data!B149,"MMM-YYYY")</f>
        <v>Sep-2023</v>
      </c>
      <c r="F149" s="37" t="str">
        <f t="shared" si="16"/>
        <v>Q3-2023</v>
      </c>
      <c r="G149" s="32" t="s">
        <v>78</v>
      </c>
      <c r="H149" s="32" t="s">
        <v>90</v>
      </c>
      <c r="I149" s="32" t="s">
        <v>138</v>
      </c>
      <c r="J149" s="32" t="s">
        <v>39</v>
      </c>
      <c r="K149" s="32" t="s">
        <v>98</v>
      </c>
      <c r="L149" s="32" t="s">
        <v>56</v>
      </c>
      <c r="M149" s="32" t="s">
        <v>30</v>
      </c>
      <c r="N149" s="32" t="s">
        <v>400</v>
      </c>
      <c r="O149" s="37">
        <v>376.83</v>
      </c>
      <c r="P149" s="38" t="str">
        <f t="shared" si="17"/>
        <v>High</v>
      </c>
      <c r="Q149" s="37">
        <v>732.88</v>
      </c>
      <c r="R149" s="37">
        <v>0.188</v>
      </c>
      <c r="S149" s="37">
        <v>25</v>
      </c>
      <c r="T149" s="37">
        <f t="shared" si="14"/>
        <v>5066.2710000000006</v>
      </c>
      <c r="U149" s="32">
        <f t="shared" si="15"/>
        <v>9420.75</v>
      </c>
      <c r="V149" s="37">
        <f t="shared" si="18"/>
        <v>-4354.4789999999994</v>
      </c>
      <c r="W149" s="39">
        <f t="shared" si="19"/>
        <v>-0.85950376519534755</v>
      </c>
    </row>
    <row r="150" spans="1:23" x14ac:dyDescent="0.3">
      <c r="A150" s="40" t="s">
        <v>401</v>
      </c>
      <c r="B150" s="41">
        <v>45558</v>
      </c>
      <c r="C150" s="42">
        <v>45583</v>
      </c>
      <c r="D150" s="43">
        <f t="shared" si="20"/>
        <v>25</v>
      </c>
      <c r="E150" s="43" t="str">
        <f>TEXT(Data!B150,"MMM-YYYY")</f>
        <v>Sep-2024</v>
      </c>
      <c r="F150" s="43" t="str">
        <f t="shared" si="16"/>
        <v>Q3-2024</v>
      </c>
      <c r="G150" s="33" t="s">
        <v>52</v>
      </c>
      <c r="H150" s="33" t="s">
        <v>53</v>
      </c>
      <c r="I150" s="33" t="s">
        <v>179</v>
      </c>
      <c r="J150" s="33" t="s">
        <v>62</v>
      </c>
      <c r="K150" s="33" t="s">
        <v>28</v>
      </c>
      <c r="L150" s="33" t="s">
        <v>126</v>
      </c>
      <c r="M150" s="33" t="s">
        <v>42</v>
      </c>
      <c r="N150" s="33" t="s">
        <v>402</v>
      </c>
      <c r="O150" s="43">
        <v>1297</v>
      </c>
      <c r="P150" s="44" t="str">
        <f t="shared" si="17"/>
        <v>High</v>
      </c>
      <c r="Q150" s="43">
        <v>2411.52</v>
      </c>
      <c r="R150" s="43">
        <v>2.1000000000000001E-2</v>
      </c>
      <c r="S150" s="43">
        <v>18</v>
      </c>
      <c r="T150" s="43">
        <f t="shared" si="14"/>
        <v>57712.049999999996</v>
      </c>
      <c r="U150" s="33">
        <f t="shared" si="15"/>
        <v>23346</v>
      </c>
      <c r="V150" s="43">
        <f t="shared" si="18"/>
        <v>34366.049999999996</v>
      </c>
      <c r="W150" s="45">
        <f t="shared" si="19"/>
        <v>0.59547442865051581</v>
      </c>
    </row>
    <row r="151" spans="1:23" x14ac:dyDescent="0.3">
      <c r="A151" s="34" t="s">
        <v>403</v>
      </c>
      <c r="B151" s="35">
        <v>45763</v>
      </c>
      <c r="C151" s="36">
        <v>45793</v>
      </c>
      <c r="D151" s="37">
        <f t="shared" si="20"/>
        <v>0</v>
      </c>
      <c r="E151" s="37" t="str">
        <f>TEXT(Data!B151,"MMM-YYYY")</f>
        <v>Apr-2025</v>
      </c>
      <c r="F151" s="37" t="str">
        <f t="shared" si="16"/>
        <v>Q2-2025</v>
      </c>
      <c r="G151" s="32" t="s">
        <v>52</v>
      </c>
      <c r="H151" s="32" t="s">
        <v>53</v>
      </c>
      <c r="I151" s="32" t="s">
        <v>144</v>
      </c>
      <c r="J151" s="32" t="s">
        <v>105</v>
      </c>
      <c r="K151" s="32" t="s">
        <v>55</v>
      </c>
      <c r="L151" s="32" t="s">
        <v>95</v>
      </c>
      <c r="M151" s="32" t="s">
        <v>30</v>
      </c>
      <c r="N151" s="32" t="s">
        <v>404</v>
      </c>
      <c r="O151" s="37">
        <v>763.32</v>
      </c>
      <c r="P151" s="38" t="str">
        <f t="shared" si="17"/>
        <v>High</v>
      </c>
      <c r="Q151" s="37">
        <v>568.29</v>
      </c>
      <c r="R151" s="37">
        <v>0.13100000000000001</v>
      </c>
      <c r="S151" s="37">
        <v>16</v>
      </c>
      <c r="T151" s="37">
        <f t="shared" si="14"/>
        <v>26608.919040000001</v>
      </c>
      <c r="U151" s="32">
        <f t="shared" si="15"/>
        <v>12213.12</v>
      </c>
      <c r="V151" s="37">
        <f t="shared" si="18"/>
        <v>14395.79904</v>
      </c>
      <c r="W151" s="39">
        <f t="shared" si="19"/>
        <v>0.54101404940048248</v>
      </c>
    </row>
    <row r="152" spans="1:23" x14ac:dyDescent="0.3">
      <c r="A152" s="40" t="s">
        <v>405</v>
      </c>
      <c r="B152" s="41">
        <v>45110</v>
      </c>
      <c r="C152" s="42">
        <v>45130</v>
      </c>
      <c r="D152" s="43">
        <f t="shared" si="20"/>
        <v>20</v>
      </c>
      <c r="E152" s="43" t="str">
        <f>TEXT(Data!B152,"MMM-YYYY")</f>
        <v>Jul-2023</v>
      </c>
      <c r="F152" s="43" t="str">
        <f t="shared" si="16"/>
        <v>Q3-2023</v>
      </c>
      <c r="G152" s="33" t="s">
        <v>16</v>
      </c>
      <c r="H152" s="33" t="s">
        <v>148</v>
      </c>
      <c r="I152" s="33" t="s">
        <v>149</v>
      </c>
      <c r="J152" s="33" t="s">
        <v>62</v>
      </c>
      <c r="K152" s="33" t="s">
        <v>55</v>
      </c>
      <c r="L152" s="33" t="s">
        <v>84</v>
      </c>
      <c r="M152" s="33" t="s">
        <v>57</v>
      </c>
      <c r="N152" s="33" t="s">
        <v>406</v>
      </c>
      <c r="O152" s="43">
        <v>1001.96</v>
      </c>
      <c r="P152" s="44" t="str">
        <f t="shared" si="17"/>
        <v>High</v>
      </c>
      <c r="Q152" s="43">
        <v>1254.95</v>
      </c>
      <c r="R152" s="43">
        <v>4.4999999999999998E-2</v>
      </c>
      <c r="S152" s="43">
        <v>18</v>
      </c>
      <c r="T152" s="43">
        <f t="shared" si="14"/>
        <v>517.24709999999993</v>
      </c>
      <c r="U152" s="33">
        <f t="shared" si="15"/>
        <v>18035.28</v>
      </c>
      <c r="V152" s="43">
        <f t="shared" si="18"/>
        <v>-17518.032899999998</v>
      </c>
      <c r="W152" s="45">
        <f t="shared" si="19"/>
        <v>-33.867822361884677</v>
      </c>
    </row>
    <row r="153" spans="1:23" x14ac:dyDescent="0.3">
      <c r="A153" s="34" t="s">
        <v>407</v>
      </c>
      <c r="B153" s="35">
        <v>45267</v>
      </c>
      <c r="C153" s="36">
        <v>45265</v>
      </c>
      <c r="D153" s="37">
        <f>DATEDIF(C153,B153, "MD")</f>
        <v>2</v>
      </c>
      <c r="E153" s="37" t="str">
        <f>TEXT(Data!B153,"MMM-YYYY")</f>
        <v>Dec-2023</v>
      </c>
      <c r="F153" s="37" t="str">
        <f t="shared" si="16"/>
        <v>Q4-2023</v>
      </c>
      <c r="G153" s="32" t="s">
        <v>45</v>
      </c>
      <c r="H153" s="32" t="s">
        <v>46</v>
      </c>
      <c r="I153" s="32" t="s">
        <v>214</v>
      </c>
      <c r="J153" s="32" t="s">
        <v>39</v>
      </c>
      <c r="K153" s="32" t="s">
        <v>40</v>
      </c>
      <c r="L153" s="32" t="s">
        <v>92</v>
      </c>
      <c r="M153" s="32" t="s">
        <v>30</v>
      </c>
      <c r="N153" s="32" t="s">
        <v>408</v>
      </c>
      <c r="O153" s="37">
        <v>1097.5899999999999</v>
      </c>
      <c r="P153" s="38" t="str">
        <f t="shared" si="17"/>
        <v>High</v>
      </c>
      <c r="Q153" s="37">
        <v>845.55</v>
      </c>
      <c r="R153" s="37">
        <v>0.184</v>
      </c>
      <c r="S153" s="37">
        <v>6</v>
      </c>
      <c r="T153" s="37">
        <f t="shared" si="14"/>
        <v>2454.4137600000004</v>
      </c>
      <c r="U153" s="32">
        <f t="shared" si="15"/>
        <v>6585.5399999999991</v>
      </c>
      <c r="V153" s="37">
        <f t="shared" si="18"/>
        <v>-4131.1262399999987</v>
      </c>
      <c r="W153" s="39">
        <f t="shared" si="19"/>
        <v>-1.6831417372757875</v>
      </c>
    </row>
    <row r="154" spans="1:23" x14ac:dyDescent="0.3">
      <c r="A154" s="40" t="s">
        <v>409</v>
      </c>
      <c r="B154" s="41">
        <v>45340</v>
      </c>
      <c r="C154" s="42">
        <v>45355</v>
      </c>
      <c r="D154" s="43">
        <f t="shared" si="20"/>
        <v>15</v>
      </c>
      <c r="E154" s="43" t="str">
        <f>TEXT(Data!B154,"MMM-YYYY")</f>
        <v>Feb-2024</v>
      </c>
      <c r="F154" s="43" t="str">
        <f t="shared" si="16"/>
        <v>Q1-2024</v>
      </c>
      <c r="G154" s="33" t="s">
        <v>16</v>
      </c>
      <c r="H154" s="33" t="s">
        <v>17</v>
      </c>
      <c r="I154" s="33" t="s">
        <v>18</v>
      </c>
      <c r="J154" s="33" t="s">
        <v>27</v>
      </c>
      <c r="K154" s="33" t="s">
        <v>98</v>
      </c>
      <c r="L154" s="33" t="s">
        <v>95</v>
      </c>
      <c r="M154" s="33" t="s">
        <v>30</v>
      </c>
      <c r="N154" s="33" t="s">
        <v>410</v>
      </c>
      <c r="O154" s="43">
        <v>928.68</v>
      </c>
      <c r="P154" s="44" t="str">
        <f t="shared" si="17"/>
        <v>High</v>
      </c>
      <c r="Q154" s="43">
        <v>2145.17</v>
      </c>
      <c r="R154" s="43">
        <v>0.13600000000000001</v>
      </c>
      <c r="S154" s="43">
        <v>16</v>
      </c>
      <c r="T154" s="43">
        <f t="shared" si="14"/>
        <v>5684.1523200000001</v>
      </c>
      <c r="U154" s="33">
        <f t="shared" si="15"/>
        <v>14858.88</v>
      </c>
      <c r="V154" s="43">
        <f t="shared" si="18"/>
        <v>-9174.72768</v>
      </c>
      <c r="W154" s="45">
        <f t="shared" si="19"/>
        <v>-1.6140889904934848</v>
      </c>
    </row>
    <row r="155" spans="1:23" x14ac:dyDescent="0.3">
      <c r="A155" s="34" t="s">
        <v>411</v>
      </c>
      <c r="B155" s="35">
        <v>45230</v>
      </c>
      <c r="C155" s="36">
        <v>45232</v>
      </c>
      <c r="D155" s="37">
        <f t="shared" si="20"/>
        <v>2</v>
      </c>
      <c r="E155" s="37" t="str">
        <f>TEXT(Data!B155,"MMM-YYYY")</f>
        <v>Oct-2023</v>
      </c>
      <c r="F155" s="37" t="str">
        <f t="shared" si="16"/>
        <v>Q4-2023</v>
      </c>
      <c r="G155" s="32" t="s">
        <v>16</v>
      </c>
      <c r="H155" s="32" t="s">
        <v>17</v>
      </c>
      <c r="I155" s="32" t="s">
        <v>18</v>
      </c>
      <c r="J155" s="32" t="s">
        <v>27</v>
      </c>
      <c r="K155" s="32" t="s">
        <v>20</v>
      </c>
      <c r="L155" s="32" t="s">
        <v>68</v>
      </c>
      <c r="M155" s="32" t="s">
        <v>81</v>
      </c>
      <c r="N155" s="32" t="s">
        <v>412</v>
      </c>
      <c r="O155" s="37">
        <v>867.89</v>
      </c>
      <c r="P155" s="38" t="str">
        <f t="shared" si="17"/>
        <v>High</v>
      </c>
      <c r="Q155" s="37">
        <v>1349.94</v>
      </c>
      <c r="R155" s="37">
        <v>0.184</v>
      </c>
      <c r="S155" s="37">
        <v>10</v>
      </c>
      <c r="T155" s="37">
        <f t="shared" si="14"/>
        <v>48.307200000000009</v>
      </c>
      <c r="U155" s="32">
        <f t="shared" si="15"/>
        <v>8678.9</v>
      </c>
      <c r="V155" s="37">
        <f t="shared" si="18"/>
        <v>-8630.5928000000004</v>
      </c>
      <c r="W155" s="39">
        <f t="shared" si="19"/>
        <v>-178.66058889772123</v>
      </c>
    </row>
    <row r="156" spans="1:23" x14ac:dyDescent="0.3">
      <c r="A156" s="40" t="s">
        <v>413</v>
      </c>
      <c r="B156" s="41">
        <v>45511</v>
      </c>
      <c r="C156" s="42">
        <v>45521</v>
      </c>
      <c r="D156" s="43">
        <f t="shared" si="20"/>
        <v>10</v>
      </c>
      <c r="E156" s="43" t="str">
        <f>TEXT(Data!B156,"MMM-YYYY")</f>
        <v>Aug-2024</v>
      </c>
      <c r="F156" s="43" t="str">
        <f t="shared" si="16"/>
        <v>Q3-2024</v>
      </c>
      <c r="G156" s="33" t="s">
        <v>45</v>
      </c>
      <c r="H156" s="33" t="s">
        <v>46</v>
      </c>
      <c r="I156" s="33" t="s">
        <v>47</v>
      </c>
      <c r="J156" s="33" t="s">
        <v>48</v>
      </c>
      <c r="K156" s="33" t="s">
        <v>28</v>
      </c>
      <c r="L156" s="33" t="s">
        <v>95</v>
      </c>
      <c r="M156" s="33" t="s">
        <v>35</v>
      </c>
      <c r="N156" s="33" t="s">
        <v>414</v>
      </c>
      <c r="O156" s="43">
        <v>436.58</v>
      </c>
      <c r="P156" s="44" t="str">
        <f t="shared" si="17"/>
        <v>High</v>
      </c>
      <c r="Q156" s="43">
        <v>527.48</v>
      </c>
      <c r="R156" s="43">
        <v>0.111</v>
      </c>
      <c r="S156" s="43">
        <v>19</v>
      </c>
      <c r="T156" s="43">
        <f t="shared" si="14"/>
        <v>37272.187330000001</v>
      </c>
      <c r="U156" s="33">
        <f t="shared" si="15"/>
        <v>8295.02</v>
      </c>
      <c r="V156" s="43">
        <f t="shared" si="18"/>
        <v>28977.16733</v>
      </c>
      <c r="W156" s="45">
        <f t="shared" si="19"/>
        <v>0.77744745897101064</v>
      </c>
    </row>
    <row r="157" spans="1:23" x14ac:dyDescent="0.3">
      <c r="A157" s="34" t="s">
        <v>415</v>
      </c>
      <c r="B157" s="35">
        <v>45323</v>
      </c>
      <c r="C157" s="36">
        <v>45343</v>
      </c>
      <c r="D157" s="37">
        <f t="shared" si="20"/>
        <v>20</v>
      </c>
      <c r="E157" s="37" t="str">
        <f>TEXT(Data!B157,"MMM-YYYY")</f>
        <v>Feb-2024</v>
      </c>
      <c r="F157" s="37" t="str">
        <f t="shared" si="16"/>
        <v>Q1-2024</v>
      </c>
      <c r="G157" s="32" t="s">
        <v>78</v>
      </c>
      <c r="H157" s="32" t="s">
        <v>90</v>
      </c>
      <c r="I157" s="32" t="s">
        <v>217</v>
      </c>
      <c r="J157" s="32" t="s">
        <v>62</v>
      </c>
      <c r="K157" s="32" t="s">
        <v>40</v>
      </c>
      <c r="L157" s="32" t="s">
        <v>75</v>
      </c>
      <c r="M157" s="32" t="s">
        <v>35</v>
      </c>
      <c r="N157" s="32" t="s">
        <v>416</v>
      </c>
      <c r="O157" s="37">
        <v>656.2</v>
      </c>
      <c r="P157" s="38" t="str">
        <f t="shared" si="17"/>
        <v>High</v>
      </c>
      <c r="Q157" s="37">
        <v>1467.17</v>
      </c>
      <c r="R157" s="37">
        <v>1.7999999999999999E-2</v>
      </c>
      <c r="S157" s="37">
        <v>5</v>
      </c>
      <c r="T157" s="37">
        <f t="shared" si="14"/>
        <v>9391.848</v>
      </c>
      <c r="U157" s="32">
        <f t="shared" si="15"/>
        <v>3281</v>
      </c>
      <c r="V157" s="37">
        <f t="shared" si="18"/>
        <v>6110.848</v>
      </c>
      <c r="W157" s="39">
        <f t="shared" si="19"/>
        <v>0.65065448248310664</v>
      </c>
    </row>
    <row r="158" spans="1:23" x14ac:dyDescent="0.3">
      <c r="A158" s="40" t="s">
        <v>417</v>
      </c>
      <c r="B158" s="41">
        <v>45531</v>
      </c>
      <c r="C158" s="42">
        <v>45553</v>
      </c>
      <c r="D158" s="43">
        <f t="shared" si="20"/>
        <v>22</v>
      </c>
      <c r="E158" s="43" t="str">
        <f>TEXT(Data!B158,"MMM-YYYY")</f>
        <v>Aug-2024</v>
      </c>
      <c r="F158" s="43" t="str">
        <f t="shared" si="16"/>
        <v>Q3-2024</v>
      </c>
      <c r="G158" s="33" t="s">
        <v>45</v>
      </c>
      <c r="H158" s="33" t="s">
        <v>60</v>
      </c>
      <c r="I158" s="33" t="s">
        <v>141</v>
      </c>
      <c r="J158" s="33" t="s">
        <v>48</v>
      </c>
      <c r="K158" s="33" t="s">
        <v>98</v>
      </c>
      <c r="L158" s="33" t="s">
        <v>56</v>
      </c>
      <c r="M158" s="33" t="s">
        <v>22</v>
      </c>
      <c r="N158" s="33" t="s">
        <v>418</v>
      </c>
      <c r="O158" s="43">
        <v>896.75</v>
      </c>
      <c r="P158" s="44" t="str">
        <f t="shared" si="17"/>
        <v>High</v>
      </c>
      <c r="Q158" s="43">
        <v>1651.14</v>
      </c>
      <c r="R158" s="43">
        <v>2.5000000000000001E-2</v>
      </c>
      <c r="S158" s="43">
        <v>15</v>
      </c>
      <c r="T158" s="43">
        <f t="shared" si="14"/>
        <v>20216.283749999999</v>
      </c>
      <c r="U158" s="33">
        <f t="shared" si="15"/>
        <v>13451.25</v>
      </c>
      <c r="V158" s="43">
        <f t="shared" si="18"/>
        <v>6765.0337499999987</v>
      </c>
      <c r="W158" s="45">
        <f t="shared" si="19"/>
        <v>0.3346329045267778</v>
      </c>
    </row>
    <row r="159" spans="1:23" x14ac:dyDescent="0.3">
      <c r="A159" s="34" t="s">
        <v>419</v>
      </c>
      <c r="B159" s="35">
        <v>45703</v>
      </c>
      <c r="C159" s="36">
        <v>45703</v>
      </c>
      <c r="D159" s="37">
        <f t="shared" si="20"/>
        <v>0</v>
      </c>
      <c r="E159" s="37" t="str">
        <f>TEXT(Data!B159,"MMM-YYYY")</f>
        <v>Feb-2025</v>
      </c>
      <c r="F159" s="37" t="str">
        <f t="shared" si="16"/>
        <v>Q1-2025</v>
      </c>
      <c r="G159" s="32" t="s">
        <v>78</v>
      </c>
      <c r="H159" s="32" t="s">
        <v>79</v>
      </c>
      <c r="I159" s="32" t="s">
        <v>335</v>
      </c>
      <c r="J159" s="32" t="s">
        <v>62</v>
      </c>
      <c r="K159" s="32" t="s">
        <v>40</v>
      </c>
      <c r="L159" s="32" t="s">
        <v>49</v>
      </c>
      <c r="M159" s="32" t="s">
        <v>81</v>
      </c>
      <c r="N159" s="32" t="s">
        <v>420</v>
      </c>
      <c r="O159" s="37">
        <v>815.83</v>
      </c>
      <c r="P159" s="38" t="str">
        <f t="shared" si="17"/>
        <v>High</v>
      </c>
      <c r="Q159" s="37">
        <v>1982.18</v>
      </c>
      <c r="R159" s="37">
        <v>0.127</v>
      </c>
      <c r="S159" s="37">
        <v>6</v>
      </c>
      <c r="T159" s="37">
        <f t="shared" si="14"/>
        <v>7100.6851799999995</v>
      </c>
      <c r="U159" s="32">
        <f t="shared" si="15"/>
        <v>4894.9800000000005</v>
      </c>
      <c r="V159" s="37">
        <f t="shared" si="18"/>
        <v>2205.705179999999</v>
      </c>
      <c r="W159" s="39">
        <f t="shared" si="19"/>
        <v>0.31063272403804826</v>
      </c>
    </row>
    <row r="160" spans="1:23" x14ac:dyDescent="0.3">
      <c r="A160" s="40" t="s">
        <v>421</v>
      </c>
      <c r="B160" s="41">
        <v>45870</v>
      </c>
      <c r="C160" s="42">
        <v>45890</v>
      </c>
      <c r="D160" s="43">
        <f t="shared" si="20"/>
        <v>20</v>
      </c>
      <c r="E160" s="43" t="str">
        <f>TEXT(Data!B160,"MMM-YYYY")</f>
        <v>Aug-2025</v>
      </c>
      <c r="F160" s="43" t="str">
        <f t="shared" si="16"/>
        <v>Q3-2025</v>
      </c>
      <c r="G160" s="33" t="s">
        <v>45</v>
      </c>
      <c r="H160" s="33" t="s">
        <v>116</v>
      </c>
      <c r="I160" s="33" t="s">
        <v>162</v>
      </c>
      <c r="J160" s="33" t="s">
        <v>19</v>
      </c>
      <c r="K160" s="33" t="s">
        <v>98</v>
      </c>
      <c r="L160" s="33" t="s">
        <v>34</v>
      </c>
      <c r="M160" s="33" t="s">
        <v>42</v>
      </c>
      <c r="N160" s="33" t="s">
        <v>422</v>
      </c>
      <c r="O160" s="43">
        <v>1220.4100000000001</v>
      </c>
      <c r="P160" s="44" t="str">
        <f t="shared" si="17"/>
        <v>High</v>
      </c>
      <c r="Q160" s="43">
        <v>2552.2199999999998</v>
      </c>
      <c r="R160" s="43">
        <v>0.18099999999999999</v>
      </c>
      <c r="S160" s="43">
        <v>14</v>
      </c>
      <c r="T160" s="43">
        <f t="shared" si="14"/>
        <v>10180.661399999999</v>
      </c>
      <c r="U160" s="33">
        <f t="shared" si="15"/>
        <v>17085.740000000002</v>
      </c>
      <c r="V160" s="43">
        <f t="shared" si="18"/>
        <v>-6905.0786000000026</v>
      </c>
      <c r="W160" s="45">
        <f t="shared" si="19"/>
        <v>-0.6782544206803699</v>
      </c>
    </row>
    <row r="161" spans="1:23" x14ac:dyDescent="0.3">
      <c r="A161" s="34" t="s">
        <v>423</v>
      </c>
      <c r="B161" s="35">
        <v>44977</v>
      </c>
      <c r="C161" s="36">
        <v>44989</v>
      </c>
      <c r="D161" s="37">
        <f t="shared" si="20"/>
        <v>12</v>
      </c>
      <c r="E161" s="37" t="str">
        <f>TEXT(Data!B161,"MMM-YYYY")</f>
        <v>Feb-2023</v>
      </c>
      <c r="F161" s="37" t="str">
        <f t="shared" si="16"/>
        <v>Q1-2023</v>
      </c>
      <c r="G161" s="32" t="s">
        <v>45</v>
      </c>
      <c r="H161" s="32" t="s">
        <v>60</v>
      </c>
      <c r="I161" s="32" t="s">
        <v>141</v>
      </c>
      <c r="J161" s="32" t="s">
        <v>48</v>
      </c>
      <c r="K161" s="32" t="s">
        <v>55</v>
      </c>
      <c r="L161" s="32" t="s">
        <v>110</v>
      </c>
      <c r="M161" s="32" t="s">
        <v>64</v>
      </c>
      <c r="N161" s="32" t="s">
        <v>424</v>
      </c>
      <c r="O161" s="37">
        <v>299.75</v>
      </c>
      <c r="P161" s="38" t="str">
        <f t="shared" si="17"/>
        <v>High</v>
      </c>
      <c r="Q161" s="37">
        <v>523.01</v>
      </c>
      <c r="R161" s="37">
        <v>0.157</v>
      </c>
      <c r="S161" s="37">
        <v>50</v>
      </c>
      <c r="T161" s="37">
        <f t="shared" si="14"/>
        <v>43022.083500000001</v>
      </c>
      <c r="U161" s="32">
        <f t="shared" si="15"/>
        <v>14987.5</v>
      </c>
      <c r="V161" s="37">
        <f t="shared" si="18"/>
        <v>28034.583500000001</v>
      </c>
      <c r="W161" s="39">
        <f t="shared" si="19"/>
        <v>0.65163239943969709</v>
      </c>
    </row>
    <row r="162" spans="1:23" x14ac:dyDescent="0.3">
      <c r="A162" s="40" t="s">
        <v>425</v>
      </c>
      <c r="B162" s="41">
        <v>45595</v>
      </c>
      <c r="C162" s="42">
        <v>45620</v>
      </c>
      <c r="D162" s="43">
        <f t="shared" si="20"/>
        <v>25</v>
      </c>
      <c r="E162" s="43" t="str">
        <f>TEXT(Data!B162,"MMM-YYYY")</f>
        <v>Oct-2024</v>
      </c>
      <c r="F162" s="43" t="str">
        <f t="shared" si="16"/>
        <v>Q4-2024</v>
      </c>
      <c r="G162" s="33" t="s">
        <v>45</v>
      </c>
      <c r="H162" s="33" t="s">
        <v>116</v>
      </c>
      <c r="I162" s="33" t="s">
        <v>117</v>
      </c>
      <c r="J162" s="33" t="s">
        <v>62</v>
      </c>
      <c r="K162" s="33" t="s">
        <v>28</v>
      </c>
      <c r="L162" s="33" t="s">
        <v>63</v>
      </c>
      <c r="M162" s="33" t="s">
        <v>22</v>
      </c>
      <c r="N162" s="33" t="s">
        <v>426</v>
      </c>
      <c r="O162" s="43">
        <v>811.05</v>
      </c>
      <c r="P162" s="44" t="str">
        <f t="shared" si="17"/>
        <v>High</v>
      </c>
      <c r="Q162" s="43">
        <v>1217.71</v>
      </c>
      <c r="R162" s="43">
        <v>7.1999999999999995E-2</v>
      </c>
      <c r="S162" s="43">
        <v>5</v>
      </c>
      <c r="T162" s="43">
        <f t="shared" si="14"/>
        <v>6475.2592000000004</v>
      </c>
      <c r="U162" s="33">
        <f t="shared" si="15"/>
        <v>4055.25</v>
      </c>
      <c r="V162" s="43">
        <f t="shared" si="18"/>
        <v>2420.0092000000004</v>
      </c>
      <c r="W162" s="45">
        <f t="shared" si="19"/>
        <v>0.37373163378540897</v>
      </c>
    </row>
    <row r="163" spans="1:23" x14ac:dyDescent="0.3">
      <c r="A163" s="34" t="s">
        <v>427</v>
      </c>
      <c r="B163" s="35">
        <v>45385</v>
      </c>
      <c r="C163" s="36">
        <v>45389</v>
      </c>
      <c r="D163" s="37">
        <f t="shared" si="20"/>
        <v>4</v>
      </c>
      <c r="E163" s="37" t="str">
        <f>TEXT(Data!B163,"MMM-YYYY")</f>
        <v>Apr-2024</v>
      </c>
      <c r="F163" s="37" t="str">
        <f t="shared" si="16"/>
        <v>Q2-2024</v>
      </c>
      <c r="G163" s="32" t="s">
        <v>52</v>
      </c>
      <c r="H163" s="32" t="s">
        <v>73</v>
      </c>
      <c r="I163" s="32" t="s">
        <v>87</v>
      </c>
      <c r="J163" s="32" t="s">
        <v>39</v>
      </c>
      <c r="K163" s="32" t="s">
        <v>98</v>
      </c>
      <c r="L163" s="32" t="s">
        <v>126</v>
      </c>
      <c r="M163" s="32" t="s">
        <v>42</v>
      </c>
      <c r="N163" s="32" t="s">
        <v>428</v>
      </c>
      <c r="O163" s="37">
        <v>1023.27</v>
      </c>
      <c r="P163" s="38" t="str">
        <f t="shared" si="17"/>
        <v>High</v>
      </c>
      <c r="Q163" s="37">
        <v>1343.64</v>
      </c>
      <c r="R163" s="37">
        <v>0.13300000000000001</v>
      </c>
      <c r="S163" s="37">
        <v>7</v>
      </c>
      <c r="T163" s="37">
        <f t="shared" si="14"/>
        <v>13797.385980000001</v>
      </c>
      <c r="U163" s="32">
        <f t="shared" si="15"/>
        <v>7162.8899999999994</v>
      </c>
      <c r="V163" s="37">
        <f t="shared" si="18"/>
        <v>6634.4959800000015</v>
      </c>
      <c r="W163" s="39">
        <f t="shared" si="19"/>
        <v>0.48085166201895302</v>
      </c>
    </row>
    <row r="164" spans="1:23" x14ac:dyDescent="0.3">
      <c r="A164" s="40" t="s">
        <v>429</v>
      </c>
      <c r="B164" s="41">
        <v>45010</v>
      </c>
      <c r="C164" s="42">
        <v>45011</v>
      </c>
      <c r="D164" s="43">
        <f t="shared" si="20"/>
        <v>1</v>
      </c>
      <c r="E164" s="43" t="str">
        <f>TEXT(Data!B164,"MMM-YYYY")</f>
        <v>Mar-2023</v>
      </c>
      <c r="F164" s="43" t="str">
        <f t="shared" si="16"/>
        <v>Q1-2023</v>
      </c>
      <c r="G164" s="33" t="s">
        <v>45</v>
      </c>
      <c r="H164" s="33" t="s">
        <v>46</v>
      </c>
      <c r="I164" s="33" t="s">
        <v>47</v>
      </c>
      <c r="J164" s="33" t="s">
        <v>62</v>
      </c>
      <c r="K164" s="33" t="s">
        <v>55</v>
      </c>
      <c r="L164" s="33" t="s">
        <v>34</v>
      </c>
      <c r="M164" s="33" t="s">
        <v>64</v>
      </c>
      <c r="N164" s="33" t="s">
        <v>430</v>
      </c>
      <c r="O164" s="43">
        <v>135.12</v>
      </c>
      <c r="P164" s="44" t="str">
        <f t="shared" si="17"/>
        <v>High</v>
      </c>
      <c r="Q164" s="43">
        <v>301.7</v>
      </c>
      <c r="R164" s="43">
        <v>0.14000000000000001</v>
      </c>
      <c r="S164" s="43">
        <v>47</v>
      </c>
      <c r="T164" s="43">
        <f t="shared" si="14"/>
        <v>50207.703000000001</v>
      </c>
      <c r="U164" s="33">
        <f t="shared" si="15"/>
        <v>6350.64</v>
      </c>
      <c r="V164" s="43">
        <f t="shared" si="18"/>
        <v>43857.063000000002</v>
      </c>
      <c r="W164" s="45">
        <f t="shared" si="19"/>
        <v>0.87351263609888707</v>
      </c>
    </row>
    <row r="165" spans="1:23" x14ac:dyDescent="0.3">
      <c r="A165" s="34" t="s">
        <v>431</v>
      </c>
      <c r="B165" s="35">
        <v>45447</v>
      </c>
      <c r="C165" s="36">
        <v>45459</v>
      </c>
      <c r="D165" s="37">
        <f t="shared" si="20"/>
        <v>12</v>
      </c>
      <c r="E165" s="37" t="str">
        <f>TEXT(Data!B165,"MMM-YYYY")</f>
        <v>Jun-2024</v>
      </c>
      <c r="F165" s="37" t="str">
        <f t="shared" si="16"/>
        <v>Q2-2024</v>
      </c>
      <c r="G165" s="32" t="s">
        <v>45</v>
      </c>
      <c r="H165" s="32" t="s">
        <v>116</v>
      </c>
      <c r="I165" s="32" t="s">
        <v>162</v>
      </c>
      <c r="J165" s="32" t="s">
        <v>19</v>
      </c>
      <c r="K165" s="32" t="s">
        <v>20</v>
      </c>
      <c r="L165" s="32" t="s">
        <v>29</v>
      </c>
      <c r="M165" s="32" t="s">
        <v>30</v>
      </c>
      <c r="N165" s="32" t="s">
        <v>432</v>
      </c>
      <c r="O165" s="37">
        <v>918.42</v>
      </c>
      <c r="P165" s="38" t="str">
        <f t="shared" si="17"/>
        <v>High</v>
      </c>
      <c r="Q165" s="37">
        <v>1511.71</v>
      </c>
      <c r="R165" s="37">
        <v>0.02</v>
      </c>
      <c r="S165" s="37">
        <v>8</v>
      </c>
      <c r="T165" s="37">
        <f t="shared" si="14"/>
        <v>10272.6736</v>
      </c>
      <c r="U165" s="32">
        <f t="shared" si="15"/>
        <v>7347.36</v>
      </c>
      <c r="V165" s="37">
        <f t="shared" si="18"/>
        <v>2925.3136000000004</v>
      </c>
      <c r="W165" s="39">
        <f t="shared" si="19"/>
        <v>0.28476652855007489</v>
      </c>
    </row>
    <row r="166" spans="1:23" x14ac:dyDescent="0.3">
      <c r="A166" s="40" t="s">
        <v>433</v>
      </c>
      <c r="B166" s="41">
        <v>44976</v>
      </c>
      <c r="C166" s="42">
        <v>44997</v>
      </c>
      <c r="D166" s="43">
        <f t="shared" si="20"/>
        <v>21</v>
      </c>
      <c r="E166" s="43" t="str">
        <f>TEXT(Data!B166,"MMM-YYYY")</f>
        <v>Feb-2023</v>
      </c>
      <c r="F166" s="43" t="str">
        <f t="shared" si="16"/>
        <v>Q1-2023</v>
      </c>
      <c r="G166" s="33" t="s">
        <v>78</v>
      </c>
      <c r="H166" s="33" t="s">
        <v>79</v>
      </c>
      <c r="I166" s="33" t="s">
        <v>80</v>
      </c>
      <c r="J166" s="33" t="s">
        <v>62</v>
      </c>
      <c r="K166" s="33" t="s">
        <v>98</v>
      </c>
      <c r="L166" s="33" t="s">
        <v>49</v>
      </c>
      <c r="M166" s="33" t="s">
        <v>64</v>
      </c>
      <c r="N166" s="33" t="s">
        <v>434</v>
      </c>
      <c r="O166" s="43">
        <v>1234.81</v>
      </c>
      <c r="P166" s="44" t="str">
        <f t="shared" si="17"/>
        <v>High</v>
      </c>
      <c r="Q166" s="43">
        <v>2055.2399999999998</v>
      </c>
      <c r="R166" s="43">
        <v>5.2999999999999999E-2</v>
      </c>
      <c r="S166" s="43">
        <v>44</v>
      </c>
      <c r="T166" s="43">
        <f t="shared" si="14"/>
        <v>40303.373</v>
      </c>
      <c r="U166" s="33">
        <f t="shared" si="15"/>
        <v>54331.64</v>
      </c>
      <c r="V166" s="43">
        <f t="shared" si="18"/>
        <v>-14028.267</v>
      </c>
      <c r="W166" s="45">
        <f t="shared" si="19"/>
        <v>-0.34806682309195314</v>
      </c>
    </row>
    <row r="167" spans="1:23" x14ac:dyDescent="0.3">
      <c r="A167" s="34" t="s">
        <v>435</v>
      </c>
      <c r="B167" s="35">
        <v>45034</v>
      </c>
      <c r="C167" s="36">
        <v>45064</v>
      </c>
      <c r="D167" s="37">
        <f t="shared" si="20"/>
        <v>0</v>
      </c>
      <c r="E167" s="37" t="str">
        <f>TEXT(Data!B167,"MMM-YYYY")</f>
        <v>Apr-2023</v>
      </c>
      <c r="F167" s="37" t="str">
        <f t="shared" si="16"/>
        <v>Q2-2023</v>
      </c>
      <c r="G167" s="32" t="s">
        <v>45</v>
      </c>
      <c r="H167" s="32" t="s">
        <v>116</v>
      </c>
      <c r="I167" s="32" t="s">
        <v>117</v>
      </c>
      <c r="J167" s="32" t="s">
        <v>39</v>
      </c>
      <c r="K167" s="32" t="s">
        <v>20</v>
      </c>
      <c r="L167" s="32" t="s">
        <v>92</v>
      </c>
      <c r="M167" s="32" t="s">
        <v>57</v>
      </c>
      <c r="N167" s="32" t="s">
        <v>436</v>
      </c>
      <c r="O167" s="37">
        <v>329.03</v>
      </c>
      <c r="P167" s="38" t="str">
        <f t="shared" si="17"/>
        <v>High</v>
      </c>
      <c r="Q167" s="37">
        <v>391.15</v>
      </c>
      <c r="R167" s="37">
        <v>0.19700000000000001</v>
      </c>
      <c r="S167" s="37">
        <v>46</v>
      </c>
      <c r="T167" s="37">
        <f t="shared" si="14"/>
        <v>32735.194359999998</v>
      </c>
      <c r="U167" s="32">
        <f t="shared" si="15"/>
        <v>15135.38</v>
      </c>
      <c r="V167" s="37">
        <f t="shared" si="18"/>
        <v>17599.814359999997</v>
      </c>
      <c r="W167" s="39">
        <f t="shared" si="19"/>
        <v>0.53764196926552166</v>
      </c>
    </row>
    <row r="168" spans="1:23" x14ac:dyDescent="0.3">
      <c r="A168" s="40" t="s">
        <v>437</v>
      </c>
      <c r="B168" s="41">
        <v>45435</v>
      </c>
      <c r="C168" s="42">
        <v>45457</v>
      </c>
      <c r="D168" s="43">
        <f t="shared" si="20"/>
        <v>22</v>
      </c>
      <c r="E168" s="43" t="str">
        <f>TEXT(Data!B168,"MMM-YYYY")</f>
        <v>May-2024</v>
      </c>
      <c r="F168" s="43" t="str">
        <f t="shared" si="16"/>
        <v>Q2-2024</v>
      </c>
      <c r="G168" s="33" t="s">
        <v>78</v>
      </c>
      <c r="H168" s="33" t="s">
        <v>90</v>
      </c>
      <c r="I168" s="33" t="s">
        <v>91</v>
      </c>
      <c r="J168" s="33" t="s">
        <v>62</v>
      </c>
      <c r="K168" s="33" t="s">
        <v>28</v>
      </c>
      <c r="L168" s="33" t="s">
        <v>126</v>
      </c>
      <c r="M168" s="33" t="s">
        <v>64</v>
      </c>
      <c r="N168" s="33" t="s">
        <v>438</v>
      </c>
      <c r="O168" s="43">
        <v>1481.74</v>
      </c>
      <c r="P168" s="44" t="str">
        <f t="shared" si="17"/>
        <v>High</v>
      </c>
      <c r="Q168" s="43">
        <v>1848.97</v>
      </c>
      <c r="R168" s="43">
        <v>0.254</v>
      </c>
      <c r="S168" s="43">
        <v>9</v>
      </c>
      <c r="T168" s="43">
        <f t="shared" si="14"/>
        <v>5308.1555399999997</v>
      </c>
      <c r="U168" s="33">
        <f t="shared" si="15"/>
        <v>13335.66</v>
      </c>
      <c r="V168" s="43">
        <f t="shared" si="18"/>
        <v>-8027.5044600000001</v>
      </c>
      <c r="W168" s="45">
        <f t="shared" si="19"/>
        <v>-1.5122963898680333</v>
      </c>
    </row>
    <row r="169" spans="1:23" x14ac:dyDescent="0.3">
      <c r="A169" s="34" t="s">
        <v>439</v>
      </c>
      <c r="B169" s="35">
        <v>45206</v>
      </c>
      <c r="C169" s="36">
        <v>45222</v>
      </c>
      <c r="D169" s="37">
        <f t="shared" si="20"/>
        <v>16</v>
      </c>
      <c r="E169" s="37" t="str">
        <f>TEXT(Data!B169,"MMM-YYYY")</f>
        <v>Oct-2023</v>
      </c>
      <c r="F169" s="37" t="str">
        <f t="shared" si="16"/>
        <v>Q4-2023</v>
      </c>
      <c r="G169" s="32" t="s">
        <v>45</v>
      </c>
      <c r="H169" s="32" t="s">
        <v>60</v>
      </c>
      <c r="I169" s="32" t="s">
        <v>281</v>
      </c>
      <c r="J169" s="32" t="s">
        <v>48</v>
      </c>
      <c r="K169" s="32" t="s">
        <v>20</v>
      </c>
      <c r="L169" s="32" t="s">
        <v>41</v>
      </c>
      <c r="M169" s="32" t="s">
        <v>64</v>
      </c>
      <c r="N169" s="32" t="s">
        <v>440</v>
      </c>
      <c r="O169" s="37">
        <v>906.81</v>
      </c>
      <c r="P169" s="38" t="str">
        <f t="shared" si="17"/>
        <v>High</v>
      </c>
      <c r="Q169" s="37">
        <v>1395.56</v>
      </c>
      <c r="R169" s="37">
        <v>0.185</v>
      </c>
      <c r="S169" s="37">
        <v>6</v>
      </c>
      <c r="T169" s="37">
        <f t="shared" si="14"/>
        <v>1766.9036999999998</v>
      </c>
      <c r="U169" s="32">
        <f t="shared" si="15"/>
        <v>5440.86</v>
      </c>
      <c r="V169" s="37">
        <f t="shared" si="18"/>
        <v>-3673.9562999999998</v>
      </c>
      <c r="W169" s="39">
        <f t="shared" si="19"/>
        <v>-2.079318923832691</v>
      </c>
    </row>
    <row r="170" spans="1:23" x14ac:dyDescent="0.3">
      <c r="A170" s="40" t="s">
        <v>441</v>
      </c>
      <c r="B170" s="41">
        <v>45574</v>
      </c>
      <c r="C170" s="42">
        <v>45604</v>
      </c>
      <c r="D170" s="43">
        <f t="shared" si="20"/>
        <v>30</v>
      </c>
      <c r="E170" s="43" t="str">
        <f>TEXT(Data!B170,"MMM-YYYY")</f>
        <v>Oct-2024</v>
      </c>
      <c r="F170" s="43" t="str">
        <f t="shared" si="16"/>
        <v>Q4-2024</v>
      </c>
      <c r="G170" s="33" t="s">
        <v>78</v>
      </c>
      <c r="H170" s="33" t="s">
        <v>108</v>
      </c>
      <c r="I170" s="33" t="s">
        <v>228</v>
      </c>
      <c r="J170" s="33" t="s">
        <v>62</v>
      </c>
      <c r="K170" s="33" t="s">
        <v>55</v>
      </c>
      <c r="L170" s="33" t="s">
        <v>29</v>
      </c>
      <c r="M170" s="33" t="s">
        <v>22</v>
      </c>
      <c r="N170" s="33" t="s">
        <v>442</v>
      </c>
      <c r="O170" s="43">
        <v>343.85</v>
      </c>
      <c r="P170" s="44" t="str">
        <f t="shared" si="17"/>
        <v>High</v>
      </c>
      <c r="Q170" s="43">
        <v>538.04</v>
      </c>
      <c r="R170" s="43">
        <v>0.13900000000000001</v>
      </c>
      <c r="S170" s="43">
        <v>5</v>
      </c>
      <c r="T170" s="43">
        <f t="shared" si="14"/>
        <v>8403.5321999999996</v>
      </c>
      <c r="U170" s="33">
        <f t="shared" si="15"/>
        <v>1719.25</v>
      </c>
      <c r="V170" s="43">
        <f t="shared" si="18"/>
        <v>6684.2821999999996</v>
      </c>
      <c r="W170" s="45">
        <f t="shared" si="19"/>
        <v>0.79541340961363838</v>
      </c>
    </row>
    <row r="171" spans="1:23" x14ac:dyDescent="0.3">
      <c r="A171" s="34" t="s">
        <v>443</v>
      </c>
      <c r="B171" s="35">
        <v>45488</v>
      </c>
      <c r="C171" s="36">
        <v>45488</v>
      </c>
      <c r="D171" s="37">
        <f t="shared" si="20"/>
        <v>0</v>
      </c>
      <c r="E171" s="37" t="str">
        <f>TEXT(Data!B171,"MMM-YYYY")</f>
        <v>Jul-2024</v>
      </c>
      <c r="F171" s="37" t="str">
        <f t="shared" si="16"/>
        <v>Q3-2024</v>
      </c>
      <c r="G171" s="32" t="s">
        <v>45</v>
      </c>
      <c r="H171" s="32" t="s">
        <v>46</v>
      </c>
      <c r="I171" s="32" t="s">
        <v>214</v>
      </c>
      <c r="J171" s="32" t="s">
        <v>62</v>
      </c>
      <c r="K171" s="32" t="s">
        <v>40</v>
      </c>
      <c r="L171" s="32" t="s">
        <v>41</v>
      </c>
      <c r="M171" s="32" t="s">
        <v>81</v>
      </c>
      <c r="N171" s="32" t="s">
        <v>444</v>
      </c>
      <c r="O171" s="37">
        <v>801.77</v>
      </c>
      <c r="P171" s="38" t="str">
        <f t="shared" si="17"/>
        <v>High</v>
      </c>
      <c r="Q171" s="37">
        <v>1218.92</v>
      </c>
      <c r="R171" s="37">
        <v>0.254</v>
      </c>
      <c r="S171" s="37">
        <v>16</v>
      </c>
      <c r="T171" s="37">
        <f t="shared" si="14"/>
        <v>18676.97536</v>
      </c>
      <c r="U171" s="32">
        <f t="shared" si="15"/>
        <v>12828.32</v>
      </c>
      <c r="V171" s="37">
        <f t="shared" si="18"/>
        <v>5848.6553600000007</v>
      </c>
      <c r="W171" s="39">
        <f t="shared" si="19"/>
        <v>0.31314788648947495</v>
      </c>
    </row>
    <row r="172" spans="1:23" x14ac:dyDescent="0.3">
      <c r="A172" s="40" t="s">
        <v>445</v>
      </c>
      <c r="B172" s="41">
        <v>45190</v>
      </c>
      <c r="C172" s="42">
        <v>45209</v>
      </c>
      <c r="D172" s="43">
        <f t="shared" si="20"/>
        <v>19</v>
      </c>
      <c r="E172" s="43" t="str">
        <f>TEXT(Data!B172,"MMM-YYYY")</f>
        <v>Sep-2023</v>
      </c>
      <c r="F172" s="43" t="str">
        <f t="shared" si="16"/>
        <v>Q3-2023</v>
      </c>
      <c r="G172" s="33" t="s">
        <v>45</v>
      </c>
      <c r="H172" s="33" t="s">
        <v>46</v>
      </c>
      <c r="I172" s="33" t="s">
        <v>214</v>
      </c>
      <c r="J172" s="33" t="s">
        <v>27</v>
      </c>
      <c r="K172" s="33" t="s">
        <v>28</v>
      </c>
      <c r="L172" s="33" t="s">
        <v>145</v>
      </c>
      <c r="M172" s="33" t="s">
        <v>22</v>
      </c>
      <c r="N172" s="33" t="s">
        <v>446</v>
      </c>
      <c r="O172" s="43">
        <v>845.63</v>
      </c>
      <c r="P172" s="44" t="str">
        <f t="shared" si="17"/>
        <v>High</v>
      </c>
      <c r="Q172" s="43">
        <v>2062.12</v>
      </c>
      <c r="R172" s="43">
        <v>0.13400000000000001</v>
      </c>
      <c r="S172" s="43">
        <v>5</v>
      </c>
      <c r="T172" s="43">
        <f t="shared" si="14"/>
        <v>3691.4982</v>
      </c>
      <c r="U172" s="33">
        <f t="shared" si="15"/>
        <v>4228.1499999999996</v>
      </c>
      <c r="V172" s="43">
        <f t="shared" si="18"/>
        <v>-536.65179999999964</v>
      </c>
      <c r="W172" s="45">
        <f t="shared" si="19"/>
        <v>-0.1453750674996942</v>
      </c>
    </row>
    <row r="173" spans="1:23" x14ac:dyDescent="0.3">
      <c r="A173" s="34" t="s">
        <v>447</v>
      </c>
      <c r="B173" s="35">
        <v>44981</v>
      </c>
      <c r="C173" s="36">
        <v>44994</v>
      </c>
      <c r="D173" s="37">
        <f t="shared" si="20"/>
        <v>13</v>
      </c>
      <c r="E173" s="37" t="str">
        <f>TEXT(Data!B173,"MMM-YYYY")</f>
        <v>Feb-2023</v>
      </c>
      <c r="F173" s="37" t="str">
        <f t="shared" si="16"/>
        <v>Q1-2023</v>
      </c>
      <c r="G173" s="32" t="s">
        <v>52</v>
      </c>
      <c r="H173" s="32" t="s">
        <v>122</v>
      </c>
      <c r="I173" s="32" t="s">
        <v>387</v>
      </c>
      <c r="J173" s="32" t="s">
        <v>105</v>
      </c>
      <c r="K173" s="32" t="s">
        <v>28</v>
      </c>
      <c r="L173" s="32" t="s">
        <v>110</v>
      </c>
      <c r="M173" s="32" t="s">
        <v>22</v>
      </c>
      <c r="N173" s="32" t="s">
        <v>448</v>
      </c>
      <c r="O173" s="37">
        <v>6.85</v>
      </c>
      <c r="P173" s="38" t="str">
        <f t="shared" si="17"/>
        <v>Low</v>
      </c>
      <c r="Q173" s="37">
        <v>10.18</v>
      </c>
      <c r="R173" s="37">
        <v>4.7E-2</v>
      </c>
      <c r="S173" s="37">
        <v>10</v>
      </c>
      <c r="T173" s="37">
        <f t="shared" si="14"/>
        <v>13964.213699999998</v>
      </c>
      <c r="U173" s="32">
        <f t="shared" si="15"/>
        <v>68.5</v>
      </c>
      <c r="V173" s="37">
        <f t="shared" si="18"/>
        <v>13895.713699999998</v>
      </c>
      <c r="W173" s="39">
        <f t="shared" si="19"/>
        <v>0.99509460385871928</v>
      </c>
    </row>
    <row r="174" spans="1:23" x14ac:dyDescent="0.3">
      <c r="A174" s="40" t="s">
        <v>449</v>
      </c>
      <c r="B174" s="41">
        <v>45798</v>
      </c>
      <c r="C174" s="42">
        <v>45796</v>
      </c>
      <c r="D174" s="43">
        <f>DATEDIF(C174,B174, "MD")</f>
        <v>2</v>
      </c>
      <c r="E174" s="43" t="str">
        <f>TEXT(Data!B174,"MMM-YYYY")</f>
        <v>May-2025</v>
      </c>
      <c r="F174" s="43" t="str">
        <f t="shared" si="16"/>
        <v>Q2-2025</v>
      </c>
      <c r="G174" s="33" t="s">
        <v>16</v>
      </c>
      <c r="H174" s="33" t="s">
        <v>148</v>
      </c>
      <c r="I174" s="33" t="s">
        <v>149</v>
      </c>
      <c r="J174" s="33" t="s">
        <v>39</v>
      </c>
      <c r="K174" s="33" t="s">
        <v>55</v>
      </c>
      <c r="L174" s="33" t="s">
        <v>68</v>
      </c>
      <c r="M174" s="33" t="s">
        <v>57</v>
      </c>
      <c r="N174" s="33" t="s">
        <v>450</v>
      </c>
      <c r="O174" s="43">
        <v>1263.8399999999999</v>
      </c>
      <c r="P174" s="44" t="str">
        <f t="shared" si="17"/>
        <v>High</v>
      </c>
      <c r="Q174" s="43">
        <v>2281.7199999999998</v>
      </c>
      <c r="R174" s="43">
        <v>7.8E-2</v>
      </c>
      <c r="S174" s="43">
        <v>15</v>
      </c>
      <c r="T174" s="43">
        <f t="shared" si="14"/>
        <v>36583.530899999998</v>
      </c>
      <c r="U174" s="33">
        <f t="shared" si="15"/>
        <v>18957.599999999999</v>
      </c>
      <c r="V174" s="43">
        <f t="shared" si="18"/>
        <v>17625.930899999999</v>
      </c>
      <c r="W174" s="45">
        <f t="shared" si="19"/>
        <v>0.48179960945213191</v>
      </c>
    </row>
    <row r="175" spans="1:23" x14ac:dyDescent="0.3">
      <c r="A175" s="34" t="s">
        <v>451</v>
      </c>
      <c r="B175" s="35">
        <v>45435</v>
      </c>
      <c r="C175" s="36">
        <v>45446</v>
      </c>
      <c r="D175" s="37">
        <f t="shared" si="20"/>
        <v>11</v>
      </c>
      <c r="E175" s="37" t="str">
        <f>TEXT(Data!B175,"MMM-YYYY")</f>
        <v>May-2024</v>
      </c>
      <c r="F175" s="37" t="str">
        <f t="shared" si="16"/>
        <v>Q2-2024</v>
      </c>
      <c r="G175" s="32" t="s">
        <v>16</v>
      </c>
      <c r="H175" s="32" t="s">
        <v>148</v>
      </c>
      <c r="I175" s="32" t="s">
        <v>149</v>
      </c>
      <c r="J175" s="32" t="s">
        <v>62</v>
      </c>
      <c r="K175" s="32" t="s">
        <v>55</v>
      </c>
      <c r="L175" s="32" t="s">
        <v>84</v>
      </c>
      <c r="M175" s="32" t="s">
        <v>30</v>
      </c>
      <c r="N175" s="32" t="s">
        <v>452</v>
      </c>
      <c r="O175" s="37">
        <v>180.89</v>
      </c>
      <c r="P175" s="38" t="str">
        <f t="shared" si="17"/>
        <v>High</v>
      </c>
      <c r="Q175" s="37">
        <v>249.57</v>
      </c>
      <c r="R175" s="37">
        <v>2.1999999999999999E-2</v>
      </c>
      <c r="S175" s="37">
        <v>8</v>
      </c>
      <c r="T175" s="37">
        <f t="shared" si="14"/>
        <v>6897.4036800000003</v>
      </c>
      <c r="U175" s="32">
        <f t="shared" si="15"/>
        <v>1447.12</v>
      </c>
      <c r="V175" s="37">
        <f t="shared" si="18"/>
        <v>5450.2836800000005</v>
      </c>
      <c r="W175" s="39">
        <f t="shared" si="19"/>
        <v>0.79019351815000627</v>
      </c>
    </row>
    <row r="176" spans="1:23" x14ac:dyDescent="0.3">
      <c r="A176" s="40" t="s">
        <v>453</v>
      </c>
      <c r="B176" s="41">
        <v>45761</v>
      </c>
      <c r="C176" s="42">
        <v>45781</v>
      </c>
      <c r="D176" s="43">
        <f t="shared" si="20"/>
        <v>20</v>
      </c>
      <c r="E176" s="43" t="str">
        <f>TEXT(Data!B176,"MMM-YYYY")</f>
        <v>Apr-2025</v>
      </c>
      <c r="F176" s="43" t="str">
        <f t="shared" si="16"/>
        <v>Q2-2025</v>
      </c>
      <c r="G176" s="33" t="s">
        <v>78</v>
      </c>
      <c r="H176" s="33" t="s">
        <v>108</v>
      </c>
      <c r="I176" s="33" t="s">
        <v>109</v>
      </c>
      <c r="J176" s="33" t="s">
        <v>105</v>
      </c>
      <c r="K176" s="33" t="s">
        <v>40</v>
      </c>
      <c r="L176" s="33" t="s">
        <v>95</v>
      </c>
      <c r="M176" s="33" t="s">
        <v>64</v>
      </c>
      <c r="N176" s="33" t="s">
        <v>454</v>
      </c>
      <c r="O176" s="43">
        <v>1413.87</v>
      </c>
      <c r="P176" s="44" t="str">
        <f t="shared" si="17"/>
        <v>High</v>
      </c>
      <c r="Q176" s="43">
        <v>3275</v>
      </c>
      <c r="R176" s="43">
        <v>0.255</v>
      </c>
      <c r="S176" s="43">
        <v>38</v>
      </c>
      <c r="T176" s="43">
        <f t="shared" si="14"/>
        <v>17694.882399999999</v>
      </c>
      <c r="U176" s="33">
        <f t="shared" si="15"/>
        <v>53727.06</v>
      </c>
      <c r="V176" s="43">
        <f t="shared" si="18"/>
        <v>-36032.177599999995</v>
      </c>
      <c r="W176" s="45">
        <f t="shared" si="19"/>
        <v>-2.0363050053387188</v>
      </c>
    </row>
    <row r="177" spans="1:23" x14ac:dyDescent="0.3">
      <c r="A177" s="34" t="s">
        <v>455</v>
      </c>
      <c r="B177" s="35">
        <v>45165</v>
      </c>
      <c r="C177" s="36">
        <v>45180</v>
      </c>
      <c r="D177" s="37">
        <f t="shared" si="20"/>
        <v>15</v>
      </c>
      <c r="E177" s="37" t="str">
        <f>TEXT(Data!B177,"MMM-YYYY")</f>
        <v>Aug-2023</v>
      </c>
      <c r="F177" s="37" t="str">
        <f t="shared" si="16"/>
        <v>Q3-2023</v>
      </c>
      <c r="G177" s="32" t="s">
        <v>78</v>
      </c>
      <c r="H177" s="32" t="s">
        <v>108</v>
      </c>
      <c r="I177" s="32" t="s">
        <v>152</v>
      </c>
      <c r="J177" s="32" t="s">
        <v>48</v>
      </c>
      <c r="K177" s="32" t="s">
        <v>40</v>
      </c>
      <c r="L177" s="32" t="s">
        <v>126</v>
      </c>
      <c r="M177" s="32" t="s">
        <v>30</v>
      </c>
      <c r="N177" s="32" t="s">
        <v>456</v>
      </c>
      <c r="O177" s="37">
        <v>943.79</v>
      </c>
      <c r="P177" s="38" t="str">
        <f t="shared" si="17"/>
        <v>High</v>
      </c>
      <c r="Q177" s="37">
        <v>1913.76</v>
      </c>
      <c r="R177" s="37">
        <v>9.0999999999999998E-2</v>
      </c>
      <c r="S177" s="37">
        <v>9</v>
      </c>
      <c r="T177" s="37">
        <f t="shared" si="14"/>
        <v>7960.4402400000008</v>
      </c>
      <c r="U177" s="32">
        <f t="shared" si="15"/>
        <v>8494.11</v>
      </c>
      <c r="V177" s="37">
        <f t="shared" si="18"/>
        <v>-533.66975999999977</v>
      </c>
      <c r="W177" s="39">
        <f t="shared" si="19"/>
        <v>-6.7040231935715122E-2</v>
      </c>
    </row>
    <row r="178" spans="1:23" x14ac:dyDescent="0.3">
      <c r="A178" s="40" t="s">
        <v>457</v>
      </c>
      <c r="B178" s="41">
        <v>45325</v>
      </c>
      <c r="C178" s="42">
        <v>45343</v>
      </c>
      <c r="D178" s="43">
        <f t="shared" si="20"/>
        <v>18</v>
      </c>
      <c r="E178" s="43" t="str">
        <f>TEXT(Data!B178,"MMM-YYYY")</f>
        <v>Feb-2024</v>
      </c>
      <c r="F178" s="43" t="str">
        <f t="shared" si="16"/>
        <v>Q1-2024</v>
      </c>
      <c r="G178" s="33" t="s">
        <v>78</v>
      </c>
      <c r="H178" s="33" t="s">
        <v>79</v>
      </c>
      <c r="I178" s="33" t="s">
        <v>335</v>
      </c>
      <c r="J178" s="33" t="s">
        <v>19</v>
      </c>
      <c r="K178" s="33" t="s">
        <v>20</v>
      </c>
      <c r="L178" s="33" t="s">
        <v>92</v>
      </c>
      <c r="M178" s="33" t="s">
        <v>22</v>
      </c>
      <c r="N178" s="33" t="s">
        <v>458</v>
      </c>
      <c r="O178" s="43">
        <v>39.229999999999997</v>
      </c>
      <c r="P178" s="44" t="str">
        <f t="shared" si="17"/>
        <v>Low</v>
      </c>
      <c r="Q178" s="43">
        <v>30.09</v>
      </c>
      <c r="R178" s="43">
        <v>0.17699999999999999</v>
      </c>
      <c r="S178" s="43">
        <v>13</v>
      </c>
      <c r="T178" s="43">
        <f t="shared" si="14"/>
        <v>16533.592659999998</v>
      </c>
      <c r="U178" s="33">
        <f t="shared" si="15"/>
        <v>509.98999999999995</v>
      </c>
      <c r="V178" s="43">
        <f t="shared" si="18"/>
        <v>16023.602659999999</v>
      </c>
      <c r="W178" s="45">
        <f t="shared" si="19"/>
        <v>0.96915431446222655</v>
      </c>
    </row>
    <row r="179" spans="1:23" x14ac:dyDescent="0.3">
      <c r="A179" s="34" t="s">
        <v>459</v>
      </c>
      <c r="B179" s="35">
        <v>45021</v>
      </c>
      <c r="C179" s="36">
        <v>45032</v>
      </c>
      <c r="D179" s="37">
        <f t="shared" si="20"/>
        <v>11</v>
      </c>
      <c r="E179" s="37" t="str">
        <f>TEXT(Data!B179,"MMM-YYYY")</f>
        <v>Apr-2023</v>
      </c>
      <c r="F179" s="37" t="str">
        <f t="shared" si="16"/>
        <v>Q2-2023</v>
      </c>
      <c r="G179" s="32" t="s">
        <v>52</v>
      </c>
      <c r="H179" s="32" t="s">
        <v>53</v>
      </c>
      <c r="I179" s="32" t="s">
        <v>179</v>
      </c>
      <c r="J179" s="32" t="s">
        <v>39</v>
      </c>
      <c r="K179" s="32" t="s">
        <v>28</v>
      </c>
      <c r="L179" s="32" t="s">
        <v>68</v>
      </c>
      <c r="M179" s="32" t="s">
        <v>64</v>
      </c>
      <c r="N179" s="32" t="s">
        <v>460</v>
      </c>
      <c r="O179" s="37">
        <v>213.1</v>
      </c>
      <c r="P179" s="38" t="str">
        <f t="shared" si="17"/>
        <v>High</v>
      </c>
      <c r="Q179" s="37">
        <v>501.31</v>
      </c>
      <c r="R179" s="37">
        <v>5.6000000000000001E-2</v>
      </c>
      <c r="S179" s="37">
        <v>15</v>
      </c>
      <c r="T179" s="37">
        <f t="shared" si="14"/>
        <v>31908.427200000002</v>
      </c>
      <c r="U179" s="32">
        <f t="shared" si="15"/>
        <v>3196.5</v>
      </c>
      <c r="V179" s="37">
        <f t="shared" si="18"/>
        <v>28711.927200000002</v>
      </c>
      <c r="W179" s="39">
        <f t="shared" si="19"/>
        <v>0.89982270263700115</v>
      </c>
    </row>
    <row r="180" spans="1:23" x14ac:dyDescent="0.3">
      <c r="A180" s="40" t="s">
        <v>461</v>
      </c>
      <c r="B180" s="41">
        <v>45890</v>
      </c>
      <c r="C180" s="42">
        <v>45912</v>
      </c>
      <c r="D180" s="43">
        <f t="shared" si="20"/>
        <v>22</v>
      </c>
      <c r="E180" s="43" t="str">
        <f>TEXT(Data!B180,"MMM-YYYY")</f>
        <v>Aug-2025</v>
      </c>
      <c r="F180" s="43" t="str">
        <f t="shared" si="16"/>
        <v>Q3-2025</v>
      </c>
      <c r="G180" s="33" t="s">
        <v>45</v>
      </c>
      <c r="H180" s="33" t="s">
        <v>116</v>
      </c>
      <c r="I180" s="33" t="s">
        <v>117</v>
      </c>
      <c r="J180" s="33" t="s">
        <v>27</v>
      </c>
      <c r="K180" s="33" t="s">
        <v>20</v>
      </c>
      <c r="L180" s="33" t="s">
        <v>56</v>
      </c>
      <c r="M180" s="33" t="s">
        <v>30</v>
      </c>
      <c r="N180" s="33" t="s">
        <v>462</v>
      </c>
      <c r="O180" s="43">
        <v>352.66</v>
      </c>
      <c r="P180" s="44" t="str">
        <f t="shared" si="17"/>
        <v>High</v>
      </c>
      <c r="Q180" s="43">
        <v>411.18</v>
      </c>
      <c r="R180" s="43">
        <v>0.17299999999999999</v>
      </c>
      <c r="S180" s="43">
        <v>13</v>
      </c>
      <c r="T180" s="43">
        <f t="shared" si="14"/>
        <v>26302.966559999997</v>
      </c>
      <c r="U180" s="33">
        <f t="shared" si="15"/>
        <v>4584.58</v>
      </c>
      <c r="V180" s="43">
        <f t="shared" si="18"/>
        <v>21718.386559999999</v>
      </c>
      <c r="W180" s="45">
        <f t="shared" si="19"/>
        <v>0.82570102921501043</v>
      </c>
    </row>
    <row r="181" spans="1:23" x14ac:dyDescent="0.3">
      <c r="A181" s="34" t="s">
        <v>463</v>
      </c>
      <c r="B181" s="35">
        <v>45915</v>
      </c>
      <c r="C181" s="36">
        <v>45918</v>
      </c>
      <c r="D181" s="37">
        <f t="shared" si="20"/>
        <v>3</v>
      </c>
      <c r="E181" s="37" t="str">
        <f>TEXT(Data!B181,"MMM-YYYY")</f>
        <v>Sep-2025</v>
      </c>
      <c r="F181" s="37" t="str">
        <f t="shared" si="16"/>
        <v>Q3-2025</v>
      </c>
      <c r="G181" s="32" t="s">
        <v>52</v>
      </c>
      <c r="H181" s="32" t="s">
        <v>73</v>
      </c>
      <c r="I181" s="32" t="s">
        <v>225</v>
      </c>
      <c r="J181" s="32" t="s">
        <v>39</v>
      </c>
      <c r="K181" s="32" t="s">
        <v>98</v>
      </c>
      <c r="L181" s="32" t="s">
        <v>49</v>
      </c>
      <c r="M181" s="32" t="s">
        <v>81</v>
      </c>
      <c r="N181" s="32" t="s">
        <v>464</v>
      </c>
      <c r="O181" s="37">
        <v>5.5</v>
      </c>
      <c r="P181" s="38" t="str">
        <f t="shared" si="17"/>
        <v>Low</v>
      </c>
      <c r="Q181" s="37">
        <v>5.92</v>
      </c>
      <c r="R181" s="37">
        <v>0.21199999999999999</v>
      </c>
      <c r="S181" s="37">
        <v>4</v>
      </c>
      <c r="T181" s="37">
        <f t="shared" si="14"/>
        <v>593.52160000000003</v>
      </c>
      <c r="U181" s="32">
        <f t="shared" si="15"/>
        <v>22</v>
      </c>
      <c r="V181" s="37">
        <f t="shared" si="18"/>
        <v>571.52160000000003</v>
      </c>
      <c r="W181" s="39">
        <f t="shared" si="19"/>
        <v>0.96293310976382329</v>
      </c>
    </row>
    <row r="182" spans="1:23" x14ac:dyDescent="0.3">
      <c r="A182" s="40" t="s">
        <v>465</v>
      </c>
      <c r="B182" s="41">
        <v>45568</v>
      </c>
      <c r="C182" s="42">
        <v>45576</v>
      </c>
      <c r="D182" s="43">
        <f t="shared" si="20"/>
        <v>8</v>
      </c>
      <c r="E182" s="43" t="str">
        <f>TEXT(Data!B182,"MMM-YYYY")</f>
        <v>Oct-2024</v>
      </c>
      <c r="F182" s="43" t="str">
        <f t="shared" si="16"/>
        <v>Q4-2024</v>
      </c>
      <c r="G182" s="33" t="s">
        <v>45</v>
      </c>
      <c r="H182" s="33" t="s">
        <v>116</v>
      </c>
      <c r="I182" s="33" t="s">
        <v>338</v>
      </c>
      <c r="J182" s="33" t="s">
        <v>105</v>
      </c>
      <c r="K182" s="33" t="s">
        <v>98</v>
      </c>
      <c r="L182" s="33" t="s">
        <v>56</v>
      </c>
      <c r="M182" s="33" t="s">
        <v>42</v>
      </c>
      <c r="N182" s="33" t="s">
        <v>466</v>
      </c>
      <c r="O182" s="43">
        <v>1132.6099999999999</v>
      </c>
      <c r="P182" s="44" t="str">
        <f t="shared" si="17"/>
        <v>High</v>
      </c>
      <c r="Q182" s="43">
        <v>2206.63</v>
      </c>
      <c r="R182" s="43">
        <v>6.3E-2</v>
      </c>
      <c r="S182" s="43">
        <v>20</v>
      </c>
      <c r="T182" s="43">
        <f t="shared" si="14"/>
        <v>48027.621600000006</v>
      </c>
      <c r="U182" s="33">
        <f t="shared" si="15"/>
        <v>22652.199999999997</v>
      </c>
      <c r="V182" s="43">
        <f t="shared" si="18"/>
        <v>25375.421600000009</v>
      </c>
      <c r="W182" s="45">
        <f t="shared" si="19"/>
        <v>0.52835057732694402</v>
      </c>
    </row>
    <row r="183" spans="1:23" x14ac:dyDescent="0.3">
      <c r="A183" s="34" t="s">
        <v>467</v>
      </c>
      <c r="B183" s="35">
        <v>45690</v>
      </c>
      <c r="C183" s="36">
        <v>45720</v>
      </c>
      <c r="D183" s="37">
        <f t="shared" si="20"/>
        <v>2</v>
      </c>
      <c r="E183" s="37" t="str">
        <f>TEXT(Data!B183,"MMM-YYYY")</f>
        <v>Feb-2025</v>
      </c>
      <c r="F183" s="37" t="str">
        <f t="shared" si="16"/>
        <v>Q1-2025</v>
      </c>
      <c r="G183" s="32" t="s">
        <v>45</v>
      </c>
      <c r="H183" s="32" t="s">
        <v>46</v>
      </c>
      <c r="I183" s="32" t="s">
        <v>47</v>
      </c>
      <c r="J183" s="32" t="s">
        <v>27</v>
      </c>
      <c r="K183" s="32" t="s">
        <v>55</v>
      </c>
      <c r="L183" s="32" t="s">
        <v>49</v>
      </c>
      <c r="M183" s="32" t="s">
        <v>81</v>
      </c>
      <c r="N183" s="32" t="s">
        <v>468</v>
      </c>
      <c r="O183" s="37">
        <v>766.59</v>
      </c>
      <c r="P183" s="38" t="str">
        <f t="shared" si="17"/>
        <v>High</v>
      </c>
      <c r="Q183" s="37">
        <v>1912.8</v>
      </c>
      <c r="R183" s="37">
        <v>0.19600000000000001</v>
      </c>
      <c r="S183" s="37">
        <v>5</v>
      </c>
      <c r="T183" s="37">
        <f t="shared" si="14"/>
        <v>7256.5421999999999</v>
      </c>
      <c r="U183" s="32">
        <f t="shared" si="15"/>
        <v>3832.9500000000003</v>
      </c>
      <c r="V183" s="37">
        <f t="shared" si="18"/>
        <v>3423.5921999999996</v>
      </c>
      <c r="W183" s="39">
        <f t="shared" si="19"/>
        <v>0.47179388001078526</v>
      </c>
    </row>
    <row r="184" spans="1:23" x14ac:dyDescent="0.3">
      <c r="A184" s="40" t="s">
        <v>469</v>
      </c>
      <c r="B184" s="41">
        <v>45157</v>
      </c>
      <c r="C184" s="42">
        <v>45161</v>
      </c>
      <c r="D184" s="43">
        <f t="shared" si="20"/>
        <v>4</v>
      </c>
      <c r="E184" s="43" t="str">
        <f>TEXT(Data!B184,"MMM-YYYY")</f>
        <v>Aug-2023</v>
      </c>
      <c r="F184" s="43" t="str">
        <f t="shared" si="16"/>
        <v>Q3-2023</v>
      </c>
      <c r="G184" s="33" t="s">
        <v>16</v>
      </c>
      <c r="H184" s="33" t="s">
        <v>25</v>
      </c>
      <c r="I184" s="33" t="s">
        <v>67</v>
      </c>
      <c r="J184" s="33" t="s">
        <v>62</v>
      </c>
      <c r="K184" s="33" t="s">
        <v>28</v>
      </c>
      <c r="L184" s="33" t="s">
        <v>29</v>
      </c>
      <c r="M184" s="33" t="s">
        <v>64</v>
      </c>
      <c r="N184" s="33" t="s">
        <v>470</v>
      </c>
      <c r="O184" s="43">
        <v>790.63</v>
      </c>
      <c r="P184" s="44" t="str">
        <f t="shared" si="17"/>
        <v>High</v>
      </c>
      <c r="Q184" s="43">
        <v>1382.31</v>
      </c>
      <c r="R184" s="43">
        <v>0.10100000000000001</v>
      </c>
      <c r="S184" s="43">
        <v>7</v>
      </c>
      <c r="T184" s="43">
        <f t="shared" si="14"/>
        <v>12999.63889</v>
      </c>
      <c r="U184" s="33">
        <f t="shared" si="15"/>
        <v>5534.41</v>
      </c>
      <c r="V184" s="43">
        <f t="shared" si="18"/>
        <v>7465.2288900000003</v>
      </c>
      <c r="W184" s="45">
        <f t="shared" si="19"/>
        <v>0.57426432789164961</v>
      </c>
    </row>
    <row r="185" spans="1:23" x14ac:dyDescent="0.3">
      <c r="A185" s="34" t="s">
        <v>471</v>
      </c>
      <c r="B185" s="35">
        <v>45587</v>
      </c>
      <c r="C185" s="36">
        <v>45594</v>
      </c>
      <c r="D185" s="37">
        <f t="shared" si="20"/>
        <v>7</v>
      </c>
      <c r="E185" s="37" t="str">
        <f>TEXT(Data!B185,"MMM-YYYY")</f>
        <v>Oct-2024</v>
      </c>
      <c r="F185" s="37" t="str">
        <f t="shared" si="16"/>
        <v>Q4-2024</v>
      </c>
      <c r="G185" s="32" t="s">
        <v>16</v>
      </c>
      <c r="H185" s="32" t="s">
        <v>25</v>
      </c>
      <c r="I185" s="32" t="s">
        <v>26</v>
      </c>
      <c r="J185" s="32" t="s">
        <v>105</v>
      </c>
      <c r="K185" s="32" t="s">
        <v>55</v>
      </c>
      <c r="L185" s="32" t="s">
        <v>110</v>
      </c>
      <c r="M185" s="32" t="s">
        <v>64</v>
      </c>
      <c r="N185" s="32" t="s">
        <v>472</v>
      </c>
      <c r="O185" s="37">
        <v>1023.06</v>
      </c>
      <c r="P185" s="38" t="str">
        <f t="shared" si="17"/>
        <v>High</v>
      </c>
      <c r="Q185" s="37">
        <v>1355.61</v>
      </c>
      <c r="R185" s="37">
        <v>0.153</v>
      </c>
      <c r="S185" s="37">
        <v>23</v>
      </c>
      <c r="T185" s="37">
        <f t="shared" si="14"/>
        <v>46101.981310000003</v>
      </c>
      <c r="U185" s="32">
        <f t="shared" si="15"/>
        <v>23530.379999999997</v>
      </c>
      <c r="V185" s="37">
        <f t="shared" si="18"/>
        <v>22571.601310000005</v>
      </c>
      <c r="W185" s="39">
        <f t="shared" si="19"/>
        <v>0.4896015457171683</v>
      </c>
    </row>
    <row r="186" spans="1:23" x14ac:dyDescent="0.3">
      <c r="A186" s="40" t="s">
        <v>473</v>
      </c>
      <c r="B186" s="41">
        <v>45099</v>
      </c>
      <c r="C186" s="42">
        <v>45128</v>
      </c>
      <c r="D186" s="43">
        <f t="shared" si="20"/>
        <v>29</v>
      </c>
      <c r="E186" s="43" t="str">
        <f>TEXT(Data!B186,"MMM-YYYY")</f>
        <v>Jun-2023</v>
      </c>
      <c r="F186" s="43" t="str">
        <f t="shared" si="16"/>
        <v>Q2-2023</v>
      </c>
      <c r="G186" s="33" t="s">
        <v>78</v>
      </c>
      <c r="H186" s="33" t="s">
        <v>90</v>
      </c>
      <c r="I186" s="33" t="s">
        <v>138</v>
      </c>
      <c r="J186" s="33" t="s">
        <v>19</v>
      </c>
      <c r="K186" s="33" t="s">
        <v>20</v>
      </c>
      <c r="L186" s="33" t="s">
        <v>29</v>
      </c>
      <c r="M186" s="33" t="s">
        <v>81</v>
      </c>
      <c r="N186" s="33" t="s">
        <v>474</v>
      </c>
      <c r="O186" s="43">
        <v>734.34</v>
      </c>
      <c r="P186" s="44" t="str">
        <f t="shared" si="17"/>
        <v>High</v>
      </c>
      <c r="Q186" s="43">
        <v>887.9</v>
      </c>
      <c r="R186" s="43">
        <v>2.5000000000000001E-2</v>
      </c>
      <c r="S186" s="43">
        <v>12</v>
      </c>
      <c r="T186" s="43">
        <f t="shared" si="14"/>
        <v>1541.5919999999999</v>
      </c>
      <c r="U186" s="33">
        <f t="shared" si="15"/>
        <v>8812.08</v>
      </c>
      <c r="V186" s="43">
        <f t="shared" si="18"/>
        <v>-7270.4880000000003</v>
      </c>
      <c r="W186" s="45">
        <f t="shared" si="19"/>
        <v>-4.7162206342534221</v>
      </c>
    </row>
    <row r="187" spans="1:23" x14ac:dyDescent="0.3">
      <c r="A187" s="34" t="s">
        <v>475</v>
      </c>
      <c r="B187" s="35">
        <v>45670</v>
      </c>
      <c r="C187" s="36">
        <v>45696</v>
      </c>
      <c r="D187" s="37">
        <f t="shared" si="20"/>
        <v>26</v>
      </c>
      <c r="E187" s="37" t="str">
        <f>TEXT(Data!B187,"MMM-YYYY")</f>
        <v>Jan-2025</v>
      </c>
      <c r="F187" s="37" t="str">
        <f t="shared" si="16"/>
        <v>Q1-2025</v>
      </c>
      <c r="G187" s="32" t="s">
        <v>78</v>
      </c>
      <c r="H187" s="32" t="s">
        <v>90</v>
      </c>
      <c r="I187" s="32" t="s">
        <v>217</v>
      </c>
      <c r="J187" s="32" t="s">
        <v>39</v>
      </c>
      <c r="K187" s="32" t="s">
        <v>1364</v>
      </c>
      <c r="L187" s="32" t="s">
        <v>63</v>
      </c>
      <c r="M187" s="32" t="s">
        <v>64</v>
      </c>
      <c r="N187" s="32" t="s">
        <v>476</v>
      </c>
      <c r="O187" s="37">
        <v>594.74</v>
      </c>
      <c r="P187" s="38" t="str">
        <f t="shared" si="17"/>
        <v>High</v>
      </c>
      <c r="Q187" s="37">
        <v>1020.69</v>
      </c>
      <c r="R187" s="37">
        <v>0.21099999999999999</v>
      </c>
      <c r="S187" s="37">
        <v>6</v>
      </c>
      <c r="T187" s="37">
        <f t="shared" si="14"/>
        <v>6319.9846800000005</v>
      </c>
      <c r="U187" s="32">
        <f t="shared" si="15"/>
        <v>3568.44</v>
      </c>
      <c r="V187" s="37">
        <f t="shared" si="18"/>
        <v>2751.5446800000004</v>
      </c>
      <c r="W187" s="39">
        <f t="shared" si="19"/>
        <v>0.43537204903477711</v>
      </c>
    </row>
    <row r="188" spans="1:23" x14ac:dyDescent="0.3">
      <c r="A188" s="40" t="s">
        <v>360</v>
      </c>
      <c r="B188" s="41">
        <v>44955</v>
      </c>
      <c r="C188" s="42">
        <v>44985</v>
      </c>
      <c r="D188" s="43">
        <f t="shared" si="20"/>
        <v>30</v>
      </c>
      <c r="E188" s="43" t="str">
        <f>TEXT(Data!B188,"MMM-YYYY")</f>
        <v>Jan-2023</v>
      </c>
      <c r="F188" s="43" t="str">
        <f t="shared" si="16"/>
        <v>Q1-2023</v>
      </c>
      <c r="G188" s="33" t="s">
        <v>45</v>
      </c>
      <c r="H188" s="33" t="s">
        <v>60</v>
      </c>
      <c r="I188" s="33" t="s">
        <v>61</v>
      </c>
      <c r="J188" s="33" t="s">
        <v>39</v>
      </c>
      <c r="K188" s="33" t="s">
        <v>20</v>
      </c>
      <c r="L188" s="33" t="s">
        <v>56</v>
      </c>
      <c r="M188" s="33" t="s">
        <v>81</v>
      </c>
      <c r="N188" s="33" t="s">
        <v>477</v>
      </c>
      <c r="O188" s="43">
        <v>1262.0999999999999</v>
      </c>
      <c r="P188" s="44" t="str">
        <f t="shared" si="17"/>
        <v>High</v>
      </c>
      <c r="Q188" s="43">
        <v>1395.53</v>
      </c>
      <c r="R188" s="43">
        <v>0.23300000000000001</v>
      </c>
      <c r="S188" s="43">
        <v>25</v>
      </c>
      <c r="T188" s="43">
        <f t="shared" si="14"/>
        <v>51608.553749999999</v>
      </c>
      <c r="U188" s="33">
        <f t="shared" si="15"/>
        <v>31552.499999999996</v>
      </c>
      <c r="V188" s="43">
        <f t="shared" si="18"/>
        <v>20056.053750000003</v>
      </c>
      <c r="W188" s="45">
        <f t="shared" si="19"/>
        <v>0.38861879073679723</v>
      </c>
    </row>
    <row r="189" spans="1:23" x14ac:dyDescent="0.3">
      <c r="A189" s="34" t="s">
        <v>478</v>
      </c>
      <c r="B189" s="35">
        <v>45126</v>
      </c>
      <c r="C189" s="36">
        <v>45138</v>
      </c>
      <c r="D189" s="37">
        <f t="shared" si="20"/>
        <v>12</v>
      </c>
      <c r="E189" s="37" t="str">
        <f>TEXT(Data!B189,"MMM-YYYY")</f>
        <v>Jul-2023</v>
      </c>
      <c r="F189" s="37" t="str">
        <f t="shared" si="16"/>
        <v>Q3-2023</v>
      </c>
      <c r="G189" s="32" t="s">
        <v>52</v>
      </c>
      <c r="H189" s="32" t="s">
        <v>73</v>
      </c>
      <c r="I189" s="32" t="s">
        <v>225</v>
      </c>
      <c r="J189" s="32" t="s">
        <v>19</v>
      </c>
      <c r="K189" s="32" t="s">
        <v>20</v>
      </c>
      <c r="L189" s="32" t="s">
        <v>21</v>
      </c>
      <c r="M189" s="32" t="s">
        <v>64</v>
      </c>
      <c r="N189" s="32" t="s">
        <v>479</v>
      </c>
      <c r="O189" s="37">
        <v>1334.64</v>
      </c>
      <c r="P189" s="38" t="str">
        <f t="shared" si="17"/>
        <v>High</v>
      </c>
      <c r="Q189" s="37">
        <v>2273.42</v>
      </c>
      <c r="R189" s="37">
        <v>0.11799999999999999</v>
      </c>
      <c r="S189" s="37">
        <v>14</v>
      </c>
      <c r="T189" s="37">
        <f t="shared" si="14"/>
        <v>9587.7280800000008</v>
      </c>
      <c r="U189" s="32">
        <f t="shared" si="15"/>
        <v>18684.960000000003</v>
      </c>
      <c r="V189" s="37">
        <f t="shared" si="18"/>
        <v>-9097.231920000002</v>
      </c>
      <c r="W189" s="39">
        <f t="shared" si="19"/>
        <v>-0.94884125249409468</v>
      </c>
    </row>
    <row r="190" spans="1:23" x14ac:dyDescent="0.3">
      <c r="A190" s="40" t="s">
        <v>480</v>
      </c>
      <c r="B190" s="41">
        <v>45431</v>
      </c>
      <c r="C190" s="42">
        <v>45451</v>
      </c>
      <c r="D190" s="43">
        <f t="shared" si="20"/>
        <v>20</v>
      </c>
      <c r="E190" s="43" t="str">
        <f>TEXT(Data!B190,"MMM-YYYY")</f>
        <v>May-2024</v>
      </c>
      <c r="F190" s="43" t="str">
        <f t="shared" si="16"/>
        <v>Q2-2024</v>
      </c>
      <c r="G190" s="33" t="s">
        <v>52</v>
      </c>
      <c r="H190" s="33" t="s">
        <v>73</v>
      </c>
      <c r="I190" s="33" t="s">
        <v>87</v>
      </c>
      <c r="J190" s="33" t="s">
        <v>62</v>
      </c>
      <c r="K190" s="33" t="s">
        <v>20</v>
      </c>
      <c r="L190" s="33" t="s">
        <v>63</v>
      </c>
      <c r="M190" s="33" t="s">
        <v>64</v>
      </c>
      <c r="N190" s="33" t="s">
        <v>481</v>
      </c>
      <c r="O190" s="43">
        <v>1075.9000000000001</v>
      </c>
      <c r="P190" s="44" t="str">
        <f t="shared" si="17"/>
        <v>High</v>
      </c>
      <c r="Q190" s="43">
        <v>1242.1500000000001</v>
      </c>
      <c r="R190" s="43">
        <v>1.2E-2</v>
      </c>
      <c r="S190" s="43">
        <v>7</v>
      </c>
      <c r="T190" s="43">
        <f t="shared" si="14"/>
        <v>2200.4637200000002</v>
      </c>
      <c r="U190" s="33">
        <f t="shared" si="15"/>
        <v>7531.3000000000011</v>
      </c>
      <c r="V190" s="43">
        <f t="shared" si="18"/>
        <v>-5330.8362800000014</v>
      </c>
      <c r="W190" s="45">
        <f t="shared" si="19"/>
        <v>-2.4225967606500691</v>
      </c>
    </row>
    <row r="191" spans="1:23" x14ac:dyDescent="0.3">
      <c r="A191" s="34" t="s">
        <v>482</v>
      </c>
      <c r="B191" s="35">
        <v>45325</v>
      </c>
      <c r="C191" s="36">
        <v>45341</v>
      </c>
      <c r="D191" s="37">
        <f t="shared" si="20"/>
        <v>16</v>
      </c>
      <c r="E191" s="37" t="str">
        <f>TEXT(Data!B191,"MMM-YYYY")</f>
        <v>Feb-2024</v>
      </c>
      <c r="F191" s="37" t="str">
        <f t="shared" si="16"/>
        <v>Q1-2024</v>
      </c>
      <c r="G191" s="32" t="s">
        <v>45</v>
      </c>
      <c r="H191" s="32" t="s">
        <v>116</v>
      </c>
      <c r="I191" s="32" t="s">
        <v>117</v>
      </c>
      <c r="J191" s="32" t="s">
        <v>62</v>
      </c>
      <c r="K191" s="32" t="s">
        <v>28</v>
      </c>
      <c r="L191" s="32" t="s">
        <v>92</v>
      </c>
      <c r="M191" s="32" t="s">
        <v>57</v>
      </c>
      <c r="N191" s="32" t="s">
        <v>483</v>
      </c>
      <c r="O191" s="37">
        <v>993.75</v>
      </c>
      <c r="P191" s="38" t="str">
        <f t="shared" si="17"/>
        <v>High</v>
      </c>
      <c r="Q191" s="37">
        <v>1310.29</v>
      </c>
      <c r="R191" s="37">
        <v>0.215</v>
      </c>
      <c r="S191" s="37">
        <v>19</v>
      </c>
      <c r="T191" s="37">
        <f t="shared" si="14"/>
        <v>18590.205150000002</v>
      </c>
      <c r="U191" s="32">
        <f t="shared" si="15"/>
        <v>18881.25</v>
      </c>
      <c r="V191" s="37">
        <f t="shared" si="18"/>
        <v>-291.04484999999841</v>
      </c>
      <c r="W191" s="39">
        <f t="shared" si="19"/>
        <v>-1.5655817009636301E-2</v>
      </c>
    </row>
    <row r="192" spans="1:23" x14ac:dyDescent="0.3">
      <c r="A192" s="40" t="s">
        <v>484</v>
      </c>
      <c r="B192" s="41">
        <v>45146</v>
      </c>
      <c r="C192" s="42">
        <v>45160</v>
      </c>
      <c r="D192" s="43">
        <f t="shared" si="20"/>
        <v>14</v>
      </c>
      <c r="E192" s="43" t="str">
        <f>TEXT(Data!B192,"MMM-YYYY")</f>
        <v>Aug-2023</v>
      </c>
      <c r="F192" s="43" t="str">
        <f t="shared" si="16"/>
        <v>Q3-2023</v>
      </c>
      <c r="G192" s="33" t="s">
        <v>78</v>
      </c>
      <c r="H192" s="33" t="s">
        <v>108</v>
      </c>
      <c r="I192" s="33" t="s">
        <v>109</v>
      </c>
      <c r="J192" s="33" t="s">
        <v>39</v>
      </c>
      <c r="K192" s="33" t="s">
        <v>98</v>
      </c>
      <c r="L192" s="33" t="s">
        <v>126</v>
      </c>
      <c r="M192" s="33" t="s">
        <v>64</v>
      </c>
      <c r="N192" s="33" t="s">
        <v>485</v>
      </c>
      <c r="O192" s="43">
        <v>446.69</v>
      </c>
      <c r="P192" s="44" t="str">
        <f t="shared" si="17"/>
        <v>High</v>
      </c>
      <c r="Q192" s="43">
        <v>967.25</v>
      </c>
      <c r="R192" s="43">
        <v>9.4E-2</v>
      </c>
      <c r="S192" s="43">
        <v>10</v>
      </c>
      <c r="T192" s="43">
        <f t="shared" si="14"/>
        <v>3143.4576000000002</v>
      </c>
      <c r="U192" s="33">
        <f t="shared" si="15"/>
        <v>4466.8999999999996</v>
      </c>
      <c r="V192" s="43">
        <f t="shared" si="18"/>
        <v>-1323.4423999999995</v>
      </c>
      <c r="W192" s="45">
        <f t="shared" si="19"/>
        <v>-0.42101487228585471</v>
      </c>
    </row>
    <row r="193" spans="1:23" x14ac:dyDescent="0.3">
      <c r="A193" s="34" t="s">
        <v>486</v>
      </c>
      <c r="B193" s="35">
        <v>45516</v>
      </c>
      <c r="C193" s="36">
        <v>45538</v>
      </c>
      <c r="D193" s="37">
        <f t="shared" si="20"/>
        <v>22</v>
      </c>
      <c r="E193" s="37" t="str">
        <f>TEXT(Data!B193,"MMM-YYYY")</f>
        <v>Aug-2024</v>
      </c>
      <c r="F193" s="37" t="str">
        <f t="shared" si="16"/>
        <v>Q3-2024</v>
      </c>
      <c r="G193" s="32" t="s">
        <v>52</v>
      </c>
      <c r="H193" s="32" t="s">
        <v>122</v>
      </c>
      <c r="I193" s="32" t="s">
        <v>326</v>
      </c>
      <c r="J193" s="32" t="s">
        <v>48</v>
      </c>
      <c r="K193" s="32" t="s">
        <v>55</v>
      </c>
      <c r="L193" s="32" t="s">
        <v>34</v>
      </c>
      <c r="M193" s="32" t="s">
        <v>57</v>
      </c>
      <c r="N193" s="32" t="s">
        <v>487</v>
      </c>
      <c r="O193" s="37">
        <v>797.8</v>
      </c>
      <c r="P193" s="38" t="str">
        <f t="shared" si="17"/>
        <v>High</v>
      </c>
      <c r="Q193" s="37">
        <v>886.22</v>
      </c>
      <c r="R193" s="37">
        <v>0.23599999999999999</v>
      </c>
      <c r="S193" s="37">
        <v>36</v>
      </c>
      <c r="T193" s="37">
        <f t="shared" ref="T193:T256" si="21">(Q219*S193)*(1-R193)</f>
        <v>13882.919040000001</v>
      </c>
      <c r="U193" s="32">
        <f t="shared" ref="U193:U256" si="22">(O193*S193)</f>
        <v>28720.799999999999</v>
      </c>
      <c r="V193" s="37">
        <f t="shared" si="18"/>
        <v>-14837.880959999999</v>
      </c>
      <c r="W193" s="39">
        <f t="shared" si="19"/>
        <v>-1.06878682482038</v>
      </c>
    </row>
    <row r="194" spans="1:23" x14ac:dyDescent="0.3">
      <c r="A194" s="40" t="s">
        <v>488</v>
      </c>
      <c r="B194" s="41">
        <v>45214</v>
      </c>
      <c r="C194" s="42">
        <v>45243</v>
      </c>
      <c r="D194" s="43">
        <f t="shared" si="20"/>
        <v>29</v>
      </c>
      <c r="E194" s="43" t="str">
        <f>TEXT(Data!B194,"MMM-YYYY")</f>
        <v>Oct-2023</v>
      </c>
      <c r="F194" s="43" t="str">
        <f t="shared" ref="F194:F257" si="23">"Q"&amp;ROUNDUP(MONTH(B194)/3,0)&amp;"-"&amp;YEAR(B194)</f>
        <v>Q4-2023</v>
      </c>
      <c r="G194" s="33" t="s">
        <v>45</v>
      </c>
      <c r="H194" s="33" t="s">
        <v>116</v>
      </c>
      <c r="I194" s="33" t="s">
        <v>117</v>
      </c>
      <c r="J194" s="33" t="s">
        <v>39</v>
      </c>
      <c r="K194" s="33" t="s">
        <v>55</v>
      </c>
      <c r="L194" s="33" t="s">
        <v>29</v>
      </c>
      <c r="M194" s="33" t="s">
        <v>30</v>
      </c>
      <c r="N194" s="33" t="s">
        <v>489</v>
      </c>
      <c r="O194" s="43">
        <v>986.44</v>
      </c>
      <c r="P194" s="44" t="str">
        <f t="shared" ref="P194:P257" si="24">IF(Q194&lt;50, "Low", IF(Q194&lt;200, "Medium", "High"))</f>
        <v>High</v>
      </c>
      <c r="Q194" s="43">
        <v>790.61</v>
      </c>
      <c r="R194" s="43">
        <v>7.1999999999999995E-2</v>
      </c>
      <c r="S194" s="43">
        <v>6</v>
      </c>
      <c r="T194" s="43">
        <f t="shared" si="21"/>
        <v>5219.7772800000002</v>
      </c>
      <c r="U194" s="33">
        <f t="shared" si="22"/>
        <v>5918.64</v>
      </c>
      <c r="V194" s="43">
        <f t="shared" ref="V194:V257" si="25">(T194-U194)</f>
        <v>-698.86272000000008</v>
      </c>
      <c r="W194" s="45">
        <f t="shared" ref="W194:W257" si="26">IF(T194=0, 0, V194/T194)</f>
        <v>-0.13388745965804888</v>
      </c>
    </row>
    <row r="195" spans="1:23" x14ac:dyDescent="0.3">
      <c r="A195" s="34" t="s">
        <v>490</v>
      </c>
      <c r="B195" s="35">
        <v>45050</v>
      </c>
      <c r="C195" s="36">
        <v>45072</v>
      </c>
      <c r="D195" s="37">
        <f t="shared" ref="D195:D258" si="27">DATEDIF(B195,C195, "MD")</f>
        <v>22</v>
      </c>
      <c r="E195" s="37" t="str">
        <f>TEXT(Data!B195,"MMM-YYYY")</f>
        <v>May-2023</v>
      </c>
      <c r="F195" s="37" t="str">
        <f t="shared" si="23"/>
        <v>Q2-2023</v>
      </c>
      <c r="G195" s="32" t="s">
        <v>52</v>
      </c>
      <c r="H195" s="32" t="s">
        <v>122</v>
      </c>
      <c r="I195" s="32" t="s">
        <v>167</v>
      </c>
      <c r="J195" s="32" t="s">
        <v>105</v>
      </c>
      <c r="K195" s="32" t="s">
        <v>28</v>
      </c>
      <c r="L195" s="32" t="s">
        <v>29</v>
      </c>
      <c r="M195" s="32" t="s">
        <v>35</v>
      </c>
      <c r="N195" s="32" t="s">
        <v>491</v>
      </c>
      <c r="O195" s="37">
        <v>249.71</v>
      </c>
      <c r="P195" s="38" t="str">
        <f t="shared" si="24"/>
        <v>High</v>
      </c>
      <c r="Q195" s="37">
        <v>361.33</v>
      </c>
      <c r="R195" s="37">
        <v>9.4E-2</v>
      </c>
      <c r="S195" s="37">
        <v>12</v>
      </c>
      <c r="T195" s="37">
        <f t="shared" si="21"/>
        <v>14139.90576</v>
      </c>
      <c r="U195" s="32">
        <f t="shared" si="22"/>
        <v>2996.52</v>
      </c>
      <c r="V195" s="37">
        <f t="shared" si="25"/>
        <v>11143.385759999999</v>
      </c>
      <c r="W195" s="39">
        <f t="shared" si="26"/>
        <v>0.7880806243789279</v>
      </c>
    </row>
    <row r="196" spans="1:23" x14ac:dyDescent="0.3">
      <c r="A196" s="40" t="s">
        <v>492</v>
      </c>
      <c r="B196" s="41">
        <v>45557</v>
      </c>
      <c r="C196" s="42">
        <v>45566</v>
      </c>
      <c r="D196" s="43">
        <f t="shared" si="27"/>
        <v>9</v>
      </c>
      <c r="E196" s="43" t="str">
        <f>TEXT(Data!B196,"MMM-YYYY")</f>
        <v>Sep-2024</v>
      </c>
      <c r="F196" s="43" t="str">
        <f t="shared" si="23"/>
        <v>Q3-2024</v>
      </c>
      <c r="G196" s="33" t="s">
        <v>52</v>
      </c>
      <c r="H196" s="33" t="s">
        <v>73</v>
      </c>
      <c r="I196" s="33" t="s">
        <v>74</v>
      </c>
      <c r="J196" s="33" t="s">
        <v>39</v>
      </c>
      <c r="K196" s="33" t="s">
        <v>28</v>
      </c>
      <c r="L196" s="33" t="s">
        <v>95</v>
      </c>
      <c r="M196" s="33" t="s">
        <v>64</v>
      </c>
      <c r="N196" s="33" t="s">
        <v>493</v>
      </c>
      <c r="O196" s="43">
        <v>1378.8</v>
      </c>
      <c r="P196" s="44" t="str">
        <f t="shared" si="24"/>
        <v>High</v>
      </c>
      <c r="Q196" s="43">
        <v>1952.04</v>
      </c>
      <c r="R196" s="43">
        <v>0.159</v>
      </c>
      <c r="S196" s="43">
        <v>19</v>
      </c>
      <c r="T196" s="43">
        <f t="shared" si="21"/>
        <v>3645.6088500000001</v>
      </c>
      <c r="U196" s="33">
        <f t="shared" si="22"/>
        <v>26197.200000000001</v>
      </c>
      <c r="V196" s="43">
        <f t="shared" si="25"/>
        <v>-22551.59115</v>
      </c>
      <c r="W196" s="45">
        <f t="shared" si="26"/>
        <v>-6.1859601723317077</v>
      </c>
    </row>
    <row r="197" spans="1:23" x14ac:dyDescent="0.3">
      <c r="A197" s="34" t="s">
        <v>494</v>
      </c>
      <c r="B197" s="35">
        <v>45588</v>
      </c>
      <c r="C197" s="36">
        <v>45610</v>
      </c>
      <c r="D197" s="37">
        <f t="shared" si="27"/>
        <v>22</v>
      </c>
      <c r="E197" s="37" t="str">
        <f>TEXT(Data!B197,"MMM-YYYY")</f>
        <v>Oct-2024</v>
      </c>
      <c r="F197" s="37" t="str">
        <f t="shared" si="23"/>
        <v>Q4-2024</v>
      </c>
      <c r="G197" s="32" t="s">
        <v>45</v>
      </c>
      <c r="H197" s="32" t="s">
        <v>46</v>
      </c>
      <c r="I197" s="32" t="s">
        <v>47</v>
      </c>
      <c r="J197" s="32" t="s">
        <v>39</v>
      </c>
      <c r="K197" s="32" t="s">
        <v>98</v>
      </c>
      <c r="L197" s="32" t="s">
        <v>56</v>
      </c>
      <c r="M197" s="32" t="s">
        <v>42</v>
      </c>
      <c r="N197" s="32" t="s">
        <v>495</v>
      </c>
      <c r="O197" s="37">
        <v>1406.4</v>
      </c>
      <c r="P197" s="38" t="str">
        <f t="shared" si="24"/>
        <v>High</v>
      </c>
      <c r="Q197" s="37">
        <v>1564.76</v>
      </c>
      <c r="R197" s="37">
        <v>0.185</v>
      </c>
      <c r="S197" s="37">
        <v>17</v>
      </c>
      <c r="T197" s="37">
        <f t="shared" si="21"/>
        <v>6879.2846</v>
      </c>
      <c r="U197" s="32">
        <f t="shared" si="22"/>
        <v>23908.800000000003</v>
      </c>
      <c r="V197" s="37">
        <f t="shared" si="25"/>
        <v>-17029.515400000004</v>
      </c>
      <c r="W197" s="39">
        <f t="shared" si="26"/>
        <v>-2.4754776681284567</v>
      </c>
    </row>
    <row r="198" spans="1:23" x14ac:dyDescent="0.3">
      <c r="A198" s="40" t="s">
        <v>496</v>
      </c>
      <c r="B198" s="41">
        <v>45333</v>
      </c>
      <c r="C198" s="42">
        <v>45354</v>
      </c>
      <c r="D198" s="43">
        <f t="shared" si="27"/>
        <v>21</v>
      </c>
      <c r="E198" s="43" t="str">
        <f>TEXT(Data!B198,"MMM-YYYY")</f>
        <v>Feb-2024</v>
      </c>
      <c r="F198" s="43" t="str">
        <f t="shared" si="23"/>
        <v>Q1-2024</v>
      </c>
      <c r="G198" s="33" t="s">
        <v>16</v>
      </c>
      <c r="H198" s="33" t="s">
        <v>17</v>
      </c>
      <c r="I198" s="33" t="s">
        <v>18</v>
      </c>
      <c r="J198" s="33" t="s">
        <v>105</v>
      </c>
      <c r="K198" s="33" t="s">
        <v>28</v>
      </c>
      <c r="L198" s="33" t="s">
        <v>56</v>
      </c>
      <c r="M198" s="33" t="s">
        <v>42</v>
      </c>
      <c r="N198" s="33" t="s">
        <v>497</v>
      </c>
      <c r="O198" s="43">
        <v>516.86</v>
      </c>
      <c r="P198" s="44" t="str">
        <f t="shared" si="24"/>
        <v>High</v>
      </c>
      <c r="Q198" s="43">
        <v>852.54</v>
      </c>
      <c r="R198" s="43">
        <v>5.0999999999999997E-2</v>
      </c>
      <c r="S198" s="43">
        <v>14</v>
      </c>
      <c r="T198" s="43">
        <f t="shared" si="21"/>
        <v>39076.783199999991</v>
      </c>
      <c r="U198" s="33">
        <f t="shared" si="22"/>
        <v>7236.04</v>
      </c>
      <c r="V198" s="43">
        <f t="shared" si="25"/>
        <v>31840.74319999999</v>
      </c>
      <c r="W198" s="45">
        <f t="shared" si="26"/>
        <v>0.81482508519278518</v>
      </c>
    </row>
    <row r="199" spans="1:23" x14ac:dyDescent="0.3">
      <c r="A199" s="34" t="s">
        <v>498</v>
      </c>
      <c r="B199" s="35">
        <v>44956</v>
      </c>
      <c r="C199" s="36">
        <v>44978</v>
      </c>
      <c r="D199" s="37">
        <f t="shared" si="27"/>
        <v>22</v>
      </c>
      <c r="E199" s="37" t="str">
        <f>TEXT(Data!B199,"MMM-YYYY")</f>
        <v>Jan-2023</v>
      </c>
      <c r="F199" s="37" t="str">
        <f t="shared" si="23"/>
        <v>Q1-2023</v>
      </c>
      <c r="G199" s="32" t="s">
        <v>78</v>
      </c>
      <c r="H199" s="32" t="s">
        <v>79</v>
      </c>
      <c r="I199" s="32" t="s">
        <v>159</v>
      </c>
      <c r="J199" s="32" t="s">
        <v>62</v>
      </c>
      <c r="K199" s="32" t="s">
        <v>40</v>
      </c>
      <c r="L199" s="32" t="s">
        <v>41</v>
      </c>
      <c r="M199" s="32" t="s">
        <v>35</v>
      </c>
      <c r="N199" s="32" t="s">
        <v>499</v>
      </c>
      <c r="O199" s="37">
        <v>1142.8800000000001</v>
      </c>
      <c r="P199" s="38" t="str">
        <f t="shared" si="24"/>
        <v>High</v>
      </c>
      <c r="Q199" s="37">
        <v>1465.29</v>
      </c>
      <c r="R199" s="37">
        <v>0.186</v>
      </c>
      <c r="S199" s="37">
        <v>7</v>
      </c>
      <c r="T199" s="37">
        <f t="shared" si="21"/>
        <v>6200.5636000000013</v>
      </c>
      <c r="U199" s="32">
        <f t="shared" si="22"/>
        <v>8000.1600000000008</v>
      </c>
      <c r="V199" s="37">
        <f t="shared" si="25"/>
        <v>-1799.5963999999994</v>
      </c>
      <c r="W199" s="39">
        <f t="shared" si="26"/>
        <v>-0.29023110092766391</v>
      </c>
    </row>
    <row r="200" spans="1:23" x14ac:dyDescent="0.3">
      <c r="A200" s="40" t="s">
        <v>500</v>
      </c>
      <c r="B200" s="41">
        <v>45030</v>
      </c>
      <c r="C200" s="42">
        <v>45059</v>
      </c>
      <c r="D200" s="43">
        <f t="shared" si="27"/>
        <v>29</v>
      </c>
      <c r="E200" s="43" t="str">
        <f>TEXT(Data!B200,"MMM-YYYY")</f>
        <v>Apr-2023</v>
      </c>
      <c r="F200" s="43" t="str">
        <f t="shared" si="23"/>
        <v>Q2-2023</v>
      </c>
      <c r="G200" s="33" t="s">
        <v>78</v>
      </c>
      <c r="H200" s="33" t="s">
        <v>79</v>
      </c>
      <c r="I200" s="33" t="s">
        <v>335</v>
      </c>
      <c r="J200" s="33" t="s">
        <v>48</v>
      </c>
      <c r="K200" s="33" t="s">
        <v>98</v>
      </c>
      <c r="L200" s="33" t="s">
        <v>29</v>
      </c>
      <c r="M200" s="33" t="s">
        <v>30</v>
      </c>
      <c r="N200" s="33" t="s">
        <v>501</v>
      </c>
      <c r="O200" s="43">
        <v>1320.33</v>
      </c>
      <c r="P200" s="44" t="str">
        <f t="shared" si="24"/>
        <v>High</v>
      </c>
      <c r="Q200" s="43">
        <v>2645.23</v>
      </c>
      <c r="R200" s="43">
        <v>0.155</v>
      </c>
      <c r="S200" s="43">
        <v>25</v>
      </c>
      <c r="T200" s="43">
        <f t="shared" si="21"/>
        <v>53428.293749999997</v>
      </c>
      <c r="U200" s="33">
        <f t="shared" si="22"/>
        <v>33008.25</v>
      </c>
      <c r="V200" s="43">
        <f t="shared" si="25"/>
        <v>20420.043749999997</v>
      </c>
      <c r="W200" s="45">
        <f t="shared" si="26"/>
        <v>0.38219531856189959</v>
      </c>
    </row>
    <row r="201" spans="1:23" x14ac:dyDescent="0.3">
      <c r="A201" s="34" t="s">
        <v>502</v>
      </c>
      <c r="B201" s="35">
        <v>44939</v>
      </c>
      <c r="C201" s="36">
        <v>44945</v>
      </c>
      <c r="D201" s="37">
        <f t="shared" si="27"/>
        <v>6</v>
      </c>
      <c r="E201" s="37" t="str">
        <f>TEXT(Data!B201,"MMM-YYYY")</f>
        <v>Jan-2023</v>
      </c>
      <c r="F201" s="37" t="str">
        <f t="shared" si="23"/>
        <v>Q1-2023</v>
      </c>
      <c r="G201" s="32" t="s">
        <v>52</v>
      </c>
      <c r="H201" s="32" t="s">
        <v>122</v>
      </c>
      <c r="I201" s="32" t="s">
        <v>123</v>
      </c>
      <c r="J201" s="32" t="s">
        <v>19</v>
      </c>
      <c r="K201" s="32" t="s">
        <v>98</v>
      </c>
      <c r="L201" s="32" t="s">
        <v>92</v>
      </c>
      <c r="M201" s="32" t="s">
        <v>42</v>
      </c>
      <c r="N201" s="32" t="s">
        <v>503</v>
      </c>
      <c r="O201" s="37">
        <v>833.57</v>
      </c>
      <c r="P201" s="38" t="str">
        <f t="shared" si="24"/>
        <v>High</v>
      </c>
      <c r="Q201" s="37">
        <v>881.57</v>
      </c>
      <c r="R201" s="37">
        <v>5.7000000000000002E-2</v>
      </c>
      <c r="S201" s="37">
        <v>18</v>
      </c>
      <c r="T201" s="37">
        <f t="shared" si="21"/>
        <v>45796.021740000004</v>
      </c>
      <c r="U201" s="32">
        <f t="shared" si="22"/>
        <v>15004.26</v>
      </c>
      <c r="V201" s="37">
        <f t="shared" si="25"/>
        <v>30791.761740000002</v>
      </c>
      <c r="W201" s="39">
        <f t="shared" si="26"/>
        <v>0.67236761120464961</v>
      </c>
    </row>
    <row r="202" spans="1:23" x14ac:dyDescent="0.3">
      <c r="A202" s="40" t="s">
        <v>504</v>
      </c>
      <c r="B202" s="41">
        <v>45303</v>
      </c>
      <c r="C202" s="42">
        <v>45320</v>
      </c>
      <c r="D202" s="43">
        <f t="shared" si="27"/>
        <v>17</v>
      </c>
      <c r="E202" s="43" t="str">
        <f>TEXT(Data!B202,"MMM-YYYY")</f>
        <v>Jan-2024</v>
      </c>
      <c r="F202" s="43" t="str">
        <f t="shared" si="23"/>
        <v>Q1-2024</v>
      </c>
      <c r="G202" s="33" t="s">
        <v>52</v>
      </c>
      <c r="H202" s="33" t="s">
        <v>122</v>
      </c>
      <c r="I202" s="33" t="s">
        <v>123</v>
      </c>
      <c r="J202" s="33" t="s">
        <v>27</v>
      </c>
      <c r="K202" s="33" t="s">
        <v>55</v>
      </c>
      <c r="L202" s="33" t="s">
        <v>75</v>
      </c>
      <c r="M202" s="33" t="s">
        <v>30</v>
      </c>
      <c r="N202" s="33" t="s">
        <v>505</v>
      </c>
      <c r="O202" s="43">
        <v>493.76</v>
      </c>
      <c r="P202" s="44" t="str">
        <f t="shared" si="24"/>
        <v>High</v>
      </c>
      <c r="Q202" s="43">
        <v>625.04</v>
      </c>
      <c r="R202" s="43">
        <v>0.25800000000000001</v>
      </c>
      <c r="S202" s="43">
        <v>10</v>
      </c>
      <c r="T202" s="43">
        <f t="shared" si="21"/>
        <v>11002.004999999999</v>
      </c>
      <c r="U202" s="33">
        <f t="shared" si="22"/>
        <v>4937.6000000000004</v>
      </c>
      <c r="V202" s="43">
        <f t="shared" si="25"/>
        <v>6064.4049999999988</v>
      </c>
      <c r="W202" s="45">
        <f t="shared" si="26"/>
        <v>0.55120907507313432</v>
      </c>
    </row>
    <row r="203" spans="1:23" x14ac:dyDescent="0.3">
      <c r="A203" s="34" t="s">
        <v>506</v>
      </c>
      <c r="B203" s="35">
        <v>45153</v>
      </c>
      <c r="C203" s="36">
        <v>45176</v>
      </c>
      <c r="D203" s="37">
        <f t="shared" si="27"/>
        <v>23</v>
      </c>
      <c r="E203" s="37" t="str">
        <f>TEXT(Data!B203,"MMM-YYYY")</f>
        <v>Aug-2023</v>
      </c>
      <c r="F203" s="37" t="str">
        <f t="shared" si="23"/>
        <v>Q3-2023</v>
      </c>
      <c r="G203" s="32" t="s">
        <v>52</v>
      </c>
      <c r="H203" s="32" t="s">
        <v>122</v>
      </c>
      <c r="I203" s="32" t="s">
        <v>387</v>
      </c>
      <c r="J203" s="32" t="s">
        <v>105</v>
      </c>
      <c r="K203" s="32" t="s">
        <v>28</v>
      </c>
      <c r="L203" s="32" t="s">
        <v>95</v>
      </c>
      <c r="M203" s="32" t="s">
        <v>42</v>
      </c>
      <c r="N203" s="32" t="s">
        <v>507</v>
      </c>
      <c r="O203" s="37">
        <v>590.33000000000004</v>
      </c>
      <c r="P203" s="38" t="str">
        <f t="shared" si="24"/>
        <v>High</v>
      </c>
      <c r="Q203" s="37">
        <v>973.04</v>
      </c>
      <c r="R203" s="37">
        <v>0</v>
      </c>
      <c r="S203" s="37">
        <v>26</v>
      </c>
      <c r="T203" s="37">
        <f t="shared" si="21"/>
        <v>37877.06</v>
      </c>
      <c r="U203" s="32">
        <f t="shared" si="22"/>
        <v>15348.580000000002</v>
      </c>
      <c r="V203" s="37">
        <f t="shared" si="25"/>
        <v>22528.479999999996</v>
      </c>
      <c r="W203" s="39">
        <f t="shared" si="26"/>
        <v>0.59477900343902079</v>
      </c>
    </row>
    <row r="204" spans="1:23" x14ac:dyDescent="0.3">
      <c r="A204" s="40" t="s">
        <v>508</v>
      </c>
      <c r="B204" s="41">
        <v>44946</v>
      </c>
      <c r="C204" s="42">
        <v>44960</v>
      </c>
      <c r="D204" s="43">
        <f t="shared" si="27"/>
        <v>14</v>
      </c>
      <c r="E204" s="43" t="str">
        <f>TEXT(Data!B204,"MMM-YYYY")</f>
        <v>Jan-2023</v>
      </c>
      <c r="F204" s="43" t="str">
        <f t="shared" si="23"/>
        <v>Q1-2023</v>
      </c>
      <c r="G204" s="33" t="s">
        <v>16</v>
      </c>
      <c r="H204" s="33" t="s">
        <v>17</v>
      </c>
      <c r="I204" s="33" t="s">
        <v>18</v>
      </c>
      <c r="J204" s="33" t="s">
        <v>19</v>
      </c>
      <c r="K204" s="33" t="s">
        <v>20</v>
      </c>
      <c r="L204" s="33" t="s">
        <v>110</v>
      </c>
      <c r="M204" s="33" t="s">
        <v>35</v>
      </c>
      <c r="N204" s="33" t="s">
        <v>509</v>
      </c>
      <c r="O204" s="43">
        <v>884.36</v>
      </c>
      <c r="P204" s="44" t="str">
        <f t="shared" si="24"/>
        <v>High</v>
      </c>
      <c r="Q204" s="43">
        <v>1545.34</v>
      </c>
      <c r="R204" s="43">
        <v>0.24299999999999999</v>
      </c>
      <c r="S204" s="43">
        <v>41</v>
      </c>
      <c r="T204" s="43">
        <f t="shared" si="21"/>
        <v>28497.86303</v>
      </c>
      <c r="U204" s="33">
        <f t="shared" si="22"/>
        <v>36258.76</v>
      </c>
      <c r="V204" s="43">
        <f t="shared" si="25"/>
        <v>-7760.8969700000016</v>
      </c>
      <c r="W204" s="45">
        <f t="shared" si="26"/>
        <v>-0.27233259426610423</v>
      </c>
    </row>
    <row r="205" spans="1:23" x14ac:dyDescent="0.3">
      <c r="A205" s="34" t="s">
        <v>510</v>
      </c>
      <c r="B205" s="35">
        <v>45692</v>
      </c>
      <c r="C205" s="36">
        <v>45713</v>
      </c>
      <c r="D205" s="37">
        <f t="shared" si="27"/>
        <v>21</v>
      </c>
      <c r="E205" s="37" t="str">
        <f>TEXT(Data!B205,"MMM-YYYY")</f>
        <v>Feb-2025</v>
      </c>
      <c r="F205" s="37" t="str">
        <f t="shared" si="23"/>
        <v>Q1-2025</v>
      </c>
      <c r="G205" s="32" t="s">
        <v>78</v>
      </c>
      <c r="H205" s="32" t="s">
        <v>108</v>
      </c>
      <c r="I205" s="32" t="s">
        <v>109</v>
      </c>
      <c r="J205" s="32" t="s">
        <v>19</v>
      </c>
      <c r="K205" s="32" t="s">
        <v>40</v>
      </c>
      <c r="L205" s="32" t="s">
        <v>145</v>
      </c>
      <c r="M205" s="32" t="s">
        <v>64</v>
      </c>
      <c r="N205" s="32" t="s">
        <v>511</v>
      </c>
      <c r="O205" s="37">
        <v>1016.32</v>
      </c>
      <c r="P205" s="38" t="str">
        <f t="shared" si="24"/>
        <v>High</v>
      </c>
      <c r="Q205" s="37">
        <v>2253.42</v>
      </c>
      <c r="R205" s="37">
        <v>5.5E-2</v>
      </c>
      <c r="S205" s="37">
        <v>12</v>
      </c>
      <c r="T205" s="37">
        <f t="shared" si="21"/>
        <v>554.97959999999989</v>
      </c>
      <c r="U205" s="32">
        <f t="shared" si="22"/>
        <v>12195.84</v>
      </c>
      <c r="V205" s="37">
        <f t="shared" si="25"/>
        <v>-11640.8604</v>
      </c>
      <c r="W205" s="39">
        <f t="shared" si="26"/>
        <v>-20.97529422703105</v>
      </c>
    </row>
    <row r="206" spans="1:23" x14ac:dyDescent="0.3">
      <c r="A206" s="40" t="s">
        <v>512</v>
      </c>
      <c r="B206" s="41">
        <v>45035</v>
      </c>
      <c r="C206" s="42">
        <v>45044</v>
      </c>
      <c r="D206" s="43">
        <f t="shared" si="27"/>
        <v>9</v>
      </c>
      <c r="E206" s="43" t="str">
        <f>TEXT(Data!B206,"MMM-YYYY")</f>
        <v>Apr-2023</v>
      </c>
      <c r="F206" s="43" t="str">
        <f t="shared" si="23"/>
        <v>Q2-2023</v>
      </c>
      <c r="G206" s="33" t="s">
        <v>78</v>
      </c>
      <c r="H206" s="33" t="s">
        <v>79</v>
      </c>
      <c r="I206" s="33" t="s">
        <v>80</v>
      </c>
      <c r="J206" s="33" t="s">
        <v>27</v>
      </c>
      <c r="K206" s="33" t="s">
        <v>28</v>
      </c>
      <c r="L206" s="33" t="s">
        <v>63</v>
      </c>
      <c r="M206" s="33" t="s">
        <v>64</v>
      </c>
      <c r="N206" s="33" t="s">
        <v>513</v>
      </c>
      <c r="O206" s="43">
        <v>1178.42</v>
      </c>
      <c r="P206" s="44" t="str">
        <f t="shared" si="24"/>
        <v>High</v>
      </c>
      <c r="Q206" s="43">
        <v>2446.56</v>
      </c>
      <c r="R206" s="43">
        <v>2.9000000000000001E-2</v>
      </c>
      <c r="S206" s="43">
        <v>11</v>
      </c>
      <c r="T206" s="43">
        <f t="shared" si="21"/>
        <v>9957.7894899999992</v>
      </c>
      <c r="U206" s="33">
        <f t="shared" si="22"/>
        <v>12962.62</v>
      </c>
      <c r="V206" s="43">
        <f t="shared" si="25"/>
        <v>-3004.8305100000016</v>
      </c>
      <c r="W206" s="45">
        <f t="shared" si="26"/>
        <v>-0.30175678176542792</v>
      </c>
    </row>
    <row r="207" spans="1:23" x14ac:dyDescent="0.3">
      <c r="A207" s="34" t="s">
        <v>514</v>
      </c>
      <c r="B207" s="35">
        <v>45109</v>
      </c>
      <c r="C207" s="36">
        <v>45139</v>
      </c>
      <c r="D207" s="37">
        <f t="shared" si="27"/>
        <v>30</v>
      </c>
      <c r="E207" s="37" t="str">
        <f>TEXT(Data!B207,"MMM-YYYY")</f>
        <v>Jul-2023</v>
      </c>
      <c r="F207" s="37" t="str">
        <f t="shared" si="23"/>
        <v>Q3-2023</v>
      </c>
      <c r="G207" s="32" t="s">
        <v>78</v>
      </c>
      <c r="H207" s="32" t="s">
        <v>108</v>
      </c>
      <c r="I207" s="32" t="s">
        <v>109</v>
      </c>
      <c r="J207" s="32" t="s">
        <v>62</v>
      </c>
      <c r="K207" s="32" t="s">
        <v>20</v>
      </c>
      <c r="L207" s="32" t="s">
        <v>56</v>
      </c>
      <c r="M207" s="32" t="s">
        <v>22</v>
      </c>
      <c r="N207" s="32" t="s">
        <v>515</v>
      </c>
      <c r="O207" s="37">
        <v>137.46</v>
      </c>
      <c r="P207" s="38" t="str">
        <f t="shared" si="24"/>
        <v>Medium</v>
      </c>
      <c r="Q207" s="37">
        <v>188.3</v>
      </c>
      <c r="R207" s="37">
        <v>3.7999999999999999E-2</v>
      </c>
      <c r="S207" s="37">
        <v>37</v>
      </c>
      <c r="T207" s="37">
        <f t="shared" si="21"/>
        <v>11596.169260000001</v>
      </c>
      <c r="U207" s="32">
        <f t="shared" si="22"/>
        <v>5086.0200000000004</v>
      </c>
      <c r="V207" s="37">
        <f t="shared" si="25"/>
        <v>6510.1492600000001</v>
      </c>
      <c r="W207" s="39">
        <f t="shared" si="26"/>
        <v>0.56140516010370822</v>
      </c>
    </row>
    <row r="208" spans="1:23" x14ac:dyDescent="0.3">
      <c r="A208" s="40" t="s">
        <v>516</v>
      </c>
      <c r="B208" s="41">
        <v>45678</v>
      </c>
      <c r="C208" s="42">
        <v>45702</v>
      </c>
      <c r="D208" s="43">
        <f t="shared" si="27"/>
        <v>24</v>
      </c>
      <c r="E208" s="43" t="str">
        <f>TEXT(Data!B208,"MMM-YYYY")</f>
        <v>Jan-2025</v>
      </c>
      <c r="F208" s="43" t="str">
        <f t="shared" si="23"/>
        <v>Q1-2025</v>
      </c>
      <c r="G208" s="33" t="s">
        <v>16</v>
      </c>
      <c r="H208" s="33" t="s">
        <v>17</v>
      </c>
      <c r="I208" s="33" t="s">
        <v>33</v>
      </c>
      <c r="J208" s="33" t="s">
        <v>62</v>
      </c>
      <c r="K208" s="33" t="s">
        <v>20</v>
      </c>
      <c r="L208" s="33" t="s">
        <v>29</v>
      </c>
      <c r="M208" s="33" t="s">
        <v>81</v>
      </c>
      <c r="N208" s="33" t="s">
        <v>517</v>
      </c>
      <c r="O208" s="43">
        <v>1030.44</v>
      </c>
      <c r="P208" s="44" t="str">
        <f t="shared" si="24"/>
        <v>High</v>
      </c>
      <c r="Q208" s="43">
        <v>2562.84</v>
      </c>
      <c r="R208" s="43">
        <v>0.14799999999999999</v>
      </c>
      <c r="S208" s="43">
        <v>13</v>
      </c>
      <c r="T208" s="43">
        <f t="shared" si="21"/>
        <v>4496.5237200000001</v>
      </c>
      <c r="U208" s="33">
        <f t="shared" si="22"/>
        <v>13395.720000000001</v>
      </c>
      <c r="V208" s="43">
        <f t="shared" si="25"/>
        <v>-8899.1962800000001</v>
      </c>
      <c r="W208" s="45">
        <f t="shared" si="26"/>
        <v>-1.9791280629561541</v>
      </c>
    </row>
    <row r="209" spans="1:23" x14ac:dyDescent="0.3">
      <c r="A209" s="34" t="s">
        <v>518</v>
      </c>
      <c r="B209" s="35">
        <v>45545</v>
      </c>
      <c r="C209" s="36">
        <v>45572</v>
      </c>
      <c r="D209" s="37">
        <f t="shared" si="27"/>
        <v>27</v>
      </c>
      <c r="E209" s="37" t="str">
        <f>TEXT(Data!B209,"MMM-YYYY")</f>
        <v>Sep-2024</v>
      </c>
      <c r="F209" s="37" t="str">
        <f t="shared" si="23"/>
        <v>Q3-2024</v>
      </c>
      <c r="G209" s="32" t="s">
        <v>16</v>
      </c>
      <c r="H209" s="32" t="s">
        <v>17</v>
      </c>
      <c r="I209" s="32" t="s">
        <v>18</v>
      </c>
      <c r="J209" s="32" t="s">
        <v>48</v>
      </c>
      <c r="K209" s="32" t="s">
        <v>20</v>
      </c>
      <c r="L209" s="32" t="s">
        <v>49</v>
      </c>
      <c r="M209" s="32" t="s">
        <v>30</v>
      </c>
      <c r="N209" s="32" t="s">
        <v>519</v>
      </c>
      <c r="O209" s="37">
        <v>1248.3900000000001</v>
      </c>
      <c r="P209" s="38" t="str">
        <f t="shared" si="24"/>
        <v>High</v>
      </c>
      <c r="Q209" s="37">
        <v>1805.11</v>
      </c>
      <c r="R209" s="37">
        <v>0.20300000000000001</v>
      </c>
      <c r="S209" s="37">
        <v>11</v>
      </c>
      <c r="T209" s="37">
        <f t="shared" si="21"/>
        <v>13931.376689999999</v>
      </c>
      <c r="U209" s="32">
        <f t="shared" si="22"/>
        <v>13732.29</v>
      </c>
      <c r="V209" s="37">
        <f t="shared" si="25"/>
        <v>199.08668999999827</v>
      </c>
      <c r="W209" s="39">
        <f t="shared" si="26"/>
        <v>1.4290525224467122E-2</v>
      </c>
    </row>
    <row r="210" spans="1:23" x14ac:dyDescent="0.3">
      <c r="A210" s="40" t="s">
        <v>520</v>
      </c>
      <c r="B210" s="41">
        <v>45859</v>
      </c>
      <c r="C210" s="42">
        <v>45876</v>
      </c>
      <c r="D210" s="43">
        <f t="shared" si="27"/>
        <v>17</v>
      </c>
      <c r="E210" s="43" t="str">
        <f>TEXT(Data!B210,"MMM-YYYY")</f>
        <v>Jul-2025</v>
      </c>
      <c r="F210" s="43" t="str">
        <f t="shared" si="23"/>
        <v>Q3-2025</v>
      </c>
      <c r="G210" s="33" t="s">
        <v>16</v>
      </c>
      <c r="H210" s="33" t="s">
        <v>25</v>
      </c>
      <c r="I210" s="33" t="s">
        <v>38</v>
      </c>
      <c r="J210" s="33" t="s">
        <v>105</v>
      </c>
      <c r="K210" s="33" t="s">
        <v>98</v>
      </c>
      <c r="L210" s="33" t="s">
        <v>110</v>
      </c>
      <c r="M210" s="33" t="s">
        <v>81</v>
      </c>
      <c r="N210" s="33" t="s">
        <v>521</v>
      </c>
      <c r="O210" s="43">
        <v>1204.95</v>
      </c>
      <c r="P210" s="44" t="str">
        <f t="shared" si="24"/>
        <v>High</v>
      </c>
      <c r="Q210" s="43">
        <v>2065.73</v>
      </c>
      <c r="R210" s="43">
        <v>0.13600000000000001</v>
      </c>
      <c r="S210" s="43">
        <v>10</v>
      </c>
      <c r="T210" s="43">
        <f t="shared" si="21"/>
        <v>12379.392</v>
      </c>
      <c r="U210" s="33">
        <f t="shared" si="22"/>
        <v>12049.5</v>
      </c>
      <c r="V210" s="43">
        <f t="shared" si="25"/>
        <v>329.89199999999983</v>
      </c>
      <c r="W210" s="45">
        <f t="shared" si="26"/>
        <v>2.6648481605558643E-2</v>
      </c>
    </row>
    <row r="211" spans="1:23" x14ac:dyDescent="0.3">
      <c r="A211" s="34" t="s">
        <v>522</v>
      </c>
      <c r="B211" s="35">
        <v>45567</v>
      </c>
      <c r="C211" s="36">
        <v>45588</v>
      </c>
      <c r="D211" s="37">
        <f t="shared" si="27"/>
        <v>21</v>
      </c>
      <c r="E211" s="37" t="str">
        <f>TEXT(Data!B211,"MMM-YYYY")</f>
        <v>Oct-2024</v>
      </c>
      <c r="F211" s="37" t="str">
        <f t="shared" si="23"/>
        <v>Q4-2024</v>
      </c>
      <c r="G211" s="32" t="s">
        <v>16</v>
      </c>
      <c r="H211" s="32" t="s">
        <v>148</v>
      </c>
      <c r="I211" s="32" t="s">
        <v>172</v>
      </c>
      <c r="J211" s="32" t="s">
        <v>19</v>
      </c>
      <c r="K211" s="32" t="s">
        <v>40</v>
      </c>
      <c r="L211" s="32" t="s">
        <v>75</v>
      </c>
      <c r="M211" s="32" t="s">
        <v>22</v>
      </c>
      <c r="N211" s="32" t="s">
        <v>523</v>
      </c>
      <c r="O211" s="37">
        <v>1095.6099999999999</v>
      </c>
      <c r="P211" s="38" t="str">
        <f t="shared" si="24"/>
        <v>High</v>
      </c>
      <c r="Q211" s="37">
        <v>2366.5100000000002</v>
      </c>
      <c r="R211" s="37">
        <v>0.152</v>
      </c>
      <c r="S211" s="37">
        <v>9</v>
      </c>
      <c r="T211" s="37">
        <f t="shared" si="21"/>
        <v>13476.28032</v>
      </c>
      <c r="U211" s="32">
        <f t="shared" si="22"/>
        <v>9860.49</v>
      </c>
      <c r="V211" s="37">
        <f t="shared" si="25"/>
        <v>3615.7903200000001</v>
      </c>
      <c r="W211" s="39">
        <f t="shared" si="26"/>
        <v>0.26830774027710341</v>
      </c>
    </row>
    <row r="212" spans="1:23" x14ac:dyDescent="0.3">
      <c r="A212" s="40" t="s">
        <v>524</v>
      </c>
      <c r="B212" s="41">
        <v>45852</v>
      </c>
      <c r="C212" s="42">
        <v>45873</v>
      </c>
      <c r="D212" s="43">
        <f t="shared" si="27"/>
        <v>21</v>
      </c>
      <c r="E212" s="43" t="str">
        <f>TEXT(Data!B212,"MMM-YYYY")</f>
        <v>Jul-2025</v>
      </c>
      <c r="F212" s="43" t="str">
        <f t="shared" si="23"/>
        <v>Q3-2025</v>
      </c>
      <c r="G212" s="33" t="s">
        <v>52</v>
      </c>
      <c r="H212" s="33" t="s">
        <v>53</v>
      </c>
      <c r="I212" s="33" t="s">
        <v>144</v>
      </c>
      <c r="J212" s="33" t="s">
        <v>48</v>
      </c>
      <c r="K212" s="33" t="s">
        <v>28</v>
      </c>
      <c r="L212" s="33" t="s">
        <v>92</v>
      </c>
      <c r="M212" s="33" t="s">
        <v>64</v>
      </c>
      <c r="N212" s="33" t="s">
        <v>525</v>
      </c>
      <c r="O212" s="43">
        <v>90.3</v>
      </c>
      <c r="P212" s="44" t="str">
        <f t="shared" si="24"/>
        <v>Medium</v>
      </c>
      <c r="Q212" s="43">
        <v>131.76</v>
      </c>
      <c r="R212" s="43">
        <v>0.10199999999999999</v>
      </c>
      <c r="S212" s="43">
        <v>15</v>
      </c>
      <c r="T212" s="43">
        <f t="shared" si="21"/>
        <v>37144.063799999996</v>
      </c>
      <c r="U212" s="33">
        <f t="shared" si="22"/>
        <v>1354.5</v>
      </c>
      <c r="V212" s="43">
        <f t="shared" si="25"/>
        <v>35789.563799999996</v>
      </c>
      <c r="W212" s="45">
        <f t="shared" si="26"/>
        <v>0.96353387697982573</v>
      </c>
    </row>
    <row r="213" spans="1:23" x14ac:dyDescent="0.3">
      <c r="A213" s="34" t="s">
        <v>526</v>
      </c>
      <c r="B213" s="35">
        <v>45544</v>
      </c>
      <c r="C213" s="36">
        <v>45566</v>
      </c>
      <c r="D213" s="37">
        <f t="shared" si="27"/>
        <v>22</v>
      </c>
      <c r="E213" s="37" t="str">
        <f>TEXT(Data!B213,"MMM-YYYY")</f>
        <v>Sep-2024</v>
      </c>
      <c r="F213" s="37" t="str">
        <f t="shared" si="23"/>
        <v>Q3-2024</v>
      </c>
      <c r="G213" s="32" t="s">
        <v>45</v>
      </c>
      <c r="H213" s="32" t="s">
        <v>116</v>
      </c>
      <c r="I213" s="32" t="s">
        <v>117</v>
      </c>
      <c r="J213" s="32" t="s">
        <v>48</v>
      </c>
      <c r="K213" s="32" t="s">
        <v>98</v>
      </c>
      <c r="L213" s="32" t="s">
        <v>49</v>
      </c>
      <c r="M213" s="32" t="s">
        <v>30</v>
      </c>
      <c r="N213" s="32" t="s">
        <v>527</v>
      </c>
      <c r="O213" s="37">
        <v>1166.18</v>
      </c>
      <c r="P213" s="38" t="str">
        <f t="shared" si="24"/>
        <v>High</v>
      </c>
      <c r="Q213" s="37">
        <v>1335.02</v>
      </c>
      <c r="R213" s="37">
        <v>0.128</v>
      </c>
      <c r="S213" s="37">
        <v>6</v>
      </c>
      <c r="T213" s="37">
        <f t="shared" si="21"/>
        <v>4571.46</v>
      </c>
      <c r="U213" s="32">
        <f t="shared" si="22"/>
        <v>6997.08</v>
      </c>
      <c r="V213" s="37">
        <f t="shared" si="25"/>
        <v>-2425.62</v>
      </c>
      <c r="W213" s="39">
        <f t="shared" si="26"/>
        <v>-0.53060072712000106</v>
      </c>
    </row>
    <row r="214" spans="1:23" x14ac:dyDescent="0.3">
      <c r="A214" s="40" t="s">
        <v>528</v>
      </c>
      <c r="B214" s="41">
        <v>45686</v>
      </c>
      <c r="C214" s="42">
        <v>45694</v>
      </c>
      <c r="D214" s="43">
        <f t="shared" si="27"/>
        <v>8</v>
      </c>
      <c r="E214" s="43" t="str">
        <f>TEXT(Data!B214,"MMM-YYYY")</f>
        <v>Jan-2025</v>
      </c>
      <c r="F214" s="43" t="str">
        <f t="shared" si="23"/>
        <v>Q1-2025</v>
      </c>
      <c r="G214" s="33" t="s">
        <v>16</v>
      </c>
      <c r="H214" s="33" t="s">
        <v>17</v>
      </c>
      <c r="I214" s="33" t="s">
        <v>18</v>
      </c>
      <c r="J214" s="33" t="s">
        <v>27</v>
      </c>
      <c r="K214" s="33" t="s">
        <v>20</v>
      </c>
      <c r="L214" s="33" t="s">
        <v>56</v>
      </c>
      <c r="M214" s="33" t="s">
        <v>42</v>
      </c>
      <c r="N214" s="33" t="s">
        <v>529</v>
      </c>
      <c r="O214" s="43">
        <v>1445.27</v>
      </c>
      <c r="P214" s="44" t="str">
        <f t="shared" si="24"/>
        <v>High</v>
      </c>
      <c r="Q214" s="43">
        <v>2691.45</v>
      </c>
      <c r="R214" s="43">
        <v>0</v>
      </c>
      <c r="S214" s="43">
        <v>9</v>
      </c>
      <c r="T214" s="43">
        <f t="shared" si="21"/>
        <v>2326.6799999999998</v>
      </c>
      <c r="U214" s="33">
        <f t="shared" si="22"/>
        <v>13007.43</v>
      </c>
      <c r="V214" s="43">
        <f t="shared" si="25"/>
        <v>-10680.75</v>
      </c>
      <c r="W214" s="45">
        <f t="shared" si="26"/>
        <v>-4.5905539223270928</v>
      </c>
    </row>
    <row r="215" spans="1:23" x14ac:dyDescent="0.3">
      <c r="A215" s="34" t="s">
        <v>530</v>
      </c>
      <c r="B215" s="35">
        <v>45240</v>
      </c>
      <c r="C215" s="36">
        <v>45258</v>
      </c>
      <c r="D215" s="37">
        <f t="shared" si="27"/>
        <v>18</v>
      </c>
      <c r="E215" s="37" t="str">
        <f>TEXT(Data!B215,"MMM-YYYY")</f>
        <v>Nov-2023</v>
      </c>
      <c r="F215" s="37" t="str">
        <f t="shared" si="23"/>
        <v>Q4-2023</v>
      </c>
      <c r="G215" s="32" t="s">
        <v>52</v>
      </c>
      <c r="H215" s="32" t="s">
        <v>73</v>
      </c>
      <c r="I215" s="32" t="s">
        <v>87</v>
      </c>
      <c r="J215" s="32" t="s">
        <v>27</v>
      </c>
      <c r="K215" s="32" t="s">
        <v>40</v>
      </c>
      <c r="L215" s="32" t="s">
        <v>49</v>
      </c>
      <c r="M215" s="32" t="s">
        <v>81</v>
      </c>
      <c r="N215" s="32" t="s">
        <v>531</v>
      </c>
      <c r="O215" s="37">
        <v>388.51</v>
      </c>
      <c r="P215" s="38" t="str">
        <f t="shared" si="24"/>
        <v>High</v>
      </c>
      <c r="Q215" s="37">
        <v>776.46</v>
      </c>
      <c r="R215" s="37">
        <v>0.157</v>
      </c>
      <c r="S215" s="37">
        <v>12</v>
      </c>
      <c r="T215" s="37">
        <f t="shared" si="21"/>
        <v>6137.98416</v>
      </c>
      <c r="U215" s="32">
        <f t="shared" si="22"/>
        <v>4662.12</v>
      </c>
      <c r="V215" s="37">
        <f t="shared" si="25"/>
        <v>1475.8641600000001</v>
      </c>
      <c r="W215" s="39">
        <f t="shared" si="26"/>
        <v>0.24044769773403912</v>
      </c>
    </row>
    <row r="216" spans="1:23" x14ac:dyDescent="0.3">
      <c r="A216" s="40" t="s">
        <v>532</v>
      </c>
      <c r="B216" s="41">
        <v>45351</v>
      </c>
      <c r="C216" s="42">
        <v>45381</v>
      </c>
      <c r="D216" s="43">
        <f t="shared" si="27"/>
        <v>1</v>
      </c>
      <c r="E216" s="43" t="str">
        <f>TEXT(Data!B216,"MMM-YYYY")</f>
        <v>Feb-2024</v>
      </c>
      <c r="F216" s="43" t="str">
        <f t="shared" si="23"/>
        <v>Q1-2024</v>
      </c>
      <c r="G216" s="33" t="s">
        <v>45</v>
      </c>
      <c r="H216" s="33" t="s">
        <v>46</v>
      </c>
      <c r="I216" s="33" t="s">
        <v>231</v>
      </c>
      <c r="J216" s="33" t="s">
        <v>62</v>
      </c>
      <c r="K216" s="33" t="s">
        <v>98</v>
      </c>
      <c r="L216" s="33" t="s">
        <v>34</v>
      </c>
      <c r="M216" s="33" t="s">
        <v>35</v>
      </c>
      <c r="N216" s="33" t="s">
        <v>533</v>
      </c>
      <c r="O216" s="43">
        <v>231.11</v>
      </c>
      <c r="P216" s="44" t="str">
        <f t="shared" si="24"/>
        <v>High</v>
      </c>
      <c r="Q216" s="43">
        <v>318.17</v>
      </c>
      <c r="R216" s="43">
        <v>0.20100000000000001</v>
      </c>
      <c r="S216" s="43">
        <v>60</v>
      </c>
      <c r="T216" s="43">
        <f t="shared" si="21"/>
        <v>64128.8586</v>
      </c>
      <c r="U216" s="33">
        <f t="shared" si="22"/>
        <v>13866.6</v>
      </c>
      <c r="V216" s="43">
        <f t="shared" si="25"/>
        <v>50262.258600000001</v>
      </c>
      <c r="W216" s="45">
        <f t="shared" si="26"/>
        <v>0.7837697363913475</v>
      </c>
    </row>
    <row r="217" spans="1:23" x14ac:dyDescent="0.3">
      <c r="A217" s="34" t="s">
        <v>534</v>
      </c>
      <c r="B217" s="35">
        <v>45280</v>
      </c>
      <c r="C217" s="36">
        <v>45305</v>
      </c>
      <c r="D217" s="37">
        <f t="shared" si="27"/>
        <v>25</v>
      </c>
      <c r="E217" s="37" t="str">
        <f>TEXT(Data!B217,"MMM-YYYY")</f>
        <v>Dec-2023</v>
      </c>
      <c r="F217" s="37" t="str">
        <f t="shared" si="23"/>
        <v>Q4-2023</v>
      </c>
      <c r="G217" s="32" t="s">
        <v>45</v>
      </c>
      <c r="H217" s="32" t="s">
        <v>60</v>
      </c>
      <c r="I217" s="32" t="s">
        <v>220</v>
      </c>
      <c r="J217" s="32" t="s">
        <v>39</v>
      </c>
      <c r="K217" s="32" t="s">
        <v>40</v>
      </c>
      <c r="L217" s="32" t="s">
        <v>49</v>
      </c>
      <c r="M217" s="32" t="s">
        <v>64</v>
      </c>
      <c r="N217" s="32" t="s">
        <v>535</v>
      </c>
      <c r="O217" s="37">
        <v>1085.6099999999999</v>
      </c>
      <c r="P217" s="38" t="str">
        <f t="shared" si="24"/>
        <v>High</v>
      </c>
      <c r="Q217" s="37">
        <v>1246.4100000000001</v>
      </c>
      <c r="R217" s="37">
        <v>0.113</v>
      </c>
      <c r="S217" s="37">
        <v>7</v>
      </c>
      <c r="T217" s="37">
        <f t="shared" si="21"/>
        <v>11133.23372</v>
      </c>
      <c r="U217" s="32">
        <f t="shared" si="22"/>
        <v>7599.2699999999995</v>
      </c>
      <c r="V217" s="37">
        <f t="shared" si="25"/>
        <v>3533.9637200000006</v>
      </c>
      <c r="W217" s="39">
        <f t="shared" si="26"/>
        <v>0.31742473111397151</v>
      </c>
    </row>
    <row r="218" spans="1:23" x14ac:dyDescent="0.3">
      <c r="A218" s="40" t="s">
        <v>536</v>
      </c>
      <c r="B218" s="41">
        <v>44948</v>
      </c>
      <c r="C218" s="42">
        <v>44947</v>
      </c>
      <c r="D218" s="43">
        <f>DATEDIF(C218,B218, "MD")</f>
        <v>1</v>
      </c>
      <c r="E218" s="43" t="str">
        <f>TEXT(Data!B218,"MMM-YYYY")</f>
        <v>Jan-2023</v>
      </c>
      <c r="F218" s="43" t="str">
        <f t="shared" si="23"/>
        <v>Q1-2023</v>
      </c>
      <c r="G218" s="33" t="s">
        <v>78</v>
      </c>
      <c r="H218" s="33" t="s">
        <v>79</v>
      </c>
      <c r="I218" s="33" t="s">
        <v>159</v>
      </c>
      <c r="J218" s="33" t="s">
        <v>19</v>
      </c>
      <c r="K218" s="33" t="s">
        <v>98</v>
      </c>
      <c r="L218" s="33" t="s">
        <v>84</v>
      </c>
      <c r="M218" s="33" t="s">
        <v>64</v>
      </c>
      <c r="N218" s="33" t="s">
        <v>537</v>
      </c>
      <c r="O218" s="43">
        <v>150.86000000000001</v>
      </c>
      <c r="P218" s="44" t="str">
        <f t="shared" si="24"/>
        <v>High</v>
      </c>
      <c r="Q218" s="43">
        <v>346.96</v>
      </c>
      <c r="R218" s="43">
        <v>0.19600000000000001</v>
      </c>
      <c r="S218" s="43">
        <v>8</v>
      </c>
      <c r="T218" s="43">
        <f t="shared" si="21"/>
        <v>789.46368000000007</v>
      </c>
      <c r="U218" s="33">
        <f t="shared" si="22"/>
        <v>1206.8800000000001</v>
      </c>
      <c r="V218" s="43">
        <f t="shared" si="25"/>
        <v>-417.41632000000004</v>
      </c>
      <c r="W218" s="45">
        <f t="shared" si="26"/>
        <v>-0.52873403878440617</v>
      </c>
    </row>
    <row r="219" spans="1:23" x14ac:dyDescent="0.3">
      <c r="A219" s="34" t="s">
        <v>538</v>
      </c>
      <c r="B219" s="35">
        <v>45576</v>
      </c>
      <c r="C219" s="36">
        <v>45605</v>
      </c>
      <c r="D219" s="37">
        <f t="shared" si="27"/>
        <v>29</v>
      </c>
      <c r="E219" s="37" t="str">
        <f>TEXT(Data!B219,"MMM-YYYY")</f>
        <v>Oct-2024</v>
      </c>
      <c r="F219" s="37" t="str">
        <f t="shared" si="23"/>
        <v>Q4-2024</v>
      </c>
      <c r="G219" s="32" t="s">
        <v>45</v>
      </c>
      <c r="H219" s="32" t="s">
        <v>116</v>
      </c>
      <c r="I219" s="32" t="s">
        <v>162</v>
      </c>
      <c r="J219" s="32" t="s">
        <v>39</v>
      </c>
      <c r="K219" s="32" t="s">
        <v>28</v>
      </c>
      <c r="L219" s="32" t="s">
        <v>84</v>
      </c>
      <c r="M219" s="32" t="s">
        <v>30</v>
      </c>
      <c r="N219" s="32" t="s">
        <v>539</v>
      </c>
      <c r="O219" s="37">
        <v>391.64</v>
      </c>
      <c r="P219" s="38" t="str">
        <f t="shared" si="24"/>
        <v>High</v>
      </c>
      <c r="Q219" s="37">
        <v>504.76</v>
      </c>
      <c r="R219" s="37">
        <v>4.0000000000000001E-3</v>
      </c>
      <c r="S219" s="37">
        <v>13</v>
      </c>
      <c r="T219" s="37">
        <f t="shared" si="21"/>
        <v>12014.83764</v>
      </c>
      <c r="U219" s="32">
        <f t="shared" si="22"/>
        <v>5091.32</v>
      </c>
      <c r="V219" s="37">
        <f t="shared" si="25"/>
        <v>6923.51764</v>
      </c>
      <c r="W219" s="39">
        <f t="shared" si="26"/>
        <v>0.57624729084562143</v>
      </c>
    </row>
    <row r="220" spans="1:23" x14ac:dyDescent="0.3">
      <c r="A220" s="40" t="s">
        <v>540</v>
      </c>
      <c r="B220" s="41">
        <v>45554</v>
      </c>
      <c r="C220" s="42">
        <v>45579</v>
      </c>
      <c r="D220" s="43">
        <f t="shared" si="27"/>
        <v>25</v>
      </c>
      <c r="E220" s="43" t="str">
        <f>TEXT(Data!B220,"MMM-YYYY")</f>
        <v>Sep-2024</v>
      </c>
      <c r="F220" s="43" t="str">
        <f t="shared" si="23"/>
        <v>Q3-2024</v>
      </c>
      <c r="G220" s="33" t="s">
        <v>52</v>
      </c>
      <c r="H220" s="33" t="s">
        <v>73</v>
      </c>
      <c r="I220" s="33" t="s">
        <v>225</v>
      </c>
      <c r="J220" s="33" t="s">
        <v>62</v>
      </c>
      <c r="K220" s="33" t="s">
        <v>20</v>
      </c>
      <c r="L220" s="33" t="s">
        <v>95</v>
      </c>
      <c r="M220" s="33" t="s">
        <v>30</v>
      </c>
      <c r="N220" s="33" t="s">
        <v>541</v>
      </c>
      <c r="O220" s="43">
        <v>386.96</v>
      </c>
      <c r="P220" s="44" t="str">
        <f t="shared" si="24"/>
        <v>High</v>
      </c>
      <c r="Q220" s="43">
        <v>937.46</v>
      </c>
      <c r="R220" s="43">
        <v>0.26600000000000001</v>
      </c>
      <c r="S220" s="43">
        <v>41</v>
      </c>
      <c r="T220" s="43">
        <f t="shared" si="21"/>
        <v>4570.6767199999995</v>
      </c>
      <c r="U220" s="33">
        <f t="shared" si="22"/>
        <v>15865.359999999999</v>
      </c>
      <c r="V220" s="43">
        <f t="shared" si="25"/>
        <v>-11294.683279999999</v>
      </c>
      <c r="W220" s="45">
        <f t="shared" si="26"/>
        <v>-2.4711183861631763</v>
      </c>
    </row>
    <row r="221" spans="1:23" x14ac:dyDescent="0.3">
      <c r="A221" s="34" t="s">
        <v>542</v>
      </c>
      <c r="B221" s="35">
        <v>45894</v>
      </c>
      <c r="C221" s="36">
        <v>45924</v>
      </c>
      <c r="D221" s="37">
        <f t="shared" si="27"/>
        <v>30</v>
      </c>
      <c r="E221" s="37" t="str">
        <f>TEXT(Data!B221,"MMM-YYYY")</f>
        <v>Aug-2025</v>
      </c>
      <c r="F221" s="37" t="str">
        <f t="shared" si="23"/>
        <v>Q3-2025</v>
      </c>
      <c r="G221" s="32" t="s">
        <v>16</v>
      </c>
      <c r="H221" s="32" t="s">
        <v>17</v>
      </c>
      <c r="I221" s="32" t="s">
        <v>33</v>
      </c>
      <c r="J221" s="32" t="s">
        <v>48</v>
      </c>
      <c r="K221" s="32" t="s">
        <v>98</v>
      </c>
      <c r="L221" s="32" t="s">
        <v>56</v>
      </c>
      <c r="M221" s="32" t="s">
        <v>22</v>
      </c>
      <c r="N221" s="32" t="s">
        <v>543</v>
      </c>
      <c r="O221" s="37">
        <v>589.14</v>
      </c>
      <c r="P221" s="38" t="str">
        <f t="shared" si="24"/>
        <v>High</v>
      </c>
      <c r="Q221" s="37">
        <v>1300.58</v>
      </c>
      <c r="R221" s="37">
        <v>5.5E-2</v>
      </c>
      <c r="S221" s="37">
        <v>11</v>
      </c>
      <c r="T221" s="37">
        <f t="shared" si="21"/>
        <v>22977.108</v>
      </c>
      <c r="U221" s="32">
        <f t="shared" si="22"/>
        <v>6480.54</v>
      </c>
      <c r="V221" s="37">
        <f t="shared" si="25"/>
        <v>16496.567999999999</v>
      </c>
      <c r="W221" s="39">
        <f t="shared" si="26"/>
        <v>0.71795667235406646</v>
      </c>
    </row>
    <row r="222" spans="1:23" x14ac:dyDescent="0.3">
      <c r="A222" s="40" t="s">
        <v>544</v>
      </c>
      <c r="B222" s="41">
        <v>45194</v>
      </c>
      <c r="C222" s="42">
        <v>45201</v>
      </c>
      <c r="D222" s="43">
        <f t="shared" si="27"/>
        <v>7</v>
      </c>
      <c r="E222" s="43" t="str">
        <f>TEXT(Data!B222,"MMM-YYYY")</f>
        <v>Sep-2023</v>
      </c>
      <c r="F222" s="43" t="str">
        <f t="shared" si="23"/>
        <v>Q3-2023</v>
      </c>
      <c r="G222" s="33" t="s">
        <v>52</v>
      </c>
      <c r="H222" s="33" t="s">
        <v>122</v>
      </c>
      <c r="I222" s="33" t="s">
        <v>387</v>
      </c>
      <c r="J222" s="33" t="s">
        <v>27</v>
      </c>
      <c r="K222" s="33" t="s">
        <v>40</v>
      </c>
      <c r="L222" s="33" t="s">
        <v>34</v>
      </c>
      <c r="M222" s="33" t="s">
        <v>81</v>
      </c>
      <c r="N222" s="33" t="s">
        <v>545</v>
      </c>
      <c r="O222" s="43">
        <v>145.58000000000001</v>
      </c>
      <c r="P222" s="44" t="str">
        <f t="shared" si="24"/>
        <v>High</v>
      </c>
      <c r="Q222" s="43">
        <v>228.15</v>
      </c>
      <c r="R222" s="43">
        <v>0.20399999999999999</v>
      </c>
      <c r="S222" s="43">
        <v>5</v>
      </c>
      <c r="T222" s="43">
        <f t="shared" si="21"/>
        <v>158.16520000000003</v>
      </c>
      <c r="U222" s="33">
        <f t="shared" si="22"/>
        <v>727.90000000000009</v>
      </c>
      <c r="V222" s="43">
        <f t="shared" si="25"/>
        <v>-569.73480000000006</v>
      </c>
      <c r="W222" s="45">
        <f t="shared" si="26"/>
        <v>-3.602150156924532</v>
      </c>
    </row>
    <row r="223" spans="1:23" x14ac:dyDescent="0.3">
      <c r="A223" s="34" t="s">
        <v>546</v>
      </c>
      <c r="B223" s="35">
        <v>45164</v>
      </c>
      <c r="C223" s="36">
        <v>45179</v>
      </c>
      <c r="D223" s="37">
        <f t="shared" si="27"/>
        <v>15</v>
      </c>
      <c r="E223" s="37" t="str">
        <f>TEXT(Data!B223,"MMM-YYYY")</f>
        <v>Aug-2023</v>
      </c>
      <c r="F223" s="37" t="str">
        <f t="shared" si="23"/>
        <v>Q3-2023</v>
      </c>
      <c r="G223" s="32" t="s">
        <v>16</v>
      </c>
      <c r="H223" s="32" t="s">
        <v>148</v>
      </c>
      <c r="I223" s="32" t="s">
        <v>258</v>
      </c>
      <c r="J223" s="32" t="s">
        <v>39</v>
      </c>
      <c r="K223" s="32" t="s">
        <v>98</v>
      </c>
      <c r="L223" s="32" t="s">
        <v>126</v>
      </c>
      <c r="M223" s="32" t="s">
        <v>22</v>
      </c>
      <c r="N223" s="32" t="s">
        <v>547</v>
      </c>
      <c r="O223" s="37">
        <v>241.14</v>
      </c>
      <c r="P223" s="38" t="str">
        <f t="shared" si="24"/>
        <v>High</v>
      </c>
      <c r="Q223" s="37">
        <v>496.52</v>
      </c>
      <c r="R223" s="37">
        <v>9.2999999999999999E-2</v>
      </c>
      <c r="S223" s="37">
        <v>10</v>
      </c>
      <c r="T223" s="37">
        <f t="shared" si="21"/>
        <v>9151.630000000001</v>
      </c>
      <c r="U223" s="32">
        <f t="shared" si="22"/>
        <v>2411.3999999999996</v>
      </c>
      <c r="V223" s="37">
        <f t="shared" si="25"/>
        <v>6740.2300000000014</v>
      </c>
      <c r="W223" s="39">
        <f t="shared" si="26"/>
        <v>0.73650595576962796</v>
      </c>
    </row>
    <row r="224" spans="1:23" x14ac:dyDescent="0.3">
      <c r="A224" s="40" t="s">
        <v>548</v>
      </c>
      <c r="B224" s="41">
        <v>45854</v>
      </c>
      <c r="C224" s="42">
        <v>45855</v>
      </c>
      <c r="D224" s="43">
        <f t="shared" si="27"/>
        <v>1</v>
      </c>
      <c r="E224" s="43" t="str">
        <f>TEXT(Data!B224,"MMM-YYYY")</f>
        <v>Jul-2025</v>
      </c>
      <c r="F224" s="43" t="str">
        <f t="shared" si="23"/>
        <v>Q3-2025</v>
      </c>
      <c r="G224" s="33" t="s">
        <v>16</v>
      </c>
      <c r="H224" s="33" t="s">
        <v>148</v>
      </c>
      <c r="I224" s="33" t="s">
        <v>172</v>
      </c>
      <c r="J224" s="33" t="s">
        <v>62</v>
      </c>
      <c r="K224" s="33" t="s">
        <v>55</v>
      </c>
      <c r="L224" s="33" t="s">
        <v>56</v>
      </c>
      <c r="M224" s="33" t="s">
        <v>35</v>
      </c>
      <c r="N224" s="33" t="s">
        <v>549</v>
      </c>
      <c r="O224" s="43">
        <v>1198.9000000000001</v>
      </c>
      <c r="P224" s="44" t="str">
        <f t="shared" si="24"/>
        <v>High</v>
      </c>
      <c r="Q224" s="43">
        <v>2941.2</v>
      </c>
      <c r="R224" s="43">
        <v>5.0999999999999997E-2</v>
      </c>
      <c r="S224" s="43">
        <v>24</v>
      </c>
      <c r="T224" s="43">
        <f t="shared" si="21"/>
        <v>37663.304640000002</v>
      </c>
      <c r="U224" s="33">
        <f t="shared" si="22"/>
        <v>28773.600000000002</v>
      </c>
      <c r="V224" s="43">
        <f t="shared" si="25"/>
        <v>8889.7046399999999</v>
      </c>
      <c r="W224" s="45">
        <f t="shared" si="26"/>
        <v>0.23603092519286697</v>
      </c>
    </row>
    <row r="225" spans="1:23" x14ac:dyDescent="0.3">
      <c r="A225" s="34" t="s">
        <v>550</v>
      </c>
      <c r="B225" s="35">
        <v>45035</v>
      </c>
      <c r="C225" s="36">
        <v>45053</v>
      </c>
      <c r="D225" s="37">
        <f t="shared" si="27"/>
        <v>18</v>
      </c>
      <c r="E225" s="37" t="str">
        <f>TEXT(Data!B225,"MMM-YYYY")</f>
        <v>Apr-2023</v>
      </c>
      <c r="F225" s="37" t="str">
        <f t="shared" si="23"/>
        <v>Q2-2023</v>
      </c>
      <c r="G225" s="32" t="s">
        <v>78</v>
      </c>
      <c r="H225" s="32" t="s">
        <v>108</v>
      </c>
      <c r="I225" s="32" t="s">
        <v>109</v>
      </c>
      <c r="J225" s="32" t="s">
        <v>105</v>
      </c>
      <c r="K225" s="32" t="s">
        <v>20</v>
      </c>
      <c r="L225" s="32" t="s">
        <v>126</v>
      </c>
      <c r="M225" s="32" t="s">
        <v>57</v>
      </c>
      <c r="N225" s="32" t="s">
        <v>551</v>
      </c>
      <c r="O225" s="37">
        <v>1089.1500000000001</v>
      </c>
      <c r="P225" s="38" t="str">
        <f t="shared" si="24"/>
        <v>High</v>
      </c>
      <c r="Q225" s="37">
        <v>1088.2</v>
      </c>
      <c r="R225" s="37">
        <v>5.0999999999999997E-2</v>
      </c>
      <c r="S225" s="37">
        <v>15</v>
      </c>
      <c r="T225" s="37">
        <f t="shared" si="21"/>
        <v>14458.4895</v>
      </c>
      <c r="U225" s="32">
        <f t="shared" si="22"/>
        <v>16337.250000000002</v>
      </c>
      <c r="V225" s="37">
        <f t="shared" si="25"/>
        <v>-1878.7605000000021</v>
      </c>
      <c r="W225" s="39">
        <f t="shared" si="26"/>
        <v>-0.12994168581718044</v>
      </c>
    </row>
    <row r="226" spans="1:23" x14ac:dyDescent="0.3">
      <c r="A226" s="40" t="s">
        <v>552</v>
      </c>
      <c r="B226" s="41">
        <v>45279</v>
      </c>
      <c r="C226" s="42">
        <v>45280</v>
      </c>
      <c r="D226" s="43">
        <f t="shared" si="27"/>
        <v>1</v>
      </c>
      <c r="E226" s="43" t="str">
        <f>TEXT(Data!B226,"MMM-YYYY")</f>
        <v>Dec-2023</v>
      </c>
      <c r="F226" s="43" t="str">
        <f t="shared" si="23"/>
        <v>Q4-2023</v>
      </c>
      <c r="G226" s="33" t="s">
        <v>52</v>
      </c>
      <c r="H226" s="33" t="s">
        <v>73</v>
      </c>
      <c r="I226" s="33" t="s">
        <v>225</v>
      </c>
      <c r="J226" s="33" t="s">
        <v>48</v>
      </c>
      <c r="K226" s="33" t="s">
        <v>55</v>
      </c>
      <c r="L226" s="33" t="s">
        <v>29</v>
      </c>
      <c r="M226" s="33" t="s">
        <v>42</v>
      </c>
      <c r="N226" s="33" t="s">
        <v>553</v>
      </c>
      <c r="O226" s="43">
        <v>1080.43</v>
      </c>
      <c r="P226" s="44" t="str">
        <f t="shared" si="24"/>
        <v>High</v>
      </c>
      <c r="Q226" s="43">
        <v>2529.15</v>
      </c>
      <c r="R226" s="43">
        <v>0.14699999999999999</v>
      </c>
      <c r="S226" s="43">
        <v>10</v>
      </c>
      <c r="T226" s="43">
        <f t="shared" si="21"/>
        <v>7783.1984999999995</v>
      </c>
      <c r="U226" s="33">
        <f t="shared" si="22"/>
        <v>10804.300000000001</v>
      </c>
      <c r="V226" s="43">
        <f t="shared" si="25"/>
        <v>-3021.1015000000016</v>
      </c>
      <c r="W226" s="45">
        <f t="shared" si="26"/>
        <v>-0.38815680982567796</v>
      </c>
    </row>
    <row r="227" spans="1:23" x14ac:dyDescent="0.3">
      <c r="A227" s="34" t="s">
        <v>554</v>
      </c>
      <c r="B227" s="35">
        <v>45137</v>
      </c>
      <c r="C227" s="36">
        <v>45145</v>
      </c>
      <c r="D227" s="37">
        <f t="shared" si="27"/>
        <v>8</v>
      </c>
      <c r="E227" s="37" t="str">
        <f>TEXT(Data!B227,"MMM-YYYY")</f>
        <v>Jul-2023</v>
      </c>
      <c r="F227" s="37" t="str">
        <f t="shared" si="23"/>
        <v>Q3-2023</v>
      </c>
      <c r="G227" s="32" t="s">
        <v>45</v>
      </c>
      <c r="H227" s="32" t="s">
        <v>46</v>
      </c>
      <c r="I227" s="32" t="s">
        <v>231</v>
      </c>
      <c r="J227" s="32" t="s">
        <v>27</v>
      </c>
      <c r="K227" s="32" t="s">
        <v>40</v>
      </c>
      <c r="L227" s="32" t="s">
        <v>75</v>
      </c>
      <c r="M227" s="32" t="s">
        <v>35</v>
      </c>
      <c r="N227" s="32" t="s">
        <v>555</v>
      </c>
      <c r="O227" s="37">
        <v>1352.44</v>
      </c>
      <c r="P227" s="38" t="str">
        <f t="shared" si="24"/>
        <v>High</v>
      </c>
      <c r="Q227" s="37">
        <v>2698.01</v>
      </c>
      <c r="R227" s="37">
        <v>0.13100000000000001</v>
      </c>
      <c r="S227" s="37">
        <v>13</v>
      </c>
      <c r="T227" s="37">
        <f t="shared" si="21"/>
        <v>9209.201430000001</v>
      </c>
      <c r="U227" s="32">
        <f t="shared" si="22"/>
        <v>17581.72</v>
      </c>
      <c r="V227" s="37">
        <f t="shared" si="25"/>
        <v>-8372.5185700000002</v>
      </c>
      <c r="W227" s="39">
        <f t="shared" si="26"/>
        <v>-0.90914707791335603</v>
      </c>
    </row>
    <row r="228" spans="1:23" x14ac:dyDescent="0.3">
      <c r="A228" s="40" t="s">
        <v>556</v>
      </c>
      <c r="B228" s="41">
        <v>45203</v>
      </c>
      <c r="C228" s="42">
        <v>45228</v>
      </c>
      <c r="D228" s="43">
        <f t="shared" si="27"/>
        <v>25</v>
      </c>
      <c r="E228" s="43" t="str">
        <f>TEXT(Data!B228,"MMM-YYYY")</f>
        <v>Oct-2023</v>
      </c>
      <c r="F228" s="43" t="str">
        <f t="shared" si="23"/>
        <v>Q4-2023</v>
      </c>
      <c r="G228" s="33" t="s">
        <v>52</v>
      </c>
      <c r="H228" s="33" t="s">
        <v>122</v>
      </c>
      <c r="I228" s="33" t="s">
        <v>167</v>
      </c>
      <c r="J228" s="33" t="s">
        <v>62</v>
      </c>
      <c r="K228" s="33" t="s">
        <v>55</v>
      </c>
      <c r="L228" s="33" t="s">
        <v>68</v>
      </c>
      <c r="M228" s="33" t="s">
        <v>81</v>
      </c>
      <c r="N228" s="33" t="s">
        <v>557</v>
      </c>
      <c r="O228" s="43">
        <v>1239.8399999999999</v>
      </c>
      <c r="P228" s="44" t="str">
        <f t="shared" si="24"/>
        <v>High</v>
      </c>
      <c r="Q228" s="43">
        <v>1482.75</v>
      </c>
      <c r="R228" s="43">
        <v>6.7000000000000004E-2</v>
      </c>
      <c r="S228" s="43">
        <v>4</v>
      </c>
      <c r="T228" s="43">
        <f t="shared" si="21"/>
        <v>6770.0719200000003</v>
      </c>
      <c r="U228" s="33">
        <f t="shared" si="22"/>
        <v>4959.3599999999997</v>
      </c>
      <c r="V228" s="43">
        <f t="shared" si="25"/>
        <v>1810.7119200000006</v>
      </c>
      <c r="W228" s="45">
        <f t="shared" si="26"/>
        <v>0.26745829902498297</v>
      </c>
    </row>
    <row r="229" spans="1:23" x14ac:dyDescent="0.3">
      <c r="A229" s="34" t="s">
        <v>558</v>
      </c>
      <c r="B229" s="35">
        <v>45879</v>
      </c>
      <c r="C229" s="36">
        <v>45899</v>
      </c>
      <c r="D229" s="37">
        <f t="shared" si="27"/>
        <v>20</v>
      </c>
      <c r="E229" s="37" t="str">
        <f>TEXT(Data!B229,"MMM-YYYY")</f>
        <v>Aug-2025</v>
      </c>
      <c r="F229" s="37" t="str">
        <f t="shared" si="23"/>
        <v>Q3-2025</v>
      </c>
      <c r="G229" s="32" t="s">
        <v>52</v>
      </c>
      <c r="H229" s="32" t="s">
        <v>122</v>
      </c>
      <c r="I229" s="32" t="s">
        <v>167</v>
      </c>
      <c r="J229" s="32" t="s">
        <v>19</v>
      </c>
      <c r="K229" s="32" t="s">
        <v>40</v>
      </c>
      <c r="L229" s="32" t="s">
        <v>95</v>
      </c>
      <c r="M229" s="32" t="s">
        <v>30</v>
      </c>
      <c r="N229" s="32" t="s">
        <v>559</v>
      </c>
      <c r="O229" s="37">
        <v>933.29</v>
      </c>
      <c r="P229" s="38" t="str">
        <f t="shared" si="24"/>
        <v>High</v>
      </c>
      <c r="Q229" s="37">
        <v>1456.81</v>
      </c>
      <c r="R229" s="37">
        <v>0.123</v>
      </c>
      <c r="S229" s="37">
        <v>13</v>
      </c>
      <c r="T229" s="37">
        <f t="shared" si="21"/>
        <v>8652.4469199999985</v>
      </c>
      <c r="U229" s="32">
        <f t="shared" si="22"/>
        <v>12132.77</v>
      </c>
      <c r="V229" s="37">
        <f t="shared" si="25"/>
        <v>-3480.3230800000019</v>
      </c>
      <c r="W229" s="39">
        <f t="shared" si="26"/>
        <v>-0.4022357042093247</v>
      </c>
    </row>
    <row r="230" spans="1:23" x14ac:dyDescent="0.3">
      <c r="A230" s="40" t="s">
        <v>560</v>
      </c>
      <c r="B230" s="41">
        <v>44992</v>
      </c>
      <c r="C230" s="42">
        <v>45017</v>
      </c>
      <c r="D230" s="43">
        <f t="shared" si="27"/>
        <v>25</v>
      </c>
      <c r="E230" s="43" t="str">
        <f>TEXT(Data!B230,"MMM-YYYY")</f>
        <v>Mar-2023</v>
      </c>
      <c r="F230" s="43" t="str">
        <f t="shared" si="23"/>
        <v>Q1-2023</v>
      </c>
      <c r="G230" s="33" t="s">
        <v>16</v>
      </c>
      <c r="H230" s="33" t="s">
        <v>17</v>
      </c>
      <c r="I230" s="33" t="s">
        <v>33</v>
      </c>
      <c r="J230" s="33" t="s">
        <v>48</v>
      </c>
      <c r="K230" s="33" t="s">
        <v>40</v>
      </c>
      <c r="L230" s="33" t="s">
        <v>145</v>
      </c>
      <c r="M230" s="33" t="s">
        <v>30</v>
      </c>
      <c r="N230" s="33" t="s">
        <v>561</v>
      </c>
      <c r="O230" s="43">
        <v>1024.0999999999999</v>
      </c>
      <c r="P230" s="44" t="str">
        <f t="shared" si="24"/>
        <v>High</v>
      </c>
      <c r="Q230" s="43">
        <v>918.19</v>
      </c>
      <c r="R230" s="43">
        <v>0.189</v>
      </c>
      <c r="S230" s="43">
        <v>10</v>
      </c>
      <c r="T230" s="43">
        <f t="shared" si="21"/>
        <v>13522.938400000001</v>
      </c>
      <c r="U230" s="33">
        <f t="shared" si="22"/>
        <v>10241</v>
      </c>
      <c r="V230" s="43">
        <f t="shared" si="25"/>
        <v>3281.9384000000009</v>
      </c>
      <c r="W230" s="45">
        <f t="shared" si="26"/>
        <v>0.24269417658517181</v>
      </c>
    </row>
    <row r="231" spans="1:23" x14ac:dyDescent="0.3">
      <c r="A231" s="34" t="s">
        <v>562</v>
      </c>
      <c r="B231" s="35">
        <v>45069</v>
      </c>
      <c r="C231" s="36">
        <v>45087</v>
      </c>
      <c r="D231" s="37">
        <f t="shared" si="27"/>
        <v>18</v>
      </c>
      <c r="E231" s="37" t="str">
        <f>TEXT(Data!B231,"MMM-YYYY")</f>
        <v>May-2023</v>
      </c>
      <c r="F231" s="37" t="str">
        <f t="shared" si="23"/>
        <v>Q2-2023</v>
      </c>
      <c r="G231" s="32" t="s">
        <v>45</v>
      </c>
      <c r="H231" s="32" t="s">
        <v>116</v>
      </c>
      <c r="I231" s="32" t="s">
        <v>162</v>
      </c>
      <c r="J231" s="32" t="s">
        <v>19</v>
      </c>
      <c r="K231" s="32" t="s">
        <v>55</v>
      </c>
      <c r="L231" s="32" t="s">
        <v>63</v>
      </c>
      <c r="M231" s="32" t="s">
        <v>22</v>
      </c>
      <c r="N231" s="32" t="s">
        <v>563</v>
      </c>
      <c r="O231" s="37">
        <v>54.62</v>
      </c>
      <c r="P231" s="38" t="str">
        <f t="shared" si="24"/>
        <v>Low</v>
      </c>
      <c r="Q231" s="37">
        <v>48.94</v>
      </c>
      <c r="R231" s="37">
        <v>0.14799999999999999</v>
      </c>
      <c r="S231" s="37">
        <v>16</v>
      </c>
      <c r="T231" s="37">
        <f t="shared" si="21"/>
        <v>34932.681600000004</v>
      </c>
      <c r="U231" s="32">
        <f t="shared" si="22"/>
        <v>873.92</v>
      </c>
      <c r="V231" s="37">
        <f t="shared" si="25"/>
        <v>34058.761600000005</v>
      </c>
      <c r="W231" s="39">
        <f t="shared" si="26"/>
        <v>0.9749827393726338</v>
      </c>
    </row>
    <row r="232" spans="1:23" x14ac:dyDescent="0.3">
      <c r="A232" s="40" t="s">
        <v>564</v>
      </c>
      <c r="B232" s="41">
        <v>45771</v>
      </c>
      <c r="C232" s="42">
        <v>45783</v>
      </c>
      <c r="D232" s="43">
        <f t="shared" si="27"/>
        <v>12</v>
      </c>
      <c r="E232" s="43" t="str">
        <f>TEXT(Data!B232,"MMM-YYYY")</f>
        <v>Apr-2025</v>
      </c>
      <c r="F232" s="43" t="str">
        <f t="shared" si="23"/>
        <v>Q2-2025</v>
      </c>
      <c r="G232" s="33" t="s">
        <v>52</v>
      </c>
      <c r="H232" s="33" t="s">
        <v>73</v>
      </c>
      <c r="I232" s="33" t="s">
        <v>87</v>
      </c>
      <c r="J232" s="33" t="s">
        <v>48</v>
      </c>
      <c r="K232" s="33" t="s">
        <v>28</v>
      </c>
      <c r="L232" s="33" t="s">
        <v>21</v>
      </c>
      <c r="M232" s="33" t="s">
        <v>42</v>
      </c>
      <c r="N232" s="33" t="s">
        <v>565</v>
      </c>
      <c r="O232" s="43">
        <v>394.13</v>
      </c>
      <c r="P232" s="44" t="str">
        <f t="shared" si="24"/>
        <v>High</v>
      </c>
      <c r="Q232" s="43">
        <v>932.29</v>
      </c>
      <c r="R232" s="43">
        <v>0.109</v>
      </c>
      <c r="S232" s="43">
        <v>7</v>
      </c>
      <c r="T232" s="43">
        <f t="shared" si="21"/>
        <v>4648.9350599999998</v>
      </c>
      <c r="U232" s="33">
        <f t="shared" si="22"/>
        <v>2758.91</v>
      </c>
      <c r="V232" s="43">
        <f t="shared" si="25"/>
        <v>1890.0250599999999</v>
      </c>
      <c r="W232" s="45">
        <f t="shared" si="26"/>
        <v>0.40655010999443819</v>
      </c>
    </row>
    <row r="233" spans="1:23" x14ac:dyDescent="0.3">
      <c r="A233" s="34" t="s">
        <v>566</v>
      </c>
      <c r="B233" s="35">
        <v>45538</v>
      </c>
      <c r="C233" s="36">
        <v>45543</v>
      </c>
      <c r="D233" s="37">
        <f t="shared" si="27"/>
        <v>5</v>
      </c>
      <c r="E233" s="37" t="str">
        <f>TEXT(Data!B233,"MMM-YYYY")</f>
        <v>Sep-2024</v>
      </c>
      <c r="F233" s="37" t="str">
        <f t="shared" si="23"/>
        <v>Q3-2024</v>
      </c>
      <c r="G233" s="32" t="s">
        <v>16</v>
      </c>
      <c r="H233" s="32" t="s">
        <v>25</v>
      </c>
      <c r="I233" s="32" t="s">
        <v>38</v>
      </c>
      <c r="J233" s="32" t="s">
        <v>62</v>
      </c>
      <c r="K233" s="32" t="s">
        <v>98</v>
      </c>
      <c r="L233" s="32" t="s">
        <v>95</v>
      </c>
      <c r="M233" s="32" t="s">
        <v>30</v>
      </c>
      <c r="N233" s="32" t="s">
        <v>567</v>
      </c>
      <c r="O233" s="37">
        <v>197.63</v>
      </c>
      <c r="P233" s="38" t="str">
        <f t="shared" si="24"/>
        <v>High</v>
      </c>
      <c r="Q233" s="37">
        <v>325.79000000000002</v>
      </c>
      <c r="R233" s="37">
        <v>0.11600000000000001</v>
      </c>
      <c r="S233" s="37">
        <v>10</v>
      </c>
      <c r="T233" s="37">
        <f t="shared" si="21"/>
        <v>6081.4780000000001</v>
      </c>
      <c r="U233" s="32">
        <f t="shared" si="22"/>
        <v>1976.3</v>
      </c>
      <c r="V233" s="37">
        <f t="shared" si="25"/>
        <v>4105.1779999999999</v>
      </c>
      <c r="W233" s="39">
        <f t="shared" si="26"/>
        <v>0.67502965561990025</v>
      </c>
    </row>
    <row r="234" spans="1:23" x14ac:dyDescent="0.3">
      <c r="A234" s="40" t="s">
        <v>568</v>
      </c>
      <c r="B234" s="41">
        <v>45540</v>
      </c>
      <c r="C234" s="42">
        <v>45560</v>
      </c>
      <c r="D234" s="43">
        <f t="shared" si="27"/>
        <v>20</v>
      </c>
      <c r="E234" s="43" t="str">
        <f>TEXT(Data!B234,"MMM-YYYY")</f>
        <v>Sep-2024</v>
      </c>
      <c r="F234" s="43" t="str">
        <f t="shared" si="23"/>
        <v>Q3-2024</v>
      </c>
      <c r="G234" s="33" t="s">
        <v>45</v>
      </c>
      <c r="H234" s="33" t="s">
        <v>46</v>
      </c>
      <c r="I234" s="33" t="s">
        <v>47</v>
      </c>
      <c r="J234" s="33" t="s">
        <v>105</v>
      </c>
      <c r="K234" s="33" t="s">
        <v>55</v>
      </c>
      <c r="L234" s="33" t="s">
        <v>145</v>
      </c>
      <c r="M234" s="33" t="s">
        <v>64</v>
      </c>
      <c r="N234" s="33" t="s">
        <v>569</v>
      </c>
      <c r="O234" s="43">
        <v>195.54</v>
      </c>
      <c r="P234" s="44" t="str">
        <f t="shared" si="24"/>
        <v>High</v>
      </c>
      <c r="Q234" s="43">
        <v>405.97</v>
      </c>
      <c r="R234" s="43">
        <v>0.187</v>
      </c>
      <c r="S234" s="43">
        <v>16</v>
      </c>
      <c r="T234" s="43">
        <f t="shared" si="21"/>
        <v>7155.3105599999999</v>
      </c>
      <c r="U234" s="33">
        <f t="shared" si="22"/>
        <v>3128.64</v>
      </c>
      <c r="V234" s="43">
        <f t="shared" si="25"/>
        <v>4026.67056</v>
      </c>
      <c r="W234" s="45">
        <f t="shared" si="26"/>
        <v>0.56275273116866642</v>
      </c>
    </row>
    <row r="235" spans="1:23" x14ac:dyDescent="0.3">
      <c r="A235" s="34" t="s">
        <v>570</v>
      </c>
      <c r="B235" s="35">
        <v>44999</v>
      </c>
      <c r="C235" s="36">
        <v>45015</v>
      </c>
      <c r="D235" s="37">
        <f t="shared" si="27"/>
        <v>16</v>
      </c>
      <c r="E235" s="37" t="str">
        <f>TEXT(Data!B235,"MMM-YYYY")</f>
        <v>Mar-2023</v>
      </c>
      <c r="F235" s="37" t="str">
        <f t="shared" si="23"/>
        <v>Q1-2023</v>
      </c>
      <c r="G235" s="32" t="s">
        <v>16</v>
      </c>
      <c r="H235" s="32" t="s">
        <v>148</v>
      </c>
      <c r="I235" s="32" t="s">
        <v>258</v>
      </c>
      <c r="J235" s="32" t="s">
        <v>48</v>
      </c>
      <c r="K235" s="32" t="s">
        <v>55</v>
      </c>
      <c r="L235" s="32" t="s">
        <v>95</v>
      </c>
      <c r="M235" s="32" t="s">
        <v>22</v>
      </c>
      <c r="N235" s="32" t="s">
        <v>571</v>
      </c>
      <c r="O235" s="37">
        <v>1309.77</v>
      </c>
      <c r="P235" s="38" t="str">
        <f t="shared" si="24"/>
        <v>High</v>
      </c>
      <c r="Q235" s="37">
        <v>1589.07</v>
      </c>
      <c r="R235" s="37">
        <v>0.10199999999999999</v>
      </c>
      <c r="S235" s="37">
        <v>10</v>
      </c>
      <c r="T235" s="37">
        <f t="shared" si="21"/>
        <v>18572.525799999999</v>
      </c>
      <c r="U235" s="32">
        <f t="shared" si="22"/>
        <v>13097.7</v>
      </c>
      <c r="V235" s="37">
        <f t="shared" si="25"/>
        <v>5474.8257999999987</v>
      </c>
      <c r="W235" s="39">
        <f t="shared" si="26"/>
        <v>0.29478089619883574</v>
      </c>
    </row>
    <row r="236" spans="1:23" x14ac:dyDescent="0.3">
      <c r="A236" s="40" t="s">
        <v>572</v>
      </c>
      <c r="B236" s="41">
        <v>45302</v>
      </c>
      <c r="C236" s="42">
        <v>45324</v>
      </c>
      <c r="D236" s="43">
        <f t="shared" si="27"/>
        <v>22</v>
      </c>
      <c r="E236" s="43" t="str">
        <f>TEXT(Data!B236,"MMM-YYYY")</f>
        <v>Jan-2024</v>
      </c>
      <c r="F236" s="43" t="str">
        <f t="shared" si="23"/>
        <v>Q1-2024</v>
      </c>
      <c r="G236" s="33" t="s">
        <v>45</v>
      </c>
      <c r="H236" s="33" t="s">
        <v>46</v>
      </c>
      <c r="I236" s="33" t="s">
        <v>231</v>
      </c>
      <c r="J236" s="33" t="s">
        <v>62</v>
      </c>
      <c r="K236" s="33" t="s">
        <v>28</v>
      </c>
      <c r="L236" s="33" t="s">
        <v>1364</v>
      </c>
      <c r="M236" s="33" t="s">
        <v>30</v>
      </c>
      <c r="N236" s="33" t="s">
        <v>573</v>
      </c>
      <c r="O236" s="43">
        <v>1237.68</v>
      </c>
      <c r="P236" s="44" t="str">
        <f t="shared" si="24"/>
        <v>High</v>
      </c>
      <c r="Q236" s="43">
        <v>1432.8</v>
      </c>
      <c r="R236" s="43">
        <v>6.8000000000000005E-2</v>
      </c>
      <c r="S236" s="43">
        <v>13</v>
      </c>
      <c r="T236" s="43">
        <f t="shared" si="21"/>
        <v>31218.691400000003</v>
      </c>
      <c r="U236" s="33">
        <f t="shared" si="22"/>
        <v>16089.84</v>
      </c>
      <c r="V236" s="43">
        <f t="shared" si="25"/>
        <v>15128.851400000003</v>
      </c>
      <c r="W236" s="45">
        <f t="shared" si="26"/>
        <v>0.48460876230065175</v>
      </c>
    </row>
    <row r="237" spans="1:23" x14ac:dyDescent="0.3">
      <c r="A237" s="34" t="s">
        <v>574</v>
      </c>
      <c r="B237" s="35">
        <v>45548</v>
      </c>
      <c r="C237" s="36">
        <v>45567</v>
      </c>
      <c r="D237" s="37">
        <f t="shared" si="27"/>
        <v>19</v>
      </c>
      <c r="E237" s="37" t="str">
        <f>TEXT(Data!B237,"MMM-YYYY")</f>
        <v>Sep-2024</v>
      </c>
      <c r="F237" s="37" t="str">
        <f t="shared" si="23"/>
        <v>Q3-2024</v>
      </c>
      <c r="G237" s="32" t="s">
        <v>16</v>
      </c>
      <c r="H237" s="32" t="s">
        <v>17</v>
      </c>
      <c r="I237" s="32" t="s">
        <v>113</v>
      </c>
      <c r="J237" s="32" t="s">
        <v>62</v>
      </c>
      <c r="K237" s="32" t="s">
        <v>20</v>
      </c>
      <c r="L237" s="32" t="s">
        <v>110</v>
      </c>
      <c r="M237" s="32" t="s">
        <v>42</v>
      </c>
      <c r="N237" s="32" t="s">
        <v>575</v>
      </c>
      <c r="O237" s="37">
        <v>1338.99</v>
      </c>
      <c r="P237" s="38" t="str">
        <f t="shared" si="24"/>
        <v>High</v>
      </c>
      <c r="Q237" s="37">
        <v>1765.76</v>
      </c>
      <c r="R237" s="37">
        <v>0.126</v>
      </c>
      <c r="S237" s="37">
        <v>24</v>
      </c>
      <c r="T237" s="37">
        <f t="shared" si="21"/>
        <v>21901.880639999999</v>
      </c>
      <c r="U237" s="32">
        <f t="shared" si="22"/>
        <v>32135.760000000002</v>
      </c>
      <c r="V237" s="37">
        <f t="shared" si="25"/>
        <v>-10233.879360000003</v>
      </c>
      <c r="W237" s="39">
        <f t="shared" si="26"/>
        <v>-0.46726030189889678</v>
      </c>
    </row>
    <row r="238" spans="1:23" x14ac:dyDescent="0.3">
      <c r="A238" s="40" t="s">
        <v>576</v>
      </c>
      <c r="B238" s="41">
        <v>45855</v>
      </c>
      <c r="C238" s="42">
        <v>45861</v>
      </c>
      <c r="D238" s="43">
        <f t="shared" si="27"/>
        <v>6</v>
      </c>
      <c r="E238" s="43" t="str">
        <f>TEXT(Data!B238,"MMM-YYYY")</f>
        <v>Jul-2025</v>
      </c>
      <c r="F238" s="43" t="str">
        <f t="shared" si="23"/>
        <v>Q3-2025</v>
      </c>
      <c r="G238" s="33" t="s">
        <v>52</v>
      </c>
      <c r="H238" s="33" t="s">
        <v>53</v>
      </c>
      <c r="I238" s="33" t="s">
        <v>179</v>
      </c>
      <c r="J238" s="33" t="s">
        <v>48</v>
      </c>
      <c r="K238" s="33" t="s">
        <v>28</v>
      </c>
      <c r="L238" s="33" t="s">
        <v>92</v>
      </c>
      <c r="M238" s="33" t="s">
        <v>22</v>
      </c>
      <c r="N238" s="33" t="s">
        <v>577</v>
      </c>
      <c r="O238" s="43">
        <v>1364.89</v>
      </c>
      <c r="P238" s="44" t="str">
        <f t="shared" si="24"/>
        <v>High</v>
      </c>
      <c r="Q238" s="43">
        <v>2757.54</v>
      </c>
      <c r="R238" s="43">
        <v>0.17199999999999999</v>
      </c>
      <c r="S238" s="43">
        <v>61</v>
      </c>
      <c r="T238" s="43">
        <f t="shared" si="21"/>
        <v>5002.3123200000009</v>
      </c>
      <c r="U238" s="33">
        <f t="shared" si="22"/>
        <v>83258.290000000008</v>
      </c>
      <c r="V238" s="43">
        <f t="shared" si="25"/>
        <v>-78255.977680000011</v>
      </c>
      <c r="W238" s="45">
        <f t="shared" si="26"/>
        <v>-15.643960767327698</v>
      </c>
    </row>
    <row r="239" spans="1:23" x14ac:dyDescent="0.3">
      <c r="A239" s="34" t="s">
        <v>578</v>
      </c>
      <c r="B239" s="35">
        <v>45258</v>
      </c>
      <c r="C239" s="36">
        <v>45267</v>
      </c>
      <c r="D239" s="37">
        <f t="shared" si="27"/>
        <v>9</v>
      </c>
      <c r="E239" s="37" t="str">
        <f>TEXT(Data!B239,"MMM-YYYY")</f>
        <v>Nov-2023</v>
      </c>
      <c r="F239" s="37" t="str">
        <f t="shared" si="23"/>
        <v>Q4-2023</v>
      </c>
      <c r="G239" s="32" t="s">
        <v>45</v>
      </c>
      <c r="H239" s="32" t="s">
        <v>60</v>
      </c>
      <c r="I239" s="32" t="s">
        <v>141</v>
      </c>
      <c r="J239" s="32" t="s">
        <v>105</v>
      </c>
      <c r="K239" s="32" t="s">
        <v>40</v>
      </c>
      <c r="L239" s="32" t="s">
        <v>49</v>
      </c>
      <c r="M239" s="32" t="s">
        <v>42</v>
      </c>
      <c r="N239" s="32" t="s">
        <v>579</v>
      </c>
      <c r="O239" s="37">
        <v>699.33</v>
      </c>
      <c r="P239" s="38" t="str">
        <f t="shared" si="24"/>
        <v>High</v>
      </c>
      <c r="Q239" s="37">
        <v>873.75</v>
      </c>
      <c r="R239" s="37">
        <v>0.23499999999999999</v>
      </c>
      <c r="S239" s="37">
        <v>10</v>
      </c>
      <c r="T239" s="37">
        <f t="shared" si="21"/>
        <v>15275.5965</v>
      </c>
      <c r="U239" s="32">
        <f t="shared" si="22"/>
        <v>6993.3</v>
      </c>
      <c r="V239" s="37">
        <f t="shared" si="25"/>
        <v>8282.2965000000004</v>
      </c>
      <c r="W239" s="39">
        <f t="shared" si="26"/>
        <v>0.5421913638527962</v>
      </c>
    </row>
    <row r="240" spans="1:23" x14ac:dyDescent="0.3">
      <c r="A240" s="40" t="s">
        <v>580</v>
      </c>
      <c r="B240" s="41">
        <v>45381</v>
      </c>
      <c r="C240" s="42">
        <v>45406</v>
      </c>
      <c r="D240" s="43">
        <f t="shared" si="27"/>
        <v>25</v>
      </c>
      <c r="E240" s="43" t="str">
        <f>TEXT(Data!B240,"MMM-YYYY")</f>
        <v>Mar-2024</v>
      </c>
      <c r="F240" s="43" t="str">
        <f t="shared" si="23"/>
        <v>Q1-2024</v>
      </c>
      <c r="G240" s="33" t="s">
        <v>52</v>
      </c>
      <c r="H240" s="33" t="s">
        <v>122</v>
      </c>
      <c r="I240" s="33" t="s">
        <v>326</v>
      </c>
      <c r="J240" s="33" t="s">
        <v>39</v>
      </c>
      <c r="K240" s="33" t="s">
        <v>28</v>
      </c>
      <c r="L240" s="33" t="s">
        <v>41</v>
      </c>
      <c r="M240" s="33" t="s">
        <v>57</v>
      </c>
      <c r="N240" s="33" t="s">
        <v>581</v>
      </c>
      <c r="O240" s="43">
        <v>160.82</v>
      </c>
      <c r="P240" s="44" t="str">
        <f t="shared" si="24"/>
        <v>High</v>
      </c>
      <c r="Q240" s="43">
        <v>258.52</v>
      </c>
      <c r="R240" s="43">
        <v>0.13</v>
      </c>
      <c r="S240" s="43">
        <v>17</v>
      </c>
      <c r="T240" s="43">
        <f t="shared" si="21"/>
        <v>13631.647199999999</v>
      </c>
      <c r="U240" s="33">
        <f t="shared" si="22"/>
        <v>2733.94</v>
      </c>
      <c r="V240" s="43">
        <f t="shared" si="25"/>
        <v>10897.707199999999</v>
      </c>
      <c r="W240" s="45">
        <f t="shared" si="26"/>
        <v>0.79944169916604058</v>
      </c>
    </row>
    <row r="241" spans="1:23" x14ac:dyDescent="0.3">
      <c r="A241" s="34" t="s">
        <v>582</v>
      </c>
      <c r="B241" s="35">
        <v>45188</v>
      </c>
      <c r="C241" s="36">
        <v>45207</v>
      </c>
      <c r="D241" s="37">
        <f t="shared" si="27"/>
        <v>19</v>
      </c>
      <c r="E241" s="37" t="str">
        <f>TEXT(Data!B241,"MMM-YYYY")</f>
        <v>Sep-2023</v>
      </c>
      <c r="F241" s="37" t="str">
        <f t="shared" si="23"/>
        <v>Q3-2023</v>
      </c>
      <c r="G241" s="32" t="s">
        <v>45</v>
      </c>
      <c r="H241" s="32" t="s">
        <v>60</v>
      </c>
      <c r="I241" s="32" t="s">
        <v>61</v>
      </c>
      <c r="J241" s="32" t="s">
        <v>27</v>
      </c>
      <c r="K241" s="32" t="s">
        <v>98</v>
      </c>
      <c r="L241" s="32" t="s">
        <v>29</v>
      </c>
      <c r="M241" s="32" t="s">
        <v>30</v>
      </c>
      <c r="N241" s="32" t="s">
        <v>583</v>
      </c>
      <c r="O241" s="37">
        <v>385.32</v>
      </c>
      <c r="P241" s="38" t="str">
        <f t="shared" si="24"/>
        <v>High</v>
      </c>
      <c r="Q241" s="37">
        <v>606.76</v>
      </c>
      <c r="R241" s="37">
        <v>8.5999999999999993E-2</v>
      </c>
      <c r="S241" s="37">
        <v>8</v>
      </c>
      <c r="T241" s="37">
        <f t="shared" si="21"/>
        <v>18307.712480000002</v>
      </c>
      <c r="U241" s="32">
        <f t="shared" si="22"/>
        <v>3082.56</v>
      </c>
      <c r="V241" s="37">
        <f t="shared" si="25"/>
        <v>15225.152480000002</v>
      </c>
      <c r="W241" s="39">
        <f t="shared" si="26"/>
        <v>0.8316250594732959</v>
      </c>
    </row>
    <row r="242" spans="1:23" x14ac:dyDescent="0.3">
      <c r="A242" s="40" t="s">
        <v>584</v>
      </c>
      <c r="B242" s="41">
        <v>45793</v>
      </c>
      <c r="C242" s="42">
        <v>45804</v>
      </c>
      <c r="D242" s="43">
        <f t="shared" si="27"/>
        <v>11</v>
      </c>
      <c r="E242" s="43" t="str">
        <f>TEXT(Data!B242,"MMM-YYYY")</f>
        <v>May-2025</v>
      </c>
      <c r="F242" s="43" t="str">
        <f t="shared" si="23"/>
        <v>Q2-2025</v>
      </c>
      <c r="G242" s="33" t="s">
        <v>45</v>
      </c>
      <c r="H242" s="33" t="s">
        <v>116</v>
      </c>
      <c r="I242" s="33" t="s">
        <v>338</v>
      </c>
      <c r="J242" s="33" t="s">
        <v>105</v>
      </c>
      <c r="K242" s="33" t="s">
        <v>28</v>
      </c>
      <c r="L242" s="33" t="s">
        <v>84</v>
      </c>
      <c r="M242" s="33" t="s">
        <v>42</v>
      </c>
      <c r="N242" s="33" t="s">
        <v>585</v>
      </c>
      <c r="O242" s="43">
        <v>918.12</v>
      </c>
      <c r="P242" s="44" t="str">
        <f t="shared" si="24"/>
        <v>High</v>
      </c>
      <c r="Q242" s="43">
        <v>1337.69</v>
      </c>
      <c r="R242" s="43">
        <v>9.5000000000000001E-2</v>
      </c>
      <c r="S242" s="43">
        <v>8</v>
      </c>
      <c r="T242" s="43">
        <f t="shared" si="21"/>
        <v>17830.4548</v>
      </c>
      <c r="U242" s="33">
        <f t="shared" si="22"/>
        <v>7344.96</v>
      </c>
      <c r="V242" s="43">
        <f t="shared" si="25"/>
        <v>10485.4948</v>
      </c>
      <c r="W242" s="45">
        <f t="shared" si="26"/>
        <v>0.58806659267042372</v>
      </c>
    </row>
    <row r="243" spans="1:23" x14ac:dyDescent="0.3">
      <c r="A243" s="34" t="s">
        <v>586</v>
      </c>
      <c r="B243" s="35">
        <v>45871</v>
      </c>
      <c r="C243" s="36">
        <v>45877</v>
      </c>
      <c r="D243" s="37">
        <f t="shared" si="27"/>
        <v>6</v>
      </c>
      <c r="E243" s="37" t="str">
        <f>TEXT(Data!B243,"MMM-YYYY")</f>
        <v>Aug-2025</v>
      </c>
      <c r="F243" s="37" t="str">
        <f t="shared" si="23"/>
        <v>Q3-2025</v>
      </c>
      <c r="G243" s="32" t="s">
        <v>45</v>
      </c>
      <c r="H243" s="32" t="s">
        <v>46</v>
      </c>
      <c r="I243" s="32" t="s">
        <v>47</v>
      </c>
      <c r="J243" s="32" t="s">
        <v>48</v>
      </c>
      <c r="K243" s="32" t="s">
        <v>98</v>
      </c>
      <c r="L243" s="32" t="s">
        <v>126</v>
      </c>
      <c r="M243" s="32" t="s">
        <v>57</v>
      </c>
      <c r="N243" s="32" t="s">
        <v>587</v>
      </c>
      <c r="O243" s="37">
        <v>1225.94</v>
      </c>
      <c r="P243" s="38" t="str">
        <f t="shared" si="24"/>
        <v>High</v>
      </c>
      <c r="Q243" s="37">
        <v>1793.08</v>
      </c>
      <c r="R243" s="37">
        <v>0.13600000000000001</v>
      </c>
      <c r="S243" s="37">
        <v>22</v>
      </c>
      <c r="T243" s="37">
        <f t="shared" si="21"/>
        <v>9431.7695999999996</v>
      </c>
      <c r="U243" s="32">
        <f t="shared" si="22"/>
        <v>26970.68</v>
      </c>
      <c r="V243" s="37">
        <f t="shared" si="25"/>
        <v>-17538.910400000001</v>
      </c>
      <c r="W243" s="39">
        <f t="shared" si="26"/>
        <v>-1.8595567050323198</v>
      </c>
    </row>
    <row r="244" spans="1:23" x14ac:dyDescent="0.3">
      <c r="A244" s="40" t="s">
        <v>588</v>
      </c>
      <c r="B244" s="41">
        <v>45630</v>
      </c>
      <c r="C244" s="42">
        <v>45638</v>
      </c>
      <c r="D244" s="43">
        <f t="shared" si="27"/>
        <v>8</v>
      </c>
      <c r="E244" s="43" t="str">
        <f>TEXT(Data!B244,"MMM-YYYY")</f>
        <v>Dec-2024</v>
      </c>
      <c r="F244" s="43" t="str">
        <f t="shared" si="23"/>
        <v>Q4-2024</v>
      </c>
      <c r="G244" s="33" t="s">
        <v>78</v>
      </c>
      <c r="H244" s="33" t="s">
        <v>79</v>
      </c>
      <c r="I244" s="33" t="s">
        <v>335</v>
      </c>
      <c r="J244" s="33" t="s">
        <v>105</v>
      </c>
      <c r="K244" s="33" t="s">
        <v>40</v>
      </c>
      <c r="L244" s="33" t="s">
        <v>56</v>
      </c>
      <c r="M244" s="33" t="s">
        <v>30</v>
      </c>
      <c r="N244" s="33" t="s">
        <v>589</v>
      </c>
      <c r="O244" s="43">
        <v>72.06</v>
      </c>
      <c r="P244" s="44" t="str">
        <f t="shared" si="24"/>
        <v>Medium</v>
      </c>
      <c r="Q244" s="43">
        <v>122.74</v>
      </c>
      <c r="R244" s="43">
        <v>0.23799999999999999</v>
      </c>
      <c r="S244" s="43">
        <v>8</v>
      </c>
      <c r="T244" s="43">
        <f t="shared" si="21"/>
        <v>5532.6686399999999</v>
      </c>
      <c r="U244" s="33">
        <f t="shared" si="22"/>
        <v>576.48</v>
      </c>
      <c r="V244" s="43">
        <f t="shared" si="25"/>
        <v>4956.1886400000003</v>
      </c>
      <c r="W244" s="45">
        <f t="shared" si="26"/>
        <v>0.89580435093615152</v>
      </c>
    </row>
    <row r="245" spans="1:23" x14ac:dyDescent="0.3">
      <c r="A245" s="34" t="s">
        <v>590</v>
      </c>
      <c r="B245" s="35">
        <v>45035</v>
      </c>
      <c r="C245" s="36">
        <v>45044</v>
      </c>
      <c r="D245" s="37">
        <f t="shared" si="27"/>
        <v>9</v>
      </c>
      <c r="E245" s="37" t="str">
        <f>TEXT(Data!B245,"MMM-YYYY")</f>
        <v>Apr-2023</v>
      </c>
      <c r="F245" s="37" t="str">
        <f t="shared" si="23"/>
        <v>Q2-2023</v>
      </c>
      <c r="G245" s="32" t="s">
        <v>52</v>
      </c>
      <c r="H245" s="32" t="s">
        <v>73</v>
      </c>
      <c r="I245" s="32" t="s">
        <v>225</v>
      </c>
      <c r="J245" s="32" t="s">
        <v>19</v>
      </c>
      <c r="K245" s="32" t="s">
        <v>55</v>
      </c>
      <c r="L245" s="32" t="s">
        <v>110</v>
      </c>
      <c r="M245" s="32" t="s">
        <v>42</v>
      </c>
      <c r="N245" s="32" t="s">
        <v>591</v>
      </c>
      <c r="O245" s="37">
        <v>1013.54</v>
      </c>
      <c r="P245" s="38" t="str">
        <f t="shared" si="24"/>
        <v>High</v>
      </c>
      <c r="Q245" s="37">
        <v>927.93</v>
      </c>
      <c r="R245" s="37">
        <v>0.17499999999999999</v>
      </c>
      <c r="S245" s="37">
        <v>16</v>
      </c>
      <c r="T245" s="37">
        <f t="shared" si="21"/>
        <v>4411.308</v>
      </c>
      <c r="U245" s="32">
        <f t="shared" si="22"/>
        <v>16216.64</v>
      </c>
      <c r="V245" s="37">
        <f t="shared" si="25"/>
        <v>-11805.331999999999</v>
      </c>
      <c r="W245" s="39">
        <f t="shared" si="26"/>
        <v>-2.6761522886182507</v>
      </c>
    </row>
    <row r="246" spans="1:23" x14ac:dyDescent="0.3">
      <c r="A246" s="40" t="s">
        <v>592</v>
      </c>
      <c r="B246" s="41">
        <v>45357</v>
      </c>
      <c r="C246" s="42">
        <v>45377</v>
      </c>
      <c r="D246" s="43">
        <f t="shared" si="27"/>
        <v>20</v>
      </c>
      <c r="E246" s="43" t="str">
        <f>TEXT(Data!B246,"MMM-YYYY")</f>
        <v>Mar-2024</v>
      </c>
      <c r="F246" s="43" t="str">
        <f t="shared" si="23"/>
        <v>Q1-2024</v>
      </c>
      <c r="G246" s="33" t="s">
        <v>16</v>
      </c>
      <c r="H246" s="33" t="s">
        <v>25</v>
      </c>
      <c r="I246" s="33" t="s">
        <v>26</v>
      </c>
      <c r="J246" s="33" t="s">
        <v>48</v>
      </c>
      <c r="K246" s="33" t="s">
        <v>40</v>
      </c>
      <c r="L246" s="33" t="s">
        <v>34</v>
      </c>
      <c r="M246" s="33" t="s">
        <v>42</v>
      </c>
      <c r="N246" s="33" t="s">
        <v>593</v>
      </c>
      <c r="O246" s="43">
        <v>65.64</v>
      </c>
      <c r="P246" s="44" t="str">
        <f t="shared" si="24"/>
        <v>Medium</v>
      </c>
      <c r="Q246" s="43">
        <v>151.88</v>
      </c>
      <c r="R246" s="43">
        <v>0.16700000000000001</v>
      </c>
      <c r="S246" s="43">
        <v>23</v>
      </c>
      <c r="T246" s="43">
        <f t="shared" si="21"/>
        <v>10322.677609999999</v>
      </c>
      <c r="U246" s="33">
        <f t="shared" si="22"/>
        <v>1509.72</v>
      </c>
      <c r="V246" s="43">
        <f t="shared" si="25"/>
        <v>8812.9576099999995</v>
      </c>
      <c r="W246" s="45">
        <f t="shared" si="26"/>
        <v>0.8537472488206479</v>
      </c>
    </row>
    <row r="247" spans="1:23" x14ac:dyDescent="0.3">
      <c r="A247" s="34" t="s">
        <v>594</v>
      </c>
      <c r="B247" s="35">
        <v>45338</v>
      </c>
      <c r="C247" s="36">
        <v>45355</v>
      </c>
      <c r="D247" s="37">
        <f t="shared" si="27"/>
        <v>17</v>
      </c>
      <c r="E247" s="37" t="str">
        <f>TEXT(Data!B247,"MMM-YYYY")</f>
        <v>Feb-2024</v>
      </c>
      <c r="F247" s="37" t="str">
        <f t="shared" si="23"/>
        <v>Q1-2024</v>
      </c>
      <c r="G247" s="32" t="s">
        <v>52</v>
      </c>
      <c r="H247" s="32" t="s">
        <v>53</v>
      </c>
      <c r="I247" s="32" t="s">
        <v>144</v>
      </c>
      <c r="J247" s="32" t="s">
        <v>39</v>
      </c>
      <c r="K247" s="32" t="s">
        <v>20</v>
      </c>
      <c r="L247" s="32" t="s">
        <v>145</v>
      </c>
      <c r="M247" s="32" t="s">
        <v>57</v>
      </c>
      <c r="N247" s="32" t="s">
        <v>595</v>
      </c>
      <c r="O247" s="37">
        <v>1350.98</v>
      </c>
      <c r="P247" s="38" t="str">
        <f t="shared" si="24"/>
        <v>High</v>
      </c>
      <c r="Q247" s="37">
        <v>2210.4</v>
      </c>
      <c r="R247" s="37">
        <v>0.26300000000000001</v>
      </c>
      <c r="S247" s="37">
        <v>6</v>
      </c>
      <c r="T247" s="37">
        <f t="shared" si="21"/>
        <v>6352.3798799999995</v>
      </c>
      <c r="U247" s="32">
        <f t="shared" si="22"/>
        <v>8105.88</v>
      </c>
      <c r="V247" s="37">
        <f t="shared" si="25"/>
        <v>-1753.5001200000006</v>
      </c>
      <c r="W247" s="39">
        <f t="shared" si="26"/>
        <v>-0.27603829637468102</v>
      </c>
    </row>
    <row r="248" spans="1:23" x14ac:dyDescent="0.3">
      <c r="A248" s="40" t="s">
        <v>596</v>
      </c>
      <c r="B248" s="41">
        <v>45769</v>
      </c>
      <c r="C248" s="42">
        <v>45779</v>
      </c>
      <c r="D248" s="43">
        <f t="shared" si="27"/>
        <v>10</v>
      </c>
      <c r="E248" s="43" t="str">
        <f>TEXT(Data!B248,"MMM-YYYY")</f>
        <v>Apr-2025</v>
      </c>
      <c r="F248" s="43" t="str">
        <f t="shared" si="23"/>
        <v>Q2-2025</v>
      </c>
      <c r="G248" s="33" t="s">
        <v>78</v>
      </c>
      <c r="H248" s="33" t="s">
        <v>79</v>
      </c>
      <c r="I248" s="33" t="s">
        <v>80</v>
      </c>
      <c r="J248" s="33" t="s">
        <v>19</v>
      </c>
      <c r="K248" s="33" t="s">
        <v>40</v>
      </c>
      <c r="L248" s="33" t="s">
        <v>21</v>
      </c>
      <c r="M248" s="33" t="s">
        <v>64</v>
      </c>
      <c r="N248" s="33" t="s">
        <v>597</v>
      </c>
      <c r="O248" s="43">
        <v>20.149999999999999</v>
      </c>
      <c r="P248" s="44" t="str">
        <f t="shared" si="24"/>
        <v>Low</v>
      </c>
      <c r="Q248" s="43">
        <v>39.74</v>
      </c>
      <c r="R248" s="43">
        <v>0.151</v>
      </c>
      <c r="S248" s="43">
        <v>18</v>
      </c>
      <c r="T248" s="43">
        <f t="shared" si="21"/>
        <v>26996.417099999999</v>
      </c>
      <c r="U248" s="33">
        <f t="shared" si="22"/>
        <v>362.7</v>
      </c>
      <c r="V248" s="43">
        <f t="shared" si="25"/>
        <v>26633.717099999998</v>
      </c>
      <c r="W248" s="45">
        <f t="shared" si="26"/>
        <v>0.98656488382675045</v>
      </c>
    </row>
    <row r="249" spans="1:23" x14ac:dyDescent="0.3">
      <c r="A249" s="34" t="s">
        <v>598</v>
      </c>
      <c r="B249" s="35">
        <v>45604</v>
      </c>
      <c r="C249" s="36">
        <v>45604</v>
      </c>
      <c r="D249" s="37">
        <f t="shared" si="27"/>
        <v>0</v>
      </c>
      <c r="E249" s="37" t="str">
        <f>TEXT(Data!B249,"MMM-YYYY")</f>
        <v>Nov-2024</v>
      </c>
      <c r="F249" s="37" t="str">
        <f t="shared" si="23"/>
        <v>Q4-2024</v>
      </c>
      <c r="G249" s="32" t="s">
        <v>16</v>
      </c>
      <c r="H249" s="32" t="s">
        <v>17</v>
      </c>
      <c r="I249" s="32" t="s">
        <v>135</v>
      </c>
      <c r="J249" s="32" t="s">
        <v>105</v>
      </c>
      <c r="K249" s="32" t="s">
        <v>40</v>
      </c>
      <c r="L249" s="32" t="s">
        <v>110</v>
      </c>
      <c r="M249" s="32" t="s">
        <v>35</v>
      </c>
      <c r="N249" s="32" t="s">
        <v>599</v>
      </c>
      <c r="O249" s="37">
        <v>803.28</v>
      </c>
      <c r="P249" s="38" t="str">
        <f t="shared" si="24"/>
        <v>High</v>
      </c>
      <c r="Q249" s="37">
        <v>1009</v>
      </c>
      <c r="R249" s="37">
        <v>0.11</v>
      </c>
      <c r="S249" s="37">
        <v>4</v>
      </c>
      <c r="T249" s="37">
        <f t="shared" si="21"/>
        <v>2237.6023999999998</v>
      </c>
      <c r="U249" s="32">
        <f t="shared" si="22"/>
        <v>3213.12</v>
      </c>
      <c r="V249" s="37">
        <f t="shared" si="25"/>
        <v>-975.51760000000013</v>
      </c>
      <c r="W249" s="39">
        <f t="shared" si="26"/>
        <v>-0.43596556743056775</v>
      </c>
    </row>
    <row r="250" spans="1:23" x14ac:dyDescent="0.3">
      <c r="A250" s="40" t="s">
        <v>600</v>
      </c>
      <c r="B250" s="41">
        <v>45912</v>
      </c>
      <c r="C250" s="42">
        <v>45930</v>
      </c>
      <c r="D250" s="43">
        <f t="shared" si="27"/>
        <v>18</v>
      </c>
      <c r="E250" s="43" t="str">
        <f>TEXT(Data!B250,"MMM-YYYY")</f>
        <v>Sep-2025</v>
      </c>
      <c r="F250" s="43" t="str">
        <f t="shared" si="23"/>
        <v>Q3-2025</v>
      </c>
      <c r="G250" s="33" t="s">
        <v>45</v>
      </c>
      <c r="H250" s="33" t="s">
        <v>46</v>
      </c>
      <c r="I250" s="33" t="s">
        <v>231</v>
      </c>
      <c r="J250" s="33" t="s">
        <v>39</v>
      </c>
      <c r="K250" s="33" t="s">
        <v>40</v>
      </c>
      <c r="L250" s="33" t="s">
        <v>84</v>
      </c>
      <c r="M250" s="33" t="s">
        <v>64</v>
      </c>
      <c r="N250" s="33" t="s">
        <v>601</v>
      </c>
      <c r="O250" s="43">
        <v>1212.99</v>
      </c>
      <c r="P250" s="44" t="str">
        <f t="shared" si="24"/>
        <v>High</v>
      </c>
      <c r="Q250" s="43">
        <v>1653.64</v>
      </c>
      <c r="R250" s="43">
        <v>0.107</v>
      </c>
      <c r="S250" s="43">
        <v>8</v>
      </c>
      <c r="T250" s="43">
        <f t="shared" si="21"/>
        <v>11792.958000000001</v>
      </c>
      <c r="U250" s="33">
        <f t="shared" si="22"/>
        <v>9703.92</v>
      </c>
      <c r="V250" s="43">
        <f t="shared" si="25"/>
        <v>2089.0380000000005</v>
      </c>
      <c r="W250" s="45">
        <f t="shared" si="26"/>
        <v>0.17714283388442495</v>
      </c>
    </row>
    <row r="251" spans="1:23" x14ac:dyDescent="0.3">
      <c r="A251" s="34" t="s">
        <v>602</v>
      </c>
      <c r="B251" s="35">
        <v>45537</v>
      </c>
      <c r="C251" s="36">
        <v>45543</v>
      </c>
      <c r="D251" s="37">
        <f t="shared" si="27"/>
        <v>6</v>
      </c>
      <c r="E251" s="37" t="str">
        <f>TEXT(Data!B251,"MMM-YYYY")</f>
        <v>Sep-2024</v>
      </c>
      <c r="F251" s="37" t="str">
        <f t="shared" si="23"/>
        <v>Q3-2024</v>
      </c>
      <c r="G251" s="32" t="s">
        <v>52</v>
      </c>
      <c r="H251" s="32" t="s">
        <v>122</v>
      </c>
      <c r="I251" s="32" t="s">
        <v>326</v>
      </c>
      <c r="J251" s="32" t="s">
        <v>48</v>
      </c>
      <c r="K251" s="32" t="s">
        <v>98</v>
      </c>
      <c r="L251" s="32" t="s">
        <v>92</v>
      </c>
      <c r="M251" s="32" t="s">
        <v>22</v>
      </c>
      <c r="N251" s="32" t="s">
        <v>603</v>
      </c>
      <c r="O251" s="37">
        <v>462.94</v>
      </c>
      <c r="P251" s="38" t="str">
        <f t="shared" si="24"/>
        <v>High</v>
      </c>
      <c r="Q251" s="37">
        <v>1015.7</v>
      </c>
      <c r="R251" s="37">
        <v>0.14299999999999999</v>
      </c>
      <c r="S251" s="37">
        <v>14</v>
      </c>
      <c r="T251" s="37">
        <f t="shared" si="21"/>
        <v>26961.185719999998</v>
      </c>
      <c r="U251" s="32">
        <f t="shared" si="22"/>
        <v>6481.16</v>
      </c>
      <c r="V251" s="37">
        <f t="shared" si="25"/>
        <v>20480.025719999998</v>
      </c>
      <c r="W251" s="39">
        <f t="shared" si="26"/>
        <v>0.75961146266678359</v>
      </c>
    </row>
    <row r="252" spans="1:23" x14ac:dyDescent="0.3">
      <c r="A252" s="40" t="s">
        <v>604</v>
      </c>
      <c r="B252" s="41">
        <v>44989</v>
      </c>
      <c r="C252" s="42">
        <v>45009</v>
      </c>
      <c r="D252" s="43">
        <f t="shared" si="27"/>
        <v>20</v>
      </c>
      <c r="E252" s="43" t="str">
        <f>TEXT(Data!B252,"MMM-YYYY")</f>
        <v>Mar-2023</v>
      </c>
      <c r="F252" s="43" t="str">
        <f t="shared" si="23"/>
        <v>Q1-2023</v>
      </c>
      <c r="G252" s="33" t="s">
        <v>52</v>
      </c>
      <c r="H252" s="33" t="s">
        <v>53</v>
      </c>
      <c r="I252" s="33" t="s">
        <v>144</v>
      </c>
      <c r="J252" s="33" t="s">
        <v>48</v>
      </c>
      <c r="K252" s="33" t="s">
        <v>55</v>
      </c>
      <c r="L252" s="33" t="s">
        <v>34</v>
      </c>
      <c r="M252" s="33" t="s">
        <v>57</v>
      </c>
      <c r="N252" s="33" t="s">
        <v>605</v>
      </c>
      <c r="O252" s="43">
        <v>481.71</v>
      </c>
      <c r="P252" s="44" t="str">
        <f t="shared" si="24"/>
        <v>High</v>
      </c>
      <c r="Q252" s="43">
        <v>912.45</v>
      </c>
      <c r="R252" s="43">
        <v>0.20300000000000001</v>
      </c>
      <c r="S252" s="43">
        <v>24</v>
      </c>
      <c r="T252" s="43">
        <f t="shared" si="21"/>
        <v>17084.938320000001</v>
      </c>
      <c r="U252" s="33">
        <f t="shared" si="22"/>
        <v>11561.039999999999</v>
      </c>
      <c r="V252" s="43">
        <f t="shared" si="25"/>
        <v>5523.8983200000021</v>
      </c>
      <c r="W252" s="45">
        <f t="shared" si="26"/>
        <v>0.3233197695266834</v>
      </c>
    </row>
    <row r="253" spans="1:23" x14ac:dyDescent="0.3">
      <c r="A253" s="34" t="s">
        <v>606</v>
      </c>
      <c r="B253" s="35">
        <v>45366</v>
      </c>
      <c r="C253" s="36">
        <v>45391</v>
      </c>
      <c r="D253" s="37">
        <f t="shared" si="27"/>
        <v>25</v>
      </c>
      <c r="E253" s="37" t="str">
        <f>TEXT(Data!B253,"MMM-YYYY")</f>
        <v>Mar-2024</v>
      </c>
      <c r="F253" s="37" t="str">
        <f t="shared" si="23"/>
        <v>Q1-2024</v>
      </c>
      <c r="G253" s="32" t="s">
        <v>52</v>
      </c>
      <c r="H253" s="32" t="s">
        <v>53</v>
      </c>
      <c r="I253" s="32" t="s">
        <v>179</v>
      </c>
      <c r="J253" s="32" t="s">
        <v>48</v>
      </c>
      <c r="K253" s="32" t="s">
        <v>28</v>
      </c>
      <c r="L253" s="32" t="s">
        <v>84</v>
      </c>
      <c r="M253" s="32" t="s">
        <v>64</v>
      </c>
      <c r="N253" s="32" t="s">
        <v>607</v>
      </c>
      <c r="O253" s="37">
        <v>648.64</v>
      </c>
      <c r="P253" s="38" t="str">
        <f t="shared" si="24"/>
        <v>High</v>
      </c>
      <c r="Q253" s="37">
        <v>815.19</v>
      </c>
      <c r="R253" s="37">
        <v>0.22500000000000001</v>
      </c>
      <c r="S253" s="37">
        <v>28</v>
      </c>
      <c r="T253" s="37">
        <f t="shared" si="21"/>
        <v>50537.130000000005</v>
      </c>
      <c r="U253" s="32">
        <f t="shared" si="22"/>
        <v>18161.919999999998</v>
      </c>
      <c r="V253" s="37">
        <f t="shared" si="25"/>
        <v>32375.210000000006</v>
      </c>
      <c r="W253" s="39">
        <f t="shared" si="26"/>
        <v>0.64062225140208795</v>
      </c>
    </row>
    <row r="254" spans="1:23" x14ac:dyDescent="0.3">
      <c r="A254" s="40" t="s">
        <v>608</v>
      </c>
      <c r="B254" s="41">
        <v>45502</v>
      </c>
      <c r="C254" s="42">
        <v>45504</v>
      </c>
      <c r="D254" s="43">
        <f t="shared" si="27"/>
        <v>2</v>
      </c>
      <c r="E254" s="43" t="str">
        <f>TEXT(Data!B254,"MMM-YYYY")</f>
        <v>Jul-2024</v>
      </c>
      <c r="F254" s="43" t="str">
        <f t="shared" si="23"/>
        <v>Q3-2024</v>
      </c>
      <c r="G254" s="33" t="s">
        <v>52</v>
      </c>
      <c r="H254" s="33" t="s">
        <v>122</v>
      </c>
      <c r="I254" s="33" t="s">
        <v>387</v>
      </c>
      <c r="J254" s="33" t="s">
        <v>27</v>
      </c>
      <c r="K254" s="33" t="s">
        <v>40</v>
      </c>
      <c r="L254" s="33" t="s">
        <v>34</v>
      </c>
      <c r="M254" s="33" t="s">
        <v>30</v>
      </c>
      <c r="N254" s="33" t="s">
        <v>609</v>
      </c>
      <c r="O254" s="43">
        <v>798.97</v>
      </c>
      <c r="P254" s="44" t="str">
        <f t="shared" si="24"/>
        <v>High</v>
      </c>
      <c r="Q254" s="43">
        <v>1814.06</v>
      </c>
      <c r="R254" s="43">
        <v>0.122</v>
      </c>
      <c r="S254" s="43">
        <v>16</v>
      </c>
      <c r="T254" s="43">
        <f t="shared" si="21"/>
        <v>29033.704000000002</v>
      </c>
      <c r="U254" s="33">
        <f t="shared" si="22"/>
        <v>12783.52</v>
      </c>
      <c r="V254" s="43">
        <f t="shared" si="25"/>
        <v>16250.184000000001</v>
      </c>
      <c r="W254" s="45">
        <f t="shared" si="26"/>
        <v>0.55970068441835741</v>
      </c>
    </row>
    <row r="255" spans="1:23" x14ac:dyDescent="0.3">
      <c r="A255" s="34" t="s">
        <v>610</v>
      </c>
      <c r="B255" s="35">
        <v>45592</v>
      </c>
      <c r="C255" s="36">
        <v>45616</v>
      </c>
      <c r="D255" s="37">
        <f t="shared" si="27"/>
        <v>24</v>
      </c>
      <c r="E255" s="37" t="str">
        <f>TEXT(Data!B255,"MMM-YYYY")</f>
        <v>Oct-2024</v>
      </c>
      <c r="F255" s="37" t="str">
        <f t="shared" si="23"/>
        <v>Q4-2024</v>
      </c>
      <c r="G255" s="32" t="s">
        <v>45</v>
      </c>
      <c r="H255" s="32" t="s">
        <v>46</v>
      </c>
      <c r="I255" s="32" t="s">
        <v>231</v>
      </c>
      <c r="J255" s="32" t="s">
        <v>39</v>
      </c>
      <c r="K255" s="32" t="s">
        <v>28</v>
      </c>
      <c r="L255" s="32" t="s">
        <v>92</v>
      </c>
      <c r="M255" s="32" t="s">
        <v>64</v>
      </c>
      <c r="N255" s="32" t="s">
        <v>611</v>
      </c>
      <c r="O255" s="37">
        <v>317.25</v>
      </c>
      <c r="P255" s="38" t="str">
        <f t="shared" si="24"/>
        <v>High</v>
      </c>
      <c r="Q255" s="37">
        <v>758.92</v>
      </c>
      <c r="R255" s="37">
        <v>5.2999999999999999E-2</v>
      </c>
      <c r="S255" s="37">
        <v>9</v>
      </c>
      <c r="T255" s="37">
        <f t="shared" si="21"/>
        <v>18599.828130000002</v>
      </c>
      <c r="U255" s="32">
        <f t="shared" si="22"/>
        <v>2855.25</v>
      </c>
      <c r="V255" s="37">
        <f t="shared" si="25"/>
        <v>15744.578130000002</v>
      </c>
      <c r="W255" s="39">
        <f t="shared" si="26"/>
        <v>0.84649051700672895</v>
      </c>
    </row>
    <row r="256" spans="1:23" x14ac:dyDescent="0.3">
      <c r="A256" s="40" t="s">
        <v>612</v>
      </c>
      <c r="B256" s="41">
        <v>45411</v>
      </c>
      <c r="C256" s="42">
        <v>45431</v>
      </c>
      <c r="D256" s="43">
        <f t="shared" si="27"/>
        <v>20</v>
      </c>
      <c r="E256" s="43" t="str">
        <f>TEXT(Data!B256,"MMM-YYYY")</f>
        <v>Apr-2024</v>
      </c>
      <c r="F256" s="43" t="str">
        <f t="shared" si="23"/>
        <v>Q2-2024</v>
      </c>
      <c r="G256" s="33" t="s">
        <v>78</v>
      </c>
      <c r="H256" s="33" t="s">
        <v>79</v>
      </c>
      <c r="I256" s="33" t="s">
        <v>335</v>
      </c>
      <c r="J256" s="33" t="s">
        <v>105</v>
      </c>
      <c r="K256" s="33" t="s">
        <v>40</v>
      </c>
      <c r="L256" s="33" t="s">
        <v>21</v>
      </c>
      <c r="M256" s="33" t="s">
        <v>57</v>
      </c>
      <c r="N256" s="33" t="s">
        <v>613</v>
      </c>
      <c r="O256" s="43">
        <v>668.97</v>
      </c>
      <c r="P256" s="44" t="str">
        <f t="shared" si="24"/>
        <v>High</v>
      </c>
      <c r="Q256" s="43">
        <v>1667.44</v>
      </c>
      <c r="R256" s="43">
        <v>3.4000000000000002E-2</v>
      </c>
      <c r="S256" s="43">
        <v>15</v>
      </c>
      <c r="T256" s="43">
        <f t="shared" si="21"/>
        <v>39508.723799999992</v>
      </c>
      <c r="U256" s="33">
        <f t="shared" si="22"/>
        <v>10034.550000000001</v>
      </c>
      <c r="V256" s="43">
        <f t="shared" si="25"/>
        <v>29474.17379999999</v>
      </c>
      <c r="W256" s="45">
        <f t="shared" si="26"/>
        <v>0.74601685311839905</v>
      </c>
    </row>
    <row r="257" spans="1:23" x14ac:dyDescent="0.3">
      <c r="A257" s="34" t="s">
        <v>614</v>
      </c>
      <c r="B257" s="35">
        <v>45204</v>
      </c>
      <c r="C257" s="36">
        <v>45205</v>
      </c>
      <c r="D257" s="37">
        <f t="shared" si="27"/>
        <v>1</v>
      </c>
      <c r="E257" s="37" t="str">
        <f>TEXT(Data!B257,"MMM-YYYY")</f>
        <v>Oct-2023</v>
      </c>
      <c r="F257" s="37" t="str">
        <f t="shared" si="23"/>
        <v>Q4-2023</v>
      </c>
      <c r="G257" s="32" t="s">
        <v>45</v>
      </c>
      <c r="H257" s="32" t="s">
        <v>60</v>
      </c>
      <c r="I257" s="32" t="s">
        <v>61</v>
      </c>
      <c r="J257" s="32" t="s">
        <v>39</v>
      </c>
      <c r="K257" s="32" t="s">
        <v>28</v>
      </c>
      <c r="L257" s="32" t="s">
        <v>34</v>
      </c>
      <c r="M257" s="32" t="s">
        <v>22</v>
      </c>
      <c r="N257" s="32" t="s">
        <v>615</v>
      </c>
      <c r="O257" s="37">
        <v>1470.26</v>
      </c>
      <c r="P257" s="38" t="str">
        <f t="shared" si="24"/>
        <v>High</v>
      </c>
      <c r="Q257" s="37">
        <v>2562.5500000000002</v>
      </c>
      <c r="R257" s="37">
        <v>0.17299999999999999</v>
      </c>
      <c r="S257" s="37">
        <v>9</v>
      </c>
      <c r="T257" s="37">
        <f t="shared" ref="T257:T320" si="28">(Q283*S257)*(1-R257)</f>
        <v>828.33146999999997</v>
      </c>
      <c r="U257" s="32">
        <f t="shared" ref="U257:U320" si="29">(O257*S257)</f>
        <v>13232.34</v>
      </c>
      <c r="V257" s="37">
        <f t="shared" si="25"/>
        <v>-12404.008530000001</v>
      </c>
      <c r="W257" s="39">
        <f t="shared" si="26"/>
        <v>-14.974691870634834</v>
      </c>
    </row>
    <row r="258" spans="1:23" x14ac:dyDescent="0.3">
      <c r="A258" s="40" t="s">
        <v>616</v>
      </c>
      <c r="B258" s="41">
        <v>45035</v>
      </c>
      <c r="C258" s="42">
        <v>45053</v>
      </c>
      <c r="D258" s="43">
        <f t="shared" si="27"/>
        <v>18</v>
      </c>
      <c r="E258" s="43" t="str">
        <f>TEXT(Data!B258,"MMM-YYYY")</f>
        <v>Apr-2023</v>
      </c>
      <c r="F258" s="43" t="str">
        <f t="shared" ref="F258:F321" si="30">"Q"&amp;ROUNDUP(MONTH(B258)/3,0)&amp;"-"&amp;YEAR(B258)</f>
        <v>Q2-2023</v>
      </c>
      <c r="G258" s="33" t="s">
        <v>78</v>
      </c>
      <c r="H258" s="33" t="s">
        <v>108</v>
      </c>
      <c r="I258" s="33" t="s">
        <v>152</v>
      </c>
      <c r="J258" s="33" t="s">
        <v>39</v>
      </c>
      <c r="K258" s="33" t="s">
        <v>98</v>
      </c>
      <c r="L258" s="33" t="s">
        <v>92</v>
      </c>
      <c r="M258" s="33" t="s">
        <v>35</v>
      </c>
      <c r="N258" s="33" t="s">
        <v>617</v>
      </c>
      <c r="O258" s="43">
        <v>516.96</v>
      </c>
      <c r="P258" s="44" t="str">
        <f t="shared" ref="P258:P321" si="31">IF(Q258&lt;50, "Low", IF(Q258&lt;200, "Medium", "High"))</f>
        <v>High</v>
      </c>
      <c r="Q258" s="43">
        <v>745.38</v>
      </c>
      <c r="R258" s="43">
        <v>0.19700000000000001</v>
      </c>
      <c r="S258" s="43">
        <v>4</v>
      </c>
      <c r="T258" s="43">
        <f t="shared" si="28"/>
        <v>3533.4890799999994</v>
      </c>
      <c r="U258" s="33">
        <f t="shared" si="29"/>
        <v>2067.84</v>
      </c>
      <c r="V258" s="43">
        <f t="shared" ref="V258:V321" si="32">(T258-U258)</f>
        <v>1465.6490799999992</v>
      </c>
      <c r="W258" s="45">
        <f t="shared" ref="W258:W321" si="33">IF(T258=0, 0, V258/T258)</f>
        <v>0.41478805985159561</v>
      </c>
    </row>
    <row r="259" spans="1:23" x14ac:dyDescent="0.3">
      <c r="A259" s="34" t="s">
        <v>618</v>
      </c>
      <c r="B259" s="35">
        <v>45835</v>
      </c>
      <c r="C259" s="36">
        <v>45843</v>
      </c>
      <c r="D259" s="37">
        <f t="shared" ref="D259:D321" si="34">DATEDIF(B259,C259, "MD")</f>
        <v>8</v>
      </c>
      <c r="E259" s="37" t="str">
        <f>TEXT(Data!B259,"MMM-YYYY")</f>
        <v>Jun-2025</v>
      </c>
      <c r="F259" s="37" t="str">
        <f t="shared" si="30"/>
        <v>Q2-2025</v>
      </c>
      <c r="G259" s="32" t="s">
        <v>78</v>
      </c>
      <c r="H259" s="32" t="s">
        <v>79</v>
      </c>
      <c r="I259" s="32" t="s">
        <v>159</v>
      </c>
      <c r="J259" s="32" t="s">
        <v>62</v>
      </c>
      <c r="K259" s="32" t="s">
        <v>98</v>
      </c>
      <c r="L259" s="32" t="s">
        <v>41</v>
      </c>
      <c r="M259" s="32" t="s">
        <v>64</v>
      </c>
      <c r="N259" s="32" t="s">
        <v>619</v>
      </c>
      <c r="O259" s="37">
        <v>314.93</v>
      </c>
      <c r="P259" s="38" t="str">
        <f t="shared" si="31"/>
        <v>High</v>
      </c>
      <c r="Q259" s="37">
        <v>687.95</v>
      </c>
      <c r="R259" s="37">
        <v>0.20499999999999999</v>
      </c>
      <c r="S259" s="37">
        <v>8</v>
      </c>
      <c r="T259" s="37">
        <f t="shared" si="28"/>
        <v>9725.3304000000007</v>
      </c>
      <c r="U259" s="32">
        <f t="shared" si="29"/>
        <v>2519.44</v>
      </c>
      <c r="V259" s="37">
        <f t="shared" si="32"/>
        <v>7205.8904000000002</v>
      </c>
      <c r="W259" s="39">
        <f t="shared" si="33"/>
        <v>0.74094042090333501</v>
      </c>
    </row>
    <row r="260" spans="1:23" x14ac:dyDescent="0.3">
      <c r="A260" s="40" t="s">
        <v>620</v>
      </c>
      <c r="B260" s="41">
        <v>45210</v>
      </c>
      <c r="C260" s="42">
        <v>45212</v>
      </c>
      <c r="D260" s="43">
        <f t="shared" si="34"/>
        <v>2</v>
      </c>
      <c r="E260" s="43" t="str">
        <f>TEXT(Data!B260,"MMM-YYYY")</f>
        <v>Oct-2023</v>
      </c>
      <c r="F260" s="43" t="str">
        <f t="shared" si="30"/>
        <v>Q4-2023</v>
      </c>
      <c r="G260" s="33" t="s">
        <v>52</v>
      </c>
      <c r="H260" s="33" t="s">
        <v>73</v>
      </c>
      <c r="I260" s="33" t="s">
        <v>87</v>
      </c>
      <c r="J260" s="33" t="s">
        <v>48</v>
      </c>
      <c r="K260" s="33" t="s">
        <v>55</v>
      </c>
      <c r="L260" s="33" t="s">
        <v>1364</v>
      </c>
      <c r="M260" s="33" t="s">
        <v>81</v>
      </c>
      <c r="N260" s="33" t="s">
        <v>621</v>
      </c>
      <c r="O260" s="43">
        <v>715.94</v>
      </c>
      <c r="P260" s="44" t="str">
        <f t="shared" si="31"/>
        <v>High</v>
      </c>
      <c r="Q260" s="43">
        <v>550.07000000000005</v>
      </c>
      <c r="R260" s="43">
        <v>0.14000000000000001</v>
      </c>
      <c r="S260" s="43">
        <v>16</v>
      </c>
      <c r="T260" s="43">
        <f t="shared" si="28"/>
        <v>10026.7744</v>
      </c>
      <c r="U260" s="33">
        <f t="shared" si="29"/>
        <v>11455.04</v>
      </c>
      <c r="V260" s="43">
        <f t="shared" si="32"/>
        <v>-1428.2656000000006</v>
      </c>
      <c r="W260" s="45">
        <f t="shared" si="33"/>
        <v>-0.14244517159975201</v>
      </c>
    </row>
    <row r="261" spans="1:23" x14ac:dyDescent="0.3">
      <c r="A261" s="34" t="s">
        <v>622</v>
      </c>
      <c r="B261" s="35">
        <v>45066</v>
      </c>
      <c r="C261" s="36">
        <v>45084</v>
      </c>
      <c r="D261" s="37">
        <f t="shared" si="34"/>
        <v>18</v>
      </c>
      <c r="E261" s="37" t="str">
        <f>TEXT(Data!B261,"MMM-YYYY")</f>
        <v>May-2023</v>
      </c>
      <c r="F261" s="37" t="str">
        <f t="shared" si="30"/>
        <v>Q2-2023</v>
      </c>
      <c r="G261" s="32" t="s">
        <v>16</v>
      </c>
      <c r="H261" s="32" t="s">
        <v>25</v>
      </c>
      <c r="I261" s="32" t="s">
        <v>26</v>
      </c>
      <c r="J261" s="32" t="s">
        <v>105</v>
      </c>
      <c r="K261" s="32" t="s">
        <v>55</v>
      </c>
      <c r="L261" s="32" t="s">
        <v>63</v>
      </c>
      <c r="M261" s="32" t="s">
        <v>22</v>
      </c>
      <c r="N261" s="32" t="s">
        <v>623</v>
      </c>
      <c r="O261" s="37">
        <v>1120.06</v>
      </c>
      <c r="P261" s="38" t="str">
        <f t="shared" si="31"/>
        <v>High</v>
      </c>
      <c r="Q261" s="37">
        <v>2068.21</v>
      </c>
      <c r="R261" s="37">
        <v>7.8E-2</v>
      </c>
      <c r="S261" s="37">
        <v>12</v>
      </c>
      <c r="T261" s="37">
        <f t="shared" si="28"/>
        <v>69.481920000000002</v>
      </c>
      <c r="U261" s="32">
        <f t="shared" si="29"/>
        <v>13440.72</v>
      </c>
      <c r="V261" s="37">
        <f t="shared" si="32"/>
        <v>-13371.238079999999</v>
      </c>
      <c r="W261" s="39">
        <f t="shared" si="33"/>
        <v>-192.44197742376721</v>
      </c>
    </row>
    <row r="262" spans="1:23" x14ac:dyDescent="0.3">
      <c r="A262" s="40" t="s">
        <v>624</v>
      </c>
      <c r="B262" s="41">
        <v>45073</v>
      </c>
      <c r="C262" s="42">
        <v>45096</v>
      </c>
      <c r="D262" s="43">
        <f t="shared" si="34"/>
        <v>23</v>
      </c>
      <c r="E262" s="43" t="str">
        <f>TEXT(Data!B262,"MMM-YYYY")</f>
        <v>May-2023</v>
      </c>
      <c r="F262" s="43" t="str">
        <f t="shared" si="30"/>
        <v>Q2-2023</v>
      </c>
      <c r="G262" s="33" t="s">
        <v>78</v>
      </c>
      <c r="H262" s="33" t="s">
        <v>79</v>
      </c>
      <c r="I262" s="33" t="s">
        <v>80</v>
      </c>
      <c r="J262" s="33" t="s">
        <v>27</v>
      </c>
      <c r="K262" s="33" t="s">
        <v>20</v>
      </c>
      <c r="L262" s="33" t="s">
        <v>68</v>
      </c>
      <c r="M262" s="33" t="s">
        <v>81</v>
      </c>
      <c r="N262" s="33" t="s">
        <v>625</v>
      </c>
      <c r="O262" s="43">
        <v>1471.58</v>
      </c>
      <c r="P262" s="44" t="str">
        <f t="shared" si="31"/>
        <v>High</v>
      </c>
      <c r="Q262" s="43">
        <v>2576.65</v>
      </c>
      <c r="R262" s="43">
        <v>4.0000000000000001E-3</v>
      </c>
      <c r="S262" s="43">
        <v>7</v>
      </c>
      <c r="T262" s="43">
        <f t="shared" si="28"/>
        <v>17916.436439999998</v>
      </c>
      <c r="U262" s="33">
        <f t="shared" si="29"/>
        <v>10301.06</v>
      </c>
      <c r="V262" s="43">
        <f t="shared" si="32"/>
        <v>7615.3764399999982</v>
      </c>
      <c r="W262" s="45">
        <f t="shared" si="33"/>
        <v>0.42504972824830334</v>
      </c>
    </row>
    <row r="263" spans="1:23" x14ac:dyDescent="0.3">
      <c r="A263" s="34" t="s">
        <v>626</v>
      </c>
      <c r="B263" s="35">
        <v>45142</v>
      </c>
      <c r="C263" s="36">
        <v>45162</v>
      </c>
      <c r="D263" s="37">
        <f t="shared" si="34"/>
        <v>20</v>
      </c>
      <c r="E263" s="37" t="str">
        <f>TEXT(Data!B263,"MMM-YYYY")</f>
        <v>Aug-2023</v>
      </c>
      <c r="F263" s="37" t="str">
        <f t="shared" si="30"/>
        <v>Q3-2023</v>
      </c>
      <c r="G263" s="32" t="s">
        <v>52</v>
      </c>
      <c r="H263" s="32" t="s">
        <v>73</v>
      </c>
      <c r="I263" s="32" t="s">
        <v>87</v>
      </c>
      <c r="J263" s="32" t="s">
        <v>39</v>
      </c>
      <c r="K263" s="32" t="s">
        <v>98</v>
      </c>
      <c r="L263" s="32" t="s">
        <v>1364</v>
      </c>
      <c r="M263" s="32" t="s">
        <v>35</v>
      </c>
      <c r="N263" s="32" t="s">
        <v>627</v>
      </c>
      <c r="O263" s="37">
        <v>582.88</v>
      </c>
      <c r="P263" s="38" t="str">
        <f t="shared" si="31"/>
        <v>High</v>
      </c>
      <c r="Q263" s="37">
        <v>1044.1400000000001</v>
      </c>
      <c r="R263" s="37">
        <v>0.216</v>
      </c>
      <c r="S263" s="37">
        <v>10</v>
      </c>
      <c r="T263" s="37">
        <f t="shared" si="28"/>
        <v>12481.436800000001</v>
      </c>
      <c r="U263" s="32">
        <f t="shared" si="29"/>
        <v>5828.8</v>
      </c>
      <c r="V263" s="37">
        <f t="shared" si="32"/>
        <v>6652.6368000000011</v>
      </c>
      <c r="W263" s="39">
        <f t="shared" si="33"/>
        <v>0.53300248253470306</v>
      </c>
    </row>
    <row r="264" spans="1:23" x14ac:dyDescent="0.3">
      <c r="A264" s="40" t="s">
        <v>628</v>
      </c>
      <c r="B264" s="41">
        <v>45829</v>
      </c>
      <c r="C264" s="42">
        <v>45835</v>
      </c>
      <c r="D264" s="43">
        <f t="shared" si="34"/>
        <v>6</v>
      </c>
      <c r="E264" s="43" t="str">
        <f>TEXT(Data!B264,"MMM-YYYY")</f>
        <v>Jun-2025</v>
      </c>
      <c r="F264" s="43" t="str">
        <f t="shared" si="30"/>
        <v>Q2-2025</v>
      </c>
      <c r="G264" s="33" t="s">
        <v>16</v>
      </c>
      <c r="H264" s="33" t="s">
        <v>148</v>
      </c>
      <c r="I264" s="33" t="s">
        <v>172</v>
      </c>
      <c r="J264" s="33" t="s">
        <v>105</v>
      </c>
      <c r="K264" s="33" t="s">
        <v>55</v>
      </c>
      <c r="L264" s="33" t="s">
        <v>126</v>
      </c>
      <c r="M264" s="33" t="s">
        <v>42</v>
      </c>
      <c r="N264" s="33" t="s">
        <v>629</v>
      </c>
      <c r="O264" s="43">
        <v>93.91</v>
      </c>
      <c r="P264" s="44" t="str">
        <f t="shared" si="31"/>
        <v>Medium</v>
      </c>
      <c r="Q264" s="43">
        <v>99.04</v>
      </c>
      <c r="R264" s="43">
        <v>5.7000000000000002E-2</v>
      </c>
      <c r="S264" s="43">
        <v>6</v>
      </c>
      <c r="T264" s="43">
        <f t="shared" si="28"/>
        <v>5632.3692599999995</v>
      </c>
      <c r="U264" s="33">
        <f t="shared" si="29"/>
        <v>563.46</v>
      </c>
      <c r="V264" s="43">
        <f t="shared" si="32"/>
        <v>5068.9092599999994</v>
      </c>
      <c r="W264" s="45">
        <f t="shared" si="33"/>
        <v>0.89996039428707486</v>
      </c>
    </row>
    <row r="265" spans="1:23" x14ac:dyDescent="0.3">
      <c r="A265" s="34" t="s">
        <v>630</v>
      </c>
      <c r="B265" s="35">
        <v>45763</v>
      </c>
      <c r="C265" s="36">
        <v>45773</v>
      </c>
      <c r="D265" s="37">
        <f t="shared" si="34"/>
        <v>10</v>
      </c>
      <c r="E265" s="37" t="str">
        <f>TEXT(Data!B265,"MMM-YYYY")</f>
        <v>Apr-2025</v>
      </c>
      <c r="F265" s="37" t="str">
        <f t="shared" si="30"/>
        <v>Q2-2025</v>
      </c>
      <c r="G265" s="32" t="s">
        <v>16</v>
      </c>
      <c r="H265" s="32" t="s">
        <v>25</v>
      </c>
      <c r="I265" s="32" t="s">
        <v>26</v>
      </c>
      <c r="J265" s="32" t="s">
        <v>105</v>
      </c>
      <c r="K265" s="32" t="s">
        <v>40</v>
      </c>
      <c r="L265" s="32" t="s">
        <v>84</v>
      </c>
      <c r="M265" s="32" t="s">
        <v>57</v>
      </c>
      <c r="N265" s="32" t="s">
        <v>631</v>
      </c>
      <c r="O265" s="37">
        <v>1457.44</v>
      </c>
      <c r="P265" s="38" t="str">
        <f t="shared" si="31"/>
        <v>High</v>
      </c>
      <c r="Q265" s="37">
        <v>1996.81</v>
      </c>
      <c r="R265" s="37">
        <v>0.126</v>
      </c>
      <c r="S265" s="37">
        <v>23</v>
      </c>
      <c r="T265" s="37">
        <f t="shared" si="28"/>
        <v>24932.711619999998</v>
      </c>
      <c r="U265" s="32">
        <f t="shared" si="29"/>
        <v>33521.120000000003</v>
      </c>
      <c r="V265" s="37">
        <f t="shared" si="32"/>
        <v>-8588.4083800000044</v>
      </c>
      <c r="W265" s="39">
        <f t="shared" si="33"/>
        <v>-0.3444634707566559</v>
      </c>
    </row>
    <row r="266" spans="1:23" x14ac:dyDescent="0.3">
      <c r="A266" s="40" t="s">
        <v>632</v>
      </c>
      <c r="B266" s="41">
        <v>45902</v>
      </c>
      <c r="C266" s="42">
        <v>45911</v>
      </c>
      <c r="D266" s="43">
        <f t="shared" si="34"/>
        <v>9</v>
      </c>
      <c r="E266" s="43" t="str">
        <f>TEXT(Data!B266,"MMM-YYYY")</f>
        <v>Sep-2025</v>
      </c>
      <c r="F266" s="43" t="str">
        <f t="shared" si="30"/>
        <v>Q3-2025</v>
      </c>
      <c r="G266" s="33" t="s">
        <v>52</v>
      </c>
      <c r="H266" s="33" t="s">
        <v>53</v>
      </c>
      <c r="I266" s="33" t="s">
        <v>54</v>
      </c>
      <c r="J266" s="33" t="s">
        <v>19</v>
      </c>
      <c r="K266" s="33" t="s">
        <v>55</v>
      </c>
      <c r="L266" s="33" t="s">
        <v>110</v>
      </c>
      <c r="M266" s="33" t="s">
        <v>30</v>
      </c>
      <c r="N266" s="33" t="s">
        <v>633</v>
      </c>
      <c r="O266" s="43">
        <v>1207.6300000000001</v>
      </c>
      <c r="P266" s="44" t="str">
        <f t="shared" si="31"/>
        <v>High</v>
      </c>
      <c r="Q266" s="43">
        <v>921.68</v>
      </c>
      <c r="R266" s="43">
        <v>0.19600000000000001</v>
      </c>
      <c r="S266" s="43">
        <v>17</v>
      </c>
      <c r="T266" s="43">
        <f t="shared" si="28"/>
        <v>1617.8811600000001</v>
      </c>
      <c r="U266" s="33">
        <f t="shared" si="29"/>
        <v>20529.710000000003</v>
      </c>
      <c r="V266" s="43">
        <f t="shared" si="32"/>
        <v>-18911.828840000002</v>
      </c>
      <c r="W266" s="45">
        <f t="shared" si="33"/>
        <v>-11.689257102171831</v>
      </c>
    </row>
    <row r="267" spans="1:23" x14ac:dyDescent="0.3">
      <c r="A267" s="34" t="s">
        <v>634</v>
      </c>
      <c r="B267" s="35">
        <v>45573</v>
      </c>
      <c r="C267" s="36">
        <v>45573</v>
      </c>
      <c r="D267" s="37">
        <f t="shared" si="34"/>
        <v>0</v>
      </c>
      <c r="E267" s="37" t="str">
        <f>TEXT(Data!B267,"MMM-YYYY")</f>
        <v>Oct-2024</v>
      </c>
      <c r="F267" s="37" t="str">
        <f t="shared" si="30"/>
        <v>Q4-2024</v>
      </c>
      <c r="G267" s="32" t="s">
        <v>78</v>
      </c>
      <c r="H267" s="32" t="s">
        <v>108</v>
      </c>
      <c r="I267" s="32" t="s">
        <v>152</v>
      </c>
      <c r="J267" s="32" t="s">
        <v>19</v>
      </c>
      <c r="K267" s="32" t="s">
        <v>28</v>
      </c>
      <c r="L267" s="32" t="s">
        <v>63</v>
      </c>
      <c r="M267" s="32" t="s">
        <v>64</v>
      </c>
      <c r="N267" s="32" t="s">
        <v>635</v>
      </c>
      <c r="O267" s="37">
        <v>1108.1099999999999</v>
      </c>
      <c r="P267" s="38" t="str">
        <f t="shared" si="31"/>
        <v>High</v>
      </c>
      <c r="Q267" s="37">
        <v>2503.79</v>
      </c>
      <c r="R267" s="37">
        <v>0.184</v>
      </c>
      <c r="S267" s="37">
        <v>19</v>
      </c>
      <c r="T267" s="37">
        <f t="shared" si="28"/>
        <v>32644.137120000007</v>
      </c>
      <c r="U267" s="32">
        <f t="shared" si="29"/>
        <v>21054.089999999997</v>
      </c>
      <c r="V267" s="37">
        <f t="shared" si="32"/>
        <v>11590.04712000001</v>
      </c>
      <c r="W267" s="39">
        <f t="shared" si="33"/>
        <v>0.35504222633898824</v>
      </c>
    </row>
    <row r="268" spans="1:23" x14ac:dyDescent="0.3">
      <c r="A268" s="40" t="s">
        <v>636</v>
      </c>
      <c r="B268" s="41">
        <v>45053</v>
      </c>
      <c r="C268" s="42">
        <v>45051</v>
      </c>
      <c r="D268" s="43">
        <f>DATEDIF(C268,B268, "MD")</f>
        <v>2</v>
      </c>
      <c r="E268" s="43" t="str">
        <f>TEXT(Data!B268,"MMM-YYYY")</f>
        <v>May-2023</v>
      </c>
      <c r="F268" s="43" t="str">
        <f t="shared" si="30"/>
        <v>Q2-2023</v>
      </c>
      <c r="G268" s="33" t="s">
        <v>16</v>
      </c>
      <c r="H268" s="33" t="s">
        <v>25</v>
      </c>
      <c r="I268" s="33" t="s">
        <v>26</v>
      </c>
      <c r="J268" s="33" t="s">
        <v>39</v>
      </c>
      <c r="K268" s="33" t="s">
        <v>40</v>
      </c>
      <c r="L268" s="33" t="s">
        <v>75</v>
      </c>
      <c r="M268" s="33" t="s">
        <v>22</v>
      </c>
      <c r="N268" s="33" t="s">
        <v>637</v>
      </c>
      <c r="O268" s="43">
        <v>1269.6500000000001</v>
      </c>
      <c r="P268" s="44" t="str">
        <f t="shared" si="31"/>
        <v>High</v>
      </c>
      <c r="Q268" s="43">
        <v>2462.77</v>
      </c>
      <c r="R268" s="43">
        <v>0.107</v>
      </c>
      <c r="S268" s="43">
        <v>8</v>
      </c>
      <c r="T268" s="43">
        <f t="shared" si="28"/>
        <v>3736.3119999999999</v>
      </c>
      <c r="U268" s="33">
        <f t="shared" si="29"/>
        <v>10157.200000000001</v>
      </c>
      <c r="V268" s="43">
        <f t="shared" si="32"/>
        <v>-6420.8880000000008</v>
      </c>
      <c r="W268" s="45">
        <f t="shared" si="33"/>
        <v>-1.7185095891349547</v>
      </c>
    </row>
    <row r="269" spans="1:23" x14ac:dyDescent="0.3">
      <c r="A269" s="34" t="s">
        <v>638</v>
      </c>
      <c r="B269" s="35">
        <v>45284</v>
      </c>
      <c r="C269" s="36">
        <v>45292</v>
      </c>
      <c r="D269" s="37">
        <f t="shared" si="34"/>
        <v>8</v>
      </c>
      <c r="E269" s="37" t="str">
        <f>TEXT(Data!B269,"MMM-YYYY")</f>
        <v>Dec-2023</v>
      </c>
      <c r="F269" s="37" t="str">
        <f t="shared" si="30"/>
        <v>Q4-2023</v>
      </c>
      <c r="G269" s="32" t="s">
        <v>52</v>
      </c>
      <c r="H269" s="32" t="s">
        <v>73</v>
      </c>
      <c r="I269" s="32" t="s">
        <v>74</v>
      </c>
      <c r="J269" s="32" t="s">
        <v>27</v>
      </c>
      <c r="K269" s="32" t="s">
        <v>98</v>
      </c>
      <c r="L269" s="32" t="s">
        <v>21</v>
      </c>
      <c r="M269" s="32" t="s">
        <v>42</v>
      </c>
      <c r="N269" s="32" t="s">
        <v>639</v>
      </c>
      <c r="O269" s="37">
        <v>526.49</v>
      </c>
      <c r="P269" s="38" t="str">
        <f t="shared" si="31"/>
        <v>High</v>
      </c>
      <c r="Q269" s="37">
        <v>496.2</v>
      </c>
      <c r="R269" s="37">
        <v>0</v>
      </c>
      <c r="S269" s="37">
        <v>14</v>
      </c>
      <c r="T269" s="37">
        <f t="shared" si="28"/>
        <v>15054.199999999999</v>
      </c>
      <c r="U269" s="32">
        <f t="shared" si="29"/>
        <v>7370.8600000000006</v>
      </c>
      <c r="V269" s="37">
        <f t="shared" si="32"/>
        <v>7683.3399999999983</v>
      </c>
      <c r="W269" s="39">
        <f t="shared" si="33"/>
        <v>0.51037849902352828</v>
      </c>
    </row>
    <row r="270" spans="1:23" x14ac:dyDescent="0.3">
      <c r="A270" s="40" t="s">
        <v>640</v>
      </c>
      <c r="B270" s="41">
        <v>45301</v>
      </c>
      <c r="C270" s="42">
        <v>45314</v>
      </c>
      <c r="D270" s="43">
        <f t="shared" si="34"/>
        <v>13</v>
      </c>
      <c r="E270" s="43" t="str">
        <f>TEXT(Data!B270,"MMM-YYYY")</f>
        <v>Jan-2024</v>
      </c>
      <c r="F270" s="43" t="str">
        <f t="shared" si="30"/>
        <v>Q1-2024</v>
      </c>
      <c r="G270" s="33" t="s">
        <v>78</v>
      </c>
      <c r="H270" s="33" t="s">
        <v>90</v>
      </c>
      <c r="I270" s="33" t="s">
        <v>91</v>
      </c>
      <c r="J270" s="33" t="s">
        <v>19</v>
      </c>
      <c r="K270" s="33" t="s">
        <v>98</v>
      </c>
      <c r="L270" s="33" t="s">
        <v>75</v>
      </c>
      <c r="M270" s="33" t="s">
        <v>30</v>
      </c>
      <c r="N270" s="33" t="s">
        <v>641</v>
      </c>
      <c r="O270" s="43">
        <v>720</v>
      </c>
      <c r="P270" s="44" t="str">
        <f t="shared" si="31"/>
        <v>High</v>
      </c>
      <c r="Q270" s="43">
        <v>907.59</v>
      </c>
      <c r="R270" s="43">
        <v>0.154</v>
      </c>
      <c r="S270" s="43">
        <v>10</v>
      </c>
      <c r="T270" s="43">
        <f t="shared" si="28"/>
        <v>27872.062200000004</v>
      </c>
      <c r="U270" s="33">
        <f t="shared" si="29"/>
        <v>7200</v>
      </c>
      <c r="V270" s="43">
        <f t="shared" si="32"/>
        <v>20672.062200000004</v>
      </c>
      <c r="W270" s="45">
        <f t="shared" si="33"/>
        <v>0.7416768106954067</v>
      </c>
    </row>
    <row r="271" spans="1:23" x14ac:dyDescent="0.3">
      <c r="A271" s="34" t="s">
        <v>642</v>
      </c>
      <c r="B271" s="35">
        <v>45141</v>
      </c>
      <c r="C271" s="36">
        <v>45152</v>
      </c>
      <c r="D271" s="37">
        <f t="shared" si="34"/>
        <v>11</v>
      </c>
      <c r="E271" s="37" t="str">
        <f>TEXT(Data!B271,"MMM-YYYY")</f>
        <v>Aug-2023</v>
      </c>
      <c r="F271" s="37" t="str">
        <f t="shared" si="30"/>
        <v>Q3-2023</v>
      </c>
      <c r="G271" s="32" t="s">
        <v>52</v>
      </c>
      <c r="H271" s="32" t="s">
        <v>73</v>
      </c>
      <c r="I271" s="32" t="s">
        <v>87</v>
      </c>
      <c r="J271" s="32" t="s">
        <v>19</v>
      </c>
      <c r="K271" s="32" t="s">
        <v>98</v>
      </c>
      <c r="L271" s="32" t="s">
        <v>29</v>
      </c>
      <c r="M271" s="32" t="s">
        <v>81</v>
      </c>
      <c r="N271" s="32" t="s">
        <v>643</v>
      </c>
      <c r="O271" s="37">
        <v>232.73</v>
      </c>
      <c r="P271" s="38" t="str">
        <f t="shared" si="31"/>
        <v>High</v>
      </c>
      <c r="Q271" s="37">
        <v>334.19</v>
      </c>
      <c r="R271" s="37">
        <v>0.13400000000000001</v>
      </c>
      <c r="S271" s="37">
        <v>25</v>
      </c>
      <c r="T271" s="37">
        <f t="shared" si="28"/>
        <v>10046.682500000001</v>
      </c>
      <c r="U271" s="32">
        <f t="shared" si="29"/>
        <v>5818.25</v>
      </c>
      <c r="V271" s="37">
        <f t="shared" si="32"/>
        <v>4228.4325000000008</v>
      </c>
      <c r="W271" s="39">
        <f t="shared" si="33"/>
        <v>0.42087848401698774</v>
      </c>
    </row>
    <row r="272" spans="1:23" x14ac:dyDescent="0.3">
      <c r="A272" s="40" t="s">
        <v>644</v>
      </c>
      <c r="B272" s="41">
        <v>45707</v>
      </c>
      <c r="C272" s="42">
        <v>45725</v>
      </c>
      <c r="D272" s="43">
        <f t="shared" si="34"/>
        <v>18</v>
      </c>
      <c r="E272" s="43" t="str">
        <f>TEXT(Data!B272,"MMM-YYYY")</f>
        <v>Feb-2025</v>
      </c>
      <c r="F272" s="43" t="str">
        <f t="shared" si="30"/>
        <v>Q1-2025</v>
      </c>
      <c r="G272" s="33" t="s">
        <v>45</v>
      </c>
      <c r="H272" s="33" t="s">
        <v>60</v>
      </c>
      <c r="I272" s="33" t="s">
        <v>141</v>
      </c>
      <c r="J272" s="33" t="s">
        <v>62</v>
      </c>
      <c r="K272" s="33" t="s">
        <v>98</v>
      </c>
      <c r="L272" s="33" t="s">
        <v>68</v>
      </c>
      <c r="M272" s="33" t="s">
        <v>64</v>
      </c>
      <c r="N272" s="33" t="s">
        <v>645</v>
      </c>
      <c r="O272" s="43">
        <v>325.87</v>
      </c>
      <c r="P272" s="44" t="str">
        <f t="shared" si="31"/>
        <v>High</v>
      </c>
      <c r="Q272" s="43">
        <v>538.79</v>
      </c>
      <c r="R272" s="43">
        <v>0.17399999999999999</v>
      </c>
      <c r="S272" s="43">
        <v>16</v>
      </c>
      <c r="T272" s="43">
        <f t="shared" si="28"/>
        <v>6753.7724800000005</v>
      </c>
      <c r="U272" s="33">
        <f t="shared" si="29"/>
        <v>5213.92</v>
      </c>
      <c r="V272" s="43">
        <f t="shared" si="32"/>
        <v>1539.8524800000005</v>
      </c>
      <c r="W272" s="45">
        <f t="shared" si="33"/>
        <v>0.22799886797489516</v>
      </c>
    </row>
    <row r="273" spans="1:23" x14ac:dyDescent="0.3">
      <c r="A273" s="34" t="s">
        <v>646</v>
      </c>
      <c r="B273" s="35">
        <v>45382</v>
      </c>
      <c r="C273" s="36">
        <v>45399</v>
      </c>
      <c r="D273" s="37">
        <f t="shared" si="34"/>
        <v>17</v>
      </c>
      <c r="E273" s="37" t="str">
        <f>TEXT(Data!B273,"MMM-YYYY")</f>
        <v>Mar-2024</v>
      </c>
      <c r="F273" s="37" t="str">
        <f t="shared" si="30"/>
        <v>Q1-2024</v>
      </c>
      <c r="G273" s="32" t="s">
        <v>78</v>
      </c>
      <c r="H273" s="32" t="s">
        <v>79</v>
      </c>
      <c r="I273" s="32" t="s">
        <v>335</v>
      </c>
      <c r="J273" s="32" t="s">
        <v>27</v>
      </c>
      <c r="K273" s="32" t="s">
        <v>98</v>
      </c>
      <c r="L273" s="32" t="s">
        <v>92</v>
      </c>
      <c r="M273" s="32" t="s">
        <v>64</v>
      </c>
      <c r="N273" s="32" t="s">
        <v>647</v>
      </c>
      <c r="O273" s="37">
        <v>1025.51</v>
      </c>
      <c r="P273" s="38" t="str">
        <f t="shared" si="31"/>
        <v>High</v>
      </c>
      <c r="Q273" s="37">
        <v>1436.54</v>
      </c>
      <c r="R273" s="37">
        <v>0.13900000000000001</v>
      </c>
      <c r="S273" s="37">
        <v>28</v>
      </c>
      <c r="T273" s="37">
        <f t="shared" si="28"/>
        <v>101.73576</v>
      </c>
      <c r="U273" s="32">
        <f t="shared" si="29"/>
        <v>28714.28</v>
      </c>
      <c r="V273" s="37">
        <f t="shared" si="32"/>
        <v>-28612.544239999999</v>
      </c>
      <c r="W273" s="39">
        <f t="shared" si="33"/>
        <v>-281.24372629643699</v>
      </c>
    </row>
    <row r="274" spans="1:23" x14ac:dyDescent="0.3">
      <c r="A274" s="40" t="s">
        <v>648</v>
      </c>
      <c r="B274" s="41">
        <v>45131</v>
      </c>
      <c r="C274" s="42">
        <v>45151</v>
      </c>
      <c r="D274" s="43">
        <f t="shared" si="34"/>
        <v>20</v>
      </c>
      <c r="E274" s="43" t="str">
        <f>TEXT(Data!B274,"MMM-YYYY")</f>
        <v>Jul-2023</v>
      </c>
      <c r="F274" s="43" t="str">
        <f t="shared" si="30"/>
        <v>Q3-2023</v>
      </c>
      <c r="G274" s="33" t="s">
        <v>52</v>
      </c>
      <c r="H274" s="33" t="s">
        <v>53</v>
      </c>
      <c r="I274" s="33" t="s">
        <v>144</v>
      </c>
      <c r="J274" s="33" t="s">
        <v>27</v>
      </c>
      <c r="K274" s="33" t="s">
        <v>98</v>
      </c>
      <c r="L274" s="33" t="s">
        <v>21</v>
      </c>
      <c r="M274" s="33" t="s">
        <v>64</v>
      </c>
      <c r="N274" s="33" t="s">
        <v>649</v>
      </c>
      <c r="O274" s="43">
        <v>1082.3800000000001</v>
      </c>
      <c r="P274" s="44" t="str">
        <f t="shared" si="31"/>
        <v>High</v>
      </c>
      <c r="Q274" s="43">
        <v>1766.55</v>
      </c>
      <c r="R274" s="43">
        <v>0.16400000000000001</v>
      </c>
      <c r="S274" s="43">
        <v>20</v>
      </c>
      <c r="T274" s="43">
        <f t="shared" si="28"/>
        <v>9651.4527999999991</v>
      </c>
      <c r="U274" s="33">
        <f t="shared" si="29"/>
        <v>21647.600000000002</v>
      </c>
      <c r="V274" s="43">
        <f t="shared" si="32"/>
        <v>-11996.147200000003</v>
      </c>
      <c r="W274" s="45">
        <f t="shared" si="33"/>
        <v>-1.242936938986015</v>
      </c>
    </row>
    <row r="275" spans="1:23" x14ac:dyDescent="0.3">
      <c r="A275" s="34" t="s">
        <v>650</v>
      </c>
      <c r="B275" s="35">
        <v>45367</v>
      </c>
      <c r="C275" s="36">
        <v>45395</v>
      </c>
      <c r="D275" s="37">
        <f t="shared" si="34"/>
        <v>28</v>
      </c>
      <c r="E275" s="37" t="str">
        <f>TEXT(Data!B275,"MMM-YYYY")</f>
        <v>Mar-2024</v>
      </c>
      <c r="F275" s="37" t="str">
        <f t="shared" si="30"/>
        <v>Q1-2024</v>
      </c>
      <c r="G275" s="32" t="s">
        <v>78</v>
      </c>
      <c r="H275" s="32" t="s">
        <v>90</v>
      </c>
      <c r="I275" s="32" t="s">
        <v>217</v>
      </c>
      <c r="J275" s="32" t="s">
        <v>62</v>
      </c>
      <c r="K275" s="32" t="s">
        <v>28</v>
      </c>
      <c r="L275" s="32" t="s">
        <v>95</v>
      </c>
      <c r="M275" s="32" t="s">
        <v>30</v>
      </c>
      <c r="N275" s="32" t="s">
        <v>651</v>
      </c>
      <c r="O275" s="37">
        <v>287.61</v>
      </c>
      <c r="P275" s="38" t="str">
        <f t="shared" si="31"/>
        <v>High</v>
      </c>
      <c r="Q275" s="37">
        <v>628.54</v>
      </c>
      <c r="R275" s="37">
        <v>0.13500000000000001</v>
      </c>
      <c r="S275" s="37">
        <v>21</v>
      </c>
      <c r="T275" s="37">
        <f t="shared" si="28"/>
        <v>25903.83495</v>
      </c>
      <c r="U275" s="32">
        <f t="shared" si="29"/>
        <v>6039.81</v>
      </c>
      <c r="V275" s="37">
        <f t="shared" si="32"/>
        <v>19864.024949999999</v>
      </c>
      <c r="W275" s="39">
        <f t="shared" si="33"/>
        <v>0.76683722654741504</v>
      </c>
    </row>
    <row r="276" spans="1:23" x14ac:dyDescent="0.3">
      <c r="A276" s="40" t="s">
        <v>652</v>
      </c>
      <c r="B276" s="41">
        <v>45316</v>
      </c>
      <c r="C276" s="42">
        <v>45318</v>
      </c>
      <c r="D276" s="43">
        <f t="shared" si="34"/>
        <v>2</v>
      </c>
      <c r="E276" s="43" t="str">
        <f>TEXT(Data!B276,"MMM-YYYY")</f>
        <v>Jan-2024</v>
      </c>
      <c r="F276" s="43" t="str">
        <f t="shared" si="30"/>
        <v>Q1-2024</v>
      </c>
      <c r="G276" s="33" t="s">
        <v>52</v>
      </c>
      <c r="H276" s="33" t="s">
        <v>73</v>
      </c>
      <c r="I276" s="33" t="s">
        <v>74</v>
      </c>
      <c r="J276" s="33" t="s">
        <v>39</v>
      </c>
      <c r="K276" s="33" t="s">
        <v>40</v>
      </c>
      <c r="L276" s="33" t="s">
        <v>126</v>
      </c>
      <c r="M276" s="33" t="s">
        <v>57</v>
      </c>
      <c r="N276" s="33" t="s">
        <v>653</v>
      </c>
      <c r="O276" s="43">
        <v>1410.97</v>
      </c>
      <c r="P276" s="44" t="str">
        <f t="shared" si="31"/>
        <v>High</v>
      </c>
      <c r="Q276" s="43">
        <v>1650.75</v>
      </c>
      <c r="R276" s="43">
        <v>0.13500000000000001</v>
      </c>
      <c r="S276" s="43">
        <v>6</v>
      </c>
      <c r="T276" s="43">
        <f t="shared" si="28"/>
        <v>7059.0227999999997</v>
      </c>
      <c r="U276" s="33">
        <f t="shared" si="29"/>
        <v>8465.82</v>
      </c>
      <c r="V276" s="43">
        <f t="shared" si="32"/>
        <v>-1406.7972</v>
      </c>
      <c r="W276" s="45">
        <f t="shared" si="33"/>
        <v>-0.19929064402511917</v>
      </c>
    </row>
    <row r="277" spans="1:23" x14ac:dyDescent="0.3">
      <c r="A277" s="34" t="s">
        <v>654</v>
      </c>
      <c r="B277" s="35">
        <v>45378</v>
      </c>
      <c r="C277" s="36">
        <v>45393</v>
      </c>
      <c r="D277" s="37">
        <f t="shared" si="34"/>
        <v>15</v>
      </c>
      <c r="E277" s="37" t="str">
        <f>TEXT(Data!B277,"MMM-YYYY")</f>
        <v>Mar-2024</v>
      </c>
      <c r="F277" s="37" t="str">
        <f t="shared" si="30"/>
        <v>Q1-2024</v>
      </c>
      <c r="G277" s="32" t="s">
        <v>52</v>
      </c>
      <c r="H277" s="32" t="s">
        <v>122</v>
      </c>
      <c r="I277" s="32" t="s">
        <v>167</v>
      </c>
      <c r="J277" s="32" t="s">
        <v>62</v>
      </c>
      <c r="K277" s="32" t="s">
        <v>98</v>
      </c>
      <c r="L277" s="32" t="s">
        <v>68</v>
      </c>
      <c r="M277" s="32" t="s">
        <v>35</v>
      </c>
      <c r="N277" s="32" t="s">
        <v>655</v>
      </c>
      <c r="O277" s="37">
        <v>1338.35</v>
      </c>
      <c r="P277" s="38" t="str">
        <f t="shared" si="31"/>
        <v>High</v>
      </c>
      <c r="Q277" s="37">
        <v>2247.14</v>
      </c>
      <c r="R277" s="37">
        <v>0.115</v>
      </c>
      <c r="S277" s="37">
        <v>40</v>
      </c>
      <c r="T277" s="37">
        <f t="shared" si="28"/>
        <v>73316.94</v>
      </c>
      <c r="U277" s="32">
        <f t="shared" si="29"/>
        <v>53534</v>
      </c>
      <c r="V277" s="37">
        <f t="shared" si="32"/>
        <v>19782.940000000002</v>
      </c>
      <c r="W277" s="39">
        <f t="shared" si="33"/>
        <v>0.26982768238827209</v>
      </c>
    </row>
    <row r="278" spans="1:23" x14ac:dyDescent="0.3">
      <c r="A278" s="40" t="s">
        <v>656</v>
      </c>
      <c r="B278" s="41">
        <v>45832</v>
      </c>
      <c r="C278" s="42">
        <v>45852</v>
      </c>
      <c r="D278" s="43">
        <f t="shared" si="34"/>
        <v>20</v>
      </c>
      <c r="E278" s="43" t="str">
        <f>TEXT(Data!B278,"MMM-YYYY")</f>
        <v>Jun-2025</v>
      </c>
      <c r="F278" s="43" t="str">
        <f t="shared" si="30"/>
        <v>Q2-2025</v>
      </c>
      <c r="G278" s="33" t="s">
        <v>78</v>
      </c>
      <c r="H278" s="33" t="s">
        <v>79</v>
      </c>
      <c r="I278" s="33" t="s">
        <v>80</v>
      </c>
      <c r="J278" s="33" t="s">
        <v>19</v>
      </c>
      <c r="K278" s="33" t="s">
        <v>98</v>
      </c>
      <c r="L278" s="33" t="s">
        <v>68</v>
      </c>
      <c r="M278" s="33" t="s">
        <v>81</v>
      </c>
      <c r="N278" s="33" t="s">
        <v>657</v>
      </c>
      <c r="O278" s="43">
        <v>385.08</v>
      </c>
      <c r="P278" s="44" t="str">
        <f t="shared" si="31"/>
        <v>High</v>
      </c>
      <c r="Q278" s="43">
        <v>893.19</v>
      </c>
      <c r="R278" s="43">
        <v>0.151</v>
      </c>
      <c r="S278" s="43">
        <v>8</v>
      </c>
      <c r="T278" s="43">
        <f t="shared" si="28"/>
        <v>6655.0732799999996</v>
      </c>
      <c r="U278" s="33">
        <f t="shared" si="29"/>
        <v>3080.64</v>
      </c>
      <c r="V278" s="43">
        <f t="shared" si="32"/>
        <v>3574.4332799999997</v>
      </c>
      <c r="W278" s="45">
        <f t="shared" si="33"/>
        <v>0.53709901147775185</v>
      </c>
    </row>
    <row r="279" spans="1:23" x14ac:dyDescent="0.3">
      <c r="A279" s="34" t="s">
        <v>658</v>
      </c>
      <c r="B279" s="35">
        <v>45459</v>
      </c>
      <c r="C279" s="36">
        <v>45476</v>
      </c>
      <c r="D279" s="37">
        <f t="shared" si="34"/>
        <v>17</v>
      </c>
      <c r="E279" s="37" t="str">
        <f>TEXT(Data!B279,"MMM-YYYY")</f>
        <v>Jun-2024</v>
      </c>
      <c r="F279" s="37" t="str">
        <f t="shared" si="30"/>
        <v>Q2-2024</v>
      </c>
      <c r="G279" s="32" t="s">
        <v>16</v>
      </c>
      <c r="H279" s="32" t="s">
        <v>148</v>
      </c>
      <c r="I279" s="32" t="s">
        <v>149</v>
      </c>
      <c r="J279" s="32" t="s">
        <v>105</v>
      </c>
      <c r="K279" s="32" t="s">
        <v>40</v>
      </c>
      <c r="L279" s="32" t="s">
        <v>84</v>
      </c>
      <c r="M279" s="32" t="s">
        <v>42</v>
      </c>
      <c r="N279" s="32" t="s">
        <v>659</v>
      </c>
      <c r="O279" s="37">
        <v>1173.83</v>
      </c>
      <c r="P279" s="38" t="str">
        <f t="shared" si="31"/>
        <v>High</v>
      </c>
      <c r="Q279" s="37">
        <v>2328.9</v>
      </c>
      <c r="R279" s="37">
        <v>0.12</v>
      </c>
      <c r="S279" s="37">
        <v>17</v>
      </c>
      <c r="T279" s="37">
        <f t="shared" si="28"/>
        <v>8039.3543999999993</v>
      </c>
      <c r="U279" s="32">
        <f t="shared" si="29"/>
        <v>19955.11</v>
      </c>
      <c r="V279" s="37">
        <f t="shared" si="32"/>
        <v>-11915.7556</v>
      </c>
      <c r="W279" s="39">
        <f t="shared" si="33"/>
        <v>-1.4821781709237749</v>
      </c>
    </row>
    <row r="280" spans="1:23" x14ac:dyDescent="0.3">
      <c r="A280" s="40" t="s">
        <v>660</v>
      </c>
      <c r="B280" s="41">
        <v>45229</v>
      </c>
      <c r="C280" s="42">
        <v>45244</v>
      </c>
      <c r="D280" s="43">
        <f t="shared" si="34"/>
        <v>15</v>
      </c>
      <c r="E280" s="43" t="str">
        <f>TEXT(Data!B280,"MMM-YYYY")</f>
        <v>Oct-2023</v>
      </c>
      <c r="F280" s="43" t="str">
        <f t="shared" si="30"/>
        <v>Q4-2023</v>
      </c>
      <c r="G280" s="33" t="s">
        <v>45</v>
      </c>
      <c r="H280" s="33" t="s">
        <v>60</v>
      </c>
      <c r="I280" s="33" t="s">
        <v>61</v>
      </c>
      <c r="J280" s="33" t="s">
        <v>19</v>
      </c>
      <c r="K280" s="33" t="s">
        <v>28</v>
      </c>
      <c r="L280" s="33" t="s">
        <v>84</v>
      </c>
      <c r="M280" s="33" t="s">
        <v>57</v>
      </c>
      <c r="N280" s="33" t="s">
        <v>661</v>
      </c>
      <c r="O280" s="43">
        <v>953.46</v>
      </c>
      <c r="P280" s="44" t="str">
        <f t="shared" si="31"/>
        <v>High</v>
      </c>
      <c r="Q280" s="43">
        <v>2066.75</v>
      </c>
      <c r="R280" s="43">
        <v>0.13800000000000001</v>
      </c>
      <c r="S280" s="43">
        <v>5</v>
      </c>
      <c r="T280" s="43">
        <f t="shared" si="28"/>
        <v>919.40919999999994</v>
      </c>
      <c r="U280" s="33">
        <f t="shared" si="29"/>
        <v>4767.3</v>
      </c>
      <c r="V280" s="43">
        <f t="shared" si="32"/>
        <v>-3847.8908000000001</v>
      </c>
      <c r="W280" s="45">
        <f t="shared" si="33"/>
        <v>-4.1851776118838062</v>
      </c>
    </row>
    <row r="281" spans="1:23" x14ac:dyDescent="0.3">
      <c r="A281" s="34" t="s">
        <v>662</v>
      </c>
      <c r="B281" s="35">
        <v>45092</v>
      </c>
      <c r="C281" s="36">
        <v>45100</v>
      </c>
      <c r="D281" s="37">
        <f t="shared" si="34"/>
        <v>8</v>
      </c>
      <c r="E281" s="37" t="str">
        <f>TEXT(Data!B281,"MMM-YYYY")</f>
        <v>Jun-2023</v>
      </c>
      <c r="F281" s="37" t="str">
        <f t="shared" si="30"/>
        <v>Q2-2023</v>
      </c>
      <c r="G281" s="32" t="s">
        <v>52</v>
      </c>
      <c r="H281" s="32" t="s">
        <v>122</v>
      </c>
      <c r="I281" s="32" t="s">
        <v>167</v>
      </c>
      <c r="J281" s="32" t="s">
        <v>48</v>
      </c>
      <c r="K281" s="32" t="s">
        <v>55</v>
      </c>
      <c r="L281" s="32" t="s">
        <v>68</v>
      </c>
      <c r="M281" s="32" t="s">
        <v>64</v>
      </c>
      <c r="N281" s="32" t="s">
        <v>663</v>
      </c>
      <c r="O281" s="37">
        <v>1097.0899999999999</v>
      </c>
      <c r="P281" s="38" t="str">
        <f t="shared" si="31"/>
        <v>High</v>
      </c>
      <c r="Q281" s="37">
        <v>2182.31</v>
      </c>
      <c r="R281" s="37">
        <v>0.112</v>
      </c>
      <c r="S281" s="37">
        <v>9</v>
      </c>
      <c r="T281" s="37">
        <f t="shared" si="28"/>
        <v>15941.402639999998</v>
      </c>
      <c r="U281" s="32">
        <f t="shared" si="29"/>
        <v>9873.81</v>
      </c>
      <c r="V281" s="37">
        <f t="shared" si="32"/>
        <v>6067.5926399999989</v>
      </c>
      <c r="W281" s="39">
        <f t="shared" si="33"/>
        <v>0.38061849242646062</v>
      </c>
    </row>
    <row r="282" spans="1:23" x14ac:dyDescent="0.3">
      <c r="A282" s="40" t="s">
        <v>664</v>
      </c>
      <c r="B282" s="41">
        <v>45730</v>
      </c>
      <c r="C282" s="42">
        <v>45745</v>
      </c>
      <c r="D282" s="43">
        <f t="shared" si="34"/>
        <v>15</v>
      </c>
      <c r="E282" s="43" t="str">
        <f>TEXT(Data!B282,"MMM-YYYY")</f>
        <v>Mar-2025</v>
      </c>
      <c r="F282" s="43" t="str">
        <f t="shared" si="30"/>
        <v>Q1-2025</v>
      </c>
      <c r="G282" s="33" t="s">
        <v>45</v>
      </c>
      <c r="H282" s="33" t="s">
        <v>46</v>
      </c>
      <c r="I282" s="33" t="s">
        <v>214</v>
      </c>
      <c r="J282" s="33" t="s">
        <v>39</v>
      </c>
      <c r="K282" s="33" t="s">
        <v>98</v>
      </c>
      <c r="L282" s="33" t="s">
        <v>92</v>
      </c>
      <c r="M282" s="33" t="s">
        <v>35</v>
      </c>
      <c r="N282" s="33" t="s">
        <v>665</v>
      </c>
      <c r="O282" s="43">
        <v>1106.96</v>
      </c>
      <c r="P282" s="44" t="str">
        <f t="shared" si="31"/>
        <v>High</v>
      </c>
      <c r="Q282" s="43">
        <v>2726.62</v>
      </c>
      <c r="R282" s="43">
        <v>0.317</v>
      </c>
      <c r="S282" s="43">
        <v>7</v>
      </c>
      <c r="T282" s="43">
        <f t="shared" si="28"/>
        <v>2643.1280400000001</v>
      </c>
      <c r="U282" s="33">
        <f t="shared" si="29"/>
        <v>7748.72</v>
      </c>
      <c r="V282" s="43">
        <f t="shared" si="32"/>
        <v>-5105.5919599999997</v>
      </c>
      <c r="W282" s="45">
        <f t="shared" si="33"/>
        <v>-1.9316476094741137</v>
      </c>
    </row>
    <row r="283" spans="1:23" x14ac:dyDescent="0.3">
      <c r="A283" s="34" t="s">
        <v>666</v>
      </c>
      <c r="B283" s="35">
        <v>45153</v>
      </c>
      <c r="C283" s="36">
        <v>45163</v>
      </c>
      <c r="D283" s="37">
        <f t="shared" si="34"/>
        <v>10</v>
      </c>
      <c r="E283" s="37" t="str">
        <f>TEXT(Data!B283,"MMM-YYYY")</f>
        <v>Aug-2023</v>
      </c>
      <c r="F283" s="37" t="str">
        <f t="shared" si="30"/>
        <v>Q3-2023</v>
      </c>
      <c r="G283" s="32" t="s">
        <v>16</v>
      </c>
      <c r="H283" s="32" t="s">
        <v>17</v>
      </c>
      <c r="I283" s="32" t="s">
        <v>33</v>
      </c>
      <c r="J283" s="32" t="s">
        <v>62</v>
      </c>
      <c r="K283" s="32" t="s">
        <v>20</v>
      </c>
      <c r="L283" s="32" t="s">
        <v>126</v>
      </c>
      <c r="M283" s="32" t="s">
        <v>42</v>
      </c>
      <c r="N283" s="32" t="s">
        <v>667</v>
      </c>
      <c r="O283" s="37">
        <v>91.85</v>
      </c>
      <c r="P283" s="38" t="str">
        <f t="shared" si="31"/>
        <v>Medium</v>
      </c>
      <c r="Q283" s="37">
        <v>111.29</v>
      </c>
      <c r="R283" s="37">
        <v>0</v>
      </c>
      <c r="S283" s="37">
        <v>6</v>
      </c>
      <c r="T283" s="37">
        <f t="shared" si="28"/>
        <v>1349.6999999999998</v>
      </c>
      <c r="U283" s="32">
        <f t="shared" si="29"/>
        <v>551.09999999999991</v>
      </c>
      <c r="V283" s="37">
        <f t="shared" si="32"/>
        <v>798.59999999999991</v>
      </c>
      <c r="W283" s="39">
        <f t="shared" si="33"/>
        <v>0.59168704156479224</v>
      </c>
    </row>
    <row r="284" spans="1:23" x14ac:dyDescent="0.3">
      <c r="A284" s="40" t="s">
        <v>668</v>
      </c>
      <c r="B284" s="41">
        <v>45794</v>
      </c>
      <c r="C284" s="42">
        <v>45805</v>
      </c>
      <c r="D284" s="43">
        <f t="shared" si="34"/>
        <v>11</v>
      </c>
      <c r="E284" s="43" t="str">
        <f>TEXT(Data!B284,"MMM-YYYY")</f>
        <v>May-2025</v>
      </c>
      <c r="F284" s="43" t="str">
        <f t="shared" si="30"/>
        <v>Q2-2025</v>
      </c>
      <c r="G284" s="33" t="s">
        <v>45</v>
      </c>
      <c r="H284" s="33" t="s">
        <v>60</v>
      </c>
      <c r="I284" s="33" t="s">
        <v>61</v>
      </c>
      <c r="J284" s="33" t="s">
        <v>19</v>
      </c>
      <c r="K284" s="33" t="s">
        <v>55</v>
      </c>
      <c r="L284" s="33" t="s">
        <v>56</v>
      </c>
      <c r="M284" s="33" t="s">
        <v>57</v>
      </c>
      <c r="N284" s="33" t="s">
        <v>669</v>
      </c>
      <c r="O284" s="43">
        <v>623.4</v>
      </c>
      <c r="P284" s="44" t="str">
        <f t="shared" si="31"/>
        <v>High</v>
      </c>
      <c r="Q284" s="43">
        <v>1100.0899999999999</v>
      </c>
      <c r="R284" s="43">
        <v>0.114</v>
      </c>
      <c r="S284" s="43">
        <v>12</v>
      </c>
      <c r="T284" s="43">
        <f t="shared" si="28"/>
        <v>8208.8608800000002</v>
      </c>
      <c r="U284" s="33">
        <f t="shared" si="29"/>
        <v>7480.7999999999993</v>
      </c>
      <c r="V284" s="43">
        <f t="shared" si="32"/>
        <v>728.06088000000091</v>
      </c>
      <c r="W284" s="45">
        <f t="shared" si="33"/>
        <v>8.8692071974790357E-2</v>
      </c>
    </row>
    <row r="285" spans="1:23" x14ac:dyDescent="0.3">
      <c r="A285" s="34" t="s">
        <v>670</v>
      </c>
      <c r="B285" s="35">
        <v>45304</v>
      </c>
      <c r="C285" s="36">
        <v>45327</v>
      </c>
      <c r="D285" s="37">
        <f t="shared" si="34"/>
        <v>23</v>
      </c>
      <c r="E285" s="37" t="str">
        <f>TEXT(Data!B285,"MMM-YYYY")</f>
        <v>Jan-2024</v>
      </c>
      <c r="F285" s="37" t="str">
        <f t="shared" si="30"/>
        <v>Q1-2024</v>
      </c>
      <c r="G285" s="32" t="s">
        <v>78</v>
      </c>
      <c r="H285" s="32" t="s">
        <v>79</v>
      </c>
      <c r="I285" s="32" t="s">
        <v>335</v>
      </c>
      <c r="J285" s="32" t="s">
        <v>27</v>
      </c>
      <c r="K285" s="32" t="s">
        <v>98</v>
      </c>
      <c r="L285" s="32" t="s">
        <v>56</v>
      </c>
      <c r="M285" s="32" t="s">
        <v>57</v>
      </c>
      <c r="N285" s="32" t="s">
        <v>671</v>
      </c>
      <c r="O285" s="37">
        <v>1017.93</v>
      </c>
      <c r="P285" s="38" t="str">
        <f t="shared" si="31"/>
        <v>High</v>
      </c>
      <c r="Q285" s="37">
        <v>1529.14</v>
      </c>
      <c r="R285" s="37">
        <v>0.155</v>
      </c>
      <c r="S285" s="37">
        <v>12</v>
      </c>
      <c r="T285" s="37">
        <f t="shared" si="28"/>
        <v>31932.989400000002</v>
      </c>
      <c r="U285" s="32">
        <f t="shared" si="29"/>
        <v>12215.16</v>
      </c>
      <c r="V285" s="37">
        <f t="shared" si="32"/>
        <v>19717.829400000002</v>
      </c>
      <c r="W285" s="39">
        <f t="shared" si="33"/>
        <v>0.61747521201381794</v>
      </c>
    </row>
    <row r="286" spans="1:23" x14ac:dyDescent="0.3">
      <c r="A286" s="40" t="s">
        <v>672</v>
      </c>
      <c r="B286" s="41">
        <v>45101</v>
      </c>
      <c r="C286" s="42">
        <v>45128</v>
      </c>
      <c r="D286" s="43">
        <f t="shared" si="34"/>
        <v>27</v>
      </c>
      <c r="E286" s="43" t="str">
        <f>TEXT(Data!B286,"MMM-YYYY")</f>
        <v>Jun-2023</v>
      </c>
      <c r="F286" s="43" t="str">
        <f t="shared" si="30"/>
        <v>Q2-2023</v>
      </c>
      <c r="G286" s="33" t="s">
        <v>45</v>
      </c>
      <c r="H286" s="33" t="s">
        <v>46</v>
      </c>
      <c r="I286" s="33" t="s">
        <v>231</v>
      </c>
      <c r="J286" s="33" t="s">
        <v>48</v>
      </c>
      <c r="K286" s="33" t="s">
        <v>40</v>
      </c>
      <c r="L286" s="33" t="s">
        <v>29</v>
      </c>
      <c r="M286" s="33" t="s">
        <v>42</v>
      </c>
      <c r="N286" s="33" t="s">
        <v>673</v>
      </c>
      <c r="O286" s="43">
        <v>554.76</v>
      </c>
      <c r="P286" s="44" t="str">
        <f t="shared" si="31"/>
        <v>High</v>
      </c>
      <c r="Q286" s="43">
        <v>728.69</v>
      </c>
      <c r="R286" s="43">
        <v>0.22</v>
      </c>
      <c r="S286" s="43">
        <v>7</v>
      </c>
      <c r="T286" s="43">
        <f t="shared" si="28"/>
        <v>314.11380000000003</v>
      </c>
      <c r="U286" s="33">
        <f t="shared" si="29"/>
        <v>3883.3199999999997</v>
      </c>
      <c r="V286" s="43">
        <f t="shared" si="32"/>
        <v>-3569.2061999999996</v>
      </c>
      <c r="W286" s="45">
        <f t="shared" si="33"/>
        <v>-11.362780622818862</v>
      </c>
    </row>
    <row r="287" spans="1:23" x14ac:dyDescent="0.3">
      <c r="A287" s="34" t="s">
        <v>674</v>
      </c>
      <c r="B287" s="35">
        <v>45751</v>
      </c>
      <c r="C287" s="36">
        <v>45760</v>
      </c>
      <c r="D287" s="37">
        <f t="shared" si="34"/>
        <v>9</v>
      </c>
      <c r="E287" s="37" t="str">
        <f>TEXT(Data!B287,"MMM-YYYY")</f>
        <v>Apr-2025</v>
      </c>
      <c r="F287" s="37" t="str">
        <f t="shared" si="30"/>
        <v>Q2-2025</v>
      </c>
      <c r="G287" s="32" t="s">
        <v>78</v>
      </c>
      <c r="H287" s="32" t="s">
        <v>79</v>
      </c>
      <c r="I287" s="32" t="s">
        <v>159</v>
      </c>
      <c r="J287" s="32" t="s">
        <v>48</v>
      </c>
      <c r="K287" s="32" t="s">
        <v>40</v>
      </c>
      <c r="L287" s="32" t="s">
        <v>84</v>
      </c>
      <c r="M287" s="32" t="s">
        <v>42</v>
      </c>
      <c r="N287" s="32" t="s">
        <v>675</v>
      </c>
      <c r="O287" s="37">
        <v>7.02</v>
      </c>
      <c r="P287" s="38" t="str">
        <f t="shared" si="31"/>
        <v>Low</v>
      </c>
      <c r="Q287" s="37">
        <v>6.28</v>
      </c>
      <c r="R287" s="37">
        <v>0.13400000000000001</v>
      </c>
      <c r="S287" s="37">
        <v>14</v>
      </c>
      <c r="T287" s="37">
        <f t="shared" si="28"/>
        <v>9999.9964400000008</v>
      </c>
      <c r="U287" s="32">
        <f t="shared" si="29"/>
        <v>98.28</v>
      </c>
      <c r="V287" s="37">
        <f t="shared" si="32"/>
        <v>9901.7164400000001</v>
      </c>
      <c r="W287" s="39">
        <f t="shared" si="33"/>
        <v>0.99017199650123067</v>
      </c>
    </row>
    <row r="288" spans="1:23" x14ac:dyDescent="0.3">
      <c r="A288" s="40" t="s">
        <v>676</v>
      </c>
      <c r="B288" s="41">
        <v>45542</v>
      </c>
      <c r="C288" s="42">
        <v>45542</v>
      </c>
      <c r="D288" s="43">
        <f t="shared" si="34"/>
        <v>0</v>
      </c>
      <c r="E288" s="43" t="str">
        <f>TEXT(Data!B288,"MMM-YYYY")</f>
        <v>Sep-2024</v>
      </c>
      <c r="F288" s="43" t="str">
        <f t="shared" si="30"/>
        <v>Q3-2024</v>
      </c>
      <c r="G288" s="33" t="s">
        <v>45</v>
      </c>
      <c r="H288" s="33" t="s">
        <v>60</v>
      </c>
      <c r="I288" s="33" t="s">
        <v>220</v>
      </c>
      <c r="J288" s="33" t="s">
        <v>27</v>
      </c>
      <c r="K288" s="33" t="s">
        <v>55</v>
      </c>
      <c r="L288" s="33" t="s">
        <v>56</v>
      </c>
      <c r="M288" s="33" t="s">
        <v>35</v>
      </c>
      <c r="N288" s="33" t="s">
        <v>677</v>
      </c>
      <c r="O288" s="43">
        <v>1066.6500000000001</v>
      </c>
      <c r="P288" s="44" t="str">
        <f t="shared" si="31"/>
        <v>High</v>
      </c>
      <c r="Q288" s="43">
        <v>2569.77</v>
      </c>
      <c r="R288" s="43">
        <v>0.13400000000000001</v>
      </c>
      <c r="S288" s="43">
        <v>9</v>
      </c>
      <c r="T288" s="43">
        <f t="shared" si="28"/>
        <v>11640.572819999999</v>
      </c>
      <c r="U288" s="33">
        <f t="shared" si="29"/>
        <v>9599.85</v>
      </c>
      <c r="V288" s="43">
        <f t="shared" si="32"/>
        <v>2040.722819999999</v>
      </c>
      <c r="W288" s="45">
        <f t="shared" si="33"/>
        <v>0.17531120259767416</v>
      </c>
    </row>
    <row r="289" spans="1:23" x14ac:dyDescent="0.3">
      <c r="A289" s="34" t="s">
        <v>678</v>
      </c>
      <c r="B289" s="35">
        <v>45319</v>
      </c>
      <c r="C289" s="36">
        <v>45321</v>
      </c>
      <c r="D289" s="37">
        <f t="shared" si="34"/>
        <v>2</v>
      </c>
      <c r="E289" s="37" t="str">
        <f>TEXT(Data!B289,"MMM-YYYY")</f>
        <v>Jan-2024</v>
      </c>
      <c r="F289" s="37" t="str">
        <f t="shared" si="30"/>
        <v>Q1-2024</v>
      </c>
      <c r="G289" s="32" t="s">
        <v>16</v>
      </c>
      <c r="H289" s="32" t="s">
        <v>148</v>
      </c>
      <c r="I289" s="32" t="s">
        <v>258</v>
      </c>
      <c r="J289" s="32" t="s">
        <v>48</v>
      </c>
      <c r="K289" s="32" t="s">
        <v>98</v>
      </c>
      <c r="L289" s="32" t="s">
        <v>84</v>
      </c>
      <c r="M289" s="32" t="s">
        <v>81</v>
      </c>
      <c r="N289" s="32" t="s">
        <v>679</v>
      </c>
      <c r="O289" s="37">
        <v>798.45</v>
      </c>
      <c r="P289" s="38" t="str">
        <f t="shared" si="31"/>
        <v>High</v>
      </c>
      <c r="Q289" s="37">
        <v>1592.02</v>
      </c>
      <c r="R289" s="37">
        <v>6.6000000000000003E-2</v>
      </c>
      <c r="S289" s="37">
        <v>18</v>
      </c>
      <c r="T289" s="37">
        <f t="shared" si="28"/>
        <v>12473.159039999999</v>
      </c>
      <c r="U289" s="32">
        <f t="shared" si="29"/>
        <v>14372.1</v>
      </c>
      <c r="V289" s="37">
        <f t="shared" si="32"/>
        <v>-1898.9409600000017</v>
      </c>
      <c r="W289" s="39">
        <f t="shared" si="33"/>
        <v>-0.15224218290733843</v>
      </c>
    </row>
    <row r="290" spans="1:23" x14ac:dyDescent="0.3">
      <c r="A290" s="40" t="s">
        <v>680</v>
      </c>
      <c r="B290" s="41">
        <v>45125</v>
      </c>
      <c r="C290" s="42">
        <v>45148</v>
      </c>
      <c r="D290" s="43">
        <f t="shared" si="34"/>
        <v>23</v>
      </c>
      <c r="E290" s="43" t="str">
        <f>TEXT(Data!B290,"MMM-YYYY")</f>
        <v>Jul-2023</v>
      </c>
      <c r="F290" s="43" t="str">
        <f t="shared" si="30"/>
        <v>Q3-2023</v>
      </c>
      <c r="G290" s="33" t="s">
        <v>16</v>
      </c>
      <c r="H290" s="33" t="s">
        <v>148</v>
      </c>
      <c r="I290" s="33" t="s">
        <v>149</v>
      </c>
      <c r="J290" s="33" t="s">
        <v>62</v>
      </c>
      <c r="K290" s="33" t="s">
        <v>20</v>
      </c>
      <c r="L290" s="33" t="s">
        <v>49</v>
      </c>
      <c r="M290" s="33" t="s">
        <v>22</v>
      </c>
      <c r="N290" s="33" t="s">
        <v>681</v>
      </c>
      <c r="O290" s="43">
        <v>1271.56</v>
      </c>
      <c r="P290" s="44" t="str">
        <f t="shared" si="31"/>
        <v>High</v>
      </c>
      <c r="Q290" s="43">
        <v>995.47</v>
      </c>
      <c r="R290" s="43">
        <v>0.192</v>
      </c>
      <c r="S290" s="43">
        <v>13</v>
      </c>
      <c r="T290" s="43">
        <f t="shared" si="28"/>
        <v>7796.3839200000002</v>
      </c>
      <c r="U290" s="33">
        <f t="shared" si="29"/>
        <v>16530.28</v>
      </c>
      <c r="V290" s="43">
        <f t="shared" si="32"/>
        <v>-8733.8960799999986</v>
      </c>
      <c r="W290" s="45">
        <f t="shared" si="33"/>
        <v>-1.1202496143878966</v>
      </c>
    </row>
    <row r="291" spans="1:23" x14ac:dyDescent="0.3">
      <c r="A291" s="34" t="s">
        <v>682</v>
      </c>
      <c r="B291" s="35">
        <v>45897</v>
      </c>
      <c r="C291" s="36">
        <v>45895</v>
      </c>
      <c r="D291" s="37">
        <f>DATEDIF(C291,B291, "MD")</f>
        <v>2</v>
      </c>
      <c r="E291" s="37" t="str">
        <f>TEXT(Data!B291,"MMM-YYYY")</f>
        <v>Aug-2025</v>
      </c>
      <c r="F291" s="37" t="str">
        <f t="shared" si="30"/>
        <v>Q3-2025</v>
      </c>
      <c r="G291" s="32" t="s">
        <v>16</v>
      </c>
      <c r="H291" s="32" t="s">
        <v>25</v>
      </c>
      <c r="I291" s="32" t="s">
        <v>26</v>
      </c>
      <c r="J291" s="32" t="s">
        <v>62</v>
      </c>
      <c r="K291" s="32" t="s">
        <v>20</v>
      </c>
      <c r="L291" s="32" t="s">
        <v>75</v>
      </c>
      <c r="M291" s="32" t="s">
        <v>81</v>
      </c>
      <c r="N291" s="32" t="s">
        <v>683</v>
      </c>
      <c r="O291" s="37">
        <v>521.05999999999995</v>
      </c>
      <c r="P291" s="38" t="str">
        <f t="shared" si="31"/>
        <v>High</v>
      </c>
      <c r="Q291" s="37">
        <v>1240.31</v>
      </c>
      <c r="R291" s="37">
        <v>0.14599999999999999</v>
      </c>
      <c r="S291" s="37">
        <v>18</v>
      </c>
      <c r="T291" s="37">
        <f t="shared" si="28"/>
        <v>7371.4888800000008</v>
      </c>
      <c r="U291" s="32">
        <f t="shared" si="29"/>
        <v>9379.0799999999981</v>
      </c>
      <c r="V291" s="37">
        <f t="shared" si="32"/>
        <v>-2007.5911199999973</v>
      </c>
      <c r="W291" s="39">
        <f t="shared" si="33"/>
        <v>-0.27234540439271437</v>
      </c>
    </row>
    <row r="292" spans="1:23" x14ac:dyDescent="0.3">
      <c r="A292" s="40" t="s">
        <v>684</v>
      </c>
      <c r="B292" s="41">
        <v>45746</v>
      </c>
      <c r="C292" s="42">
        <v>45754</v>
      </c>
      <c r="D292" s="43">
        <f t="shared" si="34"/>
        <v>8</v>
      </c>
      <c r="E292" s="43" t="str">
        <f>TEXT(Data!B292,"MMM-YYYY")</f>
        <v>Mar-2025</v>
      </c>
      <c r="F292" s="43" t="str">
        <f t="shared" si="30"/>
        <v>Q1-2025</v>
      </c>
      <c r="G292" s="33" t="s">
        <v>52</v>
      </c>
      <c r="H292" s="33" t="s">
        <v>73</v>
      </c>
      <c r="I292" s="33" t="s">
        <v>74</v>
      </c>
      <c r="J292" s="33" t="s">
        <v>39</v>
      </c>
      <c r="K292" s="33" t="s">
        <v>98</v>
      </c>
      <c r="L292" s="33" t="s">
        <v>49</v>
      </c>
      <c r="M292" s="33" t="s">
        <v>30</v>
      </c>
      <c r="N292" s="33" t="s">
        <v>685</v>
      </c>
      <c r="O292" s="43">
        <v>71.62</v>
      </c>
      <c r="P292" s="44" t="str">
        <f t="shared" si="31"/>
        <v>Medium</v>
      </c>
      <c r="Q292" s="43">
        <v>118.37</v>
      </c>
      <c r="R292" s="43">
        <v>0.156</v>
      </c>
      <c r="S292" s="43">
        <v>11</v>
      </c>
      <c r="T292" s="43">
        <f t="shared" si="28"/>
        <v>10911.020999999999</v>
      </c>
      <c r="U292" s="33">
        <f t="shared" si="29"/>
        <v>787.82</v>
      </c>
      <c r="V292" s="43">
        <f t="shared" si="32"/>
        <v>10123.200999999999</v>
      </c>
      <c r="W292" s="45">
        <f t="shared" si="33"/>
        <v>0.92779594136973986</v>
      </c>
    </row>
    <row r="293" spans="1:23" x14ac:dyDescent="0.3">
      <c r="A293" s="34" t="s">
        <v>686</v>
      </c>
      <c r="B293" s="35">
        <v>45220</v>
      </c>
      <c r="C293" s="36">
        <v>45239</v>
      </c>
      <c r="D293" s="37">
        <f t="shared" si="34"/>
        <v>19</v>
      </c>
      <c r="E293" s="37" t="str">
        <f>TEXT(Data!B293,"MMM-YYYY")</f>
        <v>Oct-2023</v>
      </c>
      <c r="F293" s="37" t="str">
        <f t="shared" si="30"/>
        <v>Q4-2023</v>
      </c>
      <c r="G293" s="32" t="s">
        <v>78</v>
      </c>
      <c r="H293" s="32" t="s">
        <v>108</v>
      </c>
      <c r="I293" s="32" t="s">
        <v>152</v>
      </c>
      <c r="J293" s="32" t="s">
        <v>39</v>
      </c>
      <c r="K293" s="32" t="s">
        <v>98</v>
      </c>
      <c r="L293" s="32" t="s">
        <v>75</v>
      </c>
      <c r="M293" s="32" t="s">
        <v>81</v>
      </c>
      <c r="N293" s="32" t="s">
        <v>687</v>
      </c>
      <c r="O293" s="37">
        <v>1142.48</v>
      </c>
      <c r="P293" s="38" t="str">
        <f t="shared" si="31"/>
        <v>High</v>
      </c>
      <c r="Q293" s="37">
        <v>2105.5300000000002</v>
      </c>
      <c r="R293" s="37">
        <v>0.20699999999999999</v>
      </c>
      <c r="S293" s="37">
        <v>14</v>
      </c>
      <c r="T293" s="37">
        <f t="shared" si="28"/>
        <v>2525.1498999999999</v>
      </c>
      <c r="U293" s="32">
        <f t="shared" si="29"/>
        <v>15994.720000000001</v>
      </c>
      <c r="V293" s="37">
        <f t="shared" si="32"/>
        <v>-13469.570100000001</v>
      </c>
      <c r="W293" s="39">
        <f t="shared" si="33"/>
        <v>-5.3341665379944381</v>
      </c>
    </row>
    <row r="294" spans="1:23" x14ac:dyDescent="0.3">
      <c r="A294" s="40" t="s">
        <v>688</v>
      </c>
      <c r="B294" s="41">
        <v>45161</v>
      </c>
      <c r="C294" s="42">
        <v>45191</v>
      </c>
      <c r="D294" s="43">
        <f t="shared" si="34"/>
        <v>30</v>
      </c>
      <c r="E294" s="43" t="str">
        <f>TEXT(Data!B294,"MMM-YYYY")</f>
        <v>Aug-2023</v>
      </c>
      <c r="F294" s="43" t="str">
        <f t="shared" si="30"/>
        <v>Q3-2023</v>
      </c>
      <c r="G294" s="33" t="s">
        <v>78</v>
      </c>
      <c r="H294" s="33" t="s">
        <v>108</v>
      </c>
      <c r="I294" s="33" t="s">
        <v>152</v>
      </c>
      <c r="J294" s="33" t="s">
        <v>48</v>
      </c>
      <c r="K294" s="33" t="s">
        <v>55</v>
      </c>
      <c r="L294" s="33" t="s">
        <v>68</v>
      </c>
      <c r="M294" s="33" t="s">
        <v>81</v>
      </c>
      <c r="N294" s="33" t="s">
        <v>689</v>
      </c>
      <c r="O294" s="43">
        <v>209.81</v>
      </c>
      <c r="P294" s="44" t="str">
        <f t="shared" si="31"/>
        <v>High</v>
      </c>
      <c r="Q294" s="43">
        <v>523</v>
      </c>
      <c r="R294" s="43">
        <v>5.8999999999999997E-2</v>
      </c>
      <c r="S294" s="43">
        <v>15</v>
      </c>
      <c r="T294" s="43">
        <f t="shared" si="28"/>
        <v>16636.221300000001</v>
      </c>
      <c r="U294" s="33">
        <f t="shared" si="29"/>
        <v>3147.15</v>
      </c>
      <c r="V294" s="43">
        <f t="shared" si="32"/>
        <v>13489.071300000001</v>
      </c>
      <c r="W294" s="45">
        <f t="shared" si="33"/>
        <v>0.81082543065233215</v>
      </c>
    </row>
    <row r="295" spans="1:23" x14ac:dyDescent="0.3">
      <c r="A295" s="34" t="s">
        <v>690</v>
      </c>
      <c r="B295" s="35">
        <v>45758</v>
      </c>
      <c r="C295" s="36">
        <v>45781</v>
      </c>
      <c r="D295" s="37">
        <f t="shared" si="34"/>
        <v>23</v>
      </c>
      <c r="E295" s="37" t="str">
        <f>TEXT(Data!B295,"MMM-YYYY")</f>
        <v>Apr-2025</v>
      </c>
      <c r="F295" s="37" t="str">
        <f t="shared" si="30"/>
        <v>Q2-2025</v>
      </c>
      <c r="G295" s="32" t="s">
        <v>45</v>
      </c>
      <c r="H295" s="32" t="s">
        <v>46</v>
      </c>
      <c r="I295" s="32" t="s">
        <v>47</v>
      </c>
      <c r="J295" s="32" t="s">
        <v>62</v>
      </c>
      <c r="K295" s="32" t="s">
        <v>28</v>
      </c>
      <c r="L295" s="32" t="s">
        <v>110</v>
      </c>
      <c r="M295" s="32" t="s">
        <v>22</v>
      </c>
      <c r="N295" s="32" t="s">
        <v>691</v>
      </c>
      <c r="O295" s="37">
        <v>786.2</v>
      </c>
      <c r="P295" s="38" t="str">
        <f t="shared" si="31"/>
        <v>High</v>
      </c>
      <c r="Q295" s="37">
        <v>1075.3</v>
      </c>
      <c r="R295" s="37">
        <v>0.08</v>
      </c>
      <c r="S295" s="37">
        <v>9</v>
      </c>
      <c r="T295" s="37">
        <f t="shared" si="28"/>
        <v>20054.987999999998</v>
      </c>
      <c r="U295" s="32">
        <f t="shared" si="29"/>
        <v>7075.8</v>
      </c>
      <c r="V295" s="37">
        <f t="shared" si="32"/>
        <v>12979.187999999998</v>
      </c>
      <c r="W295" s="39">
        <f t="shared" si="33"/>
        <v>0.64718004318925548</v>
      </c>
    </row>
    <row r="296" spans="1:23" x14ac:dyDescent="0.3">
      <c r="A296" s="40" t="s">
        <v>692</v>
      </c>
      <c r="B296" s="41">
        <v>45809</v>
      </c>
      <c r="C296" s="42">
        <v>45835</v>
      </c>
      <c r="D296" s="43">
        <f t="shared" si="34"/>
        <v>26</v>
      </c>
      <c r="E296" s="43" t="str">
        <f>TEXT(Data!B296,"MMM-YYYY")</f>
        <v>Jun-2025</v>
      </c>
      <c r="F296" s="43" t="str">
        <f t="shared" si="30"/>
        <v>Q2-2025</v>
      </c>
      <c r="G296" s="33" t="s">
        <v>78</v>
      </c>
      <c r="H296" s="33" t="s">
        <v>79</v>
      </c>
      <c r="I296" s="33" t="s">
        <v>159</v>
      </c>
      <c r="J296" s="33" t="s">
        <v>48</v>
      </c>
      <c r="K296" s="33" t="s">
        <v>55</v>
      </c>
      <c r="L296" s="33" t="s">
        <v>63</v>
      </c>
      <c r="M296" s="33" t="s">
        <v>57</v>
      </c>
      <c r="N296" s="33" t="s">
        <v>693</v>
      </c>
      <c r="O296" s="43">
        <v>1362.31</v>
      </c>
      <c r="P296" s="44" t="str">
        <f t="shared" si="31"/>
        <v>High</v>
      </c>
      <c r="Q296" s="43">
        <v>3294.57</v>
      </c>
      <c r="R296" s="43">
        <v>0.113</v>
      </c>
      <c r="S296" s="43">
        <v>7</v>
      </c>
      <c r="T296" s="43">
        <f t="shared" si="28"/>
        <v>2693.96092</v>
      </c>
      <c r="U296" s="33">
        <f t="shared" si="29"/>
        <v>9536.17</v>
      </c>
      <c r="V296" s="43">
        <f t="shared" si="32"/>
        <v>-6842.2090800000005</v>
      </c>
      <c r="W296" s="45">
        <f t="shared" si="33"/>
        <v>-2.5398323447097373</v>
      </c>
    </row>
    <row r="297" spans="1:23" x14ac:dyDescent="0.3">
      <c r="A297" s="34" t="s">
        <v>694</v>
      </c>
      <c r="B297" s="35">
        <v>45353</v>
      </c>
      <c r="C297" s="36">
        <v>45367</v>
      </c>
      <c r="D297" s="37">
        <f t="shared" si="34"/>
        <v>14</v>
      </c>
      <c r="E297" s="37" t="str">
        <f>TEXT(Data!B297,"MMM-YYYY")</f>
        <v>Mar-2024</v>
      </c>
      <c r="F297" s="37" t="str">
        <f t="shared" si="30"/>
        <v>Q1-2024</v>
      </c>
      <c r="G297" s="32" t="s">
        <v>52</v>
      </c>
      <c r="H297" s="32" t="s">
        <v>53</v>
      </c>
      <c r="I297" s="32" t="s">
        <v>179</v>
      </c>
      <c r="J297" s="32" t="s">
        <v>39</v>
      </c>
      <c r="K297" s="32" t="s">
        <v>98</v>
      </c>
      <c r="L297" s="32" t="s">
        <v>68</v>
      </c>
      <c r="M297" s="32" t="s">
        <v>30</v>
      </c>
      <c r="N297" s="32" t="s">
        <v>695</v>
      </c>
      <c r="O297" s="37">
        <v>248.24</v>
      </c>
      <c r="P297" s="38" t="str">
        <f t="shared" si="31"/>
        <v>High</v>
      </c>
      <c r="Q297" s="37">
        <v>464.05</v>
      </c>
      <c r="R297" s="37">
        <v>0.16900000000000001</v>
      </c>
      <c r="S297" s="37">
        <v>11</v>
      </c>
      <c r="T297" s="37">
        <f t="shared" si="28"/>
        <v>28786.197329999999</v>
      </c>
      <c r="U297" s="32">
        <f t="shared" si="29"/>
        <v>2730.6400000000003</v>
      </c>
      <c r="V297" s="37">
        <f t="shared" si="32"/>
        <v>26055.55733</v>
      </c>
      <c r="W297" s="39">
        <f t="shared" si="33"/>
        <v>0.90514064887777934</v>
      </c>
    </row>
    <row r="298" spans="1:23" x14ac:dyDescent="0.3">
      <c r="A298" s="40" t="s">
        <v>696</v>
      </c>
      <c r="B298" s="41">
        <v>45097</v>
      </c>
      <c r="C298" s="42">
        <v>45115</v>
      </c>
      <c r="D298" s="43">
        <f t="shared" si="34"/>
        <v>18</v>
      </c>
      <c r="E298" s="43" t="str">
        <f>TEXT(Data!B298,"MMM-YYYY")</f>
        <v>Jun-2023</v>
      </c>
      <c r="F298" s="43" t="str">
        <f t="shared" si="30"/>
        <v>Q2-2023</v>
      </c>
      <c r="G298" s="33" t="s">
        <v>52</v>
      </c>
      <c r="H298" s="33" t="s">
        <v>122</v>
      </c>
      <c r="I298" s="33" t="s">
        <v>326</v>
      </c>
      <c r="J298" s="33" t="s">
        <v>39</v>
      </c>
      <c r="K298" s="33" t="s">
        <v>98</v>
      </c>
      <c r="L298" s="33" t="s">
        <v>84</v>
      </c>
      <c r="M298" s="33" t="s">
        <v>64</v>
      </c>
      <c r="N298" s="33" t="s">
        <v>697</v>
      </c>
      <c r="O298" s="43">
        <v>337</v>
      </c>
      <c r="P298" s="44" t="str">
        <f t="shared" si="31"/>
        <v>High</v>
      </c>
      <c r="Q298" s="43">
        <v>511.03</v>
      </c>
      <c r="R298" s="43">
        <v>0.108</v>
      </c>
      <c r="S298" s="43">
        <v>7</v>
      </c>
      <c r="T298" s="43">
        <f t="shared" si="28"/>
        <v>409.91860000000008</v>
      </c>
      <c r="U298" s="33">
        <f t="shared" si="29"/>
        <v>2359</v>
      </c>
      <c r="V298" s="43">
        <f t="shared" si="32"/>
        <v>-1949.0814</v>
      </c>
      <c r="W298" s="45">
        <f t="shared" si="33"/>
        <v>-4.7548010751402829</v>
      </c>
    </row>
    <row r="299" spans="1:23" x14ac:dyDescent="0.3">
      <c r="A299" s="34" t="s">
        <v>698</v>
      </c>
      <c r="B299" s="35">
        <v>45377</v>
      </c>
      <c r="C299" s="36">
        <v>45387</v>
      </c>
      <c r="D299" s="37">
        <f t="shared" si="34"/>
        <v>10</v>
      </c>
      <c r="E299" s="37" t="str">
        <f>TEXT(Data!B299,"MMM-YYYY")</f>
        <v>Mar-2024</v>
      </c>
      <c r="F299" s="37" t="str">
        <f t="shared" si="30"/>
        <v>Q1-2024</v>
      </c>
      <c r="G299" s="32" t="s">
        <v>52</v>
      </c>
      <c r="H299" s="32" t="s">
        <v>122</v>
      </c>
      <c r="I299" s="32" t="s">
        <v>326</v>
      </c>
      <c r="J299" s="32" t="s">
        <v>48</v>
      </c>
      <c r="K299" s="32" t="s">
        <v>98</v>
      </c>
      <c r="L299" s="32" t="s">
        <v>29</v>
      </c>
      <c r="M299" s="32" t="s">
        <v>64</v>
      </c>
      <c r="N299" s="32" t="s">
        <v>699</v>
      </c>
      <c r="O299" s="37">
        <v>5.66</v>
      </c>
      <c r="P299" s="38" t="str">
        <f t="shared" si="31"/>
        <v>Low</v>
      </c>
      <c r="Q299" s="37">
        <v>4.22</v>
      </c>
      <c r="R299" s="37">
        <v>0.11899999999999999</v>
      </c>
      <c r="S299" s="37">
        <v>18</v>
      </c>
      <c r="T299" s="37">
        <f t="shared" si="28"/>
        <v>39520.356119999997</v>
      </c>
      <c r="U299" s="32">
        <f t="shared" si="29"/>
        <v>101.88</v>
      </c>
      <c r="V299" s="37">
        <f t="shared" si="32"/>
        <v>39418.476119999999</v>
      </c>
      <c r="W299" s="39">
        <f t="shared" si="33"/>
        <v>0.99742208800723742</v>
      </c>
    </row>
    <row r="300" spans="1:23" x14ac:dyDescent="0.3">
      <c r="A300" s="40" t="s">
        <v>700</v>
      </c>
      <c r="B300" s="41">
        <v>45679</v>
      </c>
      <c r="C300" s="42">
        <v>45679</v>
      </c>
      <c r="D300" s="43">
        <f t="shared" si="34"/>
        <v>0</v>
      </c>
      <c r="E300" s="43" t="str">
        <f>TEXT(Data!B300,"MMM-YYYY")</f>
        <v>Jan-2025</v>
      </c>
      <c r="F300" s="43" t="str">
        <f t="shared" si="30"/>
        <v>Q1-2025</v>
      </c>
      <c r="G300" s="33" t="s">
        <v>78</v>
      </c>
      <c r="H300" s="33" t="s">
        <v>90</v>
      </c>
      <c r="I300" s="33" t="s">
        <v>138</v>
      </c>
      <c r="J300" s="33" t="s">
        <v>62</v>
      </c>
      <c r="K300" s="33" t="s">
        <v>28</v>
      </c>
      <c r="L300" s="33" t="s">
        <v>56</v>
      </c>
      <c r="M300" s="33" t="s">
        <v>81</v>
      </c>
      <c r="N300" s="33" t="s">
        <v>701</v>
      </c>
      <c r="O300" s="43">
        <v>591.72</v>
      </c>
      <c r="P300" s="44" t="str">
        <f t="shared" si="31"/>
        <v>High</v>
      </c>
      <c r="Q300" s="43">
        <v>577.24</v>
      </c>
      <c r="R300" s="43">
        <v>0</v>
      </c>
      <c r="S300" s="43">
        <v>22</v>
      </c>
      <c r="T300" s="43">
        <f t="shared" si="28"/>
        <v>20500.48</v>
      </c>
      <c r="U300" s="33">
        <f t="shared" si="29"/>
        <v>13017.84</v>
      </c>
      <c r="V300" s="43">
        <f t="shared" si="32"/>
        <v>7482.6399999999994</v>
      </c>
      <c r="W300" s="45">
        <f t="shared" si="33"/>
        <v>0.36499828296703296</v>
      </c>
    </row>
    <row r="301" spans="1:23" x14ac:dyDescent="0.3">
      <c r="A301" s="34" t="s">
        <v>702</v>
      </c>
      <c r="B301" s="35">
        <v>45787</v>
      </c>
      <c r="C301" s="36">
        <v>45804</v>
      </c>
      <c r="D301" s="37">
        <f t="shared" si="34"/>
        <v>17</v>
      </c>
      <c r="E301" s="37" t="str">
        <f>TEXT(Data!B301,"MMM-YYYY")</f>
        <v>May-2025</v>
      </c>
      <c r="F301" s="37" t="str">
        <f t="shared" si="30"/>
        <v>Q2-2025</v>
      </c>
      <c r="G301" s="32" t="s">
        <v>52</v>
      </c>
      <c r="H301" s="32" t="s">
        <v>53</v>
      </c>
      <c r="I301" s="32" t="s">
        <v>179</v>
      </c>
      <c r="J301" s="32" t="s">
        <v>27</v>
      </c>
      <c r="K301" s="32" t="s">
        <v>98</v>
      </c>
      <c r="L301" s="32" t="s">
        <v>21</v>
      </c>
      <c r="M301" s="32" t="s">
        <v>22</v>
      </c>
      <c r="N301" s="32" t="s">
        <v>703</v>
      </c>
      <c r="O301" s="37">
        <v>862.89</v>
      </c>
      <c r="P301" s="38" t="str">
        <f t="shared" si="31"/>
        <v>High</v>
      </c>
      <c r="Q301" s="37">
        <v>1426.03</v>
      </c>
      <c r="R301" s="37">
        <v>5.6000000000000001E-2</v>
      </c>
      <c r="S301" s="37">
        <v>19</v>
      </c>
      <c r="T301" s="37">
        <f t="shared" si="28"/>
        <v>11111.531359999999</v>
      </c>
      <c r="U301" s="32">
        <f t="shared" si="29"/>
        <v>16394.91</v>
      </c>
      <c r="V301" s="37">
        <f t="shared" si="32"/>
        <v>-5283.3786400000008</v>
      </c>
      <c r="W301" s="39">
        <f t="shared" si="33"/>
        <v>-0.4754860935747745</v>
      </c>
    </row>
    <row r="302" spans="1:23" x14ac:dyDescent="0.3">
      <c r="A302" s="40" t="s">
        <v>704</v>
      </c>
      <c r="B302" s="41">
        <v>45204</v>
      </c>
      <c r="C302" s="42">
        <v>45230</v>
      </c>
      <c r="D302" s="43">
        <f t="shared" si="34"/>
        <v>26</v>
      </c>
      <c r="E302" s="43" t="str">
        <f>TEXT(Data!B302,"MMM-YYYY")</f>
        <v>Oct-2023</v>
      </c>
      <c r="F302" s="43" t="str">
        <f t="shared" si="30"/>
        <v>Q4-2023</v>
      </c>
      <c r="G302" s="33" t="s">
        <v>45</v>
      </c>
      <c r="H302" s="33" t="s">
        <v>116</v>
      </c>
      <c r="I302" s="33" t="s">
        <v>162</v>
      </c>
      <c r="J302" s="33" t="s">
        <v>48</v>
      </c>
      <c r="K302" s="33" t="s">
        <v>1364</v>
      </c>
      <c r="L302" s="33" t="s">
        <v>29</v>
      </c>
      <c r="M302" s="33" t="s">
        <v>30</v>
      </c>
      <c r="N302" s="33" t="s">
        <v>705</v>
      </c>
      <c r="O302" s="43">
        <v>649.91</v>
      </c>
      <c r="P302" s="44" t="str">
        <f t="shared" si="31"/>
        <v>High</v>
      </c>
      <c r="Q302" s="43">
        <v>1360.12</v>
      </c>
      <c r="R302" s="43">
        <v>0.19400000000000001</v>
      </c>
      <c r="S302" s="43">
        <v>9</v>
      </c>
      <c r="T302" s="43">
        <f t="shared" si="28"/>
        <v>10311.923699999999</v>
      </c>
      <c r="U302" s="33">
        <f t="shared" si="29"/>
        <v>5849.19</v>
      </c>
      <c r="V302" s="43">
        <f t="shared" si="32"/>
        <v>4462.7336999999998</v>
      </c>
      <c r="W302" s="45">
        <f t="shared" si="33"/>
        <v>0.43277411953697836</v>
      </c>
    </row>
    <row r="303" spans="1:23" x14ac:dyDescent="0.3">
      <c r="A303" s="34" t="s">
        <v>706</v>
      </c>
      <c r="B303" s="35">
        <v>45125</v>
      </c>
      <c r="C303" s="36">
        <v>45129</v>
      </c>
      <c r="D303" s="37">
        <f t="shared" si="34"/>
        <v>4</v>
      </c>
      <c r="E303" s="37" t="str">
        <f>TEXT(Data!B303,"MMM-YYYY")</f>
        <v>Jul-2023</v>
      </c>
      <c r="F303" s="37" t="str">
        <f t="shared" si="30"/>
        <v>Q3-2023</v>
      </c>
      <c r="G303" s="32" t="s">
        <v>52</v>
      </c>
      <c r="H303" s="32" t="s">
        <v>73</v>
      </c>
      <c r="I303" s="32" t="s">
        <v>74</v>
      </c>
      <c r="J303" s="32" t="s">
        <v>48</v>
      </c>
      <c r="K303" s="32" t="s">
        <v>98</v>
      </c>
      <c r="L303" s="32" t="s">
        <v>84</v>
      </c>
      <c r="M303" s="32" t="s">
        <v>35</v>
      </c>
      <c r="N303" s="32" t="s">
        <v>707</v>
      </c>
      <c r="O303" s="37">
        <v>1269.55</v>
      </c>
      <c r="P303" s="38" t="str">
        <f t="shared" si="31"/>
        <v>High</v>
      </c>
      <c r="Q303" s="37">
        <v>2071.1</v>
      </c>
      <c r="R303" s="37">
        <v>0.129</v>
      </c>
      <c r="S303" s="37">
        <v>22</v>
      </c>
      <c r="T303" s="37">
        <f t="shared" si="28"/>
        <v>18252.954719999998</v>
      </c>
      <c r="U303" s="32">
        <f t="shared" si="29"/>
        <v>27930.1</v>
      </c>
      <c r="V303" s="37">
        <f t="shared" si="32"/>
        <v>-9677.1452800000006</v>
      </c>
      <c r="W303" s="39">
        <f t="shared" si="33"/>
        <v>-0.53016870027057195</v>
      </c>
    </row>
    <row r="304" spans="1:23" x14ac:dyDescent="0.3">
      <c r="A304" s="40" t="s">
        <v>708</v>
      </c>
      <c r="B304" s="41">
        <v>45830</v>
      </c>
      <c r="C304" s="42">
        <v>45846</v>
      </c>
      <c r="D304" s="43">
        <f t="shared" si="34"/>
        <v>16</v>
      </c>
      <c r="E304" s="43" t="str">
        <f>TEXT(Data!B304,"MMM-YYYY")</f>
        <v>Jun-2025</v>
      </c>
      <c r="F304" s="43" t="str">
        <f t="shared" si="30"/>
        <v>Q2-2025</v>
      </c>
      <c r="G304" s="33" t="s">
        <v>78</v>
      </c>
      <c r="H304" s="33" t="s">
        <v>108</v>
      </c>
      <c r="I304" s="33" t="s">
        <v>152</v>
      </c>
      <c r="J304" s="33" t="s">
        <v>27</v>
      </c>
      <c r="K304" s="33" t="s">
        <v>98</v>
      </c>
      <c r="L304" s="33" t="s">
        <v>75</v>
      </c>
      <c r="M304" s="33" t="s">
        <v>42</v>
      </c>
      <c r="N304" s="33" t="s">
        <v>709</v>
      </c>
      <c r="O304" s="43">
        <v>892.73</v>
      </c>
      <c r="P304" s="44" t="str">
        <f t="shared" si="31"/>
        <v>High</v>
      </c>
      <c r="Q304" s="43">
        <v>979.84</v>
      </c>
      <c r="R304" s="43">
        <v>0.17399999999999999</v>
      </c>
      <c r="S304" s="43">
        <v>10</v>
      </c>
      <c r="T304" s="43">
        <f t="shared" si="28"/>
        <v>26053.196400000001</v>
      </c>
      <c r="U304" s="33">
        <f t="shared" si="29"/>
        <v>8927.2999999999993</v>
      </c>
      <c r="V304" s="43">
        <f t="shared" si="32"/>
        <v>17125.896400000001</v>
      </c>
      <c r="W304" s="45">
        <f t="shared" si="33"/>
        <v>0.65734338839129935</v>
      </c>
    </row>
    <row r="305" spans="1:23" x14ac:dyDescent="0.3">
      <c r="A305" s="34" t="s">
        <v>710</v>
      </c>
      <c r="B305" s="35">
        <v>45462</v>
      </c>
      <c r="C305" s="36">
        <v>45463</v>
      </c>
      <c r="D305" s="37">
        <f t="shared" si="34"/>
        <v>1</v>
      </c>
      <c r="E305" s="37" t="str">
        <f>TEXT(Data!B305,"MMM-YYYY")</f>
        <v>Jun-2024</v>
      </c>
      <c r="F305" s="37" t="str">
        <f t="shared" si="30"/>
        <v>Q2-2024</v>
      </c>
      <c r="G305" s="32" t="s">
        <v>16</v>
      </c>
      <c r="H305" s="32" t="s">
        <v>17</v>
      </c>
      <c r="I305" s="32" t="s">
        <v>18</v>
      </c>
      <c r="J305" s="32" t="s">
        <v>62</v>
      </c>
      <c r="K305" s="32" t="s">
        <v>98</v>
      </c>
      <c r="L305" s="32" t="s">
        <v>29</v>
      </c>
      <c r="M305" s="32" t="s">
        <v>57</v>
      </c>
      <c r="N305" s="32" t="s">
        <v>711</v>
      </c>
      <c r="O305" s="37">
        <v>231.63</v>
      </c>
      <c r="P305" s="38" t="str">
        <f t="shared" si="31"/>
        <v>High</v>
      </c>
      <c r="Q305" s="37">
        <v>537.39</v>
      </c>
      <c r="R305" s="37">
        <v>0.08</v>
      </c>
      <c r="S305" s="37">
        <v>12</v>
      </c>
      <c r="T305" s="37">
        <f t="shared" si="28"/>
        <v>2496.5855999999999</v>
      </c>
      <c r="U305" s="32">
        <f t="shared" si="29"/>
        <v>2779.56</v>
      </c>
      <c r="V305" s="37">
        <f t="shared" si="32"/>
        <v>-282.97440000000006</v>
      </c>
      <c r="W305" s="39">
        <f t="shared" si="33"/>
        <v>-0.11334456146827093</v>
      </c>
    </row>
    <row r="306" spans="1:23" x14ac:dyDescent="0.3">
      <c r="A306" s="40" t="s">
        <v>712</v>
      </c>
      <c r="B306" s="41">
        <v>45756</v>
      </c>
      <c r="C306" s="42">
        <v>45759</v>
      </c>
      <c r="D306" s="43">
        <f t="shared" si="34"/>
        <v>3</v>
      </c>
      <c r="E306" s="43" t="str">
        <f>TEXT(Data!B306,"MMM-YYYY")</f>
        <v>Apr-2025</v>
      </c>
      <c r="F306" s="43" t="str">
        <f t="shared" si="30"/>
        <v>Q2-2025</v>
      </c>
      <c r="G306" s="33" t="s">
        <v>78</v>
      </c>
      <c r="H306" s="33" t="s">
        <v>90</v>
      </c>
      <c r="I306" s="33" t="s">
        <v>138</v>
      </c>
      <c r="J306" s="33" t="s">
        <v>62</v>
      </c>
      <c r="K306" s="33" t="s">
        <v>55</v>
      </c>
      <c r="L306" s="33" t="s">
        <v>92</v>
      </c>
      <c r="M306" s="33" t="s">
        <v>64</v>
      </c>
      <c r="N306" s="33" t="s">
        <v>713</v>
      </c>
      <c r="O306" s="43">
        <v>86.68</v>
      </c>
      <c r="P306" s="44" t="str">
        <f t="shared" si="31"/>
        <v>High</v>
      </c>
      <c r="Q306" s="43">
        <v>213.32</v>
      </c>
      <c r="R306" s="43">
        <v>3.7999999999999999E-2</v>
      </c>
      <c r="S306" s="43">
        <v>8</v>
      </c>
      <c r="T306" s="43">
        <f t="shared" si="28"/>
        <v>6818.0403199999992</v>
      </c>
      <c r="U306" s="33">
        <f t="shared" si="29"/>
        <v>693.44</v>
      </c>
      <c r="V306" s="43">
        <f t="shared" si="32"/>
        <v>6124.6003199999996</v>
      </c>
      <c r="W306" s="45">
        <f t="shared" si="33"/>
        <v>0.89829335594190218</v>
      </c>
    </row>
    <row r="307" spans="1:23" x14ac:dyDescent="0.3">
      <c r="A307" s="34" t="s">
        <v>714</v>
      </c>
      <c r="B307" s="35">
        <v>45741</v>
      </c>
      <c r="C307" s="36">
        <v>45742</v>
      </c>
      <c r="D307" s="37">
        <f t="shared" si="34"/>
        <v>1</v>
      </c>
      <c r="E307" s="37" t="str">
        <f>TEXT(Data!B307,"MMM-YYYY")</f>
        <v>Mar-2025</v>
      </c>
      <c r="F307" s="37" t="str">
        <f t="shared" si="30"/>
        <v>Q1-2025</v>
      </c>
      <c r="G307" s="32" t="s">
        <v>16</v>
      </c>
      <c r="H307" s="32" t="s">
        <v>25</v>
      </c>
      <c r="I307" s="32" t="s">
        <v>38</v>
      </c>
      <c r="J307" s="32" t="s">
        <v>27</v>
      </c>
      <c r="K307" s="32" t="s">
        <v>55</v>
      </c>
      <c r="L307" s="32" t="s">
        <v>41</v>
      </c>
      <c r="M307" s="32" t="s">
        <v>81</v>
      </c>
      <c r="N307" s="32" t="s">
        <v>715</v>
      </c>
      <c r="O307" s="37">
        <v>1450.43</v>
      </c>
      <c r="P307" s="38" t="str">
        <f t="shared" si="31"/>
        <v>High</v>
      </c>
      <c r="Q307" s="37">
        <v>1994.67</v>
      </c>
      <c r="R307" s="37">
        <v>0.1</v>
      </c>
      <c r="S307" s="37">
        <v>24</v>
      </c>
      <c r="T307" s="37">
        <f t="shared" si="28"/>
        <v>52560.144000000008</v>
      </c>
      <c r="U307" s="32">
        <f t="shared" si="29"/>
        <v>34810.32</v>
      </c>
      <c r="V307" s="37">
        <f t="shared" si="32"/>
        <v>17749.824000000008</v>
      </c>
      <c r="W307" s="39">
        <f t="shared" si="33"/>
        <v>0.33770501085385163</v>
      </c>
    </row>
    <row r="308" spans="1:23" x14ac:dyDescent="0.3">
      <c r="A308" s="40" t="s">
        <v>716</v>
      </c>
      <c r="B308" s="41">
        <v>45795</v>
      </c>
      <c r="C308" s="42">
        <v>45817</v>
      </c>
      <c r="D308" s="43">
        <f t="shared" si="34"/>
        <v>22</v>
      </c>
      <c r="E308" s="43" t="str">
        <f>TEXT(Data!B308,"MMM-YYYY")</f>
        <v>May-2025</v>
      </c>
      <c r="F308" s="43" t="str">
        <f t="shared" si="30"/>
        <v>Q2-2025</v>
      </c>
      <c r="G308" s="33" t="s">
        <v>52</v>
      </c>
      <c r="H308" s="33" t="s">
        <v>122</v>
      </c>
      <c r="I308" s="33" t="s">
        <v>387</v>
      </c>
      <c r="J308" s="33" t="s">
        <v>48</v>
      </c>
      <c r="K308" s="33" t="s">
        <v>20</v>
      </c>
      <c r="L308" s="33" t="s">
        <v>92</v>
      </c>
      <c r="M308" s="33" t="s">
        <v>35</v>
      </c>
      <c r="N308" s="33" t="s">
        <v>717</v>
      </c>
      <c r="O308" s="43">
        <v>382.96</v>
      </c>
      <c r="P308" s="44" t="str">
        <f t="shared" si="31"/>
        <v>High</v>
      </c>
      <c r="Q308" s="43">
        <v>552.84</v>
      </c>
      <c r="R308" s="43">
        <v>0.17599999999999999</v>
      </c>
      <c r="S308" s="43">
        <v>8</v>
      </c>
      <c r="T308" s="43">
        <f t="shared" si="28"/>
        <v>7609.4092799999999</v>
      </c>
      <c r="U308" s="33">
        <f t="shared" si="29"/>
        <v>3063.68</v>
      </c>
      <c r="V308" s="43">
        <f t="shared" si="32"/>
        <v>4545.7292799999996</v>
      </c>
      <c r="W308" s="45">
        <f t="shared" si="33"/>
        <v>0.59738267620164065</v>
      </c>
    </row>
    <row r="309" spans="1:23" x14ac:dyDescent="0.3">
      <c r="A309" s="34" t="s">
        <v>718</v>
      </c>
      <c r="B309" s="35">
        <v>45679</v>
      </c>
      <c r="C309" s="36">
        <v>45692</v>
      </c>
      <c r="D309" s="37">
        <f t="shared" si="34"/>
        <v>13</v>
      </c>
      <c r="E309" s="37" t="str">
        <f>TEXT(Data!B309,"MMM-YYYY")</f>
        <v>Jan-2025</v>
      </c>
      <c r="F309" s="37" t="str">
        <f t="shared" si="30"/>
        <v>Q1-2025</v>
      </c>
      <c r="G309" s="32" t="s">
        <v>45</v>
      </c>
      <c r="H309" s="32" t="s">
        <v>46</v>
      </c>
      <c r="I309" s="32" t="s">
        <v>214</v>
      </c>
      <c r="J309" s="32" t="s">
        <v>62</v>
      </c>
      <c r="K309" s="32" t="s">
        <v>55</v>
      </c>
      <c r="L309" s="32" t="s">
        <v>49</v>
      </c>
      <c r="M309" s="32" t="s">
        <v>30</v>
      </c>
      <c r="N309" s="32" t="s">
        <v>719</v>
      </c>
      <c r="O309" s="37">
        <v>122.29</v>
      </c>
      <c r="P309" s="38" t="str">
        <f t="shared" si="31"/>
        <v>High</v>
      </c>
      <c r="Q309" s="37">
        <v>224.95</v>
      </c>
      <c r="R309" s="37">
        <v>0.153</v>
      </c>
      <c r="S309" s="37">
        <v>28</v>
      </c>
      <c r="T309" s="37">
        <f t="shared" si="28"/>
        <v>26941.13884</v>
      </c>
      <c r="U309" s="32">
        <f t="shared" si="29"/>
        <v>3424.1200000000003</v>
      </c>
      <c r="V309" s="37">
        <f t="shared" si="32"/>
        <v>23517.018840000001</v>
      </c>
      <c r="W309" s="39">
        <f t="shared" si="33"/>
        <v>0.8729036652705956</v>
      </c>
    </row>
    <row r="310" spans="1:23" x14ac:dyDescent="0.3">
      <c r="A310" s="40" t="s">
        <v>720</v>
      </c>
      <c r="B310" s="41">
        <v>44936</v>
      </c>
      <c r="C310" s="42">
        <v>44955</v>
      </c>
      <c r="D310" s="43">
        <f t="shared" si="34"/>
        <v>19</v>
      </c>
      <c r="E310" s="43" t="str">
        <f>TEXT(Data!B310,"MMM-YYYY")</f>
        <v>Jan-2023</v>
      </c>
      <c r="F310" s="43" t="str">
        <f t="shared" si="30"/>
        <v>Q1-2023</v>
      </c>
      <c r="G310" s="33" t="s">
        <v>78</v>
      </c>
      <c r="H310" s="33" t="s">
        <v>90</v>
      </c>
      <c r="I310" s="33" t="s">
        <v>138</v>
      </c>
      <c r="J310" s="33" t="s">
        <v>39</v>
      </c>
      <c r="K310" s="33" t="s">
        <v>98</v>
      </c>
      <c r="L310" s="33" t="s">
        <v>145</v>
      </c>
      <c r="M310" s="33" t="s">
        <v>57</v>
      </c>
      <c r="N310" s="33" t="s">
        <v>721</v>
      </c>
      <c r="O310" s="43">
        <v>401.66</v>
      </c>
      <c r="P310" s="44" t="str">
        <f t="shared" si="31"/>
        <v>High</v>
      </c>
      <c r="Q310" s="43">
        <v>772.09</v>
      </c>
      <c r="R310" s="43">
        <v>8.8999999999999996E-2</v>
      </c>
      <c r="S310" s="43">
        <v>14</v>
      </c>
      <c r="T310" s="43">
        <f t="shared" si="28"/>
        <v>35096.967360000002</v>
      </c>
      <c r="U310" s="33">
        <f t="shared" si="29"/>
        <v>5623.2400000000007</v>
      </c>
      <c r="V310" s="43">
        <f t="shared" si="32"/>
        <v>29473.727360000001</v>
      </c>
      <c r="W310" s="45">
        <f t="shared" si="33"/>
        <v>0.83977988917615698</v>
      </c>
    </row>
    <row r="311" spans="1:23" x14ac:dyDescent="0.3">
      <c r="A311" s="34" t="s">
        <v>722</v>
      </c>
      <c r="B311" s="35">
        <v>45655</v>
      </c>
      <c r="C311" s="36">
        <v>45669</v>
      </c>
      <c r="D311" s="37">
        <f t="shared" si="34"/>
        <v>14</v>
      </c>
      <c r="E311" s="37" t="str">
        <f>TEXT(Data!B311,"MMM-YYYY")</f>
        <v>Dec-2024</v>
      </c>
      <c r="F311" s="37" t="str">
        <f t="shared" si="30"/>
        <v>Q4-2024</v>
      </c>
      <c r="G311" s="32" t="s">
        <v>78</v>
      </c>
      <c r="H311" s="32" t="s">
        <v>108</v>
      </c>
      <c r="I311" s="32" t="s">
        <v>228</v>
      </c>
      <c r="J311" s="32" t="s">
        <v>19</v>
      </c>
      <c r="K311" s="32" t="s">
        <v>98</v>
      </c>
      <c r="L311" s="32" t="s">
        <v>56</v>
      </c>
      <c r="M311" s="32" t="s">
        <v>64</v>
      </c>
      <c r="N311" s="32" t="s">
        <v>723</v>
      </c>
      <c r="O311" s="37">
        <v>1399.72</v>
      </c>
      <c r="P311" s="38" t="str">
        <f t="shared" si="31"/>
        <v>High</v>
      </c>
      <c r="Q311" s="37">
        <v>3149.21</v>
      </c>
      <c r="R311" s="37">
        <v>0.185</v>
      </c>
      <c r="S311" s="37">
        <v>12</v>
      </c>
      <c r="T311" s="37">
        <f t="shared" si="28"/>
        <v>13444.761599999998</v>
      </c>
      <c r="U311" s="32">
        <f t="shared" si="29"/>
        <v>16796.64</v>
      </c>
      <c r="V311" s="37">
        <f t="shared" si="32"/>
        <v>-3351.8784000000014</v>
      </c>
      <c r="W311" s="39">
        <f t="shared" si="33"/>
        <v>-0.24930738823959525</v>
      </c>
    </row>
    <row r="312" spans="1:23" x14ac:dyDescent="0.3">
      <c r="A312" s="40" t="s">
        <v>724</v>
      </c>
      <c r="B312" s="41">
        <v>45435</v>
      </c>
      <c r="C312" s="42">
        <v>45449</v>
      </c>
      <c r="D312" s="43">
        <f t="shared" si="34"/>
        <v>14</v>
      </c>
      <c r="E312" s="43" t="str">
        <f>TEXT(Data!B312,"MMM-YYYY")</f>
        <v>May-2024</v>
      </c>
      <c r="F312" s="43" t="str">
        <f t="shared" si="30"/>
        <v>Q2-2024</v>
      </c>
      <c r="G312" s="33" t="s">
        <v>52</v>
      </c>
      <c r="H312" s="33" t="s">
        <v>73</v>
      </c>
      <c r="I312" s="33" t="s">
        <v>225</v>
      </c>
      <c r="J312" s="33" t="s">
        <v>39</v>
      </c>
      <c r="K312" s="33" t="s">
        <v>28</v>
      </c>
      <c r="L312" s="33" t="s">
        <v>34</v>
      </c>
      <c r="M312" s="33" t="s">
        <v>35</v>
      </c>
      <c r="N312" s="33" t="s">
        <v>725</v>
      </c>
      <c r="O312" s="43">
        <v>51.13</v>
      </c>
      <c r="P312" s="44" t="str">
        <f t="shared" si="31"/>
        <v>Medium</v>
      </c>
      <c r="Q312" s="43">
        <v>57.53</v>
      </c>
      <c r="R312" s="43">
        <v>4.4999999999999998E-2</v>
      </c>
      <c r="S312" s="43">
        <v>16</v>
      </c>
      <c r="T312" s="43">
        <f t="shared" si="28"/>
        <v>20144.693599999999</v>
      </c>
      <c r="U312" s="33">
        <f t="shared" si="29"/>
        <v>818.08</v>
      </c>
      <c r="V312" s="43">
        <f t="shared" si="32"/>
        <v>19326.613599999997</v>
      </c>
      <c r="W312" s="45">
        <f t="shared" si="33"/>
        <v>0.95938980178879452</v>
      </c>
    </row>
    <row r="313" spans="1:23" x14ac:dyDescent="0.3">
      <c r="A313" s="34" t="s">
        <v>726</v>
      </c>
      <c r="B313" s="35">
        <v>45101</v>
      </c>
      <c r="C313" s="36">
        <v>45099</v>
      </c>
      <c r="D313" s="37">
        <f>DATEDIF(C313,B313, "MD")</f>
        <v>2</v>
      </c>
      <c r="E313" s="37" t="str">
        <f>TEXT(Data!B313,"MMM-YYYY")</f>
        <v>Jun-2023</v>
      </c>
      <c r="F313" s="37" t="str">
        <f t="shared" si="30"/>
        <v>Q2-2023</v>
      </c>
      <c r="G313" s="32" t="s">
        <v>52</v>
      </c>
      <c r="H313" s="32" t="s">
        <v>53</v>
      </c>
      <c r="I313" s="32" t="s">
        <v>54</v>
      </c>
      <c r="J313" s="32" t="s">
        <v>39</v>
      </c>
      <c r="K313" s="32" t="s">
        <v>20</v>
      </c>
      <c r="L313" s="32" t="s">
        <v>110</v>
      </c>
      <c r="M313" s="32" t="s">
        <v>81</v>
      </c>
      <c r="N313" s="32" t="s">
        <v>727</v>
      </c>
      <c r="O313" s="37">
        <v>471.42</v>
      </c>
      <c r="P313" s="38" t="str">
        <f t="shared" si="31"/>
        <v>High</v>
      </c>
      <c r="Q313" s="37">
        <v>824.81</v>
      </c>
      <c r="R313" s="37">
        <v>8.7999999999999995E-2</v>
      </c>
      <c r="S313" s="37">
        <v>15</v>
      </c>
      <c r="T313" s="37">
        <f t="shared" si="28"/>
        <v>6043.0032000000001</v>
      </c>
      <c r="U313" s="32">
        <f t="shared" si="29"/>
        <v>7071.3</v>
      </c>
      <c r="V313" s="37">
        <f t="shared" si="32"/>
        <v>-1028.2968000000001</v>
      </c>
      <c r="W313" s="39">
        <f t="shared" si="33"/>
        <v>-0.17016320626803574</v>
      </c>
    </row>
    <row r="314" spans="1:23" x14ac:dyDescent="0.3">
      <c r="A314" s="40" t="s">
        <v>728</v>
      </c>
      <c r="B314" s="41">
        <v>45600</v>
      </c>
      <c r="C314" s="42">
        <v>45601</v>
      </c>
      <c r="D314" s="43">
        <f t="shared" si="34"/>
        <v>1</v>
      </c>
      <c r="E314" s="43" t="str">
        <f>TEXT(Data!B314,"MMM-YYYY")</f>
        <v>Nov-2024</v>
      </c>
      <c r="F314" s="43" t="str">
        <f t="shared" si="30"/>
        <v>Q4-2024</v>
      </c>
      <c r="G314" s="33" t="s">
        <v>78</v>
      </c>
      <c r="H314" s="33" t="s">
        <v>108</v>
      </c>
      <c r="I314" s="33" t="s">
        <v>152</v>
      </c>
      <c r="J314" s="33" t="s">
        <v>19</v>
      </c>
      <c r="K314" s="33" t="s">
        <v>20</v>
      </c>
      <c r="L314" s="33" t="s">
        <v>110</v>
      </c>
      <c r="M314" s="33" t="s">
        <v>30</v>
      </c>
      <c r="N314" s="33" t="s">
        <v>729</v>
      </c>
      <c r="O314" s="43">
        <v>840.68</v>
      </c>
      <c r="P314" s="44" t="str">
        <f t="shared" si="31"/>
        <v>High</v>
      </c>
      <c r="Q314" s="43">
        <v>1493.53</v>
      </c>
      <c r="R314" s="43">
        <v>0</v>
      </c>
      <c r="S314" s="43">
        <v>27</v>
      </c>
      <c r="T314" s="43">
        <f t="shared" si="28"/>
        <v>35911.89</v>
      </c>
      <c r="U314" s="33">
        <f t="shared" si="29"/>
        <v>22698.359999999997</v>
      </c>
      <c r="V314" s="43">
        <f t="shared" si="32"/>
        <v>13213.530000000002</v>
      </c>
      <c r="W314" s="45">
        <f t="shared" si="33"/>
        <v>0.36794304059184862</v>
      </c>
    </row>
    <row r="315" spans="1:23" x14ac:dyDescent="0.3">
      <c r="A315" s="34" t="s">
        <v>730</v>
      </c>
      <c r="B315" s="35">
        <v>45451</v>
      </c>
      <c r="C315" s="36">
        <v>45467</v>
      </c>
      <c r="D315" s="37">
        <f t="shared" si="34"/>
        <v>16</v>
      </c>
      <c r="E315" s="37" t="str">
        <f>TEXT(Data!B315,"MMM-YYYY")</f>
        <v>Jun-2024</v>
      </c>
      <c r="F315" s="37" t="str">
        <f t="shared" si="30"/>
        <v>Q2-2024</v>
      </c>
      <c r="G315" s="32" t="s">
        <v>16</v>
      </c>
      <c r="H315" s="32" t="s">
        <v>148</v>
      </c>
      <c r="I315" s="32" t="s">
        <v>172</v>
      </c>
      <c r="J315" s="32" t="s">
        <v>27</v>
      </c>
      <c r="K315" s="32" t="s">
        <v>55</v>
      </c>
      <c r="L315" s="32" t="s">
        <v>92</v>
      </c>
      <c r="M315" s="32" t="s">
        <v>64</v>
      </c>
      <c r="N315" s="32" t="s">
        <v>731</v>
      </c>
      <c r="O315" s="37">
        <v>597.85</v>
      </c>
      <c r="P315" s="38" t="str">
        <f t="shared" si="31"/>
        <v>High</v>
      </c>
      <c r="Q315" s="37">
        <v>741.92</v>
      </c>
      <c r="R315" s="37">
        <v>3.1E-2</v>
      </c>
      <c r="S315" s="37">
        <v>7</v>
      </c>
      <c r="T315" s="37">
        <f t="shared" si="28"/>
        <v>11089.255379999999</v>
      </c>
      <c r="U315" s="32">
        <f t="shared" si="29"/>
        <v>4184.95</v>
      </c>
      <c r="V315" s="37">
        <f t="shared" si="32"/>
        <v>6904.3053799999989</v>
      </c>
      <c r="W315" s="39">
        <f t="shared" si="33"/>
        <v>0.62261217217995024</v>
      </c>
    </row>
    <row r="316" spans="1:23" x14ac:dyDescent="0.3">
      <c r="A316" s="40" t="s">
        <v>732</v>
      </c>
      <c r="B316" s="41">
        <v>45809</v>
      </c>
      <c r="C316" s="42">
        <v>45814</v>
      </c>
      <c r="D316" s="43">
        <f t="shared" si="34"/>
        <v>5</v>
      </c>
      <c r="E316" s="43" t="str">
        <f>TEXT(Data!B316,"MMM-YYYY")</f>
        <v>Jun-2025</v>
      </c>
      <c r="F316" s="43" t="str">
        <f t="shared" si="30"/>
        <v>Q2-2025</v>
      </c>
      <c r="G316" s="33" t="s">
        <v>78</v>
      </c>
      <c r="H316" s="33" t="s">
        <v>90</v>
      </c>
      <c r="I316" s="33" t="s">
        <v>217</v>
      </c>
      <c r="J316" s="33" t="s">
        <v>48</v>
      </c>
      <c r="K316" s="33" t="s">
        <v>55</v>
      </c>
      <c r="L316" s="33" t="s">
        <v>41</v>
      </c>
      <c r="M316" s="33" t="s">
        <v>22</v>
      </c>
      <c r="N316" s="33" t="s">
        <v>733</v>
      </c>
      <c r="O316" s="43">
        <v>379.45</v>
      </c>
      <c r="P316" s="44" t="str">
        <f t="shared" si="31"/>
        <v>High</v>
      </c>
      <c r="Q316" s="43">
        <v>742.23</v>
      </c>
      <c r="R316" s="43">
        <v>0.09</v>
      </c>
      <c r="S316" s="43">
        <v>13</v>
      </c>
      <c r="T316" s="43">
        <f t="shared" si="28"/>
        <v>835.19799999999998</v>
      </c>
      <c r="U316" s="33">
        <f t="shared" si="29"/>
        <v>4932.8499999999995</v>
      </c>
      <c r="V316" s="43">
        <f t="shared" si="32"/>
        <v>-4097.6519999999991</v>
      </c>
      <c r="W316" s="45">
        <f t="shared" si="33"/>
        <v>-4.9062042773090919</v>
      </c>
    </row>
    <row r="317" spans="1:23" x14ac:dyDescent="0.3">
      <c r="A317" s="34" t="s">
        <v>734</v>
      </c>
      <c r="B317" s="35">
        <v>45052</v>
      </c>
      <c r="C317" s="36">
        <v>45060</v>
      </c>
      <c r="D317" s="37">
        <f t="shared" si="34"/>
        <v>8</v>
      </c>
      <c r="E317" s="37" t="str">
        <f>TEXT(Data!B317,"MMM-YYYY")</f>
        <v>May-2023</v>
      </c>
      <c r="F317" s="37" t="str">
        <f t="shared" si="30"/>
        <v>Q2-2023</v>
      </c>
      <c r="G317" s="32" t="s">
        <v>45</v>
      </c>
      <c r="H317" s="32" t="s">
        <v>46</v>
      </c>
      <c r="I317" s="32" t="s">
        <v>47</v>
      </c>
      <c r="J317" s="32" t="s">
        <v>105</v>
      </c>
      <c r="K317" s="32" t="s">
        <v>40</v>
      </c>
      <c r="L317" s="32" t="s">
        <v>56</v>
      </c>
      <c r="M317" s="32" t="s">
        <v>42</v>
      </c>
      <c r="N317" s="32" t="s">
        <v>735</v>
      </c>
      <c r="O317" s="37">
        <v>291.18</v>
      </c>
      <c r="P317" s="38" t="str">
        <f t="shared" si="31"/>
        <v>High</v>
      </c>
      <c r="Q317" s="37">
        <v>479.54</v>
      </c>
      <c r="R317" s="37">
        <v>0.14099999999999999</v>
      </c>
      <c r="S317" s="37">
        <v>22</v>
      </c>
      <c r="T317" s="37">
        <f t="shared" si="28"/>
        <v>34451.80992</v>
      </c>
      <c r="U317" s="32">
        <f t="shared" si="29"/>
        <v>6405.96</v>
      </c>
      <c r="V317" s="37">
        <f t="shared" si="32"/>
        <v>28045.849920000001</v>
      </c>
      <c r="W317" s="39">
        <f t="shared" si="33"/>
        <v>0.81406027680765747</v>
      </c>
    </row>
    <row r="318" spans="1:23" x14ac:dyDescent="0.3">
      <c r="A318" s="40" t="s">
        <v>736</v>
      </c>
      <c r="B318" s="41">
        <v>45244</v>
      </c>
      <c r="C318" s="42">
        <v>45260</v>
      </c>
      <c r="D318" s="43">
        <f t="shared" si="34"/>
        <v>16</v>
      </c>
      <c r="E318" s="43" t="str">
        <f>TEXT(Data!B318,"MMM-YYYY")</f>
        <v>Nov-2023</v>
      </c>
      <c r="F318" s="43" t="str">
        <f t="shared" si="30"/>
        <v>Q4-2023</v>
      </c>
      <c r="G318" s="33" t="s">
        <v>52</v>
      </c>
      <c r="H318" s="33" t="s">
        <v>73</v>
      </c>
      <c r="I318" s="33" t="s">
        <v>74</v>
      </c>
      <c r="J318" s="33" t="s">
        <v>105</v>
      </c>
      <c r="K318" s="33" t="s">
        <v>98</v>
      </c>
      <c r="L318" s="33" t="s">
        <v>95</v>
      </c>
      <c r="M318" s="33" t="s">
        <v>35</v>
      </c>
      <c r="N318" s="33" t="s">
        <v>737</v>
      </c>
      <c r="O318" s="43">
        <v>1017.92</v>
      </c>
      <c r="P318" s="44" t="str">
        <f t="shared" si="31"/>
        <v>High</v>
      </c>
      <c r="Q318" s="43">
        <v>1175.25</v>
      </c>
      <c r="R318" s="43">
        <v>7.4999999999999997E-2</v>
      </c>
      <c r="S318" s="43">
        <v>15</v>
      </c>
      <c r="T318" s="43">
        <f t="shared" si="28"/>
        <v>27971.861250000002</v>
      </c>
      <c r="U318" s="33">
        <f t="shared" si="29"/>
        <v>15268.8</v>
      </c>
      <c r="V318" s="43">
        <f t="shared" si="32"/>
        <v>12703.061250000002</v>
      </c>
      <c r="W318" s="45">
        <f t="shared" si="33"/>
        <v>0.45413714648681097</v>
      </c>
    </row>
    <row r="319" spans="1:23" x14ac:dyDescent="0.3">
      <c r="A319" s="34" t="s">
        <v>738</v>
      </c>
      <c r="B319" s="35">
        <v>45748</v>
      </c>
      <c r="C319" s="36">
        <v>45774</v>
      </c>
      <c r="D319" s="37">
        <f t="shared" si="34"/>
        <v>26</v>
      </c>
      <c r="E319" s="37" t="str">
        <f>TEXT(Data!B319,"MMM-YYYY")</f>
        <v>Apr-2025</v>
      </c>
      <c r="F319" s="37" t="str">
        <f t="shared" si="30"/>
        <v>Q2-2025</v>
      </c>
      <c r="G319" s="32" t="s">
        <v>52</v>
      </c>
      <c r="H319" s="32" t="s">
        <v>122</v>
      </c>
      <c r="I319" s="32" t="s">
        <v>167</v>
      </c>
      <c r="J319" s="32" t="s">
        <v>19</v>
      </c>
      <c r="K319" s="32" t="s">
        <v>98</v>
      </c>
      <c r="L319" s="32" t="s">
        <v>34</v>
      </c>
      <c r="M319" s="32" t="s">
        <v>64</v>
      </c>
      <c r="N319" s="32" t="s">
        <v>739</v>
      </c>
      <c r="O319" s="37">
        <v>156.55000000000001</v>
      </c>
      <c r="P319" s="38" t="str">
        <f t="shared" si="31"/>
        <v>High</v>
      </c>
      <c r="Q319" s="37">
        <v>227.45</v>
      </c>
      <c r="R319" s="37">
        <v>1.4E-2</v>
      </c>
      <c r="S319" s="37">
        <v>13</v>
      </c>
      <c r="T319" s="37">
        <f t="shared" si="28"/>
        <v>3129.2583399999999</v>
      </c>
      <c r="U319" s="32">
        <f t="shared" si="29"/>
        <v>2035.15</v>
      </c>
      <c r="V319" s="37">
        <f t="shared" si="32"/>
        <v>1094.1083399999998</v>
      </c>
      <c r="W319" s="39">
        <f t="shared" si="33"/>
        <v>0.34963822769583153</v>
      </c>
    </row>
    <row r="320" spans="1:23" x14ac:dyDescent="0.3">
      <c r="A320" s="40" t="s">
        <v>740</v>
      </c>
      <c r="B320" s="41">
        <v>45008</v>
      </c>
      <c r="C320" s="42">
        <v>45031</v>
      </c>
      <c r="D320" s="43">
        <f t="shared" si="34"/>
        <v>23</v>
      </c>
      <c r="E320" s="43" t="str">
        <f>TEXT(Data!B320,"MMM-YYYY")</f>
        <v>Mar-2023</v>
      </c>
      <c r="F320" s="43" t="str">
        <f t="shared" si="30"/>
        <v>Q1-2023</v>
      </c>
      <c r="G320" s="33" t="s">
        <v>16</v>
      </c>
      <c r="H320" s="33" t="s">
        <v>17</v>
      </c>
      <c r="I320" s="33" t="s">
        <v>113</v>
      </c>
      <c r="J320" s="33" t="s">
        <v>62</v>
      </c>
      <c r="K320" s="33" t="s">
        <v>20</v>
      </c>
      <c r="L320" s="33" t="s">
        <v>21</v>
      </c>
      <c r="M320" s="33" t="s">
        <v>81</v>
      </c>
      <c r="N320" s="33" t="s">
        <v>741</v>
      </c>
      <c r="O320" s="43">
        <v>875.36</v>
      </c>
      <c r="P320" s="44" t="str">
        <f t="shared" si="31"/>
        <v>High</v>
      </c>
      <c r="Q320" s="43">
        <v>1178.6199999999999</v>
      </c>
      <c r="R320" s="43">
        <v>0.151</v>
      </c>
      <c r="S320" s="43">
        <v>53</v>
      </c>
      <c r="T320" s="43">
        <f t="shared" si="28"/>
        <v>125232.05063999999</v>
      </c>
      <c r="U320" s="33">
        <f t="shared" si="29"/>
        <v>46394.080000000002</v>
      </c>
      <c r="V320" s="43">
        <f t="shared" si="32"/>
        <v>78837.970639999985</v>
      </c>
      <c r="W320" s="45">
        <f t="shared" si="33"/>
        <v>0.62953509295022747</v>
      </c>
    </row>
    <row r="321" spans="1:23" x14ac:dyDescent="0.3">
      <c r="A321" s="34" t="s">
        <v>742</v>
      </c>
      <c r="B321" s="35">
        <v>45440</v>
      </c>
      <c r="C321" s="36">
        <v>45461</v>
      </c>
      <c r="D321" s="37">
        <f t="shared" si="34"/>
        <v>21</v>
      </c>
      <c r="E321" s="37" t="str">
        <f>TEXT(Data!B321,"MMM-YYYY")</f>
        <v>May-2024</v>
      </c>
      <c r="F321" s="37" t="str">
        <f t="shared" si="30"/>
        <v>Q2-2024</v>
      </c>
      <c r="G321" s="32" t="s">
        <v>78</v>
      </c>
      <c r="H321" s="32" t="s">
        <v>79</v>
      </c>
      <c r="I321" s="32" t="s">
        <v>335</v>
      </c>
      <c r="J321" s="32" t="s">
        <v>62</v>
      </c>
      <c r="K321" s="32" t="s">
        <v>28</v>
      </c>
      <c r="L321" s="32" t="s">
        <v>63</v>
      </c>
      <c r="M321" s="32" t="s">
        <v>42</v>
      </c>
      <c r="N321" s="32" t="s">
        <v>743</v>
      </c>
      <c r="O321" s="37">
        <v>986.85</v>
      </c>
      <c r="P321" s="38" t="str">
        <f t="shared" si="31"/>
        <v>High</v>
      </c>
      <c r="Q321" s="37">
        <v>2422.1</v>
      </c>
      <c r="R321" s="37">
        <v>7.5999999999999998E-2</v>
      </c>
      <c r="S321" s="37">
        <v>10</v>
      </c>
      <c r="T321" s="37">
        <f t="shared" ref="T321:T384" si="35">(Q347*S321)*(1-R321)</f>
        <v>18944.864399999999</v>
      </c>
      <c r="U321" s="32">
        <f t="shared" ref="U321:U384" si="36">(O321*S321)</f>
        <v>9868.5</v>
      </c>
      <c r="V321" s="37">
        <f t="shared" si="32"/>
        <v>9076.3643999999986</v>
      </c>
      <c r="W321" s="39">
        <f t="shared" si="33"/>
        <v>0.47909365875429538</v>
      </c>
    </row>
    <row r="322" spans="1:23" x14ac:dyDescent="0.3">
      <c r="A322" s="40" t="s">
        <v>744</v>
      </c>
      <c r="B322" s="41">
        <v>45293</v>
      </c>
      <c r="C322" s="42">
        <v>45292</v>
      </c>
      <c r="D322" s="43">
        <f>DATEDIF(C322,B322, "MD")</f>
        <v>1</v>
      </c>
      <c r="E322" s="43" t="str">
        <f>TEXT(Data!B322,"MMM-YYYY")</f>
        <v>Jan-2024</v>
      </c>
      <c r="F322" s="43" t="str">
        <f t="shared" ref="F322:F385" si="37">"Q"&amp;ROUNDUP(MONTH(B322)/3,0)&amp;"-"&amp;YEAR(B322)</f>
        <v>Q1-2024</v>
      </c>
      <c r="G322" s="33" t="s">
        <v>52</v>
      </c>
      <c r="H322" s="33" t="s">
        <v>122</v>
      </c>
      <c r="I322" s="33" t="s">
        <v>123</v>
      </c>
      <c r="J322" s="33" t="s">
        <v>27</v>
      </c>
      <c r="K322" s="33" t="s">
        <v>40</v>
      </c>
      <c r="L322" s="33" t="s">
        <v>56</v>
      </c>
      <c r="M322" s="33" t="s">
        <v>35</v>
      </c>
      <c r="N322" s="33" t="s">
        <v>745</v>
      </c>
      <c r="O322" s="43">
        <v>404.77</v>
      </c>
      <c r="P322" s="44" t="str">
        <f t="shared" ref="P322:P385" si="38">IF(Q322&lt;50, "Low", IF(Q322&lt;200, "Medium", "High"))</f>
        <v>High</v>
      </c>
      <c r="Q322" s="43">
        <v>433.88</v>
      </c>
      <c r="R322" s="43">
        <v>0.215</v>
      </c>
      <c r="S322" s="43">
        <v>22</v>
      </c>
      <c r="T322" s="43">
        <f t="shared" si="35"/>
        <v>2540.7624000000005</v>
      </c>
      <c r="U322" s="33">
        <f t="shared" si="36"/>
        <v>8904.9399999999987</v>
      </c>
      <c r="V322" s="43">
        <f t="shared" ref="V322:V385" si="39">(T322-U322)</f>
        <v>-6364.1775999999982</v>
      </c>
      <c r="W322" s="45">
        <f t="shared" ref="W322:W385" si="40">IF(T322=0, 0, V322/T322)</f>
        <v>-2.504829888855407</v>
      </c>
    </row>
    <row r="323" spans="1:23" x14ac:dyDescent="0.3">
      <c r="A323" s="34" t="s">
        <v>746</v>
      </c>
      <c r="B323" s="35">
        <v>44985</v>
      </c>
      <c r="C323" s="36">
        <v>44984</v>
      </c>
      <c r="D323" s="37">
        <f>DATEDIF(C323,B323, "MD")</f>
        <v>1</v>
      </c>
      <c r="E323" s="37" t="str">
        <f>TEXT(Data!B323,"MMM-YYYY")</f>
        <v>Feb-2023</v>
      </c>
      <c r="F323" s="37" t="str">
        <f t="shared" si="37"/>
        <v>Q1-2023</v>
      </c>
      <c r="G323" s="32" t="s">
        <v>78</v>
      </c>
      <c r="H323" s="32" t="s">
        <v>90</v>
      </c>
      <c r="I323" s="32" t="s">
        <v>91</v>
      </c>
      <c r="J323" s="32" t="s">
        <v>19</v>
      </c>
      <c r="K323" s="32" t="s">
        <v>20</v>
      </c>
      <c r="L323" s="32" t="s">
        <v>95</v>
      </c>
      <c r="M323" s="32" t="s">
        <v>35</v>
      </c>
      <c r="N323" s="32" t="s">
        <v>747</v>
      </c>
      <c r="O323" s="37">
        <v>1299.81</v>
      </c>
      <c r="P323" s="38" t="str">
        <f t="shared" si="38"/>
        <v>High</v>
      </c>
      <c r="Q323" s="37">
        <v>3149.13</v>
      </c>
      <c r="R323" s="37">
        <v>0.10299999999999999</v>
      </c>
      <c r="S323" s="37">
        <v>14</v>
      </c>
      <c r="T323" s="37">
        <f t="shared" si="35"/>
        <v>24902.262840000003</v>
      </c>
      <c r="U323" s="32">
        <f t="shared" si="36"/>
        <v>18197.34</v>
      </c>
      <c r="V323" s="37">
        <f t="shared" si="39"/>
        <v>6704.9228400000029</v>
      </c>
      <c r="W323" s="39">
        <f t="shared" si="40"/>
        <v>0.26924954101881943</v>
      </c>
    </row>
    <row r="324" spans="1:23" x14ac:dyDescent="0.3">
      <c r="A324" s="40" t="s">
        <v>748</v>
      </c>
      <c r="B324" s="41">
        <v>45340</v>
      </c>
      <c r="C324" s="42">
        <v>45362</v>
      </c>
      <c r="D324" s="43">
        <f t="shared" ref="D324:D387" si="41">DATEDIF(B324,C324, "MD")</f>
        <v>22</v>
      </c>
      <c r="E324" s="43" t="str">
        <f>TEXT(Data!B324,"MMM-YYYY")</f>
        <v>Feb-2024</v>
      </c>
      <c r="F324" s="43" t="str">
        <f t="shared" si="37"/>
        <v>Q1-2024</v>
      </c>
      <c r="G324" s="33" t="s">
        <v>52</v>
      </c>
      <c r="H324" s="33" t="s">
        <v>73</v>
      </c>
      <c r="I324" s="33" t="s">
        <v>74</v>
      </c>
      <c r="J324" s="33" t="s">
        <v>48</v>
      </c>
      <c r="K324" s="33" t="s">
        <v>28</v>
      </c>
      <c r="L324" s="33" t="s">
        <v>75</v>
      </c>
      <c r="M324" s="33" t="s">
        <v>22</v>
      </c>
      <c r="N324" s="33" t="s">
        <v>749</v>
      </c>
      <c r="O324" s="43">
        <v>80.48</v>
      </c>
      <c r="P324" s="44" t="str">
        <f t="shared" si="38"/>
        <v>Medium</v>
      </c>
      <c r="Q324" s="43">
        <v>65.650000000000006</v>
      </c>
      <c r="R324" s="43">
        <v>0.17599999999999999</v>
      </c>
      <c r="S324" s="43">
        <v>13</v>
      </c>
      <c r="T324" s="43">
        <f t="shared" si="35"/>
        <v>24630.101600000002</v>
      </c>
      <c r="U324" s="33">
        <f t="shared" si="36"/>
        <v>1046.24</v>
      </c>
      <c r="V324" s="43">
        <f t="shared" si="39"/>
        <v>23583.8616</v>
      </c>
      <c r="W324" s="45">
        <f t="shared" si="40"/>
        <v>0.95752189670220433</v>
      </c>
    </row>
    <row r="325" spans="1:23" x14ac:dyDescent="0.3">
      <c r="A325" s="34" t="s">
        <v>750</v>
      </c>
      <c r="B325" s="35">
        <v>45544</v>
      </c>
      <c r="C325" s="36">
        <v>45573</v>
      </c>
      <c r="D325" s="37">
        <f t="shared" si="41"/>
        <v>29</v>
      </c>
      <c r="E325" s="37" t="str">
        <f>TEXT(Data!B325,"MMM-YYYY")</f>
        <v>Sep-2024</v>
      </c>
      <c r="F325" s="37" t="str">
        <f t="shared" si="37"/>
        <v>Q3-2024</v>
      </c>
      <c r="G325" s="32" t="s">
        <v>52</v>
      </c>
      <c r="H325" s="32" t="s">
        <v>73</v>
      </c>
      <c r="I325" s="32" t="s">
        <v>74</v>
      </c>
      <c r="J325" s="32" t="s">
        <v>27</v>
      </c>
      <c r="K325" s="32" t="s">
        <v>98</v>
      </c>
      <c r="L325" s="32" t="s">
        <v>29</v>
      </c>
      <c r="M325" s="32" t="s">
        <v>22</v>
      </c>
      <c r="N325" s="32" t="s">
        <v>751</v>
      </c>
      <c r="O325" s="37">
        <v>1010.33</v>
      </c>
      <c r="P325" s="38" t="str">
        <f t="shared" si="38"/>
        <v>High</v>
      </c>
      <c r="Q325" s="37">
        <v>2492.14</v>
      </c>
      <c r="R325" s="37">
        <v>5.0999999999999997E-2</v>
      </c>
      <c r="S325" s="37">
        <v>11</v>
      </c>
      <c r="T325" s="37">
        <f t="shared" si="35"/>
        <v>4829.1857899999995</v>
      </c>
      <c r="U325" s="32">
        <f t="shared" si="36"/>
        <v>11113.630000000001</v>
      </c>
      <c r="V325" s="37">
        <f t="shared" si="39"/>
        <v>-6284.4442100000015</v>
      </c>
      <c r="W325" s="39">
        <f t="shared" si="40"/>
        <v>-1.3013465381707756</v>
      </c>
    </row>
    <row r="326" spans="1:23" x14ac:dyDescent="0.3">
      <c r="A326" s="40" t="s">
        <v>752</v>
      </c>
      <c r="B326" s="41">
        <v>45053</v>
      </c>
      <c r="C326" s="42">
        <v>45075</v>
      </c>
      <c r="D326" s="43">
        <f t="shared" si="41"/>
        <v>22</v>
      </c>
      <c r="E326" s="43" t="str">
        <f>TEXT(Data!B326,"MMM-YYYY")</f>
        <v>May-2023</v>
      </c>
      <c r="F326" s="43" t="str">
        <f t="shared" si="37"/>
        <v>Q2-2023</v>
      </c>
      <c r="G326" s="33" t="s">
        <v>16</v>
      </c>
      <c r="H326" s="33" t="s">
        <v>148</v>
      </c>
      <c r="I326" s="33" t="s">
        <v>172</v>
      </c>
      <c r="J326" s="33" t="s">
        <v>27</v>
      </c>
      <c r="K326" s="33" t="s">
        <v>55</v>
      </c>
      <c r="L326" s="33" t="s">
        <v>95</v>
      </c>
      <c r="M326" s="33" t="s">
        <v>81</v>
      </c>
      <c r="N326" s="33" t="s">
        <v>753</v>
      </c>
      <c r="O326" s="43">
        <v>653.86</v>
      </c>
      <c r="P326" s="44" t="str">
        <f t="shared" si="38"/>
        <v>High</v>
      </c>
      <c r="Q326" s="43">
        <v>931.84</v>
      </c>
      <c r="R326" s="43">
        <v>0.121</v>
      </c>
      <c r="S326" s="43">
        <v>12</v>
      </c>
      <c r="T326" s="43">
        <f t="shared" si="35"/>
        <v>11533.077720000001</v>
      </c>
      <c r="U326" s="33">
        <f t="shared" si="36"/>
        <v>7846.32</v>
      </c>
      <c r="V326" s="43">
        <f t="shared" si="39"/>
        <v>3686.7577200000014</v>
      </c>
      <c r="W326" s="45">
        <f t="shared" si="40"/>
        <v>0.3196681587956906</v>
      </c>
    </row>
    <row r="327" spans="1:23" x14ac:dyDescent="0.3">
      <c r="A327" s="34" t="s">
        <v>754</v>
      </c>
      <c r="B327" s="35">
        <v>45303</v>
      </c>
      <c r="C327" s="36">
        <v>45320</v>
      </c>
      <c r="D327" s="37">
        <f t="shared" si="41"/>
        <v>17</v>
      </c>
      <c r="E327" s="37" t="str">
        <f>TEXT(Data!B327,"MMM-YYYY")</f>
        <v>Jan-2024</v>
      </c>
      <c r="F327" s="37" t="str">
        <f t="shared" si="37"/>
        <v>Q1-2024</v>
      </c>
      <c r="G327" s="32" t="s">
        <v>45</v>
      </c>
      <c r="H327" s="32" t="s">
        <v>60</v>
      </c>
      <c r="I327" s="32" t="s">
        <v>281</v>
      </c>
      <c r="J327" s="32" t="s">
        <v>62</v>
      </c>
      <c r="K327" s="32" t="s">
        <v>98</v>
      </c>
      <c r="L327" s="32" t="s">
        <v>56</v>
      </c>
      <c r="M327" s="32" t="s">
        <v>22</v>
      </c>
      <c r="N327" s="32" t="s">
        <v>755</v>
      </c>
      <c r="O327" s="37">
        <v>310.02</v>
      </c>
      <c r="P327" s="38" t="str">
        <f t="shared" si="38"/>
        <v>High</v>
      </c>
      <c r="Q327" s="37">
        <v>619.51</v>
      </c>
      <c r="R327" s="37">
        <v>4.2000000000000003E-2</v>
      </c>
      <c r="S327" s="37">
        <v>4</v>
      </c>
      <c r="T327" s="37">
        <f t="shared" si="35"/>
        <v>5572.5710399999998</v>
      </c>
      <c r="U327" s="32">
        <f t="shared" si="36"/>
        <v>1240.08</v>
      </c>
      <c r="V327" s="37">
        <f t="shared" si="39"/>
        <v>4332.4910399999999</v>
      </c>
      <c r="W327" s="39">
        <f t="shared" si="40"/>
        <v>0.77746717070115634</v>
      </c>
    </row>
    <row r="328" spans="1:23" x14ac:dyDescent="0.3">
      <c r="A328" s="40" t="s">
        <v>756</v>
      </c>
      <c r="B328" s="41">
        <v>45087</v>
      </c>
      <c r="C328" s="42">
        <v>45095</v>
      </c>
      <c r="D328" s="43">
        <f t="shared" si="41"/>
        <v>8</v>
      </c>
      <c r="E328" s="43" t="str">
        <f>TEXT(Data!B328,"MMM-YYYY")</f>
        <v>Jun-2023</v>
      </c>
      <c r="F328" s="43" t="str">
        <f t="shared" si="37"/>
        <v>Q2-2023</v>
      </c>
      <c r="G328" s="33" t="s">
        <v>16</v>
      </c>
      <c r="H328" s="33" t="s">
        <v>17</v>
      </c>
      <c r="I328" s="33" t="s">
        <v>135</v>
      </c>
      <c r="J328" s="33" t="s">
        <v>105</v>
      </c>
      <c r="K328" s="33" t="s">
        <v>98</v>
      </c>
      <c r="L328" s="33" t="s">
        <v>92</v>
      </c>
      <c r="M328" s="33" t="s">
        <v>42</v>
      </c>
      <c r="N328" s="33" t="s">
        <v>757</v>
      </c>
      <c r="O328" s="43">
        <v>894.23</v>
      </c>
      <c r="P328" s="44" t="str">
        <f t="shared" si="38"/>
        <v>High</v>
      </c>
      <c r="Q328" s="43">
        <v>1421.55</v>
      </c>
      <c r="R328" s="43">
        <v>0.109</v>
      </c>
      <c r="S328" s="43">
        <v>3</v>
      </c>
      <c r="T328" s="43">
        <f t="shared" si="35"/>
        <v>5667.829200000001</v>
      </c>
      <c r="U328" s="33">
        <f t="shared" si="36"/>
        <v>2682.69</v>
      </c>
      <c r="V328" s="43">
        <f t="shared" si="39"/>
        <v>2985.139200000001</v>
      </c>
      <c r="W328" s="45">
        <f t="shared" si="40"/>
        <v>0.52668122038681064</v>
      </c>
    </row>
    <row r="329" spans="1:23" x14ac:dyDescent="0.3">
      <c r="A329" s="34" t="s">
        <v>758</v>
      </c>
      <c r="B329" s="35">
        <v>45796</v>
      </c>
      <c r="C329" s="36">
        <v>45794</v>
      </c>
      <c r="D329" s="37">
        <f>DATEDIF(C329,B329, "MD")</f>
        <v>2</v>
      </c>
      <c r="E329" s="37" t="str">
        <f>TEXT(Data!B329,"MMM-YYYY")</f>
        <v>May-2025</v>
      </c>
      <c r="F329" s="37" t="str">
        <f t="shared" si="37"/>
        <v>Q2-2025</v>
      </c>
      <c r="G329" s="32" t="s">
        <v>52</v>
      </c>
      <c r="H329" s="32" t="s">
        <v>73</v>
      </c>
      <c r="I329" s="32" t="s">
        <v>74</v>
      </c>
      <c r="J329" s="32" t="s">
        <v>62</v>
      </c>
      <c r="K329" s="32" t="s">
        <v>55</v>
      </c>
      <c r="L329" s="32" t="s">
        <v>49</v>
      </c>
      <c r="M329" s="32" t="s">
        <v>64</v>
      </c>
      <c r="N329" s="32" t="s">
        <v>759</v>
      </c>
      <c r="O329" s="37">
        <v>383.77</v>
      </c>
      <c r="P329" s="38" t="str">
        <f t="shared" si="38"/>
        <v>High</v>
      </c>
      <c r="Q329" s="37">
        <v>952.56</v>
      </c>
      <c r="R329" s="37">
        <v>0.34599999999999997</v>
      </c>
      <c r="S329" s="37">
        <v>10</v>
      </c>
      <c r="T329" s="37">
        <f t="shared" si="35"/>
        <v>841.56720000000018</v>
      </c>
      <c r="U329" s="32">
        <f t="shared" si="36"/>
        <v>3837.7</v>
      </c>
      <c r="V329" s="37">
        <f t="shared" si="39"/>
        <v>-2996.1327999999994</v>
      </c>
      <c r="W329" s="39">
        <f t="shared" si="40"/>
        <v>-3.5601824785946965</v>
      </c>
    </row>
    <row r="330" spans="1:23" x14ac:dyDescent="0.3">
      <c r="A330" s="40" t="s">
        <v>760</v>
      </c>
      <c r="B330" s="41">
        <v>45221</v>
      </c>
      <c r="C330" s="42">
        <v>45246</v>
      </c>
      <c r="D330" s="43">
        <f t="shared" si="41"/>
        <v>25</v>
      </c>
      <c r="E330" s="43" t="str">
        <f>TEXT(Data!B330,"MMM-YYYY")</f>
        <v>Oct-2023</v>
      </c>
      <c r="F330" s="43" t="str">
        <f t="shared" si="37"/>
        <v>Q4-2023</v>
      </c>
      <c r="G330" s="33" t="s">
        <v>52</v>
      </c>
      <c r="H330" s="33" t="s">
        <v>53</v>
      </c>
      <c r="I330" s="33" t="s">
        <v>54</v>
      </c>
      <c r="J330" s="33" t="s">
        <v>62</v>
      </c>
      <c r="K330" s="33" t="s">
        <v>40</v>
      </c>
      <c r="L330" s="33" t="s">
        <v>34</v>
      </c>
      <c r="M330" s="33" t="s">
        <v>57</v>
      </c>
      <c r="N330" s="33" t="s">
        <v>761</v>
      </c>
      <c r="O330" s="43">
        <v>1373.31</v>
      </c>
      <c r="P330" s="44" t="str">
        <f t="shared" si="38"/>
        <v>High</v>
      </c>
      <c r="Q330" s="43">
        <v>3154.14</v>
      </c>
      <c r="R330" s="43">
        <v>0.2</v>
      </c>
      <c r="S330" s="43">
        <v>11</v>
      </c>
      <c r="T330" s="43">
        <f t="shared" si="35"/>
        <v>11668.448000000002</v>
      </c>
      <c r="U330" s="33">
        <f t="shared" si="36"/>
        <v>15106.41</v>
      </c>
      <c r="V330" s="43">
        <f t="shared" si="39"/>
        <v>-3437.9619999999977</v>
      </c>
      <c r="W330" s="45">
        <f t="shared" si="40"/>
        <v>-0.29463747021026249</v>
      </c>
    </row>
    <row r="331" spans="1:23" x14ac:dyDescent="0.3">
      <c r="A331" s="34" t="s">
        <v>762</v>
      </c>
      <c r="B331" s="35">
        <v>45668</v>
      </c>
      <c r="C331" s="36">
        <v>45680</v>
      </c>
      <c r="D331" s="37">
        <f t="shared" si="41"/>
        <v>12</v>
      </c>
      <c r="E331" s="37" t="str">
        <f>TEXT(Data!B331,"MMM-YYYY")</f>
        <v>Jan-2025</v>
      </c>
      <c r="F331" s="37" t="str">
        <f t="shared" si="37"/>
        <v>Q1-2025</v>
      </c>
      <c r="G331" s="32" t="s">
        <v>52</v>
      </c>
      <c r="H331" s="32" t="s">
        <v>122</v>
      </c>
      <c r="I331" s="32" t="s">
        <v>326</v>
      </c>
      <c r="J331" s="32" t="s">
        <v>48</v>
      </c>
      <c r="K331" s="32" t="s">
        <v>55</v>
      </c>
      <c r="L331" s="32" t="s">
        <v>92</v>
      </c>
      <c r="M331" s="32" t="s">
        <v>42</v>
      </c>
      <c r="N331" s="32" t="s">
        <v>763</v>
      </c>
      <c r="O331" s="37">
        <v>100.69</v>
      </c>
      <c r="P331" s="38" t="str">
        <f t="shared" si="38"/>
        <v>High</v>
      </c>
      <c r="Q331" s="37">
        <v>226.14</v>
      </c>
      <c r="R331" s="37">
        <v>6.5000000000000002E-2</v>
      </c>
      <c r="S331" s="37">
        <v>12</v>
      </c>
      <c r="T331" s="37">
        <f t="shared" si="35"/>
        <v>27369.282600000002</v>
      </c>
      <c r="U331" s="32">
        <f t="shared" si="36"/>
        <v>1208.28</v>
      </c>
      <c r="V331" s="37">
        <f t="shared" si="39"/>
        <v>26161.002600000003</v>
      </c>
      <c r="W331" s="39">
        <f t="shared" si="40"/>
        <v>0.95585269743241286</v>
      </c>
    </row>
    <row r="332" spans="1:23" x14ac:dyDescent="0.3">
      <c r="A332" s="40" t="s">
        <v>764</v>
      </c>
      <c r="B332" s="41">
        <v>45914</v>
      </c>
      <c r="C332" s="42">
        <v>45926</v>
      </c>
      <c r="D332" s="43">
        <f t="shared" si="41"/>
        <v>12</v>
      </c>
      <c r="E332" s="43" t="str">
        <f>TEXT(Data!B332,"MMM-YYYY")</f>
        <v>Sep-2025</v>
      </c>
      <c r="F332" s="43" t="str">
        <f t="shared" si="37"/>
        <v>Q3-2025</v>
      </c>
      <c r="G332" s="33" t="s">
        <v>78</v>
      </c>
      <c r="H332" s="33" t="s">
        <v>108</v>
      </c>
      <c r="I332" s="33" t="s">
        <v>152</v>
      </c>
      <c r="J332" s="33" t="s">
        <v>62</v>
      </c>
      <c r="K332" s="33" t="s">
        <v>98</v>
      </c>
      <c r="L332" s="33" t="s">
        <v>126</v>
      </c>
      <c r="M332" s="33" t="s">
        <v>35</v>
      </c>
      <c r="N332" s="33" t="s">
        <v>765</v>
      </c>
      <c r="O332" s="43">
        <v>425.15</v>
      </c>
      <c r="P332" s="44" t="str">
        <f t="shared" si="38"/>
        <v>High</v>
      </c>
      <c r="Q332" s="43">
        <v>885.92</v>
      </c>
      <c r="R332" s="43">
        <v>0.23899999999999999</v>
      </c>
      <c r="S332" s="43">
        <v>13</v>
      </c>
      <c r="T332" s="43">
        <f t="shared" si="35"/>
        <v>21779.835220000001</v>
      </c>
      <c r="U332" s="33">
        <f t="shared" si="36"/>
        <v>5526.95</v>
      </c>
      <c r="V332" s="43">
        <f t="shared" si="39"/>
        <v>16252.88522</v>
      </c>
      <c r="W332" s="45">
        <f t="shared" si="40"/>
        <v>0.74623545384196899</v>
      </c>
    </row>
    <row r="333" spans="1:23" x14ac:dyDescent="0.3">
      <c r="A333" s="34" t="s">
        <v>766</v>
      </c>
      <c r="B333" s="35">
        <v>45168</v>
      </c>
      <c r="C333" s="36">
        <v>45172</v>
      </c>
      <c r="D333" s="37">
        <f t="shared" si="41"/>
        <v>4</v>
      </c>
      <c r="E333" s="37" t="str">
        <f>TEXT(Data!B333,"MMM-YYYY")</f>
        <v>Aug-2023</v>
      </c>
      <c r="F333" s="37" t="str">
        <f t="shared" si="37"/>
        <v>Q3-2023</v>
      </c>
      <c r="G333" s="32" t="s">
        <v>45</v>
      </c>
      <c r="H333" s="32" t="s">
        <v>60</v>
      </c>
      <c r="I333" s="32" t="s">
        <v>141</v>
      </c>
      <c r="J333" s="32" t="s">
        <v>62</v>
      </c>
      <c r="K333" s="32" t="s">
        <v>40</v>
      </c>
      <c r="L333" s="32" t="s">
        <v>49</v>
      </c>
      <c r="M333" s="32" t="s">
        <v>81</v>
      </c>
      <c r="N333" s="32" t="s">
        <v>767</v>
      </c>
      <c r="O333" s="37">
        <v>1082.25</v>
      </c>
      <c r="P333" s="38" t="str">
        <f t="shared" si="38"/>
        <v>High</v>
      </c>
      <c r="Q333" s="37">
        <v>2433.34</v>
      </c>
      <c r="R333" s="37">
        <v>0.27</v>
      </c>
      <c r="S333" s="37">
        <v>4</v>
      </c>
      <c r="T333" s="37">
        <f t="shared" si="35"/>
        <v>2377.9312</v>
      </c>
      <c r="U333" s="32">
        <f t="shared" si="36"/>
        <v>4329</v>
      </c>
      <c r="V333" s="37">
        <f t="shared" si="39"/>
        <v>-1951.0688</v>
      </c>
      <c r="W333" s="39">
        <f t="shared" si="40"/>
        <v>-0.82049001249489473</v>
      </c>
    </row>
    <row r="334" spans="1:23" x14ac:dyDescent="0.3">
      <c r="A334" s="40" t="s">
        <v>768</v>
      </c>
      <c r="B334" s="41">
        <v>45245</v>
      </c>
      <c r="C334" s="42">
        <v>45266</v>
      </c>
      <c r="D334" s="43">
        <f t="shared" si="41"/>
        <v>21</v>
      </c>
      <c r="E334" s="43" t="str">
        <f>TEXT(Data!B334,"MMM-YYYY")</f>
        <v>Nov-2023</v>
      </c>
      <c r="F334" s="43" t="str">
        <f t="shared" si="37"/>
        <v>Q4-2023</v>
      </c>
      <c r="G334" s="33" t="s">
        <v>78</v>
      </c>
      <c r="H334" s="33" t="s">
        <v>108</v>
      </c>
      <c r="I334" s="33" t="s">
        <v>228</v>
      </c>
      <c r="J334" s="33" t="s">
        <v>27</v>
      </c>
      <c r="K334" s="33" t="s">
        <v>98</v>
      </c>
      <c r="L334" s="33" t="s">
        <v>92</v>
      </c>
      <c r="M334" s="33" t="s">
        <v>81</v>
      </c>
      <c r="N334" s="33" t="s">
        <v>769</v>
      </c>
      <c r="O334" s="43">
        <v>1184.99</v>
      </c>
      <c r="P334" s="44" t="str">
        <f t="shared" si="38"/>
        <v>High</v>
      </c>
      <c r="Q334" s="43">
        <v>1154.3399999999999</v>
      </c>
      <c r="R334" s="43">
        <v>2.8000000000000001E-2</v>
      </c>
      <c r="S334" s="43">
        <v>5</v>
      </c>
      <c r="T334" s="43">
        <f t="shared" si="35"/>
        <v>6720.9426000000003</v>
      </c>
      <c r="U334" s="33">
        <f t="shared" si="36"/>
        <v>5924.95</v>
      </c>
      <c r="V334" s="43">
        <f t="shared" si="39"/>
        <v>795.99260000000049</v>
      </c>
      <c r="W334" s="45">
        <f t="shared" si="40"/>
        <v>0.11843466718492737</v>
      </c>
    </row>
    <row r="335" spans="1:23" x14ac:dyDescent="0.3">
      <c r="A335" s="34" t="s">
        <v>770</v>
      </c>
      <c r="B335" s="35">
        <v>45774</v>
      </c>
      <c r="C335" s="36">
        <v>45804</v>
      </c>
      <c r="D335" s="37">
        <f t="shared" si="41"/>
        <v>0</v>
      </c>
      <c r="E335" s="37" t="str">
        <f>TEXT(Data!B335,"MMM-YYYY")</f>
        <v>Apr-2025</v>
      </c>
      <c r="F335" s="37" t="str">
        <f t="shared" si="37"/>
        <v>Q2-2025</v>
      </c>
      <c r="G335" s="32" t="s">
        <v>45</v>
      </c>
      <c r="H335" s="32" t="s">
        <v>60</v>
      </c>
      <c r="I335" s="32" t="s">
        <v>1364</v>
      </c>
      <c r="J335" s="32" t="s">
        <v>105</v>
      </c>
      <c r="K335" s="32" t="s">
        <v>40</v>
      </c>
      <c r="L335" s="32" t="s">
        <v>92</v>
      </c>
      <c r="M335" s="32" t="s">
        <v>42</v>
      </c>
      <c r="N335" s="32" t="s">
        <v>771</v>
      </c>
      <c r="O335" s="37">
        <v>481.32</v>
      </c>
      <c r="P335" s="38" t="str">
        <f t="shared" si="38"/>
        <v>High</v>
      </c>
      <c r="Q335" s="37">
        <v>1135.99</v>
      </c>
      <c r="R335" s="37">
        <v>0.14499999999999999</v>
      </c>
      <c r="S335" s="37">
        <v>5</v>
      </c>
      <c r="T335" s="37">
        <f t="shared" si="35"/>
        <v>7038.4882499999994</v>
      </c>
      <c r="U335" s="32">
        <f t="shared" si="36"/>
        <v>2406.6</v>
      </c>
      <c r="V335" s="37">
        <f t="shared" si="39"/>
        <v>4631.88825</v>
      </c>
      <c r="W335" s="39">
        <f t="shared" si="40"/>
        <v>0.65807998613906904</v>
      </c>
    </row>
    <row r="336" spans="1:23" x14ac:dyDescent="0.3">
      <c r="A336" s="40" t="s">
        <v>772</v>
      </c>
      <c r="B336" s="41">
        <v>45391</v>
      </c>
      <c r="C336" s="42">
        <v>45400</v>
      </c>
      <c r="D336" s="43">
        <f t="shared" si="41"/>
        <v>9</v>
      </c>
      <c r="E336" s="43" t="str">
        <f>TEXT(Data!B336,"MMM-YYYY")</f>
        <v>Apr-2024</v>
      </c>
      <c r="F336" s="43" t="str">
        <f t="shared" si="37"/>
        <v>Q2-2024</v>
      </c>
      <c r="G336" s="33" t="s">
        <v>78</v>
      </c>
      <c r="H336" s="33" t="s">
        <v>90</v>
      </c>
      <c r="I336" s="33" t="s">
        <v>138</v>
      </c>
      <c r="J336" s="33" t="s">
        <v>48</v>
      </c>
      <c r="K336" s="33" t="s">
        <v>28</v>
      </c>
      <c r="L336" s="33" t="s">
        <v>63</v>
      </c>
      <c r="M336" s="33" t="s">
        <v>30</v>
      </c>
      <c r="N336" s="33" t="s">
        <v>773</v>
      </c>
      <c r="O336" s="43">
        <v>1288.8499999999999</v>
      </c>
      <c r="P336" s="44" t="str">
        <f t="shared" si="38"/>
        <v>High</v>
      </c>
      <c r="Q336" s="43">
        <v>2751.84</v>
      </c>
      <c r="R336" s="43">
        <v>0.158</v>
      </c>
      <c r="S336" s="43">
        <v>7</v>
      </c>
      <c r="T336" s="43">
        <f t="shared" si="35"/>
        <v>2362.5509599999996</v>
      </c>
      <c r="U336" s="33">
        <f t="shared" si="36"/>
        <v>9021.9499999999989</v>
      </c>
      <c r="V336" s="43">
        <f t="shared" si="39"/>
        <v>-6659.3990399999993</v>
      </c>
      <c r="W336" s="45">
        <f t="shared" si="40"/>
        <v>-2.8187324433416667</v>
      </c>
    </row>
    <row r="337" spans="1:23" x14ac:dyDescent="0.3">
      <c r="A337" s="34" t="s">
        <v>774</v>
      </c>
      <c r="B337" s="35">
        <v>45484</v>
      </c>
      <c r="C337" s="36">
        <v>45504</v>
      </c>
      <c r="D337" s="37">
        <f t="shared" si="41"/>
        <v>20</v>
      </c>
      <c r="E337" s="37" t="str">
        <f>TEXT(Data!B337,"MMM-YYYY")</f>
        <v>Jul-2024</v>
      </c>
      <c r="F337" s="37" t="str">
        <f t="shared" si="37"/>
        <v>Q3-2024</v>
      </c>
      <c r="G337" s="32" t="s">
        <v>45</v>
      </c>
      <c r="H337" s="32" t="s">
        <v>116</v>
      </c>
      <c r="I337" s="32" t="s">
        <v>117</v>
      </c>
      <c r="J337" s="32" t="s">
        <v>48</v>
      </c>
      <c r="K337" s="32" t="s">
        <v>28</v>
      </c>
      <c r="L337" s="32" t="s">
        <v>41</v>
      </c>
      <c r="M337" s="32" t="s">
        <v>42</v>
      </c>
      <c r="N337" s="32" t="s">
        <v>775</v>
      </c>
      <c r="O337" s="37">
        <v>647.26</v>
      </c>
      <c r="P337" s="38" t="str">
        <f t="shared" si="38"/>
        <v>High</v>
      </c>
      <c r="Q337" s="37">
        <v>1374.72</v>
      </c>
      <c r="R337" s="37">
        <v>6.6000000000000003E-2</v>
      </c>
      <c r="S337" s="37">
        <v>22</v>
      </c>
      <c r="T337" s="37">
        <f t="shared" si="35"/>
        <v>36586.946879999996</v>
      </c>
      <c r="U337" s="32">
        <f t="shared" si="36"/>
        <v>14239.72</v>
      </c>
      <c r="V337" s="37">
        <f t="shared" si="39"/>
        <v>22347.226879999995</v>
      </c>
      <c r="W337" s="39">
        <f t="shared" si="40"/>
        <v>0.6107978059305067</v>
      </c>
    </row>
    <row r="338" spans="1:23" x14ac:dyDescent="0.3">
      <c r="A338" s="40" t="s">
        <v>776</v>
      </c>
      <c r="B338" s="41">
        <v>45340</v>
      </c>
      <c r="C338" s="42">
        <v>45354</v>
      </c>
      <c r="D338" s="43">
        <f t="shared" si="41"/>
        <v>14</v>
      </c>
      <c r="E338" s="43" t="str">
        <f>TEXT(Data!B338,"MMM-YYYY")</f>
        <v>Feb-2024</v>
      </c>
      <c r="F338" s="43" t="str">
        <f t="shared" si="37"/>
        <v>Q1-2024</v>
      </c>
      <c r="G338" s="33" t="s">
        <v>52</v>
      </c>
      <c r="H338" s="33" t="s">
        <v>73</v>
      </c>
      <c r="I338" s="33" t="s">
        <v>1364</v>
      </c>
      <c r="J338" s="33" t="s">
        <v>105</v>
      </c>
      <c r="K338" s="33" t="s">
        <v>55</v>
      </c>
      <c r="L338" s="33" t="s">
        <v>75</v>
      </c>
      <c r="M338" s="33" t="s">
        <v>30</v>
      </c>
      <c r="N338" s="33" t="s">
        <v>777</v>
      </c>
      <c r="O338" s="43">
        <v>624.23</v>
      </c>
      <c r="P338" s="44" t="str">
        <f t="shared" si="38"/>
        <v>High</v>
      </c>
      <c r="Q338" s="43">
        <v>1318.37</v>
      </c>
      <c r="R338" s="43">
        <v>0.21</v>
      </c>
      <c r="S338" s="43">
        <v>37</v>
      </c>
      <c r="T338" s="43">
        <f t="shared" si="35"/>
        <v>32691.708900000005</v>
      </c>
      <c r="U338" s="33">
        <f t="shared" si="36"/>
        <v>23096.510000000002</v>
      </c>
      <c r="V338" s="43">
        <f t="shared" si="39"/>
        <v>9595.1989000000031</v>
      </c>
      <c r="W338" s="45">
        <f t="shared" si="40"/>
        <v>0.29350557749521627</v>
      </c>
    </row>
    <row r="339" spans="1:23" x14ac:dyDescent="0.3">
      <c r="A339" s="34" t="s">
        <v>778</v>
      </c>
      <c r="B339" s="35">
        <v>45132</v>
      </c>
      <c r="C339" s="36">
        <v>45148</v>
      </c>
      <c r="D339" s="37">
        <f t="shared" si="41"/>
        <v>16</v>
      </c>
      <c r="E339" s="37" t="str">
        <f>TEXT(Data!B339,"MMM-YYYY")</f>
        <v>Jul-2023</v>
      </c>
      <c r="F339" s="37" t="str">
        <f t="shared" si="37"/>
        <v>Q3-2023</v>
      </c>
      <c r="G339" s="32" t="s">
        <v>16</v>
      </c>
      <c r="H339" s="32" t="s">
        <v>25</v>
      </c>
      <c r="I339" s="32" t="s">
        <v>26</v>
      </c>
      <c r="J339" s="32" t="s">
        <v>19</v>
      </c>
      <c r="K339" s="32" t="s">
        <v>55</v>
      </c>
      <c r="L339" s="32" t="s">
        <v>34</v>
      </c>
      <c r="M339" s="32" t="s">
        <v>81</v>
      </c>
      <c r="N339" s="32" t="s">
        <v>779</v>
      </c>
      <c r="O339" s="37">
        <v>506.83</v>
      </c>
      <c r="P339" s="38" t="str">
        <f t="shared" si="38"/>
        <v>High</v>
      </c>
      <c r="Q339" s="37">
        <v>441.74</v>
      </c>
      <c r="R339" s="37">
        <v>0.24</v>
      </c>
      <c r="S339" s="37">
        <v>9</v>
      </c>
      <c r="T339" s="37">
        <f t="shared" si="35"/>
        <v>5274.4607999999998</v>
      </c>
      <c r="U339" s="32">
        <f t="shared" si="36"/>
        <v>4561.47</v>
      </c>
      <c r="V339" s="37">
        <f t="shared" si="39"/>
        <v>712.99079999999958</v>
      </c>
      <c r="W339" s="39">
        <f t="shared" si="40"/>
        <v>0.1351779503224291</v>
      </c>
    </row>
    <row r="340" spans="1:23" x14ac:dyDescent="0.3">
      <c r="A340" s="40" t="s">
        <v>780</v>
      </c>
      <c r="B340" s="41">
        <v>45121</v>
      </c>
      <c r="C340" s="42">
        <v>45128</v>
      </c>
      <c r="D340" s="43">
        <f t="shared" si="41"/>
        <v>7</v>
      </c>
      <c r="E340" s="43" t="str">
        <f>TEXT(Data!B340,"MMM-YYYY")</f>
        <v>Jul-2023</v>
      </c>
      <c r="F340" s="43" t="str">
        <f t="shared" si="37"/>
        <v>Q3-2023</v>
      </c>
      <c r="G340" s="33" t="s">
        <v>16</v>
      </c>
      <c r="H340" s="33" t="s">
        <v>148</v>
      </c>
      <c r="I340" s="33" t="s">
        <v>172</v>
      </c>
      <c r="J340" s="33" t="s">
        <v>105</v>
      </c>
      <c r="K340" s="33" t="s">
        <v>40</v>
      </c>
      <c r="L340" s="33" t="s">
        <v>1364</v>
      </c>
      <c r="M340" s="33" t="s">
        <v>64</v>
      </c>
      <c r="N340" s="33" t="s">
        <v>781</v>
      </c>
      <c r="O340" s="43">
        <v>620.74</v>
      </c>
      <c r="P340" s="44" t="str">
        <f t="shared" si="38"/>
        <v>High</v>
      </c>
      <c r="Q340" s="43">
        <v>1330.07</v>
      </c>
      <c r="R340" s="43">
        <v>0.29899999999999999</v>
      </c>
      <c r="S340" s="43">
        <v>28</v>
      </c>
      <c r="T340" s="43">
        <f t="shared" si="35"/>
        <v>23750.665119999998</v>
      </c>
      <c r="U340" s="33">
        <f t="shared" si="36"/>
        <v>17380.72</v>
      </c>
      <c r="V340" s="43">
        <f t="shared" si="39"/>
        <v>6369.9451199999967</v>
      </c>
      <c r="W340" s="45">
        <f t="shared" si="40"/>
        <v>0.26820070460409901</v>
      </c>
    </row>
    <row r="341" spans="1:23" x14ac:dyDescent="0.3">
      <c r="A341" s="34" t="s">
        <v>782</v>
      </c>
      <c r="B341" s="35">
        <v>45131</v>
      </c>
      <c r="C341" s="36">
        <v>45157</v>
      </c>
      <c r="D341" s="37">
        <f t="shared" si="41"/>
        <v>26</v>
      </c>
      <c r="E341" s="37" t="str">
        <f>TEXT(Data!B341,"MMM-YYYY")</f>
        <v>Jul-2023</v>
      </c>
      <c r="F341" s="37" t="str">
        <f t="shared" si="37"/>
        <v>Q3-2023</v>
      </c>
      <c r="G341" s="32" t="s">
        <v>16</v>
      </c>
      <c r="H341" s="32" t="s">
        <v>17</v>
      </c>
      <c r="I341" s="32" t="s">
        <v>33</v>
      </c>
      <c r="J341" s="32" t="s">
        <v>105</v>
      </c>
      <c r="K341" s="32" t="s">
        <v>55</v>
      </c>
      <c r="L341" s="32" t="s">
        <v>110</v>
      </c>
      <c r="M341" s="32" t="s">
        <v>81</v>
      </c>
      <c r="N341" s="32" t="s">
        <v>783</v>
      </c>
      <c r="O341" s="37">
        <v>661.45</v>
      </c>
      <c r="P341" s="38" t="str">
        <f t="shared" si="38"/>
        <v>High</v>
      </c>
      <c r="Q341" s="37">
        <v>1634.86</v>
      </c>
      <c r="R341" s="37">
        <v>0.56499999999999995</v>
      </c>
      <c r="S341" s="37">
        <v>24</v>
      </c>
      <c r="T341" s="37">
        <f t="shared" si="35"/>
        <v>31570.873200000005</v>
      </c>
      <c r="U341" s="32">
        <f t="shared" si="36"/>
        <v>15874.800000000001</v>
      </c>
      <c r="V341" s="37">
        <f t="shared" si="39"/>
        <v>15696.073200000004</v>
      </c>
      <c r="W341" s="39">
        <f t="shared" si="40"/>
        <v>0.49716943527555019</v>
      </c>
    </row>
    <row r="342" spans="1:23" x14ac:dyDescent="0.3">
      <c r="A342" s="40" t="s">
        <v>784</v>
      </c>
      <c r="B342" s="41">
        <v>45029</v>
      </c>
      <c r="C342" s="42">
        <v>45027</v>
      </c>
      <c r="D342" s="43">
        <f>DATEDIF(C342,B342, "MD")</f>
        <v>2</v>
      </c>
      <c r="E342" s="43" t="str">
        <f>TEXT(Data!B342,"MMM-YYYY")</f>
        <v>Apr-2023</v>
      </c>
      <c r="F342" s="43" t="str">
        <f t="shared" si="37"/>
        <v>Q2-2023</v>
      </c>
      <c r="G342" s="33" t="s">
        <v>52</v>
      </c>
      <c r="H342" s="33" t="s">
        <v>122</v>
      </c>
      <c r="I342" s="33" t="s">
        <v>167</v>
      </c>
      <c r="J342" s="33" t="s">
        <v>27</v>
      </c>
      <c r="K342" s="33" t="s">
        <v>40</v>
      </c>
      <c r="L342" s="33" t="s">
        <v>41</v>
      </c>
      <c r="M342" s="33" t="s">
        <v>35</v>
      </c>
      <c r="N342" s="33" t="s">
        <v>785</v>
      </c>
      <c r="O342" s="43">
        <v>32.1</v>
      </c>
      <c r="P342" s="44" t="str">
        <f t="shared" si="38"/>
        <v>Medium</v>
      </c>
      <c r="Q342" s="43">
        <v>70.599999999999994</v>
      </c>
      <c r="R342" s="43">
        <v>0.28199999999999997</v>
      </c>
      <c r="S342" s="43">
        <v>22</v>
      </c>
      <c r="T342" s="43">
        <f t="shared" si="35"/>
        <v>36385.454160000001</v>
      </c>
      <c r="U342" s="33">
        <f t="shared" si="36"/>
        <v>706.2</v>
      </c>
      <c r="V342" s="43">
        <f t="shared" si="39"/>
        <v>35679.254160000004</v>
      </c>
      <c r="W342" s="45">
        <f t="shared" si="40"/>
        <v>0.98059114510720191</v>
      </c>
    </row>
    <row r="343" spans="1:23" x14ac:dyDescent="0.3">
      <c r="A343" s="34" t="s">
        <v>786</v>
      </c>
      <c r="B343" s="35">
        <v>45594</v>
      </c>
      <c r="C343" s="36">
        <v>45600</v>
      </c>
      <c r="D343" s="37">
        <f t="shared" si="41"/>
        <v>6</v>
      </c>
      <c r="E343" s="37" t="str">
        <f>TEXT(Data!B343,"MMM-YYYY")</f>
        <v>Oct-2024</v>
      </c>
      <c r="F343" s="37" t="str">
        <f t="shared" si="37"/>
        <v>Q4-2024</v>
      </c>
      <c r="G343" s="32" t="s">
        <v>16</v>
      </c>
      <c r="H343" s="32" t="s">
        <v>17</v>
      </c>
      <c r="I343" s="32" t="s">
        <v>33</v>
      </c>
      <c r="J343" s="32" t="s">
        <v>19</v>
      </c>
      <c r="K343" s="32" t="s">
        <v>55</v>
      </c>
      <c r="L343" s="32" t="s">
        <v>110</v>
      </c>
      <c r="M343" s="32" t="s">
        <v>30</v>
      </c>
      <c r="N343" s="32" t="s">
        <v>787</v>
      </c>
      <c r="O343" s="37">
        <v>805.81</v>
      </c>
      <c r="P343" s="38" t="str">
        <f t="shared" si="38"/>
        <v>High</v>
      </c>
      <c r="Q343" s="37">
        <v>1823.04</v>
      </c>
      <c r="R343" s="37">
        <v>0</v>
      </c>
      <c r="S343" s="37">
        <v>11</v>
      </c>
      <c r="T343" s="37">
        <f t="shared" si="35"/>
        <v>33921.800000000003</v>
      </c>
      <c r="U343" s="32">
        <f t="shared" si="36"/>
        <v>8863.91</v>
      </c>
      <c r="V343" s="37">
        <f t="shared" si="39"/>
        <v>25057.890000000003</v>
      </c>
      <c r="W343" s="39">
        <f t="shared" si="40"/>
        <v>0.73869576496530254</v>
      </c>
    </row>
    <row r="344" spans="1:23" x14ac:dyDescent="0.3">
      <c r="A344" s="40" t="s">
        <v>788</v>
      </c>
      <c r="B344" s="41">
        <v>45339</v>
      </c>
      <c r="C344" s="42">
        <v>45355</v>
      </c>
      <c r="D344" s="43">
        <f t="shared" si="41"/>
        <v>16</v>
      </c>
      <c r="E344" s="43" t="str">
        <f>TEXT(Data!B344,"MMM-YYYY")</f>
        <v>Feb-2024</v>
      </c>
      <c r="F344" s="43" t="str">
        <f t="shared" si="37"/>
        <v>Q1-2024</v>
      </c>
      <c r="G344" s="33" t="s">
        <v>45</v>
      </c>
      <c r="H344" s="33" t="s">
        <v>60</v>
      </c>
      <c r="I344" s="33" t="s">
        <v>141</v>
      </c>
      <c r="J344" s="33" t="s">
        <v>62</v>
      </c>
      <c r="K344" s="33" t="s">
        <v>40</v>
      </c>
      <c r="L344" s="33" t="s">
        <v>84</v>
      </c>
      <c r="M344" s="33" t="s">
        <v>42</v>
      </c>
      <c r="N344" s="33" t="s">
        <v>789</v>
      </c>
      <c r="O344" s="43">
        <v>1231.8</v>
      </c>
      <c r="P344" s="44" t="str">
        <f t="shared" si="38"/>
        <v>High</v>
      </c>
      <c r="Q344" s="43">
        <v>2015.99</v>
      </c>
      <c r="R344" s="43">
        <v>0.26100000000000001</v>
      </c>
      <c r="S344" s="43">
        <v>6</v>
      </c>
      <c r="T344" s="43">
        <f t="shared" si="35"/>
        <v>1430.8961399999998</v>
      </c>
      <c r="U344" s="33">
        <f t="shared" si="36"/>
        <v>7390.7999999999993</v>
      </c>
      <c r="V344" s="43">
        <f t="shared" si="39"/>
        <v>-5959.9038599999994</v>
      </c>
      <c r="W344" s="45">
        <f t="shared" si="40"/>
        <v>-4.1651547539991265</v>
      </c>
    </row>
    <row r="345" spans="1:23" x14ac:dyDescent="0.3">
      <c r="A345" s="34" t="s">
        <v>790</v>
      </c>
      <c r="B345" s="35">
        <v>45486</v>
      </c>
      <c r="C345" s="36">
        <v>45485</v>
      </c>
      <c r="D345" s="37">
        <f>DATEDIF(C345,B345, "MD")</f>
        <v>1</v>
      </c>
      <c r="E345" s="37" t="str">
        <f>TEXT(Data!B345,"MMM-YYYY")</f>
        <v>Jul-2024</v>
      </c>
      <c r="F345" s="37" t="str">
        <f t="shared" si="37"/>
        <v>Q3-2024</v>
      </c>
      <c r="G345" s="32" t="s">
        <v>45</v>
      </c>
      <c r="H345" s="32" t="s">
        <v>46</v>
      </c>
      <c r="I345" s="32" t="s">
        <v>231</v>
      </c>
      <c r="J345" s="32" t="s">
        <v>62</v>
      </c>
      <c r="K345" s="32" t="s">
        <v>40</v>
      </c>
      <c r="L345" s="32" t="s">
        <v>84</v>
      </c>
      <c r="M345" s="32" t="s">
        <v>35</v>
      </c>
      <c r="N345" s="32" t="s">
        <v>791</v>
      </c>
      <c r="O345" s="37">
        <v>105.13</v>
      </c>
      <c r="P345" s="38" t="str">
        <f t="shared" si="38"/>
        <v>High</v>
      </c>
      <c r="Q345" s="37">
        <v>244.13</v>
      </c>
      <c r="R345" s="37">
        <v>7.0999999999999994E-2</v>
      </c>
      <c r="S345" s="37">
        <v>14</v>
      </c>
      <c r="T345" s="37">
        <f t="shared" si="35"/>
        <v>9511.1577400000006</v>
      </c>
      <c r="U345" s="32">
        <f t="shared" si="36"/>
        <v>1471.82</v>
      </c>
      <c r="V345" s="37">
        <f t="shared" si="39"/>
        <v>8039.3377400000008</v>
      </c>
      <c r="W345" s="39">
        <f t="shared" si="40"/>
        <v>0.84525332874986048</v>
      </c>
    </row>
    <row r="346" spans="1:23" x14ac:dyDescent="0.3">
      <c r="A346" s="40" t="s">
        <v>792</v>
      </c>
      <c r="B346" s="41">
        <v>45261</v>
      </c>
      <c r="C346" s="42">
        <v>45278</v>
      </c>
      <c r="D346" s="43">
        <f t="shared" si="41"/>
        <v>17</v>
      </c>
      <c r="E346" s="43" t="str">
        <f>TEXT(Data!B346,"MMM-YYYY")</f>
        <v>Dec-2023</v>
      </c>
      <c r="F346" s="43" t="str">
        <f t="shared" si="37"/>
        <v>Q4-2023</v>
      </c>
      <c r="G346" s="33" t="s">
        <v>45</v>
      </c>
      <c r="H346" s="33" t="s">
        <v>46</v>
      </c>
      <c r="I346" s="33" t="s">
        <v>231</v>
      </c>
      <c r="J346" s="33" t="s">
        <v>62</v>
      </c>
      <c r="K346" s="33" t="s">
        <v>98</v>
      </c>
      <c r="L346" s="33" t="s">
        <v>126</v>
      </c>
      <c r="M346" s="33" t="s">
        <v>57</v>
      </c>
      <c r="N346" s="33" t="s">
        <v>793</v>
      </c>
      <c r="O346" s="43">
        <v>1495.79</v>
      </c>
      <c r="P346" s="44" t="str">
        <f t="shared" si="38"/>
        <v>High</v>
      </c>
      <c r="Q346" s="43">
        <v>2783.12</v>
      </c>
      <c r="R346" s="43">
        <v>0.02</v>
      </c>
      <c r="S346" s="43">
        <v>5</v>
      </c>
      <c r="T346" s="43">
        <f t="shared" si="35"/>
        <v>7516.3549999999996</v>
      </c>
      <c r="U346" s="33">
        <f t="shared" si="36"/>
        <v>7478.95</v>
      </c>
      <c r="V346" s="43">
        <f t="shared" si="39"/>
        <v>37.404999999999745</v>
      </c>
      <c r="W346" s="45">
        <f t="shared" si="40"/>
        <v>4.9764812864745937E-3</v>
      </c>
    </row>
    <row r="347" spans="1:23" x14ac:dyDescent="0.3">
      <c r="A347" s="34" t="s">
        <v>794</v>
      </c>
      <c r="B347" s="35">
        <v>45498</v>
      </c>
      <c r="C347" s="36">
        <v>45506</v>
      </c>
      <c r="D347" s="37">
        <f t="shared" si="41"/>
        <v>8</v>
      </c>
      <c r="E347" s="37" t="str">
        <f>TEXT(Data!B347,"MMM-YYYY")</f>
        <v>Jul-2024</v>
      </c>
      <c r="F347" s="37" t="str">
        <f t="shared" si="37"/>
        <v>Q3-2024</v>
      </c>
      <c r="G347" s="32" t="s">
        <v>52</v>
      </c>
      <c r="H347" s="32" t="s">
        <v>53</v>
      </c>
      <c r="I347" s="32" t="s">
        <v>144</v>
      </c>
      <c r="J347" s="32" t="s">
        <v>48</v>
      </c>
      <c r="K347" s="32" t="s">
        <v>98</v>
      </c>
      <c r="L347" s="32" t="s">
        <v>29</v>
      </c>
      <c r="M347" s="32" t="s">
        <v>81</v>
      </c>
      <c r="N347" s="32" t="s">
        <v>795</v>
      </c>
      <c r="O347" s="37">
        <v>986.81</v>
      </c>
      <c r="P347" s="38" t="str">
        <f t="shared" si="38"/>
        <v>High</v>
      </c>
      <c r="Q347" s="37">
        <v>2050.31</v>
      </c>
      <c r="R347" s="37">
        <v>0.10299999999999999</v>
      </c>
      <c r="S347" s="37">
        <v>43</v>
      </c>
      <c r="T347" s="37">
        <f t="shared" si="35"/>
        <v>60620.497860000003</v>
      </c>
      <c r="U347" s="32">
        <f t="shared" si="36"/>
        <v>42432.829999999994</v>
      </c>
      <c r="V347" s="37">
        <f t="shared" si="39"/>
        <v>18187.667860000009</v>
      </c>
      <c r="W347" s="39">
        <f t="shared" si="40"/>
        <v>0.30002504931588508</v>
      </c>
    </row>
    <row r="348" spans="1:23" x14ac:dyDescent="0.3">
      <c r="A348" s="40" t="s">
        <v>796</v>
      </c>
      <c r="B348" s="41">
        <v>45050</v>
      </c>
      <c r="C348" s="42">
        <v>45062</v>
      </c>
      <c r="D348" s="43">
        <f t="shared" si="41"/>
        <v>12</v>
      </c>
      <c r="E348" s="43" t="str">
        <f>TEXT(Data!B348,"MMM-YYYY")</f>
        <v>May-2023</v>
      </c>
      <c r="F348" s="43" t="str">
        <f t="shared" si="37"/>
        <v>Q2-2023</v>
      </c>
      <c r="G348" s="33" t="s">
        <v>16</v>
      </c>
      <c r="H348" s="33" t="s">
        <v>25</v>
      </c>
      <c r="I348" s="33" t="s">
        <v>67</v>
      </c>
      <c r="J348" s="33" t="s">
        <v>62</v>
      </c>
      <c r="K348" s="33" t="s">
        <v>40</v>
      </c>
      <c r="L348" s="33" t="s">
        <v>29</v>
      </c>
      <c r="M348" s="33" t="s">
        <v>42</v>
      </c>
      <c r="N348" s="33" t="s">
        <v>797</v>
      </c>
      <c r="O348" s="43">
        <v>77.739999999999995</v>
      </c>
      <c r="P348" s="44" t="str">
        <f t="shared" si="38"/>
        <v>Medium</v>
      </c>
      <c r="Q348" s="43">
        <v>147.12</v>
      </c>
      <c r="R348" s="43">
        <v>0</v>
      </c>
      <c r="S348" s="43">
        <v>15</v>
      </c>
      <c r="T348" s="43">
        <f t="shared" si="35"/>
        <v>3760.95</v>
      </c>
      <c r="U348" s="33">
        <f t="shared" si="36"/>
        <v>1166.0999999999999</v>
      </c>
      <c r="V348" s="43">
        <f t="shared" si="39"/>
        <v>2594.85</v>
      </c>
      <c r="W348" s="45">
        <f t="shared" si="40"/>
        <v>0.68994535955011371</v>
      </c>
    </row>
    <row r="349" spans="1:23" x14ac:dyDescent="0.3">
      <c r="A349" s="34" t="s">
        <v>798</v>
      </c>
      <c r="B349" s="35">
        <v>45281</v>
      </c>
      <c r="C349" s="36">
        <v>45297</v>
      </c>
      <c r="D349" s="37">
        <f t="shared" si="41"/>
        <v>16</v>
      </c>
      <c r="E349" s="37" t="str">
        <f>TEXT(Data!B349,"MMM-YYYY")</f>
        <v>Dec-2023</v>
      </c>
      <c r="F349" s="37" t="str">
        <f t="shared" si="37"/>
        <v>Q4-2023</v>
      </c>
      <c r="G349" s="32" t="s">
        <v>16</v>
      </c>
      <c r="H349" s="32" t="s">
        <v>25</v>
      </c>
      <c r="I349" s="32" t="s">
        <v>1364</v>
      </c>
      <c r="J349" s="32" t="s">
        <v>19</v>
      </c>
      <c r="K349" s="32" t="s">
        <v>40</v>
      </c>
      <c r="L349" s="32" t="s">
        <v>95</v>
      </c>
      <c r="M349" s="32" t="s">
        <v>22</v>
      </c>
      <c r="N349" s="32" t="s">
        <v>799</v>
      </c>
      <c r="O349" s="37">
        <v>932.61</v>
      </c>
      <c r="P349" s="38" t="str">
        <f t="shared" si="38"/>
        <v>High</v>
      </c>
      <c r="Q349" s="37">
        <v>1982.98</v>
      </c>
      <c r="R349" s="37">
        <v>0.14399999999999999</v>
      </c>
      <c r="S349" s="37">
        <v>16</v>
      </c>
      <c r="T349" s="37">
        <f t="shared" si="35"/>
        <v>47563.605759999999</v>
      </c>
      <c r="U349" s="32">
        <f t="shared" si="36"/>
        <v>14921.76</v>
      </c>
      <c r="V349" s="37">
        <f t="shared" si="39"/>
        <v>32641.845759999997</v>
      </c>
      <c r="W349" s="39">
        <f t="shared" si="40"/>
        <v>0.68627777979463256</v>
      </c>
    </row>
    <row r="350" spans="1:23" x14ac:dyDescent="0.3">
      <c r="A350" s="40" t="s">
        <v>800</v>
      </c>
      <c r="B350" s="41">
        <v>45825</v>
      </c>
      <c r="C350" s="42">
        <v>45843</v>
      </c>
      <c r="D350" s="43">
        <f t="shared" si="41"/>
        <v>18</v>
      </c>
      <c r="E350" s="43" t="str">
        <f>TEXT(Data!B350,"MMM-YYYY")</f>
        <v>Jun-2025</v>
      </c>
      <c r="F350" s="43" t="str">
        <f t="shared" si="37"/>
        <v>Q2-2025</v>
      </c>
      <c r="G350" s="33" t="s">
        <v>45</v>
      </c>
      <c r="H350" s="33" t="s">
        <v>60</v>
      </c>
      <c r="I350" s="33" t="s">
        <v>141</v>
      </c>
      <c r="J350" s="33" t="s">
        <v>48</v>
      </c>
      <c r="K350" s="33" t="s">
        <v>40</v>
      </c>
      <c r="L350" s="33" t="s">
        <v>49</v>
      </c>
      <c r="M350" s="33" t="s">
        <v>57</v>
      </c>
      <c r="N350" s="33" t="s">
        <v>801</v>
      </c>
      <c r="O350" s="43">
        <v>982.93</v>
      </c>
      <c r="P350" s="44" t="str">
        <f t="shared" si="38"/>
        <v>High</v>
      </c>
      <c r="Q350" s="43">
        <v>2299.3000000000002</v>
      </c>
      <c r="R350" s="43">
        <v>0.113</v>
      </c>
      <c r="S350" s="43">
        <v>6</v>
      </c>
      <c r="T350" s="43">
        <f t="shared" si="35"/>
        <v>6418.5448799999995</v>
      </c>
      <c r="U350" s="33">
        <f t="shared" si="36"/>
        <v>5897.58</v>
      </c>
      <c r="V350" s="43">
        <f t="shared" si="39"/>
        <v>520.96487999999954</v>
      </c>
      <c r="W350" s="45">
        <f t="shared" si="40"/>
        <v>8.1165574088811171E-2</v>
      </c>
    </row>
    <row r="351" spans="1:23" x14ac:dyDescent="0.3">
      <c r="A351" s="34" t="s">
        <v>802</v>
      </c>
      <c r="B351" s="35">
        <v>44980</v>
      </c>
      <c r="C351" s="36">
        <v>44993</v>
      </c>
      <c r="D351" s="37">
        <f t="shared" si="41"/>
        <v>13</v>
      </c>
      <c r="E351" s="37" t="str">
        <f>TEXT(Data!B351,"MMM-YYYY")</f>
        <v>Feb-2023</v>
      </c>
      <c r="F351" s="37" t="str">
        <f t="shared" si="37"/>
        <v>Q1-2023</v>
      </c>
      <c r="G351" s="32" t="s">
        <v>78</v>
      </c>
      <c r="H351" s="32" t="s">
        <v>108</v>
      </c>
      <c r="I351" s="32" t="s">
        <v>228</v>
      </c>
      <c r="J351" s="32" t="s">
        <v>62</v>
      </c>
      <c r="K351" s="32" t="s">
        <v>98</v>
      </c>
      <c r="L351" s="32" t="s">
        <v>21</v>
      </c>
      <c r="M351" s="32" t="s">
        <v>30</v>
      </c>
      <c r="N351" s="32" t="s">
        <v>803</v>
      </c>
      <c r="O351" s="37">
        <v>307.37</v>
      </c>
      <c r="P351" s="38" t="str">
        <f t="shared" si="38"/>
        <v>High</v>
      </c>
      <c r="Q351" s="37">
        <v>462.61</v>
      </c>
      <c r="R351" s="37">
        <v>0.188</v>
      </c>
      <c r="S351" s="37">
        <v>11</v>
      </c>
      <c r="T351" s="37">
        <f t="shared" si="35"/>
        <v>19625.658360000001</v>
      </c>
      <c r="U351" s="32">
        <f t="shared" si="36"/>
        <v>3381.07</v>
      </c>
      <c r="V351" s="37">
        <f t="shared" si="39"/>
        <v>16244.588360000002</v>
      </c>
      <c r="W351" s="39">
        <f t="shared" si="40"/>
        <v>0.82772195775652957</v>
      </c>
    </row>
    <row r="352" spans="1:23" x14ac:dyDescent="0.3">
      <c r="A352" s="40" t="s">
        <v>804</v>
      </c>
      <c r="B352" s="41">
        <v>45262</v>
      </c>
      <c r="C352" s="42">
        <v>45276</v>
      </c>
      <c r="D352" s="43">
        <f t="shared" si="41"/>
        <v>14</v>
      </c>
      <c r="E352" s="43" t="str">
        <f>TEXT(Data!B352,"MMM-YYYY")</f>
        <v>Dec-2023</v>
      </c>
      <c r="F352" s="43" t="str">
        <f t="shared" si="37"/>
        <v>Q4-2023</v>
      </c>
      <c r="G352" s="33" t="s">
        <v>78</v>
      </c>
      <c r="H352" s="33" t="s">
        <v>79</v>
      </c>
      <c r="I352" s="33" t="s">
        <v>335</v>
      </c>
      <c r="J352" s="33" t="s">
        <v>27</v>
      </c>
      <c r="K352" s="33" t="s">
        <v>98</v>
      </c>
      <c r="L352" s="33" t="s">
        <v>126</v>
      </c>
      <c r="M352" s="33" t="s">
        <v>64</v>
      </c>
      <c r="N352" s="33" t="s">
        <v>805</v>
      </c>
      <c r="O352" s="43">
        <v>879.08</v>
      </c>
      <c r="P352" s="44" t="str">
        <f t="shared" si="38"/>
        <v>High</v>
      </c>
      <c r="Q352" s="43">
        <v>1093.3900000000001</v>
      </c>
      <c r="R352" s="43">
        <v>0.113</v>
      </c>
      <c r="S352" s="43">
        <v>17</v>
      </c>
      <c r="T352" s="43">
        <f t="shared" si="35"/>
        <v>24437.027399999999</v>
      </c>
      <c r="U352" s="33">
        <f t="shared" si="36"/>
        <v>14944.36</v>
      </c>
      <c r="V352" s="43">
        <f t="shared" si="39"/>
        <v>9492.6673999999985</v>
      </c>
      <c r="W352" s="45">
        <f t="shared" si="40"/>
        <v>0.38845426019369272</v>
      </c>
    </row>
    <row r="353" spans="1:23" x14ac:dyDescent="0.3">
      <c r="A353" s="34" t="s">
        <v>806</v>
      </c>
      <c r="B353" s="35">
        <v>45121</v>
      </c>
      <c r="C353" s="36">
        <v>45121</v>
      </c>
      <c r="D353" s="37">
        <f t="shared" si="41"/>
        <v>0</v>
      </c>
      <c r="E353" s="37" t="str">
        <f>TEXT(Data!B353,"MMM-YYYY")</f>
        <v>Jul-2023</v>
      </c>
      <c r="F353" s="37" t="str">
        <f t="shared" si="37"/>
        <v>Q3-2023</v>
      </c>
      <c r="G353" s="32" t="s">
        <v>16</v>
      </c>
      <c r="H353" s="32" t="s">
        <v>25</v>
      </c>
      <c r="I353" s="32" t="s">
        <v>38</v>
      </c>
      <c r="J353" s="32" t="s">
        <v>27</v>
      </c>
      <c r="K353" s="32" t="s">
        <v>20</v>
      </c>
      <c r="L353" s="32" t="s">
        <v>34</v>
      </c>
      <c r="M353" s="32" t="s">
        <v>81</v>
      </c>
      <c r="N353" s="32" t="s">
        <v>807</v>
      </c>
      <c r="O353" s="37">
        <v>956.38</v>
      </c>
      <c r="P353" s="38" t="str">
        <f t="shared" si="38"/>
        <v>High</v>
      </c>
      <c r="Q353" s="37">
        <v>1454.22</v>
      </c>
      <c r="R353" s="37">
        <v>3.9E-2</v>
      </c>
      <c r="S353" s="37">
        <v>19</v>
      </c>
      <c r="T353" s="37">
        <f t="shared" si="35"/>
        <v>18891.856940000001</v>
      </c>
      <c r="U353" s="32">
        <f t="shared" si="36"/>
        <v>18171.22</v>
      </c>
      <c r="V353" s="37">
        <f t="shared" si="39"/>
        <v>720.63694000000032</v>
      </c>
      <c r="W353" s="39">
        <f t="shared" si="40"/>
        <v>3.8145373548440616E-2</v>
      </c>
    </row>
    <row r="354" spans="1:23" x14ac:dyDescent="0.3">
      <c r="A354" s="40" t="s">
        <v>808</v>
      </c>
      <c r="B354" s="41">
        <v>45512</v>
      </c>
      <c r="C354" s="42">
        <v>45524</v>
      </c>
      <c r="D354" s="43">
        <f t="shared" si="41"/>
        <v>12</v>
      </c>
      <c r="E354" s="43" t="str">
        <f>TEXT(Data!B354,"MMM-YYYY")</f>
        <v>Aug-2024</v>
      </c>
      <c r="F354" s="43" t="str">
        <f t="shared" si="37"/>
        <v>Q3-2024</v>
      </c>
      <c r="G354" s="33" t="s">
        <v>45</v>
      </c>
      <c r="H354" s="33" t="s">
        <v>46</v>
      </c>
      <c r="I354" s="33" t="s">
        <v>47</v>
      </c>
      <c r="J354" s="33" t="s">
        <v>62</v>
      </c>
      <c r="K354" s="33" t="s">
        <v>20</v>
      </c>
      <c r="L354" s="33" t="s">
        <v>92</v>
      </c>
      <c r="M354" s="33" t="s">
        <v>35</v>
      </c>
      <c r="N354" s="33" t="s">
        <v>809</v>
      </c>
      <c r="O354" s="43">
        <v>1233.3599999999999</v>
      </c>
      <c r="P354" s="44" t="str">
        <f t="shared" si="38"/>
        <v>High</v>
      </c>
      <c r="Q354" s="43">
        <v>2120.4</v>
      </c>
      <c r="R354" s="43">
        <v>0.17899999999999999</v>
      </c>
      <c r="S354" s="43">
        <v>20</v>
      </c>
      <c r="T354" s="43">
        <f t="shared" si="35"/>
        <v>31286.9964</v>
      </c>
      <c r="U354" s="33">
        <f t="shared" si="36"/>
        <v>24667.199999999997</v>
      </c>
      <c r="V354" s="43">
        <f t="shared" si="39"/>
        <v>6619.7964000000029</v>
      </c>
      <c r="W354" s="45">
        <f t="shared" si="40"/>
        <v>0.21158299490838958</v>
      </c>
    </row>
    <row r="355" spans="1:23" x14ac:dyDescent="0.3">
      <c r="A355" s="34" t="s">
        <v>810</v>
      </c>
      <c r="B355" s="35">
        <v>45603</v>
      </c>
      <c r="C355" s="36">
        <v>45622</v>
      </c>
      <c r="D355" s="37">
        <f t="shared" si="41"/>
        <v>19</v>
      </c>
      <c r="E355" s="37" t="str">
        <f>TEXT(Data!B355,"MMM-YYYY")</f>
        <v>Nov-2024</v>
      </c>
      <c r="F355" s="37" t="str">
        <f t="shared" si="37"/>
        <v>Q4-2024</v>
      </c>
      <c r="G355" s="32" t="s">
        <v>52</v>
      </c>
      <c r="H355" s="32" t="s">
        <v>73</v>
      </c>
      <c r="I355" s="32" t="s">
        <v>225</v>
      </c>
      <c r="J355" s="32" t="s">
        <v>39</v>
      </c>
      <c r="K355" s="32" t="s">
        <v>55</v>
      </c>
      <c r="L355" s="32" t="s">
        <v>29</v>
      </c>
      <c r="M355" s="32" t="s">
        <v>30</v>
      </c>
      <c r="N355" s="32" t="s">
        <v>811</v>
      </c>
      <c r="O355" s="37">
        <v>55.35</v>
      </c>
      <c r="P355" s="38" t="str">
        <f t="shared" si="38"/>
        <v>Medium</v>
      </c>
      <c r="Q355" s="37">
        <v>128.68</v>
      </c>
      <c r="R355" s="37">
        <v>0.128</v>
      </c>
      <c r="S355" s="37">
        <v>10</v>
      </c>
      <c r="T355" s="37">
        <f t="shared" si="35"/>
        <v>4722.4031999999997</v>
      </c>
      <c r="U355" s="32">
        <f t="shared" si="36"/>
        <v>553.5</v>
      </c>
      <c r="V355" s="37">
        <f t="shared" si="39"/>
        <v>4168.9031999999997</v>
      </c>
      <c r="W355" s="39">
        <f t="shared" si="40"/>
        <v>0.88279272722837387</v>
      </c>
    </row>
    <row r="356" spans="1:23" x14ac:dyDescent="0.3">
      <c r="A356" s="40" t="s">
        <v>812</v>
      </c>
      <c r="B356" s="41">
        <v>45292</v>
      </c>
      <c r="C356" s="42">
        <v>45318</v>
      </c>
      <c r="D356" s="43">
        <f t="shared" si="41"/>
        <v>26</v>
      </c>
      <c r="E356" s="43" t="str">
        <f>TEXT(Data!B356,"MMM-YYYY")</f>
        <v>Jan-2024</v>
      </c>
      <c r="F356" s="43" t="str">
        <f t="shared" si="37"/>
        <v>Q1-2024</v>
      </c>
      <c r="G356" s="33" t="s">
        <v>78</v>
      </c>
      <c r="H356" s="33" t="s">
        <v>108</v>
      </c>
      <c r="I356" s="33" t="s">
        <v>228</v>
      </c>
      <c r="J356" s="33" t="s">
        <v>27</v>
      </c>
      <c r="K356" s="33" t="s">
        <v>55</v>
      </c>
      <c r="L356" s="33" t="s">
        <v>145</v>
      </c>
      <c r="M356" s="33" t="s">
        <v>81</v>
      </c>
      <c r="N356" s="33" t="s">
        <v>813</v>
      </c>
      <c r="O356" s="43">
        <v>657.45</v>
      </c>
      <c r="P356" s="44" t="str">
        <f t="shared" si="38"/>
        <v>High</v>
      </c>
      <c r="Q356" s="43">
        <v>1325.96</v>
      </c>
      <c r="R356" s="43">
        <v>0.16700000000000001</v>
      </c>
      <c r="S356" s="43">
        <v>21</v>
      </c>
      <c r="T356" s="43">
        <f t="shared" si="35"/>
        <v>19532.683799999999</v>
      </c>
      <c r="U356" s="33">
        <f t="shared" si="36"/>
        <v>13806.45</v>
      </c>
      <c r="V356" s="43">
        <f t="shared" si="39"/>
        <v>5726.2337999999982</v>
      </c>
      <c r="W356" s="45">
        <f t="shared" si="40"/>
        <v>0.29316164939914702</v>
      </c>
    </row>
    <row r="357" spans="1:23" x14ac:dyDescent="0.3">
      <c r="A357" s="34" t="s">
        <v>814</v>
      </c>
      <c r="B357" s="35">
        <v>45883</v>
      </c>
      <c r="C357" s="36">
        <v>45911</v>
      </c>
      <c r="D357" s="37">
        <f t="shared" si="41"/>
        <v>28</v>
      </c>
      <c r="E357" s="37" t="str">
        <f>TEXT(Data!B357,"MMM-YYYY")</f>
        <v>Aug-2025</v>
      </c>
      <c r="F357" s="37" t="str">
        <f t="shared" si="37"/>
        <v>Q3-2025</v>
      </c>
      <c r="G357" s="32" t="s">
        <v>52</v>
      </c>
      <c r="H357" s="32" t="s">
        <v>73</v>
      </c>
      <c r="I357" s="32" t="s">
        <v>74</v>
      </c>
      <c r="J357" s="32" t="s">
        <v>39</v>
      </c>
      <c r="K357" s="32" t="s">
        <v>98</v>
      </c>
      <c r="L357" s="32" t="s">
        <v>84</v>
      </c>
      <c r="M357" s="32" t="s">
        <v>30</v>
      </c>
      <c r="N357" s="32" t="s">
        <v>815</v>
      </c>
      <c r="O357" s="37">
        <v>1203.02</v>
      </c>
      <c r="P357" s="38" t="str">
        <f t="shared" si="38"/>
        <v>High</v>
      </c>
      <c r="Q357" s="37">
        <v>2439.33</v>
      </c>
      <c r="R357" s="37">
        <v>0</v>
      </c>
      <c r="S357" s="37">
        <v>18</v>
      </c>
      <c r="T357" s="37">
        <f t="shared" si="35"/>
        <v>26190</v>
      </c>
      <c r="U357" s="32">
        <f t="shared" si="36"/>
        <v>21654.36</v>
      </c>
      <c r="V357" s="37">
        <f t="shared" si="39"/>
        <v>4535.6399999999994</v>
      </c>
      <c r="W357" s="39">
        <f t="shared" si="40"/>
        <v>0.17318213058419241</v>
      </c>
    </row>
    <row r="358" spans="1:23" x14ac:dyDescent="0.3">
      <c r="A358" s="40" t="s">
        <v>816</v>
      </c>
      <c r="B358" s="41">
        <v>45385</v>
      </c>
      <c r="C358" s="42">
        <v>45403</v>
      </c>
      <c r="D358" s="43">
        <f t="shared" si="41"/>
        <v>18</v>
      </c>
      <c r="E358" s="43" t="str">
        <f>TEXT(Data!B358,"MMM-YYYY")</f>
        <v>Apr-2024</v>
      </c>
      <c r="F358" s="43" t="str">
        <f t="shared" si="37"/>
        <v>Q2-2024</v>
      </c>
      <c r="G358" s="33" t="s">
        <v>52</v>
      </c>
      <c r="H358" s="33" t="s">
        <v>73</v>
      </c>
      <c r="I358" s="33" t="s">
        <v>87</v>
      </c>
      <c r="J358" s="33" t="s">
        <v>62</v>
      </c>
      <c r="K358" s="33" t="s">
        <v>55</v>
      </c>
      <c r="L358" s="33" t="s">
        <v>56</v>
      </c>
      <c r="M358" s="33" t="s">
        <v>35</v>
      </c>
      <c r="N358" s="33" t="s">
        <v>817</v>
      </c>
      <c r="O358" s="43">
        <v>1176.69</v>
      </c>
      <c r="P358" s="44" t="str">
        <f t="shared" si="38"/>
        <v>High</v>
      </c>
      <c r="Q358" s="43">
        <v>2201.54</v>
      </c>
      <c r="R358" s="43">
        <v>0.17</v>
      </c>
      <c r="S358" s="43">
        <v>27</v>
      </c>
      <c r="T358" s="43">
        <f t="shared" si="35"/>
        <v>28646.702999999998</v>
      </c>
      <c r="U358" s="33">
        <f t="shared" si="36"/>
        <v>31770.63</v>
      </c>
      <c r="V358" s="43">
        <f t="shared" si="39"/>
        <v>-3123.9270000000033</v>
      </c>
      <c r="W358" s="45">
        <f t="shared" si="40"/>
        <v>-0.1090501409533936</v>
      </c>
    </row>
    <row r="359" spans="1:23" x14ac:dyDescent="0.3">
      <c r="A359" s="34" t="s">
        <v>818</v>
      </c>
      <c r="B359" s="35">
        <v>45621</v>
      </c>
      <c r="C359" s="36">
        <v>45633</v>
      </c>
      <c r="D359" s="37">
        <f t="shared" si="41"/>
        <v>12</v>
      </c>
      <c r="E359" s="37" t="str">
        <f>TEXT(Data!B359,"MMM-YYYY")</f>
        <v>Nov-2024</v>
      </c>
      <c r="F359" s="37" t="str">
        <f t="shared" si="37"/>
        <v>Q4-2024</v>
      </c>
      <c r="G359" s="32" t="s">
        <v>45</v>
      </c>
      <c r="H359" s="32" t="s">
        <v>116</v>
      </c>
      <c r="I359" s="32" t="s">
        <v>162</v>
      </c>
      <c r="J359" s="32" t="s">
        <v>19</v>
      </c>
      <c r="K359" s="32" t="s">
        <v>55</v>
      </c>
      <c r="L359" s="32" t="s">
        <v>75</v>
      </c>
      <c r="M359" s="32" t="s">
        <v>81</v>
      </c>
      <c r="N359" s="32" t="s">
        <v>819</v>
      </c>
      <c r="O359" s="37">
        <v>769.9</v>
      </c>
      <c r="P359" s="38" t="str">
        <f t="shared" si="38"/>
        <v>High</v>
      </c>
      <c r="Q359" s="37">
        <v>814.36</v>
      </c>
      <c r="R359" s="37">
        <v>0</v>
      </c>
      <c r="S359" s="37">
        <v>5</v>
      </c>
      <c r="T359" s="37">
        <f t="shared" si="35"/>
        <v>4499.1500000000005</v>
      </c>
      <c r="U359" s="32">
        <f t="shared" si="36"/>
        <v>3849.5</v>
      </c>
      <c r="V359" s="37">
        <f t="shared" si="39"/>
        <v>649.65000000000055</v>
      </c>
      <c r="W359" s="39">
        <f t="shared" si="40"/>
        <v>0.14439394107775924</v>
      </c>
    </row>
    <row r="360" spans="1:23" x14ac:dyDescent="0.3">
      <c r="A360" s="40" t="s">
        <v>820</v>
      </c>
      <c r="B360" s="41">
        <v>45309</v>
      </c>
      <c r="C360" s="42">
        <v>45325</v>
      </c>
      <c r="D360" s="43">
        <f t="shared" si="41"/>
        <v>16</v>
      </c>
      <c r="E360" s="43" t="str">
        <f>TEXT(Data!B360,"MMM-YYYY")</f>
        <v>Jan-2024</v>
      </c>
      <c r="F360" s="43" t="str">
        <f t="shared" si="37"/>
        <v>Q1-2024</v>
      </c>
      <c r="G360" s="33" t="s">
        <v>16</v>
      </c>
      <c r="H360" s="33" t="s">
        <v>148</v>
      </c>
      <c r="I360" s="33" t="s">
        <v>258</v>
      </c>
      <c r="J360" s="33" t="s">
        <v>39</v>
      </c>
      <c r="K360" s="33" t="s">
        <v>55</v>
      </c>
      <c r="L360" s="33" t="s">
        <v>49</v>
      </c>
      <c r="M360" s="33" t="s">
        <v>30</v>
      </c>
      <c r="N360" s="33" t="s">
        <v>821</v>
      </c>
      <c r="O360" s="43">
        <v>666.23</v>
      </c>
      <c r="P360" s="44" t="str">
        <f t="shared" si="38"/>
        <v>High</v>
      </c>
      <c r="Q360" s="43">
        <v>1382.91</v>
      </c>
      <c r="R360" s="43">
        <v>0.17599999999999999</v>
      </c>
      <c r="S360" s="43">
        <v>13</v>
      </c>
      <c r="T360" s="43">
        <f t="shared" si="35"/>
        <v>9412.9557600000007</v>
      </c>
      <c r="U360" s="33">
        <f t="shared" si="36"/>
        <v>8660.99</v>
      </c>
      <c r="V360" s="43">
        <f t="shared" si="39"/>
        <v>751.96576000000096</v>
      </c>
      <c r="W360" s="45">
        <f t="shared" si="40"/>
        <v>7.9886252434697616E-2</v>
      </c>
    </row>
    <row r="361" spans="1:23" x14ac:dyDescent="0.3">
      <c r="A361" s="34" t="s">
        <v>822</v>
      </c>
      <c r="B361" s="35">
        <v>45466</v>
      </c>
      <c r="C361" s="36">
        <v>45468</v>
      </c>
      <c r="D361" s="37">
        <f t="shared" si="41"/>
        <v>2</v>
      </c>
      <c r="E361" s="37" t="str">
        <f>TEXT(Data!B361,"MMM-YYYY")</f>
        <v>Jun-2024</v>
      </c>
      <c r="F361" s="37" t="str">
        <f t="shared" si="37"/>
        <v>Q2-2024</v>
      </c>
      <c r="G361" s="32" t="s">
        <v>78</v>
      </c>
      <c r="H361" s="32" t="s">
        <v>108</v>
      </c>
      <c r="I361" s="32" t="s">
        <v>109</v>
      </c>
      <c r="J361" s="32" t="s">
        <v>62</v>
      </c>
      <c r="K361" s="32" t="s">
        <v>40</v>
      </c>
      <c r="L361" s="32" t="s">
        <v>49</v>
      </c>
      <c r="M361" s="32" t="s">
        <v>81</v>
      </c>
      <c r="N361" s="32" t="s">
        <v>823</v>
      </c>
      <c r="O361" s="37">
        <v>951.44</v>
      </c>
      <c r="P361" s="38" t="str">
        <f t="shared" si="38"/>
        <v>High</v>
      </c>
      <c r="Q361" s="37">
        <v>1646.43</v>
      </c>
      <c r="R361" s="37">
        <v>0.11</v>
      </c>
      <c r="S361" s="37">
        <v>24</v>
      </c>
      <c r="T361" s="37">
        <f t="shared" si="35"/>
        <v>12696.811199999998</v>
      </c>
      <c r="U361" s="32">
        <f t="shared" si="36"/>
        <v>22834.560000000001</v>
      </c>
      <c r="V361" s="37">
        <f t="shared" si="39"/>
        <v>-10137.748800000003</v>
      </c>
      <c r="W361" s="39">
        <f t="shared" si="40"/>
        <v>-0.79844841671741995</v>
      </c>
    </row>
    <row r="362" spans="1:23" x14ac:dyDescent="0.3">
      <c r="A362" s="40" t="s">
        <v>824</v>
      </c>
      <c r="B362" s="41">
        <v>45833</v>
      </c>
      <c r="C362" s="42">
        <v>45848</v>
      </c>
      <c r="D362" s="43">
        <f t="shared" si="41"/>
        <v>15</v>
      </c>
      <c r="E362" s="43" t="str">
        <f>TEXT(Data!B362,"MMM-YYYY")</f>
        <v>Jun-2025</v>
      </c>
      <c r="F362" s="43" t="str">
        <f t="shared" si="37"/>
        <v>Q2-2025</v>
      </c>
      <c r="G362" s="33" t="s">
        <v>78</v>
      </c>
      <c r="H362" s="33" t="s">
        <v>108</v>
      </c>
      <c r="I362" s="33" t="s">
        <v>109</v>
      </c>
      <c r="J362" s="33" t="s">
        <v>39</v>
      </c>
      <c r="K362" s="33" t="s">
        <v>40</v>
      </c>
      <c r="L362" s="33" t="s">
        <v>145</v>
      </c>
      <c r="M362" s="33" t="s">
        <v>42</v>
      </c>
      <c r="N362" s="33" t="s">
        <v>825</v>
      </c>
      <c r="O362" s="43">
        <v>546.83000000000004</v>
      </c>
      <c r="P362" s="44" t="str">
        <f t="shared" si="38"/>
        <v>High</v>
      </c>
      <c r="Q362" s="43">
        <v>400.84</v>
      </c>
      <c r="R362" s="43">
        <v>7.8E-2</v>
      </c>
      <c r="S362" s="43">
        <v>13</v>
      </c>
      <c r="T362" s="43">
        <f t="shared" si="35"/>
        <v>19391.5501</v>
      </c>
      <c r="U362" s="33">
        <f t="shared" si="36"/>
        <v>7108.7900000000009</v>
      </c>
      <c r="V362" s="43">
        <f t="shared" si="39"/>
        <v>12282.7601</v>
      </c>
      <c r="W362" s="45">
        <f t="shared" si="40"/>
        <v>0.63340785221703344</v>
      </c>
    </row>
    <row r="363" spans="1:23" x14ac:dyDescent="0.3">
      <c r="A363" s="34" t="s">
        <v>826</v>
      </c>
      <c r="B363" s="35">
        <v>45108</v>
      </c>
      <c r="C363" s="36">
        <v>45115</v>
      </c>
      <c r="D363" s="37">
        <f t="shared" si="41"/>
        <v>7</v>
      </c>
      <c r="E363" s="37" t="str">
        <f>TEXT(Data!B363,"MMM-YYYY")</f>
        <v>Jul-2023</v>
      </c>
      <c r="F363" s="37" t="str">
        <f t="shared" si="37"/>
        <v>Q3-2023</v>
      </c>
      <c r="G363" s="32" t="s">
        <v>16</v>
      </c>
      <c r="H363" s="32" t="s">
        <v>25</v>
      </c>
      <c r="I363" s="32" t="s">
        <v>26</v>
      </c>
      <c r="J363" s="32" t="s">
        <v>19</v>
      </c>
      <c r="K363" s="32" t="s">
        <v>20</v>
      </c>
      <c r="L363" s="32" t="s">
        <v>75</v>
      </c>
      <c r="M363" s="32" t="s">
        <v>57</v>
      </c>
      <c r="N363" s="32" t="s">
        <v>827</v>
      </c>
      <c r="O363" s="37">
        <v>834.26</v>
      </c>
      <c r="P363" s="38" t="str">
        <f t="shared" si="38"/>
        <v>High</v>
      </c>
      <c r="Q363" s="37">
        <v>1780.56</v>
      </c>
      <c r="R363" s="37">
        <v>1.4E-2</v>
      </c>
      <c r="S363" s="37">
        <v>47</v>
      </c>
      <c r="T363" s="37">
        <f t="shared" si="35"/>
        <v>45086.595219999996</v>
      </c>
      <c r="U363" s="32">
        <f t="shared" si="36"/>
        <v>39210.22</v>
      </c>
      <c r="V363" s="37">
        <f t="shared" si="39"/>
        <v>5876.3752199999944</v>
      </c>
      <c r="W363" s="39">
        <f t="shared" si="40"/>
        <v>0.13033530678744376</v>
      </c>
    </row>
    <row r="364" spans="1:23" x14ac:dyDescent="0.3">
      <c r="A364" s="40" t="s">
        <v>828</v>
      </c>
      <c r="B364" s="41">
        <v>45360</v>
      </c>
      <c r="C364" s="42">
        <v>45377</v>
      </c>
      <c r="D364" s="43">
        <f t="shared" si="41"/>
        <v>17</v>
      </c>
      <c r="E364" s="43" t="str">
        <f>TEXT(Data!B364,"MMM-YYYY")</f>
        <v>Mar-2024</v>
      </c>
      <c r="F364" s="43" t="str">
        <f t="shared" si="37"/>
        <v>Q1-2024</v>
      </c>
      <c r="G364" s="33" t="s">
        <v>45</v>
      </c>
      <c r="H364" s="33" t="s">
        <v>116</v>
      </c>
      <c r="I364" s="33" t="s">
        <v>117</v>
      </c>
      <c r="J364" s="33" t="s">
        <v>105</v>
      </c>
      <c r="K364" s="33" t="s">
        <v>28</v>
      </c>
      <c r="L364" s="33" t="s">
        <v>95</v>
      </c>
      <c r="M364" s="33" t="s">
        <v>64</v>
      </c>
      <c r="N364" s="33" t="s">
        <v>829</v>
      </c>
      <c r="O364" s="43">
        <v>1029.67</v>
      </c>
      <c r="P364" s="44" t="str">
        <f t="shared" si="38"/>
        <v>High</v>
      </c>
      <c r="Q364" s="43">
        <v>1118.43</v>
      </c>
      <c r="R364" s="43">
        <v>0.27200000000000002</v>
      </c>
      <c r="S364" s="43">
        <v>9</v>
      </c>
      <c r="T364" s="43">
        <f t="shared" si="35"/>
        <v>278.85311999999999</v>
      </c>
      <c r="U364" s="33">
        <f t="shared" si="36"/>
        <v>9267.0300000000007</v>
      </c>
      <c r="V364" s="43">
        <f t="shared" si="39"/>
        <v>-8988.1768800000009</v>
      </c>
      <c r="W364" s="45">
        <f t="shared" si="40"/>
        <v>-32.232656676030743</v>
      </c>
    </row>
    <row r="365" spans="1:23" x14ac:dyDescent="0.3">
      <c r="A365" s="34" t="s">
        <v>830</v>
      </c>
      <c r="B365" s="35">
        <v>45082</v>
      </c>
      <c r="C365" s="36">
        <v>45105</v>
      </c>
      <c r="D365" s="37">
        <f t="shared" si="41"/>
        <v>23</v>
      </c>
      <c r="E365" s="37" t="str">
        <f>TEXT(Data!B365,"MMM-YYYY")</f>
        <v>Jun-2023</v>
      </c>
      <c r="F365" s="37" t="str">
        <f t="shared" si="37"/>
        <v>Q2-2023</v>
      </c>
      <c r="G365" s="32" t="s">
        <v>78</v>
      </c>
      <c r="H365" s="32" t="s">
        <v>108</v>
      </c>
      <c r="I365" s="32" t="s">
        <v>109</v>
      </c>
      <c r="J365" s="32" t="s">
        <v>19</v>
      </c>
      <c r="K365" s="32" t="s">
        <v>98</v>
      </c>
      <c r="L365" s="32" t="s">
        <v>95</v>
      </c>
      <c r="M365" s="32" t="s">
        <v>30</v>
      </c>
      <c r="N365" s="32" t="s">
        <v>831</v>
      </c>
      <c r="O365" s="37">
        <v>605.82000000000005</v>
      </c>
      <c r="P365" s="38" t="str">
        <f t="shared" si="38"/>
        <v>High</v>
      </c>
      <c r="Q365" s="37">
        <v>771.12</v>
      </c>
      <c r="R365" s="37">
        <v>0.13200000000000001</v>
      </c>
      <c r="S365" s="37">
        <v>19</v>
      </c>
      <c r="T365" s="37">
        <f t="shared" si="35"/>
        <v>24421.848359999996</v>
      </c>
      <c r="U365" s="32">
        <f t="shared" si="36"/>
        <v>11510.580000000002</v>
      </c>
      <c r="V365" s="37">
        <f t="shared" si="39"/>
        <v>12911.268359999995</v>
      </c>
      <c r="W365" s="39">
        <f t="shared" si="40"/>
        <v>0.52867695227962652</v>
      </c>
    </row>
    <row r="366" spans="1:23" x14ac:dyDescent="0.3">
      <c r="A366" s="40" t="s">
        <v>832</v>
      </c>
      <c r="B366" s="41">
        <v>45737</v>
      </c>
      <c r="C366" s="42">
        <v>45756</v>
      </c>
      <c r="D366" s="43">
        <f t="shared" si="41"/>
        <v>19</v>
      </c>
      <c r="E366" s="43" t="str">
        <f>TEXT(Data!B366,"MMM-YYYY")</f>
        <v>Mar-2025</v>
      </c>
      <c r="F366" s="43" t="str">
        <f t="shared" si="37"/>
        <v>Q1-2025</v>
      </c>
      <c r="G366" s="33" t="s">
        <v>45</v>
      </c>
      <c r="H366" s="33" t="s">
        <v>46</v>
      </c>
      <c r="I366" s="33" t="s">
        <v>214</v>
      </c>
      <c r="J366" s="33" t="s">
        <v>62</v>
      </c>
      <c r="K366" s="33" t="s">
        <v>55</v>
      </c>
      <c r="L366" s="33" t="s">
        <v>63</v>
      </c>
      <c r="M366" s="33" t="s">
        <v>22</v>
      </c>
      <c r="N366" s="33" t="s">
        <v>833</v>
      </c>
      <c r="O366" s="43">
        <v>1055.45</v>
      </c>
      <c r="P366" s="44" t="str">
        <f t="shared" si="38"/>
        <v>High</v>
      </c>
      <c r="Q366" s="43">
        <v>1210.04</v>
      </c>
      <c r="R366" s="43">
        <v>8.9999999999999993E-3</v>
      </c>
      <c r="S366" s="43">
        <v>18</v>
      </c>
      <c r="T366" s="43">
        <f t="shared" si="35"/>
        <v>10065.26988</v>
      </c>
      <c r="U366" s="33">
        <f t="shared" si="36"/>
        <v>18998.100000000002</v>
      </c>
      <c r="V366" s="43">
        <f t="shared" si="39"/>
        <v>-8932.8301200000024</v>
      </c>
      <c r="W366" s="45">
        <f t="shared" si="40"/>
        <v>-0.887490372985409</v>
      </c>
    </row>
    <row r="367" spans="1:23" x14ac:dyDescent="0.3">
      <c r="A367" s="34" t="s">
        <v>834</v>
      </c>
      <c r="B367" s="35">
        <v>45445</v>
      </c>
      <c r="C367" s="36">
        <v>45458</v>
      </c>
      <c r="D367" s="37">
        <f t="shared" si="41"/>
        <v>13</v>
      </c>
      <c r="E367" s="37" t="str">
        <f>TEXT(Data!B367,"MMM-YYYY")</f>
        <v>Jun-2024</v>
      </c>
      <c r="F367" s="37" t="str">
        <f t="shared" si="37"/>
        <v>Q2-2024</v>
      </c>
      <c r="G367" s="32" t="s">
        <v>16</v>
      </c>
      <c r="H367" s="32" t="s">
        <v>17</v>
      </c>
      <c r="I367" s="32" t="s">
        <v>113</v>
      </c>
      <c r="J367" s="32" t="s">
        <v>27</v>
      </c>
      <c r="K367" s="32" t="s">
        <v>28</v>
      </c>
      <c r="L367" s="32" t="s">
        <v>68</v>
      </c>
      <c r="M367" s="32" t="s">
        <v>42</v>
      </c>
      <c r="N367" s="32" t="s">
        <v>835</v>
      </c>
      <c r="O367" s="37">
        <v>1295.18</v>
      </c>
      <c r="P367" s="38" t="str">
        <f t="shared" si="38"/>
        <v>High</v>
      </c>
      <c r="Q367" s="37">
        <v>3024.03</v>
      </c>
      <c r="R367" s="37">
        <v>0.192</v>
      </c>
      <c r="S367" s="37">
        <v>8</v>
      </c>
      <c r="T367" s="37">
        <f t="shared" si="35"/>
        <v>13814.925440000001</v>
      </c>
      <c r="U367" s="32">
        <f t="shared" si="36"/>
        <v>10361.44</v>
      </c>
      <c r="V367" s="37">
        <f t="shared" si="39"/>
        <v>3453.4854400000004</v>
      </c>
      <c r="W367" s="39">
        <f t="shared" si="40"/>
        <v>0.24998219896292109</v>
      </c>
    </row>
    <row r="368" spans="1:23" x14ac:dyDescent="0.3">
      <c r="A368" s="40" t="s">
        <v>836</v>
      </c>
      <c r="B368" s="41">
        <v>45731</v>
      </c>
      <c r="C368" s="42">
        <v>45745</v>
      </c>
      <c r="D368" s="43">
        <f t="shared" si="41"/>
        <v>14</v>
      </c>
      <c r="E368" s="43" t="str">
        <f>TEXT(Data!B368,"MMM-YYYY")</f>
        <v>Mar-2025</v>
      </c>
      <c r="F368" s="43" t="str">
        <f t="shared" si="37"/>
        <v>Q1-2025</v>
      </c>
      <c r="G368" s="33" t="s">
        <v>45</v>
      </c>
      <c r="H368" s="33" t="s">
        <v>60</v>
      </c>
      <c r="I368" s="33" t="s">
        <v>220</v>
      </c>
      <c r="J368" s="33" t="s">
        <v>105</v>
      </c>
      <c r="K368" s="33" t="s">
        <v>98</v>
      </c>
      <c r="L368" s="33" t="s">
        <v>21</v>
      </c>
      <c r="M368" s="33" t="s">
        <v>22</v>
      </c>
      <c r="N368" s="33" t="s">
        <v>837</v>
      </c>
      <c r="O368" s="43">
        <v>935.83</v>
      </c>
      <c r="P368" s="44" t="str">
        <f t="shared" si="38"/>
        <v>High</v>
      </c>
      <c r="Q368" s="43">
        <v>2303.46</v>
      </c>
      <c r="R368" s="43">
        <v>0.105</v>
      </c>
      <c r="S368" s="43">
        <v>9</v>
      </c>
      <c r="T368" s="43">
        <f t="shared" si="35"/>
        <v>13539.891150000001</v>
      </c>
      <c r="U368" s="33">
        <f t="shared" si="36"/>
        <v>8422.4700000000012</v>
      </c>
      <c r="V368" s="43">
        <f t="shared" si="39"/>
        <v>5117.4211500000001</v>
      </c>
      <c r="W368" s="45">
        <f t="shared" si="40"/>
        <v>0.37795142466858012</v>
      </c>
    </row>
    <row r="369" spans="1:23" x14ac:dyDescent="0.3">
      <c r="A369" s="34" t="s">
        <v>838</v>
      </c>
      <c r="B369" s="35">
        <v>45194</v>
      </c>
      <c r="C369" s="36">
        <v>45208</v>
      </c>
      <c r="D369" s="37">
        <f t="shared" si="41"/>
        <v>14</v>
      </c>
      <c r="E369" s="37" t="str">
        <f>TEXT(Data!B369,"MMM-YYYY")</f>
        <v>Sep-2023</v>
      </c>
      <c r="F369" s="37" t="str">
        <f t="shared" si="37"/>
        <v>Q3-2023</v>
      </c>
      <c r="G369" s="32" t="s">
        <v>52</v>
      </c>
      <c r="H369" s="32" t="s">
        <v>122</v>
      </c>
      <c r="I369" s="32" t="s">
        <v>387</v>
      </c>
      <c r="J369" s="32" t="s">
        <v>62</v>
      </c>
      <c r="K369" s="32" t="s">
        <v>40</v>
      </c>
      <c r="L369" s="32" t="s">
        <v>29</v>
      </c>
      <c r="M369" s="32" t="s">
        <v>57</v>
      </c>
      <c r="N369" s="32" t="s">
        <v>839</v>
      </c>
      <c r="O369" s="37">
        <v>1279.56</v>
      </c>
      <c r="P369" s="38" t="str">
        <f t="shared" si="38"/>
        <v>High</v>
      </c>
      <c r="Q369" s="37">
        <v>3083.8</v>
      </c>
      <c r="R369" s="37">
        <v>0.106</v>
      </c>
      <c r="S369" s="37">
        <v>5</v>
      </c>
      <c r="T369" s="37">
        <f t="shared" si="35"/>
        <v>12985.618199999999</v>
      </c>
      <c r="U369" s="32">
        <f t="shared" si="36"/>
        <v>6397.7999999999993</v>
      </c>
      <c r="V369" s="37">
        <f t="shared" si="39"/>
        <v>6587.8181999999997</v>
      </c>
      <c r="W369" s="39">
        <f t="shared" si="40"/>
        <v>0.50731648648040495</v>
      </c>
    </row>
    <row r="370" spans="1:23" x14ac:dyDescent="0.3">
      <c r="A370" s="40" t="s">
        <v>840</v>
      </c>
      <c r="B370" s="41">
        <v>45832</v>
      </c>
      <c r="C370" s="42">
        <v>45861</v>
      </c>
      <c r="D370" s="43">
        <f t="shared" si="41"/>
        <v>29</v>
      </c>
      <c r="E370" s="43" t="str">
        <f>TEXT(Data!B370,"MMM-YYYY")</f>
        <v>Jun-2025</v>
      </c>
      <c r="F370" s="43" t="str">
        <f t="shared" si="37"/>
        <v>Q2-2025</v>
      </c>
      <c r="G370" s="33" t="s">
        <v>52</v>
      </c>
      <c r="H370" s="33" t="s">
        <v>53</v>
      </c>
      <c r="I370" s="33" t="s">
        <v>179</v>
      </c>
      <c r="J370" s="33" t="s">
        <v>39</v>
      </c>
      <c r="K370" s="33" t="s">
        <v>40</v>
      </c>
      <c r="L370" s="33" t="s">
        <v>34</v>
      </c>
      <c r="M370" s="33" t="s">
        <v>30</v>
      </c>
      <c r="N370" s="33" t="s">
        <v>841</v>
      </c>
      <c r="O370" s="43">
        <v>255.4</v>
      </c>
      <c r="P370" s="44" t="str">
        <f t="shared" si="38"/>
        <v>High</v>
      </c>
      <c r="Q370" s="43">
        <v>322.70999999999998</v>
      </c>
      <c r="R370" s="43">
        <v>0.115</v>
      </c>
      <c r="S370" s="43">
        <v>16</v>
      </c>
      <c r="T370" s="43">
        <f t="shared" si="35"/>
        <v>11923.994400000001</v>
      </c>
      <c r="U370" s="33">
        <f t="shared" si="36"/>
        <v>4086.4</v>
      </c>
      <c r="V370" s="43">
        <f t="shared" si="39"/>
        <v>7837.5944000000018</v>
      </c>
      <c r="W370" s="45">
        <f t="shared" si="40"/>
        <v>0.65729604837788258</v>
      </c>
    </row>
    <row r="371" spans="1:23" x14ac:dyDescent="0.3">
      <c r="A371" s="34" t="s">
        <v>842</v>
      </c>
      <c r="B371" s="35">
        <v>45286</v>
      </c>
      <c r="C371" s="36">
        <v>45294</v>
      </c>
      <c r="D371" s="37">
        <f t="shared" si="41"/>
        <v>8</v>
      </c>
      <c r="E371" s="37" t="str">
        <f>TEXT(Data!B371,"MMM-YYYY")</f>
        <v>Dec-2023</v>
      </c>
      <c r="F371" s="37" t="str">
        <f t="shared" si="37"/>
        <v>Q4-2023</v>
      </c>
      <c r="G371" s="32" t="s">
        <v>78</v>
      </c>
      <c r="H371" s="32" t="s">
        <v>90</v>
      </c>
      <c r="I371" s="32" t="s">
        <v>138</v>
      </c>
      <c r="J371" s="32" t="s">
        <v>62</v>
      </c>
      <c r="K371" s="32" t="s">
        <v>20</v>
      </c>
      <c r="L371" s="32" t="s">
        <v>110</v>
      </c>
      <c r="M371" s="32" t="s">
        <v>57</v>
      </c>
      <c r="N371" s="32" t="s">
        <v>843</v>
      </c>
      <c r="O371" s="37">
        <v>492.75</v>
      </c>
      <c r="P371" s="38" t="str">
        <f t="shared" si="38"/>
        <v>High</v>
      </c>
      <c r="Q371" s="37">
        <v>731.29</v>
      </c>
      <c r="R371" s="37">
        <v>5.8000000000000003E-2</v>
      </c>
      <c r="S371" s="37">
        <v>6</v>
      </c>
      <c r="T371" s="37">
        <f t="shared" si="35"/>
        <v>17698.503240000002</v>
      </c>
      <c r="U371" s="32">
        <f t="shared" si="36"/>
        <v>2956.5</v>
      </c>
      <c r="V371" s="37">
        <f t="shared" si="39"/>
        <v>14742.003240000002</v>
      </c>
      <c r="W371" s="39">
        <f t="shared" si="40"/>
        <v>0.83295197566096557</v>
      </c>
    </row>
    <row r="372" spans="1:23" x14ac:dyDescent="0.3">
      <c r="A372" s="40" t="s">
        <v>844</v>
      </c>
      <c r="B372" s="41">
        <v>44962</v>
      </c>
      <c r="C372" s="42">
        <v>44985</v>
      </c>
      <c r="D372" s="43">
        <f t="shared" si="41"/>
        <v>23</v>
      </c>
      <c r="E372" s="43" t="str">
        <f>TEXT(Data!B372,"MMM-YYYY")</f>
        <v>Feb-2023</v>
      </c>
      <c r="F372" s="43" t="str">
        <f t="shared" si="37"/>
        <v>Q1-2023</v>
      </c>
      <c r="G372" s="33" t="s">
        <v>52</v>
      </c>
      <c r="H372" s="33" t="s">
        <v>122</v>
      </c>
      <c r="I372" s="33" t="s">
        <v>326</v>
      </c>
      <c r="J372" s="33" t="s">
        <v>39</v>
      </c>
      <c r="K372" s="33" t="s">
        <v>55</v>
      </c>
      <c r="L372" s="33" t="s">
        <v>49</v>
      </c>
      <c r="M372" s="33" t="s">
        <v>42</v>
      </c>
      <c r="N372" s="33" t="s">
        <v>845</v>
      </c>
      <c r="O372" s="43">
        <v>1214.49</v>
      </c>
      <c r="P372" s="44" t="str">
        <f t="shared" si="38"/>
        <v>High</v>
      </c>
      <c r="Q372" s="43">
        <v>1533.95</v>
      </c>
      <c r="R372" s="43">
        <v>0</v>
      </c>
      <c r="S372" s="43">
        <v>11</v>
      </c>
      <c r="T372" s="43">
        <f t="shared" si="35"/>
        <v>15891.92</v>
      </c>
      <c r="U372" s="33">
        <f t="shared" si="36"/>
        <v>13359.39</v>
      </c>
      <c r="V372" s="43">
        <f t="shared" si="39"/>
        <v>2532.5300000000007</v>
      </c>
      <c r="W372" s="45">
        <f t="shared" si="40"/>
        <v>0.15935959909186559</v>
      </c>
    </row>
    <row r="373" spans="1:23" x14ac:dyDescent="0.3">
      <c r="A373" s="34" t="s">
        <v>846</v>
      </c>
      <c r="B373" s="35">
        <v>45022</v>
      </c>
      <c r="C373" s="36">
        <v>45024</v>
      </c>
      <c r="D373" s="37">
        <f t="shared" si="41"/>
        <v>2</v>
      </c>
      <c r="E373" s="37" t="str">
        <f>TEXT(Data!B373,"MMM-YYYY")</f>
        <v>Apr-2023</v>
      </c>
      <c r="F373" s="37" t="str">
        <f t="shared" si="37"/>
        <v>Q2-2023</v>
      </c>
      <c r="G373" s="32" t="s">
        <v>16</v>
      </c>
      <c r="H373" s="32" t="s">
        <v>25</v>
      </c>
      <c r="I373" s="32" t="s">
        <v>67</v>
      </c>
      <c r="J373" s="32" t="s">
        <v>62</v>
      </c>
      <c r="K373" s="32" t="s">
        <v>40</v>
      </c>
      <c r="L373" s="32" t="s">
        <v>95</v>
      </c>
      <c r="M373" s="32" t="s">
        <v>64</v>
      </c>
      <c r="N373" s="32" t="s">
        <v>847</v>
      </c>
      <c r="O373" s="37">
        <v>720.35</v>
      </c>
      <c r="P373" s="38" t="str">
        <f t="shared" si="38"/>
        <v>High</v>
      </c>
      <c r="Q373" s="37">
        <v>1571.66</v>
      </c>
      <c r="R373" s="37">
        <v>0.107</v>
      </c>
      <c r="S373" s="37">
        <v>23</v>
      </c>
      <c r="T373" s="37">
        <f t="shared" si="35"/>
        <v>59066.056200000006</v>
      </c>
      <c r="U373" s="32">
        <f t="shared" si="36"/>
        <v>16568.05</v>
      </c>
      <c r="V373" s="37">
        <f t="shared" si="39"/>
        <v>42498.006200000003</v>
      </c>
      <c r="W373" s="39">
        <f t="shared" si="40"/>
        <v>0.71949964047201787</v>
      </c>
    </row>
    <row r="374" spans="1:23" x14ac:dyDescent="0.3">
      <c r="A374" s="40" t="s">
        <v>848</v>
      </c>
      <c r="B374" s="41">
        <v>45751</v>
      </c>
      <c r="C374" s="42">
        <v>45757</v>
      </c>
      <c r="D374" s="43">
        <f t="shared" si="41"/>
        <v>6</v>
      </c>
      <c r="E374" s="43" t="str">
        <f>TEXT(Data!B374,"MMM-YYYY")</f>
        <v>Apr-2025</v>
      </c>
      <c r="F374" s="43" t="str">
        <f t="shared" si="37"/>
        <v>Q2-2025</v>
      </c>
      <c r="G374" s="33" t="s">
        <v>78</v>
      </c>
      <c r="H374" s="33" t="s">
        <v>108</v>
      </c>
      <c r="I374" s="33" t="s">
        <v>109</v>
      </c>
      <c r="J374" s="33" t="s">
        <v>39</v>
      </c>
      <c r="K374" s="33" t="s">
        <v>98</v>
      </c>
      <c r="L374" s="33" t="s">
        <v>126</v>
      </c>
      <c r="M374" s="33" t="s">
        <v>30</v>
      </c>
      <c r="N374" s="33" t="s">
        <v>849</v>
      </c>
      <c r="O374" s="43">
        <v>290.14</v>
      </c>
      <c r="P374" s="44" t="str">
        <f t="shared" si="38"/>
        <v>High</v>
      </c>
      <c r="Q374" s="43">
        <v>250.73</v>
      </c>
      <c r="R374" s="43">
        <v>3.4000000000000002E-2</v>
      </c>
      <c r="S374" s="43">
        <v>17</v>
      </c>
      <c r="T374" s="43">
        <f t="shared" si="35"/>
        <v>26958.519419999997</v>
      </c>
      <c r="U374" s="33">
        <f t="shared" si="36"/>
        <v>4932.38</v>
      </c>
      <c r="V374" s="43">
        <f t="shared" si="39"/>
        <v>22026.139419999996</v>
      </c>
      <c r="W374" s="45">
        <f t="shared" si="40"/>
        <v>0.81703817174986382</v>
      </c>
    </row>
    <row r="375" spans="1:23" x14ac:dyDescent="0.3">
      <c r="A375" s="34" t="s">
        <v>850</v>
      </c>
      <c r="B375" s="35">
        <v>45429</v>
      </c>
      <c r="C375" s="36">
        <v>45439</v>
      </c>
      <c r="D375" s="37">
        <f t="shared" si="41"/>
        <v>10</v>
      </c>
      <c r="E375" s="37" t="str">
        <f>TEXT(Data!B375,"MMM-YYYY")</f>
        <v>May-2024</v>
      </c>
      <c r="F375" s="37" t="str">
        <f t="shared" si="37"/>
        <v>Q2-2024</v>
      </c>
      <c r="G375" s="32" t="s">
        <v>52</v>
      </c>
      <c r="H375" s="32" t="s">
        <v>122</v>
      </c>
      <c r="I375" s="32" t="s">
        <v>326</v>
      </c>
      <c r="J375" s="32" t="s">
        <v>39</v>
      </c>
      <c r="K375" s="32" t="s">
        <v>28</v>
      </c>
      <c r="L375" s="32" t="s">
        <v>21</v>
      </c>
      <c r="M375" s="32" t="s">
        <v>42</v>
      </c>
      <c r="N375" s="32" t="s">
        <v>851</v>
      </c>
      <c r="O375" s="37">
        <v>1484.23</v>
      </c>
      <c r="P375" s="38" t="str">
        <f t="shared" si="38"/>
        <v>High</v>
      </c>
      <c r="Q375" s="37">
        <v>3472.81</v>
      </c>
      <c r="R375" s="37">
        <v>0.25600000000000001</v>
      </c>
      <c r="S375" s="37">
        <v>12</v>
      </c>
      <c r="T375" s="37">
        <f t="shared" si="35"/>
        <v>11597.65056</v>
      </c>
      <c r="U375" s="32">
        <f t="shared" si="36"/>
        <v>17810.760000000002</v>
      </c>
      <c r="V375" s="37">
        <f t="shared" si="39"/>
        <v>-6213.109440000002</v>
      </c>
      <c r="W375" s="39">
        <f t="shared" si="40"/>
        <v>-0.53572138665988589</v>
      </c>
    </row>
    <row r="376" spans="1:23" x14ac:dyDescent="0.3">
      <c r="A376" s="40" t="s">
        <v>852</v>
      </c>
      <c r="B376" s="41">
        <v>45354</v>
      </c>
      <c r="C376" s="42">
        <v>45370</v>
      </c>
      <c r="D376" s="43">
        <f t="shared" si="41"/>
        <v>16</v>
      </c>
      <c r="E376" s="43" t="str">
        <f>TEXT(Data!B376,"MMM-YYYY")</f>
        <v>Mar-2024</v>
      </c>
      <c r="F376" s="43" t="str">
        <f t="shared" si="37"/>
        <v>Q1-2024</v>
      </c>
      <c r="G376" s="33" t="s">
        <v>45</v>
      </c>
      <c r="H376" s="33" t="s">
        <v>116</v>
      </c>
      <c r="I376" s="33" t="s">
        <v>338</v>
      </c>
      <c r="J376" s="33" t="s">
        <v>48</v>
      </c>
      <c r="K376" s="33" t="s">
        <v>55</v>
      </c>
      <c r="L376" s="33" t="s">
        <v>41</v>
      </c>
      <c r="M376" s="33" t="s">
        <v>42</v>
      </c>
      <c r="N376" s="33" t="s">
        <v>853</v>
      </c>
      <c r="O376" s="43">
        <v>988.83</v>
      </c>
      <c r="P376" s="44" t="str">
        <f t="shared" si="38"/>
        <v>High</v>
      </c>
      <c r="Q376" s="43">
        <v>1206.04</v>
      </c>
      <c r="R376" s="43">
        <v>6.3E-2</v>
      </c>
      <c r="S376" s="43">
        <v>34</v>
      </c>
      <c r="T376" s="43">
        <f t="shared" si="35"/>
        <v>35635.084480000005</v>
      </c>
      <c r="U376" s="33">
        <f t="shared" si="36"/>
        <v>33620.22</v>
      </c>
      <c r="V376" s="43">
        <f t="shared" si="39"/>
        <v>2014.8644800000038</v>
      </c>
      <c r="W376" s="45">
        <f t="shared" si="40"/>
        <v>5.6541594033005182E-2</v>
      </c>
    </row>
    <row r="377" spans="1:23" x14ac:dyDescent="0.3">
      <c r="A377" s="34" t="s">
        <v>854</v>
      </c>
      <c r="B377" s="35">
        <v>45835</v>
      </c>
      <c r="C377" s="36">
        <v>45849</v>
      </c>
      <c r="D377" s="37">
        <f t="shared" si="41"/>
        <v>14</v>
      </c>
      <c r="E377" s="37" t="str">
        <f>TEXT(Data!B377,"MMM-YYYY")</f>
        <v>Jun-2025</v>
      </c>
      <c r="F377" s="37" t="str">
        <f t="shared" si="37"/>
        <v>Q2-2025</v>
      </c>
      <c r="G377" s="32" t="s">
        <v>45</v>
      </c>
      <c r="H377" s="32" t="s">
        <v>116</v>
      </c>
      <c r="I377" s="32" t="s">
        <v>162</v>
      </c>
      <c r="J377" s="32" t="s">
        <v>62</v>
      </c>
      <c r="K377" s="32" t="s">
        <v>40</v>
      </c>
      <c r="L377" s="32" t="s">
        <v>49</v>
      </c>
      <c r="M377" s="32" t="s">
        <v>35</v>
      </c>
      <c r="N377" s="32" t="s">
        <v>855</v>
      </c>
      <c r="O377" s="37">
        <v>1227.7</v>
      </c>
      <c r="P377" s="38" t="str">
        <f t="shared" si="38"/>
        <v>High</v>
      </c>
      <c r="Q377" s="37">
        <v>2197.23</v>
      </c>
      <c r="R377" s="37">
        <v>9.9000000000000005E-2</v>
      </c>
      <c r="S377" s="37">
        <v>22</v>
      </c>
      <c r="T377" s="37">
        <f t="shared" si="35"/>
        <v>23483.321620000002</v>
      </c>
      <c r="U377" s="32">
        <f t="shared" si="36"/>
        <v>27009.4</v>
      </c>
      <c r="V377" s="37">
        <f t="shared" si="39"/>
        <v>-3526.078379999999</v>
      </c>
      <c r="W377" s="39">
        <f t="shared" si="40"/>
        <v>-0.15015245445503542</v>
      </c>
    </row>
    <row r="378" spans="1:23" x14ac:dyDescent="0.3">
      <c r="A378" s="40" t="s">
        <v>856</v>
      </c>
      <c r="B378" s="41">
        <v>44998</v>
      </c>
      <c r="C378" s="42">
        <v>45020</v>
      </c>
      <c r="D378" s="43">
        <f t="shared" si="41"/>
        <v>22</v>
      </c>
      <c r="E378" s="43" t="str">
        <f>TEXT(Data!B378,"MMM-YYYY")</f>
        <v>Mar-2023</v>
      </c>
      <c r="F378" s="43" t="str">
        <f t="shared" si="37"/>
        <v>Q1-2023</v>
      </c>
      <c r="G378" s="33" t="s">
        <v>16</v>
      </c>
      <c r="H378" s="33" t="s">
        <v>148</v>
      </c>
      <c r="I378" s="33" t="s">
        <v>172</v>
      </c>
      <c r="J378" s="33" t="s">
        <v>62</v>
      </c>
      <c r="K378" s="33" t="s">
        <v>20</v>
      </c>
      <c r="L378" s="33" t="s">
        <v>75</v>
      </c>
      <c r="M378" s="33" t="s">
        <v>22</v>
      </c>
      <c r="N378" s="33" t="s">
        <v>857</v>
      </c>
      <c r="O378" s="43">
        <v>1113.7</v>
      </c>
      <c r="P378" s="44" t="str">
        <f t="shared" si="38"/>
        <v>High</v>
      </c>
      <c r="Q378" s="43">
        <v>1620.6</v>
      </c>
      <c r="R378" s="43">
        <v>0.13900000000000001</v>
      </c>
      <c r="S378" s="43">
        <v>11</v>
      </c>
      <c r="T378" s="43">
        <f t="shared" si="35"/>
        <v>11379.122369999999</v>
      </c>
      <c r="U378" s="33">
        <f t="shared" si="36"/>
        <v>12250.7</v>
      </c>
      <c r="V378" s="43">
        <f t="shared" si="39"/>
        <v>-871.57763000000159</v>
      </c>
      <c r="W378" s="45">
        <f t="shared" si="40"/>
        <v>-7.6594450930401736E-2</v>
      </c>
    </row>
    <row r="379" spans="1:23" x14ac:dyDescent="0.3">
      <c r="A379" s="34" t="s">
        <v>858</v>
      </c>
      <c r="B379" s="35">
        <v>45664</v>
      </c>
      <c r="C379" s="36">
        <v>45677</v>
      </c>
      <c r="D379" s="37">
        <f t="shared" si="41"/>
        <v>13</v>
      </c>
      <c r="E379" s="37" t="str">
        <f>TEXT(Data!B379,"MMM-YYYY")</f>
        <v>Jan-2025</v>
      </c>
      <c r="F379" s="37" t="str">
        <f t="shared" si="37"/>
        <v>Q1-2025</v>
      </c>
      <c r="G379" s="32" t="s">
        <v>16</v>
      </c>
      <c r="H379" s="32" t="s">
        <v>148</v>
      </c>
      <c r="I379" s="32" t="s">
        <v>258</v>
      </c>
      <c r="J379" s="32" t="s">
        <v>19</v>
      </c>
      <c r="K379" s="32" t="s">
        <v>98</v>
      </c>
      <c r="L379" s="32" t="s">
        <v>95</v>
      </c>
      <c r="M379" s="32" t="s">
        <v>35</v>
      </c>
      <c r="N379" s="32" t="s">
        <v>859</v>
      </c>
      <c r="O379" s="37">
        <v>432.13</v>
      </c>
      <c r="P379" s="38" t="str">
        <f t="shared" si="38"/>
        <v>High</v>
      </c>
      <c r="Q379" s="37">
        <v>1034.6600000000001</v>
      </c>
      <c r="R379" s="37">
        <v>9.1999999999999998E-2</v>
      </c>
      <c r="S379" s="37">
        <v>7</v>
      </c>
      <c r="T379" s="37">
        <f t="shared" si="35"/>
        <v>5599.5724400000008</v>
      </c>
      <c r="U379" s="32">
        <f t="shared" si="36"/>
        <v>3024.91</v>
      </c>
      <c r="V379" s="37">
        <f t="shared" si="39"/>
        <v>2574.662440000001</v>
      </c>
      <c r="W379" s="39">
        <f t="shared" si="40"/>
        <v>0.45979625544410324</v>
      </c>
    </row>
    <row r="380" spans="1:23" x14ac:dyDescent="0.3">
      <c r="A380" s="40" t="s">
        <v>860</v>
      </c>
      <c r="B380" s="41">
        <v>45694</v>
      </c>
      <c r="C380" s="42">
        <v>45703</v>
      </c>
      <c r="D380" s="43">
        <f t="shared" si="41"/>
        <v>9</v>
      </c>
      <c r="E380" s="43" t="str">
        <f>TEXT(Data!B380,"MMM-YYYY")</f>
        <v>Feb-2025</v>
      </c>
      <c r="F380" s="43" t="str">
        <f t="shared" si="37"/>
        <v>Q1-2025</v>
      </c>
      <c r="G380" s="33" t="s">
        <v>52</v>
      </c>
      <c r="H380" s="33" t="s">
        <v>73</v>
      </c>
      <c r="I380" s="33" t="s">
        <v>74</v>
      </c>
      <c r="J380" s="33" t="s">
        <v>39</v>
      </c>
      <c r="K380" s="33" t="s">
        <v>55</v>
      </c>
      <c r="L380" s="33" t="s">
        <v>84</v>
      </c>
      <c r="M380" s="33" t="s">
        <v>35</v>
      </c>
      <c r="N380" s="33" t="s">
        <v>861</v>
      </c>
      <c r="O380" s="43">
        <v>837.39</v>
      </c>
      <c r="P380" s="44" t="str">
        <f t="shared" si="38"/>
        <v>High</v>
      </c>
      <c r="Q380" s="43">
        <v>1905.42</v>
      </c>
      <c r="R380" s="43">
        <v>3.2000000000000001E-2</v>
      </c>
      <c r="S380" s="43">
        <v>18</v>
      </c>
      <c r="T380" s="43">
        <f t="shared" si="35"/>
        <v>35734.358879999992</v>
      </c>
      <c r="U380" s="33">
        <f t="shared" si="36"/>
        <v>15073.02</v>
      </c>
      <c r="V380" s="43">
        <f t="shared" si="39"/>
        <v>20661.338879999992</v>
      </c>
      <c r="W380" s="45">
        <f t="shared" si="40"/>
        <v>0.57819251632254265</v>
      </c>
    </row>
    <row r="381" spans="1:23" x14ac:dyDescent="0.3">
      <c r="A381" s="34" t="s">
        <v>862</v>
      </c>
      <c r="B381" s="35">
        <v>45688</v>
      </c>
      <c r="C381" s="36">
        <v>45705</v>
      </c>
      <c r="D381" s="37">
        <f t="shared" si="41"/>
        <v>17</v>
      </c>
      <c r="E381" s="37" t="str">
        <f>TEXT(Data!B381,"MMM-YYYY")</f>
        <v>Jan-2025</v>
      </c>
      <c r="F381" s="37" t="str">
        <f t="shared" si="37"/>
        <v>Q1-2025</v>
      </c>
      <c r="G381" s="32" t="s">
        <v>78</v>
      </c>
      <c r="H381" s="32" t="s">
        <v>108</v>
      </c>
      <c r="I381" s="32" t="s">
        <v>152</v>
      </c>
      <c r="J381" s="32" t="s">
        <v>105</v>
      </c>
      <c r="K381" s="32" t="s">
        <v>20</v>
      </c>
      <c r="L381" s="32" t="s">
        <v>92</v>
      </c>
      <c r="M381" s="32" t="s">
        <v>22</v>
      </c>
      <c r="N381" s="32" t="s">
        <v>254</v>
      </c>
      <c r="O381" s="37">
        <v>378.26</v>
      </c>
      <c r="P381" s="38" t="str">
        <f t="shared" si="38"/>
        <v>High</v>
      </c>
      <c r="Q381" s="37">
        <v>541.55999999999995</v>
      </c>
      <c r="R381" s="37">
        <v>0.16300000000000001</v>
      </c>
      <c r="S381" s="37">
        <v>25</v>
      </c>
      <c r="T381" s="37">
        <f t="shared" si="35"/>
        <v>36365.557499999995</v>
      </c>
      <c r="U381" s="32">
        <f t="shared" si="36"/>
        <v>9456.5</v>
      </c>
      <c r="V381" s="37">
        <f t="shared" si="39"/>
        <v>26909.057499999995</v>
      </c>
      <c r="W381" s="39">
        <f t="shared" si="40"/>
        <v>0.73995998823887132</v>
      </c>
    </row>
    <row r="382" spans="1:23" x14ac:dyDescent="0.3">
      <c r="A382" s="40" t="s">
        <v>863</v>
      </c>
      <c r="B382" s="41">
        <v>45876</v>
      </c>
      <c r="C382" s="42">
        <v>45906</v>
      </c>
      <c r="D382" s="43">
        <f t="shared" si="41"/>
        <v>30</v>
      </c>
      <c r="E382" s="43" t="str">
        <f>TEXT(Data!B382,"MMM-YYYY")</f>
        <v>Aug-2025</v>
      </c>
      <c r="F382" s="43" t="str">
        <f t="shared" si="37"/>
        <v>Q3-2025</v>
      </c>
      <c r="G382" s="33" t="s">
        <v>52</v>
      </c>
      <c r="H382" s="33" t="s">
        <v>53</v>
      </c>
      <c r="I382" s="33" t="s">
        <v>144</v>
      </c>
      <c r="J382" s="33" t="s">
        <v>27</v>
      </c>
      <c r="K382" s="33" t="s">
        <v>98</v>
      </c>
      <c r="L382" s="33" t="s">
        <v>110</v>
      </c>
      <c r="M382" s="33" t="s">
        <v>35</v>
      </c>
      <c r="N382" s="33" t="s">
        <v>864</v>
      </c>
      <c r="O382" s="43">
        <v>833.73</v>
      </c>
      <c r="P382" s="44" t="str">
        <f t="shared" si="38"/>
        <v>High</v>
      </c>
      <c r="Q382" s="43">
        <v>1116.5999999999999</v>
      </c>
      <c r="R382" s="43">
        <v>0.17599999999999999</v>
      </c>
      <c r="S382" s="43">
        <v>14</v>
      </c>
      <c r="T382" s="43">
        <f t="shared" si="35"/>
        <v>16015.544160000001</v>
      </c>
      <c r="U382" s="33">
        <f t="shared" si="36"/>
        <v>11672.220000000001</v>
      </c>
      <c r="V382" s="43">
        <f t="shared" si="39"/>
        <v>4343.3241600000001</v>
      </c>
      <c r="W382" s="45">
        <f t="shared" si="40"/>
        <v>0.27119429203334666</v>
      </c>
    </row>
    <row r="383" spans="1:23" x14ac:dyDescent="0.3">
      <c r="A383" s="34" t="s">
        <v>865</v>
      </c>
      <c r="B383" s="35">
        <v>45861</v>
      </c>
      <c r="C383" s="36">
        <v>45886</v>
      </c>
      <c r="D383" s="37">
        <f t="shared" si="41"/>
        <v>25</v>
      </c>
      <c r="E383" s="37" t="str">
        <f>TEXT(Data!B383,"MMM-YYYY")</f>
        <v>Jul-2025</v>
      </c>
      <c r="F383" s="37" t="str">
        <f t="shared" si="37"/>
        <v>Q3-2025</v>
      </c>
      <c r="G383" s="32" t="s">
        <v>78</v>
      </c>
      <c r="H383" s="32" t="s">
        <v>108</v>
      </c>
      <c r="I383" s="32" t="s">
        <v>109</v>
      </c>
      <c r="J383" s="32" t="s">
        <v>27</v>
      </c>
      <c r="K383" s="32" t="s">
        <v>28</v>
      </c>
      <c r="L383" s="32" t="s">
        <v>34</v>
      </c>
      <c r="M383" s="32" t="s">
        <v>30</v>
      </c>
      <c r="N383" s="32" t="s">
        <v>866</v>
      </c>
      <c r="O383" s="37">
        <v>1142.06</v>
      </c>
      <c r="P383" s="38" t="str">
        <f t="shared" si="38"/>
        <v>High</v>
      </c>
      <c r="Q383" s="37">
        <v>1455</v>
      </c>
      <c r="R383" s="37">
        <v>7.8E-2</v>
      </c>
      <c r="S383" s="37">
        <v>28</v>
      </c>
      <c r="T383" s="37">
        <f t="shared" si="35"/>
        <v>13660.278240000001</v>
      </c>
      <c r="U383" s="32">
        <f t="shared" si="36"/>
        <v>31977.68</v>
      </c>
      <c r="V383" s="37">
        <f t="shared" si="39"/>
        <v>-18317.401760000001</v>
      </c>
      <c r="W383" s="39">
        <f t="shared" si="40"/>
        <v>-1.3409244993533893</v>
      </c>
    </row>
    <row r="384" spans="1:23" x14ac:dyDescent="0.3">
      <c r="A384" s="40" t="s">
        <v>867</v>
      </c>
      <c r="B384" s="41">
        <v>45097</v>
      </c>
      <c r="C384" s="42">
        <v>45115</v>
      </c>
      <c r="D384" s="43">
        <f t="shared" si="41"/>
        <v>18</v>
      </c>
      <c r="E384" s="43" t="str">
        <f>TEXT(Data!B384,"MMM-YYYY")</f>
        <v>Jun-2023</v>
      </c>
      <c r="F384" s="43" t="str">
        <f t="shared" si="37"/>
        <v>Q2-2023</v>
      </c>
      <c r="G384" s="33" t="s">
        <v>52</v>
      </c>
      <c r="H384" s="33" t="s">
        <v>122</v>
      </c>
      <c r="I384" s="33" t="s">
        <v>387</v>
      </c>
      <c r="J384" s="33" t="s">
        <v>48</v>
      </c>
      <c r="K384" s="33" t="s">
        <v>40</v>
      </c>
      <c r="L384" s="33" t="s">
        <v>68</v>
      </c>
      <c r="M384" s="33" t="s">
        <v>35</v>
      </c>
      <c r="N384" s="33" t="s">
        <v>868</v>
      </c>
      <c r="O384" s="43">
        <v>1145.53</v>
      </c>
      <c r="P384" s="44" t="str">
        <f t="shared" si="38"/>
        <v>High</v>
      </c>
      <c r="Q384" s="43">
        <v>1278.3</v>
      </c>
      <c r="R384" s="43">
        <v>0.09</v>
      </c>
      <c r="S384" s="43">
        <v>41</v>
      </c>
      <c r="T384" s="43">
        <f t="shared" si="35"/>
        <v>73589.497799999997</v>
      </c>
      <c r="U384" s="33">
        <f t="shared" si="36"/>
        <v>46966.729999999996</v>
      </c>
      <c r="V384" s="43">
        <f t="shared" si="39"/>
        <v>26622.767800000001</v>
      </c>
      <c r="W384" s="45">
        <f t="shared" si="40"/>
        <v>0.36177401118234026</v>
      </c>
    </row>
    <row r="385" spans="1:23" x14ac:dyDescent="0.3">
      <c r="A385" s="34" t="s">
        <v>869</v>
      </c>
      <c r="B385" s="35">
        <v>45491</v>
      </c>
      <c r="C385" s="36">
        <v>45511</v>
      </c>
      <c r="D385" s="37">
        <f t="shared" si="41"/>
        <v>20</v>
      </c>
      <c r="E385" s="37" t="str">
        <f>TEXT(Data!B385,"MMM-YYYY")</f>
        <v>Jul-2024</v>
      </c>
      <c r="F385" s="37" t="str">
        <f t="shared" si="37"/>
        <v>Q3-2024</v>
      </c>
      <c r="G385" s="32" t="s">
        <v>78</v>
      </c>
      <c r="H385" s="32" t="s">
        <v>90</v>
      </c>
      <c r="I385" s="32" t="s">
        <v>91</v>
      </c>
      <c r="J385" s="32" t="s">
        <v>19</v>
      </c>
      <c r="K385" s="32" t="s">
        <v>20</v>
      </c>
      <c r="L385" s="32" t="s">
        <v>84</v>
      </c>
      <c r="M385" s="32" t="s">
        <v>64</v>
      </c>
      <c r="N385" s="32" t="s">
        <v>870</v>
      </c>
      <c r="O385" s="37">
        <v>941.35</v>
      </c>
      <c r="P385" s="38" t="str">
        <f t="shared" si="38"/>
        <v>High</v>
      </c>
      <c r="Q385" s="37">
        <v>899.83</v>
      </c>
      <c r="R385" s="37">
        <v>5.8000000000000003E-2</v>
      </c>
      <c r="S385" s="37">
        <v>18</v>
      </c>
      <c r="T385" s="37">
        <f t="shared" ref="T385:T448" si="42">(Q411*S385)*(1-R385)</f>
        <v>14867.190359999997</v>
      </c>
      <c r="U385" s="32">
        <f t="shared" ref="U385:U448" si="43">(O385*S385)</f>
        <v>16944.3</v>
      </c>
      <c r="V385" s="37">
        <f t="shared" si="39"/>
        <v>-2077.1096400000024</v>
      </c>
      <c r="W385" s="39">
        <f t="shared" si="40"/>
        <v>-0.13971097360725546</v>
      </c>
    </row>
    <row r="386" spans="1:23" x14ac:dyDescent="0.3">
      <c r="A386" s="40" t="s">
        <v>871</v>
      </c>
      <c r="B386" s="41">
        <v>45066</v>
      </c>
      <c r="C386" s="42">
        <v>45096</v>
      </c>
      <c r="D386" s="43">
        <f t="shared" si="41"/>
        <v>30</v>
      </c>
      <c r="E386" s="43" t="str">
        <f>TEXT(Data!B386,"MMM-YYYY")</f>
        <v>May-2023</v>
      </c>
      <c r="F386" s="43" t="str">
        <f t="shared" ref="F386:F449" si="44">"Q"&amp;ROUNDUP(MONTH(B386)/3,0)&amp;"-"&amp;YEAR(B386)</f>
        <v>Q2-2023</v>
      </c>
      <c r="G386" s="33" t="s">
        <v>45</v>
      </c>
      <c r="H386" s="33" t="s">
        <v>60</v>
      </c>
      <c r="I386" s="33" t="s">
        <v>141</v>
      </c>
      <c r="J386" s="33" t="s">
        <v>39</v>
      </c>
      <c r="K386" s="33" t="s">
        <v>40</v>
      </c>
      <c r="L386" s="33" t="s">
        <v>92</v>
      </c>
      <c r="M386" s="33" t="s">
        <v>57</v>
      </c>
      <c r="N386" s="33" t="s">
        <v>872</v>
      </c>
      <c r="O386" s="43">
        <v>1161.2</v>
      </c>
      <c r="P386" s="44" t="str">
        <f t="shared" ref="P386:P449" si="45">IF(Q386&lt;50, "Low", IF(Q386&lt;200, "Medium", "High"))</f>
        <v>High</v>
      </c>
      <c r="Q386" s="43">
        <v>878.73</v>
      </c>
      <c r="R386" s="43">
        <v>0.19</v>
      </c>
      <c r="S386" s="43">
        <v>31</v>
      </c>
      <c r="T386" s="43">
        <f t="shared" si="42"/>
        <v>20697.168600000001</v>
      </c>
      <c r="U386" s="33">
        <f t="shared" si="43"/>
        <v>35997.200000000004</v>
      </c>
      <c r="V386" s="43">
        <f t="shared" ref="V386:V449" si="46">(T386-U386)</f>
        <v>-15300.031400000003</v>
      </c>
      <c r="W386" s="45">
        <f t="shared" ref="W386:W449" si="47">IF(T386=0, 0, V386/T386)</f>
        <v>-0.73923306591801174</v>
      </c>
    </row>
    <row r="387" spans="1:23" x14ac:dyDescent="0.3">
      <c r="A387" s="34" t="s">
        <v>873</v>
      </c>
      <c r="B387" s="35">
        <v>45789</v>
      </c>
      <c r="C387" s="36">
        <v>45803</v>
      </c>
      <c r="D387" s="37">
        <f t="shared" si="41"/>
        <v>14</v>
      </c>
      <c r="E387" s="37" t="str">
        <f>TEXT(Data!B387,"MMM-YYYY")</f>
        <v>May-2025</v>
      </c>
      <c r="F387" s="37" t="str">
        <f t="shared" si="44"/>
        <v>Q2-2025</v>
      </c>
      <c r="G387" s="32" t="s">
        <v>45</v>
      </c>
      <c r="H387" s="32" t="s">
        <v>60</v>
      </c>
      <c r="I387" s="32" t="s">
        <v>281</v>
      </c>
      <c r="J387" s="32" t="s">
        <v>19</v>
      </c>
      <c r="K387" s="32" t="s">
        <v>40</v>
      </c>
      <c r="L387" s="32" t="s">
        <v>41</v>
      </c>
      <c r="M387" s="32" t="s">
        <v>30</v>
      </c>
      <c r="N387" s="32" t="s">
        <v>874</v>
      </c>
      <c r="O387" s="37">
        <v>320.12</v>
      </c>
      <c r="P387" s="38" t="str">
        <f t="shared" si="45"/>
        <v>High</v>
      </c>
      <c r="Q387" s="37">
        <v>594.41999999999996</v>
      </c>
      <c r="R387" s="37">
        <v>0.104</v>
      </c>
      <c r="S387" s="37">
        <v>18</v>
      </c>
      <c r="T387" s="37">
        <f t="shared" si="42"/>
        <v>18697.996800000001</v>
      </c>
      <c r="U387" s="32">
        <f t="shared" si="43"/>
        <v>5762.16</v>
      </c>
      <c r="V387" s="37">
        <f t="shared" si="46"/>
        <v>12935.836800000001</v>
      </c>
      <c r="W387" s="39">
        <f t="shared" si="47"/>
        <v>0.69183008952060576</v>
      </c>
    </row>
    <row r="388" spans="1:23" x14ac:dyDescent="0.3">
      <c r="A388" s="40" t="s">
        <v>875</v>
      </c>
      <c r="B388" s="41">
        <v>45419</v>
      </c>
      <c r="C388" s="42">
        <v>45424</v>
      </c>
      <c r="D388" s="43">
        <f t="shared" ref="D388:D450" si="48">DATEDIF(B388,C388, "MD")</f>
        <v>5</v>
      </c>
      <c r="E388" s="43" t="str">
        <f>TEXT(Data!B388,"MMM-YYYY")</f>
        <v>May-2024</v>
      </c>
      <c r="F388" s="43" t="str">
        <f t="shared" si="44"/>
        <v>Q2-2024</v>
      </c>
      <c r="G388" s="33" t="s">
        <v>16</v>
      </c>
      <c r="H388" s="33" t="s">
        <v>25</v>
      </c>
      <c r="I388" s="33" t="s">
        <v>67</v>
      </c>
      <c r="J388" s="33" t="s">
        <v>39</v>
      </c>
      <c r="K388" s="33" t="s">
        <v>55</v>
      </c>
      <c r="L388" s="33" t="s">
        <v>49</v>
      </c>
      <c r="M388" s="33" t="s">
        <v>57</v>
      </c>
      <c r="N388" s="33" t="s">
        <v>876</v>
      </c>
      <c r="O388" s="43">
        <v>1163.99</v>
      </c>
      <c r="P388" s="44" t="str">
        <f t="shared" si="45"/>
        <v>High</v>
      </c>
      <c r="Q388" s="43">
        <v>1617.85</v>
      </c>
      <c r="R388" s="43">
        <v>0.127</v>
      </c>
      <c r="S388" s="43">
        <v>14</v>
      </c>
      <c r="T388" s="43">
        <f t="shared" si="42"/>
        <v>30720.11922</v>
      </c>
      <c r="U388" s="33">
        <f t="shared" si="43"/>
        <v>16295.86</v>
      </c>
      <c r="V388" s="43">
        <f t="shared" si="46"/>
        <v>14424.25922</v>
      </c>
      <c r="W388" s="45">
        <f t="shared" si="47"/>
        <v>0.4695378659406127</v>
      </c>
    </row>
    <row r="389" spans="1:23" x14ac:dyDescent="0.3">
      <c r="A389" s="34" t="s">
        <v>877</v>
      </c>
      <c r="B389" s="35">
        <v>45199</v>
      </c>
      <c r="C389" s="36">
        <v>45202</v>
      </c>
      <c r="D389" s="37">
        <f t="shared" si="48"/>
        <v>3</v>
      </c>
      <c r="E389" s="37" t="str">
        <f>TEXT(Data!B389,"MMM-YYYY")</f>
        <v>Sep-2023</v>
      </c>
      <c r="F389" s="37" t="str">
        <f t="shared" si="44"/>
        <v>Q3-2023</v>
      </c>
      <c r="G389" s="32" t="s">
        <v>45</v>
      </c>
      <c r="H389" s="32" t="s">
        <v>116</v>
      </c>
      <c r="I389" s="32" t="s">
        <v>338</v>
      </c>
      <c r="J389" s="32" t="s">
        <v>39</v>
      </c>
      <c r="K389" s="32" t="s">
        <v>20</v>
      </c>
      <c r="L389" s="32" t="s">
        <v>29</v>
      </c>
      <c r="M389" s="32" t="s">
        <v>57</v>
      </c>
      <c r="N389" s="32" t="s">
        <v>878</v>
      </c>
      <c r="O389" s="37">
        <v>1019.36</v>
      </c>
      <c r="P389" s="38" t="str">
        <f t="shared" si="45"/>
        <v>High</v>
      </c>
      <c r="Q389" s="37">
        <v>972.91</v>
      </c>
      <c r="R389" s="37">
        <v>0.14699999999999999</v>
      </c>
      <c r="S389" s="37">
        <v>17</v>
      </c>
      <c r="T389" s="37">
        <f t="shared" si="42"/>
        <v>44766.472129999995</v>
      </c>
      <c r="U389" s="32">
        <f t="shared" si="43"/>
        <v>17329.12</v>
      </c>
      <c r="V389" s="37">
        <f t="shared" si="46"/>
        <v>27437.352129999996</v>
      </c>
      <c r="W389" s="39">
        <f t="shared" si="47"/>
        <v>0.61289958365097552</v>
      </c>
    </row>
    <row r="390" spans="1:23" x14ac:dyDescent="0.3">
      <c r="A390" s="40" t="s">
        <v>879</v>
      </c>
      <c r="B390" s="41">
        <v>45225</v>
      </c>
      <c r="C390" s="42">
        <v>45235</v>
      </c>
      <c r="D390" s="43">
        <f t="shared" si="48"/>
        <v>10</v>
      </c>
      <c r="E390" s="43" t="str">
        <f>TEXT(Data!B390,"MMM-YYYY")</f>
        <v>Oct-2023</v>
      </c>
      <c r="F390" s="43" t="str">
        <f t="shared" si="44"/>
        <v>Q4-2023</v>
      </c>
      <c r="G390" s="33" t="s">
        <v>16</v>
      </c>
      <c r="H390" s="33" t="s">
        <v>148</v>
      </c>
      <c r="I390" s="33" t="s">
        <v>258</v>
      </c>
      <c r="J390" s="33" t="s">
        <v>39</v>
      </c>
      <c r="K390" s="33" t="s">
        <v>28</v>
      </c>
      <c r="L390" s="33" t="s">
        <v>34</v>
      </c>
      <c r="M390" s="33" t="s">
        <v>57</v>
      </c>
      <c r="N390" s="33" t="s">
        <v>880</v>
      </c>
      <c r="O390" s="43">
        <v>20.38</v>
      </c>
      <c r="P390" s="44" t="str">
        <f t="shared" si="45"/>
        <v>Low</v>
      </c>
      <c r="Q390" s="43">
        <v>42.56</v>
      </c>
      <c r="R390" s="43">
        <v>7.1999999999999995E-2</v>
      </c>
      <c r="S390" s="43">
        <v>11</v>
      </c>
      <c r="T390" s="43">
        <f t="shared" si="42"/>
        <v>27736.667200000004</v>
      </c>
      <c r="U390" s="33">
        <f t="shared" si="43"/>
        <v>224.17999999999998</v>
      </c>
      <c r="V390" s="43">
        <f t="shared" si="46"/>
        <v>27512.487200000003</v>
      </c>
      <c r="W390" s="45">
        <f t="shared" si="47"/>
        <v>0.99191755814123195</v>
      </c>
    </row>
    <row r="391" spans="1:23" x14ac:dyDescent="0.3">
      <c r="A391" s="34" t="s">
        <v>881</v>
      </c>
      <c r="B391" s="35">
        <v>45823</v>
      </c>
      <c r="C391" s="36">
        <v>45838</v>
      </c>
      <c r="D391" s="37">
        <f t="shared" si="48"/>
        <v>15</v>
      </c>
      <c r="E391" s="37" t="str">
        <f>TEXT(Data!B391,"MMM-YYYY")</f>
        <v>Jun-2025</v>
      </c>
      <c r="F391" s="37" t="str">
        <f t="shared" si="44"/>
        <v>Q2-2025</v>
      </c>
      <c r="G391" s="32" t="s">
        <v>16</v>
      </c>
      <c r="H391" s="32" t="s">
        <v>148</v>
      </c>
      <c r="I391" s="32" t="s">
        <v>149</v>
      </c>
      <c r="J391" s="32" t="s">
        <v>62</v>
      </c>
      <c r="K391" s="32" t="s">
        <v>98</v>
      </c>
      <c r="L391" s="32" t="s">
        <v>21</v>
      </c>
      <c r="M391" s="32" t="s">
        <v>64</v>
      </c>
      <c r="N391" s="32" t="s">
        <v>882</v>
      </c>
      <c r="O391" s="37">
        <v>1487.59</v>
      </c>
      <c r="P391" s="38" t="str">
        <f t="shared" si="45"/>
        <v>High</v>
      </c>
      <c r="Q391" s="37">
        <v>1480.83</v>
      </c>
      <c r="R391" s="37">
        <v>8.9999999999999993E-3</v>
      </c>
      <c r="S391" s="37">
        <v>11</v>
      </c>
      <c r="T391" s="37">
        <f t="shared" si="42"/>
        <v>9830.4127899999985</v>
      </c>
      <c r="U391" s="32">
        <f t="shared" si="43"/>
        <v>16363.49</v>
      </c>
      <c r="V391" s="37">
        <f t="shared" si="46"/>
        <v>-6533.0772100000013</v>
      </c>
      <c r="W391" s="39">
        <f t="shared" si="47"/>
        <v>-0.66457811584939586</v>
      </c>
    </row>
    <row r="392" spans="1:23" x14ac:dyDescent="0.3">
      <c r="A392" s="40" t="s">
        <v>883</v>
      </c>
      <c r="B392" s="41">
        <v>45514</v>
      </c>
      <c r="C392" s="42">
        <v>45542</v>
      </c>
      <c r="D392" s="43">
        <f t="shared" si="48"/>
        <v>28</v>
      </c>
      <c r="E392" s="43" t="str">
        <f>TEXT(Data!B392,"MMM-YYYY")</f>
        <v>Aug-2024</v>
      </c>
      <c r="F392" s="43" t="str">
        <f t="shared" si="44"/>
        <v>Q3-2024</v>
      </c>
      <c r="G392" s="33" t="s">
        <v>78</v>
      </c>
      <c r="H392" s="33" t="s">
        <v>90</v>
      </c>
      <c r="I392" s="33" t="s">
        <v>91</v>
      </c>
      <c r="J392" s="33" t="s">
        <v>39</v>
      </c>
      <c r="K392" s="33" t="s">
        <v>98</v>
      </c>
      <c r="L392" s="33" t="s">
        <v>84</v>
      </c>
      <c r="M392" s="33" t="s">
        <v>30</v>
      </c>
      <c r="N392" s="33" t="s">
        <v>884</v>
      </c>
      <c r="O392" s="43">
        <v>229.96</v>
      </c>
      <c r="P392" s="44" t="str">
        <f t="shared" si="45"/>
        <v>High</v>
      </c>
      <c r="Q392" s="43">
        <v>564.26</v>
      </c>
      <c r="R392" s="43">
        <v>0.105</v>
      </c>
      <c r="S392" s="43">
        <v>5</v>
      </c>
      <c r="T392" s="43">
        <f t="shared" si="42"/>
        <v>3562.7712500000002</v>
      </c>
      <c r="U392" s="33">
        <f t="shared" si="43"/>
        <v>1149.8</v>
      </c>
      <c r="V392" s="43">
        <f t="shared" si="46"/>
        <v>2412.9712500000005</v>
      </c>
      <c r="W392" s="45">
        <f t="shared" si="47"/>
        <v>0.67727369530109471</v>
      </c>
    </row>
    <row r="393" spans="1:23" x14ac:dyDescent="0.3">
      <c r="A393" s="34" t="s">
        <v>885</v>
      </c>
      <c r="B393" s="35">
        <v>45208</v>
      </c>
      <c r="C393" s="36">
        <v>45225</v>
      </c>
      <c r="D393" s="37">
        <f t="shared" si="48"/>
        <v>17</v>
      </c>
      <c r="E393" s="37" t="str">
        <f>TEXT(Data!B393,"MMM-YYYY")</f>
        <v>Oct-2023</v>
      </c>
      <c r="F393" s="37" t="str">
        <f t="shared" si="44"/>
        <v>Q4-2023</v>
      </c>
      <c r="G393" s="32" t="s">
        <v>45</v>
      </c>
      <c r="H393" s="32" t="s">
        <v>116</v>
      </c>
      <c r="I393" s="32" t="s">
        <v>162</v>
      </c>
      <c r="J393" s="32" t="s">
        <v>48</v>
      </c>
      <c r="K393" s="32" t="s">
        <v>40</v>
      </c>
      <c r="L393" s="32" t="s">
        <v>21</v>
      </c>
      <c r="M393" s="32" t="s">
        <v>22</v>
      </c>
      <c r="N393" s="32" t="s">
        <v>886</v>
      </c>
      <c r="O393" s="37">
        <v>1132.03</v>
      </c>
      <c r="P393" s="38" t="str">
        <f t="shared" si="45"/>
        <v>High</v>
      </c>
      <c r="Q393" s="37">
        <v>2137.21</v>
      </c>
      <c r="R393" s="37">
        <v>0.35699999999999998</v>
      </c>
      <c r="S393" s="37">
        <v>35</v>
      </c>
      <c r="T393" s="37">
        <f t="shared" si="42"/>
        <v>3551.7390999999998</v>
      </c>
      <c r="U393" s="32">
        <f t="shared" si="43"/>
        <v>39621.049999999996</v>
      </c>
      <c r="V393" s="37">
        <f t="shared" si="46"/>
        <v>-36069.310899999997</v>
      </c>
      <c r="W393" s="39">
        <f t="shared" si="47"/>
        <v>-10.155394268683755</v>
      </c>
    </row>
    <row r="394" spans="1:23" x14ac:dyDescent="0.3">
      <c r="A394" s="40" t="s">
        <v>887</v>
      </c>
      <c r="B394" s="41">
        <v>45360</v>
      </c>
      <c r="C394" s="42">
        <v>45377</v>
      </c>
      <c r="D394" s="43">
        <f t="shared" si="48"/>
        <v>17</v>
      </c>
      <c r="E394" s="43" t="str">
        <f>TEXT(Data!B394,"MMM-YYYY")</f>
        <v>Mar-2024</v>
      </c>
      <c r="F394" s="43" t="str">
        <f t="shared" si="44"/>
        <v>Q1-2024</v>
      </c>
      <c r="G394" s="33" t="s">
        <v>52</v>
      </c>
      <c r="H394" s="33" t="s">
        <v>122</v>
      </c>
      <c r="I394" s="33" t="s">
        <v>167</v>
      </c>
      <c r="J394" s="33" t="s">
        <v>27</v>
      </c>
      <c r="K394" s="33" t="s">
        <v>98</v>
      </c>
      <c r="L394" s="33" t="s">
        <v>34</v>
      </c>
      <c r="M394" s="33" t="s">
        <v>42</v>
      </c>
      <c r="N394" s="33" t="s">
        <v>888</v>
      </c>
      <c r="O394" s="43">
        <v>1137.4100000000001</v>
      </c>
      <c r="P394" s="44" t="str">
        <f t="shared" si="45"/>
        <v>High</v>
      </c>
      <c r="Q394" s="43">
        <v>1680.93</v>
      </c>
      <c r="R394" s="43">
        <v>0.254</v>
      </c>
      <c r="S394" s="43">
        <v>9</v>
      </c>
      <c r="T394" s="43">
        <f t="shared" si="42"/>
        <v>5499.1688399999994</v>
      </c>
      <c r="U394" s="33">
        <f t="shared" si="43"/>
        <v>10236.69</v>
      </c>
      <c r="V394" s="43">
        <f t="shared" si="46"/>
        <v>-4737.5211600000011</v>
      </c>
      <c r="W394" s="45">
        <f t="shared" si="47"/>
        <v>-0.86149767316473258</v>
      </c>
    </row>
    <row r="395" spans="1:23" x14ac:dyDescent="0.3">
      <c r="A395" s="34" t="s">
        <v>889</v>
      </c>
      <c r="B395" s="35">
        <v>45075</v>
      </c>
      <c r="C395" s="36">
        <v>45097</v>
      </c>
      <c r="D395" s="37">
        <f t="shared" si="48"/>
        <v>22</v>
      </c>
      <c r="E395" s="37" t="str">
        <f>TEXT(Data!B395,"MMM-YYYY")</f>
        <v>May-2023</v>
      </c>
      <c r="F395" s="37" t="str">
        <f t="shared" si="44"/>
        <v>Q2-2023</v>
      </c>
      <c r="G395" s="32" t="s">
        <v>78</v>
      </c>
      <c r="H395" s="32" t="s">
        <v>108</v>
      </c>
      <c r="I395" s="32" t="s">
        <v>152</v>
      </c>
      <c r="J395" s="32" t="s">
        <v>62</v>
      </c>
      <c r="K395" s="32" t="s">
        <v>98</v>
      </c>
      <c r="L395" s="32" t="s">
        <v>95</v>
      </c>
      <c r="M395" s="32" t="s">
        <v>22</v>
      </c>
      <c r="N395" s="32" t="s">
        <v>890</v>
      </c>
      <c r="O395" s="37">
        <v>1295.3900000000001</v>
      </c>
      <c r="P395" s="38" t="str">
        <f t="shared" si="45"/>
        <v>High</v>
      </c>
      <c r="Q395" s="37">
        <v>2905.06</v>
      </c>
      <c r="R395" s="37">
        <v>0.14799999999999999</v>
      </c>
      <c r="S395" s="37">
        <v>8</v>
      </c>
      <c r="T395" s="37">
        <f t="shared" si="42"/>
        <v>11663.26656</v>
      </c>
      <c r="U395" s="32">
        <f t="shared" si="43"/>
        <v>10363.120000000001</v>
      </c>
      <c r="V395" s="37">
        <f t="shared" si="46"/>
        <v>1300.1465599999992</v>
      </c>
      <c r="W395" s="39">
        <f t="shared" si="47"/>
        <v>0.11147362133168971</v>
      </c>
    </row>
    <row r="396" spans="1:23" x14ac:dyDescent="0.3">
      <c r="A396" s="40" t="s">
        <v>891</v>
      </c>
      <c r="B396" s="41">
        <v>45804</v>
      </c>
      <c r="C396" s="42">
        <v>45816</v>
      </c>
      <c r="D396" s="43">
        <f t="shared" si="48"/>
        <v>12</v>
      </c>
      <c r="E396" s="43" t="str">
        <f>TEXT(Data!B396,"MMM-YYYY")</f>
        <v>May-2025</v>
      </c>
      <c r="F396" s="43" t="str">
        <f t="shared" si="44"/>
        <v>Q2-2025</v>
      </c>
      <c r="G396" s="33" t="s">
        <v>45</v>
      </c>
      <c r="H396" s="33" t="s">
        <v>46</v>
      </c>
      <c r="I396" s="33" t="s">
        <v>47</v>
      </c>
      <c r="J396" s="33" t="s">
        <v>19</v>
      </c>
      <c r="K396" s="33" t="s">
        <v>20</v>
      </c>
      <c r="L396" s="33" t="s">
        <v>92</v>
      </c>
      <c r="M396" s="33" t="s">
        <v>81</v>
      </c>
      <c r="N396" s="33" t="s">
        <v>892</v>
      </c>
      <c r="O396" s="43">
        <v>653.6</v>
      </c>
      <c r="P396" s="44" t="str">
        <f t="shared" si="45"/>
        <v>High</v>
      </c>
      <c r="Q396" s="43">
        <v>842.09</v>
      </c>
      <c r="R396" s="43">
        <v>9.8000000000000004E-2</v>
      </c>
      <c r="S396" s="43">
        <v>19</v>
      </c>
      <c r="T396" s="43">
        <f t="shared" si="42"/>
        <v>29072.046299999998</v>
      </c>
      <c r="U396" s="33">
        <f t="shared" si="43"/>
        <v>12418.4</v>
      </c>
      <c r="V396" s="43">
        <f t="shared" si="46"/>
        <v>16653.6463</v>
      </c>
      <c r="W396" s="45">
        <f t="shared" si="47"/>
        <v>0.5728405261930255</v>
      </c>
    </row>
    <row r="397" spans="1:23" x14ac:dyDescent="0.3">
      <c r="A397" s="34" t="s">
        <v>893</v>
      </c>
      <c r="B397" s="35">
        <v>45890</v>
      </c>
      <c r="C397" s="36">
        <v>45914</v>
      </c>
      <c r="D397" s="37">
        <f t="shared" si="48"/>
        <v>24</v>
      </c>
      <c r="E397" s="37" t="str">
        <f>TEXT(Data!B397,"MMM-YYYY")</f>
        <v>Aug-2025</v>
      </c>
      <c r="F397" s="37" t="str">
        <f t="shared" si="44"/>
        <v>Q3-2025</v>
      </c>
      <c r="G397" s="32" t="s">
        <v>78</v>
      </c>
      <c r="H397" s="32" t="s">
        <v>79</v>
      </c>
      <c r="I397" s="32" t="s">
        <v>80</v>
      </c>
      <c r="J397" s="32" t="s">
        <v>39</v>
      </c>
      <c r="K397" s="32" t="s">
        <v>28</v>
      </c>
      <c r="L397" s="32" t="s">
        <v>75</v>
      </c>
      <c r="M397" s="32" t="s">
        <v>64</v>
      </c>
      <c r="N397" s="32" t="s">
        <v>894</v>
      </c>
      <c r="O397" s="37">
        <v>1397.67</v>
      </c>
      <c r="P397" s="38" t="str">
        <f t="shared" si="45"/>
        <v>High</v>
      </c>
      <c r="Q397" s="37">
        <v>3131.37</v>
      </c>
      <c r="R397" s="37">
        <v>0.10299999999999999</v>
      </c>
      <c r="S397" s="37">
        <v>20</v>
      </c>
      <c r="T397" s="37">
        <f t="shared" si="42"/>
        <v>51745.059600000001</v>
      </c>
      <c r="U397" s="32">
        <f t="shared" si="43"/>
        <v>27953.4</v>
      </c>
      <c r="V397" s="37">
        <f t="shared" si="46"/>
        <v>23791.659599999999</v>
      </c>
      <c r="W397" s="39">
        <f t="shared" si="47"/>
        <v>0.45978610873993464</v>
      </c>
    </row>
    <row r="398" spans="1:23" x14ac:dyDescent="0.3">
      <c r="A398" s="40" t="s">
        <v>895</v>
      </c>
      <c r="B398" s="41">
        <v>45638</v>
      </c>
      <c r="C398" s="42">
        <v>45646</v>
      </c>
      <c r="D398" s="43">
        <f t="shared" si="48"/>
        <v>8</v>
      </c>
      <c r="E398" s="43" t="str">
        <f>TEXT(Data!B398,"MMM-YYYY")</f>
        <v>Dec-2024</v>
      </c>
      <c r="F398" s="43" t="str">
        <f t="shared" si="44"/>
        <v>Q4-2024</v>
      </c>
      <c r="G398" s="33" t="s">
        <v>45</v>
      </c>
      <c r="H398" s="33" t="s">
        <v>46</v>
      </c>
      <c r="I398" s="33" t="s">
        <v>214</v>
      </c>
      <c r="J398" s="33" t="s">
        <v>19</v>
      </c>
      <c r="K398" s="33" t="s">
        <v>20</v>
      </c>
      <c r="L398" s="33" t="s">
        <v>56</v>
      </c>
      <c r="M398" s="33" t="s">
        <v>57</v>
      </c>
      <c r="N398" s="33" t="s">
        <v>896</v>
      </c>
      <c r="O398" s="43">
        <v>1202.47</v>
      </c>
      <c r="P398" s="44" t="str">
        <f t="shared" si="45"/>
        <v>High</v>
      </c>
      <c r="Q398" s="43">
        <v>1444.72</v>
      </c>
      <c r="R398" s="43">
        <v>0.24099999999999999</v>
      </c>
      <c r="S398" s="43">
        <v>17</v>
      </c>
      <c r="T398" s="43">
        <f t="shared" si="42"/>
        <v>19144.697220000002</v>
      </c>
      <c r="U398" s="33">
        <f t="shared" si="43"/>
        <v>20441.990000000002</v>
      </c>
      <c r="V398" s="43">
        <f t="shared" si="46"/>
        <v>-1297.2927799999998</v>
      </c>
      <c r="W398" s="45">
        <f t="shared" si="47"/>
        <v>-6.7762512255599913E-2</v>
      </c>
    </row>
    <row r="399" spans="1:23" x14ac:dyDescent="0.3">
      <c r="A399" s="34" t="s">
        <v>897</v>
      </c>
      <c r="B399" s="35">
        <v>45914</v>
      </c>
      <c r="C399" s="36">
        <v>45923</v>
      </c>
      <c r="D399" s="37">
        <f t="shared" si="48"/>
        <v>9</v>
      </c>
      <c r="E399" s="37" t="str">
        <f>TEXT(Data!B399,"MMM-YYYY")</f>
        <v>Sep-2025</v>
      </c>
      <c r="F399" s="37" t="str">
        <f t="shared" si="44"/>
        <v>Q3-2025</v>
      </c>
      <c r="G399" s="32" t="s">
        <v>16</v>
      </c>
      <c r="H399" s="32" t="s">
        <v>148</v>
      </c>
      <c r="I399" s="32" t="s">
        <v>172</v>
      </c>
      <c r="J399" s="32" t="s">
        <v>39</v>
      </c>
      <c r="K399" s="32" t="s">
        <v>28</v>
      </c>
      <c r="L399" s="32" t="s">
        <v>145</v>
      </c>
      <c r="M399" s="32" t="s">
        <v>22</v>
      </c>
      <c r="N399" s="32" t="s">
        <v>898</v>
      </c>
      <c r="O399" s="37">
        <v>1310.3</v>
      </c>
      <c r="P399" s="38" t="str">
        <f t="shared" si="45"/>
        <v>High</v>
      </c>
      <c r="Q399" s="37">
        <v>2875.8</v>
      </c>
      <c r="R399" s="37">
        <v>8.3000000000000004E-2</v>
      </c>
      <c r="S399" s="37">
        <v>5</v>
      </c>
      <c r="T399" s="37">
        <f t="shared" si="42"/>
        <v>14660.399949999999</v>
      </c>
      <c r="U399" s="32">
        <f t="shared" si="43"/>
        <v>6551.5</v>
      </c>
      <c r="V399" s="37">
        <f t="shared" si="46"/>
        <v>8108.8999499999991</v>
      </c>
      <c r="W399" s="39">
        <f t="shared" si="47"/>
        <v>0.55311587525959682</v>
      </c>
    </row>
    <row r="400" spans="1:23" x14ac:dyDescent="0.3">
      <c r="A400" s="40" t="s">
        <v>899</v>
      </c>
      <c r="B400" s="41">
        <v>45541</v>
      </c>
      <c r="C400" s="42">
        <v>45569</v>
      </c>
      <c r="D400" s="43">
        <f t="shared" si="48"/>
        <v>28</v>
      </c>
      <c r="E400" s="43" t="str">
        <f>TEXT(Data!B400,"MMM-YYYY")</f>
        <v>Sep-2024</v>
      </c>
      <c r="F400" s="43" t="str">
        <f t="shared" si="44"/>
        <v>Q3-2024</v>
      </c>
      <c r="G400" s="33" t="s">
        <v>16</v>
      </c>
      <c r="H400" s="33" t="s">
        <v>148</v>
      </c>
      <c r="I400" s="33" t="s">
        <v>258</v>
      </c>
      <c r="J400" s="33" t="s">
        <v>19</v>
      </c>
      <c r="K400" s="33" t="s">
        <v>40</v>
      </c>
      <c r="L400" s="33" t="s">
        <v>145</v>
      </c>
      <c r="M400" s="33" t="s">
        <v>64</v>
      </c>
      <c r="N400" s="33" t="s">
        <v>900</v>
      </c>
      <c r="O400" s="43">
        <v>1174.17</v>
      </c>
      <c r="P400" s="44" t="str">
        <f t="shared" si="45"/>
        <v>High</v>
      </c>
      <c r="Q400" s="43">
        <v>1641.61</v>
      </c>
      <c r="R400" s="43">
        <v>0.122</v>
      </c>
      <c r="S400" s="43">
        <v>9</v>
      </c>
      <c r="T400" s="43">
        <f t="shared" si="42"/>
        <v>18353.975399999999</v>
      </c>
      <c r="U400" s="33">
        <f t="shared" si="43"/>
        <v>10567.53</v>
      </c>
      <c r="V400" s="43">
        <f t="shared" si="46"/>
        <v>7786.4453999999987</v>
      </c>
      <c r="W400" s="45">
        <f t="shared" si="47"/>
        <v>0.42423754147561943</v>
      </c>
    </row>
    <row r="401" spans="1:23" x14ac:dyDescent="0.3">
      <c r="A401" s="34" t="s">
        <v>901</v>
      </c>
      <c r="B401" s="35">
        <v>45759</v>
      </c>
      <c r="C401" s="36">
        <v>45777</v>
      </c>
      <c r="D401" s="37">
        <f t="shared" si="48"/>
        <v>18</v>
      </c>
      <c r="E401" s="37" t="str">
        <f>TEXT(Data!B401,"MMM-YYYY")</f>
        <v>Apr-2025</v>
      </c>
      <c r="F401" s="37" t="str">
        <f t="shared" si="44"/>
        <v>Q2-2025</v>
      </c>
      <c r="G401" s="32" t="s">
        <v>16</v>
      </c>
      <c r="H401" s="32" t="s">
        <v>17</v>
      </c>
      <c r="I401" s="32" t="s">
        <v>18</v>
      </c>
      <c r="J401" s="32" t="s">
        <v>19</v>
      </c>
      <c r="K401" s="32" t="s">
        <v>40</v>
      </c>
      <c r="L401" s="32" t="s">
        <v>84</v>
      </c>
      <c r="M401" s="32" t="s">
        <v>35</v>
      </c>
      <c r="N401" s="32" t="s">
        <v>902</v>
      </c>
      <c r="O401" s="37">
        <v>1119.04</v>
      </c>
      <c r="P401" s="38" t="str">
        <f t="shared" si="45"/>
        <v>High</v>
      </c>
      <c r="Q401" s="37">
        <v>1299.02</v>
      </c>
      <c r="R401" s="37">
        <v>2.5000000000000001E-2</v>
      </c>
      <c r="S401" s="37">
        <v>14</v>
      </c>
      <c r="T401" s="37">
        <f t="shared" si="42"/>
        <v>26377.532999999999</v>
      </c>
      <c r="U401" s="32">
        <f t="shared" si="43"/>
        <v>15666.56</v>
      </c>
      <c r="V401" s="37">
        <f t="shared" si="46"/>
        <v>10710.973</v>
      </c>
      <c r="W401" s="39">
        <f t="shared" si="47"/>
        <v>0.40606424414292269</v>
      </c>
    </row>
    <row r="402" spans="1:23" x14ac:dyDescent="0.3">
      <c r="A402" s="40" t="s">
        <v>903</v>
      </c>
      <c r="B402" s="41">
        <v>45516</v>
      </c>
      <c r="C402" s="42">
        <v>45519</v>
      </c>
      <c r="D402" s="43">
        <f t="shared" si="48"/>
        <v>3</v>
      </c>
      <c r="E402" s="43" t="str">
        <f>TEXT(Data!B402,"MMM-YYYY")</f>
        <v>Aug-2024</v>
      </c>
      <c r="F402" s="43" t="str">
        <f t="shared" si="44"/>
        <v>Q3-2024</v>
      </c>
      <c r="G402" s="33" t="s">
        <v>52</v>
      </c>
      <c r="H402" s="33" t="s">
        <v>122</v>
      </c>
      <c r="I402" s="33" t="s">
        <v>123</v>
      </c>
      <c r="J402" s="33" t="s">
        <v>19</v>
      </c>
      <c r="K402" s="33" t="s">
        <v>40</v>
      </c>
      <c r="L402" s="33" t="s">
        <v>145</v>
      </c>
      <c r="M402" s="33" t="s">
        <v>30</v>
      </c>
      <c r="N402" s="33" t="s">
        <v>904</v>
      </c>
      <c r="O402" s="43">
        <v>850.7</v>
      </c>
      <c r="P402" s="44" t="str">
        <f t="shared" si="45"/>
        <v>High</v>
      </c>
      <c r="Q402" s="43">
        <v>1118.56</v>
      </c>
      <c r="R402" s="43">
        <v>0.18</v>
      </c>
      <c r="S402" s="43">
        <v>19</v>
      </c>
      <c r="T402" s="43">
        <f t="shared" si="42"/>
        <v>24777.808799999999</v>
      </c>
      <c r="U402" s="33">
        <f t="shared" si="43"/>
        <v>16163.300000000001</v>
      </c>
      <c r="V402" s="43">
        <f t="shared" si="46"/>
        <v>8614.5087999999978</v>
      </c>
      <c r="W402" s="45">
        <f t="shared" si="47"/>
        <v>0.34767032345491333</v>
      </c>
    </row>
    <row r="403" spans="1:23" x14ac:dyDescent="0.3">
      <c r="A403" s="34" t="s">
        <v>905</v>
      </c>
      <c r="B403" s="35">
        <v>45601</v>
      </c>
      <c r="C403" s="36">
        <v>45604</v>
      </c>
      <c r="D403" s="37">
        <f t="shared" si="48"/>
        <v>3</v>
      </c>
      <c r="E403" s="37" t="str">
        <f>TEXT(Data!B403,"MMM-YYYY")</f>
        <v>Nov-2024</v>
      </c>
      <c r="F403" s="37" t="str">
        <f t="shared" si="44"/>
        <v>Q4-2024</v>
      </c>
      <c r="G403" s="32" t="s">
        <v>52</v>
      </c>
      <c r="H403" s="32" t="s">
        <v>53</v>
      </c>
      <c r="I403" s="32" t="s">
        <v>54</v>
      </c>
      <c r="J403" s="32" t="s">
        <v>27</v>
      </c>
      <c r="K403" s="32" t="s">
        <v>40</v>
      </c>
      <c r="L403" s="32" t="s">
        <v>68</v>
      </c>
      <c r="M403" s="32" t="s">
        <v>22</v>
      </c>
      <c r="N403" s="32" t="s">
        <v>906</v>
      </c>
      <c r="O403" s="37">
        <v>1020.4</v>
      </c>
      <c r="P403" s="38" t="str">
        <f t="shared" si="45"/>
        <v>High</v>
      </c>
      <c r="Q403" s="37">
        <v>1184.71</v>
      </c>
      <c r="R403" s="37">
        <v>0.106</v>
      </c>
      <c r="S403" s="37">
        <v>16</v>
      </c>
      <c r="T403" s="37">
        <f t="shared" si="42"/>
        <v>5658.8054400000001</v>
      </c>
      <c r="U403" s="32">
        <f t="shared" si="43"/>
        <v>16326.4</v>
      </c>
      <c r="V403" s="37">
        <f t="shared" si="46"/>
        <v>-10667.59456</v>
      </c>
      <c r="W403" s="39">
        <f t="shared" si="47"/>
        <v>-1.8851318839475772</v>
      </c>
    </row>
    <row r="404" spans="1:23" x14ac:dyDescent="0.3">
      <c r="A404" s="40" t="s">
        <v>907</v>
      </c>
      <c r="B404" s="41">
        <v>45497</v>
      </c>
      <c r="C404" s="42">
        <v>45512</v>
      </c>
      <c r="D404" s="43">
        <f t="shared" si="48"/>
        <v>15</v>
      </c>
      <c r="E404" s="43" t="str">
        <f>TEXT(Data!B404,"MMM-YYYY")</f>
        <v>Jul-2024</v>
      </c>
      <c r="F404" s="43" t="str">
        <f t="shared" si="44"/>
        <v>Q3-2024</v>
      </c>
      <c r="G404" s="33" t="s">
        <v>78</v>
      </c>
      <c r="H404" s="33" t="s">
        <v>90</v>
      </c>
      <c r="I404" s="33" t="s">
        <v>91</v>
      </c>
      <c r="J404" s="33" t="s">
        <v>105</v>
      </c>
      <c r="K404" s="33" t="s">
        <v>40</v>
      </c>
      <c r="L404" s="33" t="s">
        <v>92</v>
      </c>
      <c r="M404" s="33" t="s">
        <v>57</v>
      </c>
      <c r="N404" s="33" t="s">
        <v>908</v>
      </c>
      <c r="O404" s="43">
        <v>501.5</v>
      </c>
      <c r="P404" s="44" t="str">
        <f t="shared" si="45"/>
        <v>High</v>
      </c>
      <c r="Q404" s="43">
        <v>1201.47</v>
      </c>
      <c r="R404" s="43">
        <v>0.126</v>
      </c>
      <c r="S404" s="43">
        <v>5</v>
      </c>
      <c r="T404" s="43">
        <f t="shared" si="42"/>
        <v>9079.5053000000007</v>
      </c>
      <c r="U404" s="33">
        <f t="shared" si="43"/>
        <v>2507.5</v>
      </c>
      <c r="V404" s="43">
        <f t="shared" si="46"/>
        <v>6572.0053000000007</v>
      </c>
      <c r="W404" s="45">
        <f t="shared" si="47"/>
        <v>0.72382856585809807</v>
      </c>
    </row>
    <row r="405" spans="1:23" x14ac:dyDescent="0.3">
      <c r="A405" s="34" t="s">
        <v>909</v>
      </c>
      <c r="B405" s="35">
        <v>45677</v>
      </c>
      <c r="C405" s="36">
        <v>45691</v>
      </c>
      <c r="D405" s="37">
        <f t="shared" si="48"/>
        <v>14</v>
      </c>
      <c r="E405" s="37" t="str">
        <f>TEXT(Data!B405,"MMM-YYYY")</f>
        <v>Jan-2025</v>
      </c>
      <c r="F405" s="37" t="str">
        <f t="shared" si="44"/>
        <v>Q1-2025</v>
      </c>
      <c r="G405" s="32" t="s">
        <v>52</v>
      </c>
      <c r="H405" s="32" t="s">
        <v>73</v>
      </c>
      <c r="I405" s="32" t="s">
        <v>87</v>
      </c>
      <c r="J405" s="32" t="s">
        <v>105</v>
      </c>
      <c r="K405" s="32" t="s">
        <v>40</v>
      </c>
      <c r="L405" s="32" t="s">
        <v>84</v>
      </c>
      <c r="M405" s="32" t="s">
        <v>22</v>
      </c>
      <c r="N405" s="32" t="s">
        <v>910</v>
      </c>
      <c r="O405" s="37">
        <v>974.11</v>
      </c>
      <c r="P405" s="38" t="str">
        <f t="shared" si="45"/>
        <v>High</v>
      </c>
      <c r="Q405" s="37">
        <v>880.99</v>
      </c>
      <c r="R405" s="37">
        <v>0.111</v>
      </c>
      <c r="S405" s="37">
        <v>10</v>
      </c>
      <c r="T405" s="37">
        <f t="shared" si="42"/>
        <v>11831.2565</v>
      </c>
      <c r="U405" s="32">
        <f t="shared" si="43"/>
        <v>9741.1</v>
      </c>
      <c r="V405" s="37">
        <f t="shared" si="46"/>
        <v>2090.1564999999991</v>
      </c>
      <c r="W405" s="39">
        <f t="shared" si="47"/>
        <v>0.17666394942920891</v>
      </c>
    </row>
    <row r="406" spans="1:23" x14ac:dyDescent="0.3">
      <c r="A406" s="40" t="s">
        <v>911</v>
      </c>
      <c r="B406" s="41">
        <v>44991</v>
      </c>
      <c r="C406" s="42">
        <v>45020</v>
      </c>
      <c r="D406" s="43">
        <f t="shared" si="48"/>
        <v>29</v>
      </c>
      <c r="E406" s="43" t="str">
        <f>TEXT(Data!B406,"MMM-YYYY")</f>
        <v>Mar-2023</v>
      </c>
      <c r="F406" s="43" t="str">
        <f t="shared" si="44"/>
        <v>Q1-2023</v>
      </c>
      <c r="G406" s="33" t="s">
        <v>45</v>
      </c>
      <c r="H406" s="33" t="s">
        <v>116</v>
      </c>
      <c r="I406" s="33" t="s">
        <v>338</v>
      </c>
      <c r="J406" s="33" t="s">
        <v>62</v>
      </c>
      <c r="K406" s="33" t="s">
        <v>98</v>
      </c>
      <c r="L406" s="33" t="s">
        <v>21</v>
      </c>
      <c r="M406" s="33" t="s">
        <v>64</v>
      </c>
      <c r="N406" s="33" t="s">
        <v>912</v>
      </c>
      <c r="O406" s="43">
        <v>1126.29</v>
      </c>
      <c r="P406" s="44" t="str">
        <f t="shared" si="45"/>
        <v>High</v>
      </c>
      <c r="Q406" s="43">
        <v>2050.87</v>
      </c>
      <c r="R406" s="43">
        <v>6.4000000000000001E-2</v>
      </c>
      <c r="S406" s="43">
        <v>7</v>
      </c>
      <c r="T406" s="43">
        <f t="shared" si="42"/>
        <v>18113.986799999999</v>
      </c>
      <c r="U406" s="33">
        <f t="shared" si="43"/>
        <v>7884.03</v>
      </c>
      <c r="V406" s="43">
        <f t="shared" si="46"/>
        <v>10229.9568</v>
      </c>
      <c r="W406" s="45">
        <f t="shared" si="47"/>
        <v>0.56475456855251771</v>
      </c>
    </row>
    <row r="407" spans="1:23" x14ac:dyDescent="0.3">
      <c r="A407" s="34" t="s">
        <v>913</v>
      </c>
      <c r="B407" s="35">
        <v>45646</v>
      </c>
      <c r="C407" s="36">
        <v>45671</v>
      </c>
      <c r="D407" s="37">
        <f t="shared" si="48"/>
        <v>25</v>
      </c>
      <c r="E407" s="37" t="str">
        <f>TEXT(Data!B407,"MMM-YYYY")</f>
        <v>Dec-2024</v>
      </c>
      <c r="F407" s="37" t="str">
        <f t="shared" si="44"/>
        <v>Q4-2024</v>
      </c>
      <c r="G407" s="32" t="s">
        <v>45</v>
      </c>
      <c r="H407" s="32" t="s">
        <v>60</v>
      </c>
      <c r="I407" s="32" t="s">
        <v>141</v>
      </c>
      <c r="J407" s="32" t="s">
        <v>62</v>
      </c>
      <c r="K407" s="32" t="s">
        <v>20</v>
      </c>
      <c r="L407" s="32" t="s">
        <v>110</v>
      </c>
      <c r="M407" s="32" t="s">
        <v>30</v>
      </c>
      <c r="N407" s="32" t="s">
        <v>914</v>
      </c>
      <c r="O407" s="37">
        <v>1361.34</v>
      </c>
      <c r="P407" s="38" t="str">
        <f t="shared" si="45"/>
        <v>High</v>
      </c>
      <c r="Q407" s="37">
        <v>1737.9</v>
      </c>
      <c r="R407" s="37">
        <v>7.6999999999999999E-2</v>
      </c>
      <c r="S407" s="37">
        <v>14</v>
      </c>
      <c r="T407" s="37">
        <f t="shared" si="42"/>
        <v>3596.8387000000007</v>
      </c>
      <c r="U407" s="32">
        <f t="shared" si="43"/>
        <v>19058.759999999998</v>
      </c>
      <c r="V407" s="37">
        <f t="shared" si="46"/>
        <v>-15461.921299999998</v>
      </c>
      <c r="W407" s="39">
        <f t="shared" si="47"/>
        <v>-4.2987530411080135</v>
      </c>
    </row>
    <row r="408" spans="1:23" x14ac:dyDescent="0.3">
      <c r="A408" s="40" t="s">
        <v>915</v>
      </c>
      <c r="B408" s="41">
        <v>45709</v>
      </c>
      <c r="C408" s="42">
        <v>45737</v>
      </c>
      <c r="D408" s="43">
        <f t="shared" si="48"/>
        <v>0</v>
      </c>
      <c r="E408" s="43" t="str">
        <f>TEXT(Data!B408,"MMM-YYYY")</f>
        <v>Feb-2025</v>
      </c>
      <c r="F408" s="43" t="str">
        <f t="shared" si="44"/>
        <v>Q1-2025</v>
      </c>
      <c r="G408" s="33" t="s">
        <v>16</v>
      </c>
      <c r="H408" s="33" t="s">
        <v>25</v>
      </c>
      <c r="I408" s="33" t="s">
        <v>67</v>
      </c>
      <c r="J408" s="33" t="s">
        <v>105</v>
      </c>
      <c r="K408" s="33" t="s">
        <v>40</v>
      </c>
      <c r="L408" s="33" t="s">
        <v>34</v>
      </c>
      <c r="M408" s="33" t="s">
        <v>42</v>
      </c>
      <c r="N408" s="33" t="s">
        <v>916</v>
      </c>
      <c r="O408" s="43">
        <v>1437.39</v>
      </c>
      <c r="P408" s="44" t="str">
        <f t="shared" si="45"/>
        <v>High</v>
      </c>
      <c r="Q408" s="43">
        <v>1388.31</v>
      </c>
      <c r="R408" s="43">
        <v>0.13800000000000001</v>
      </c>
      <c r="S408" s="43">
        <v>18</v>
      </c>
      <c r="T408" s="43">
        <f t="shared" si="42"/>
        <v>15273.329759999999</v>
      </c>
      <c r="U408" s="33">
        <f t="shared" si="43"/>
        <v>25873.02</v>
      </c>
      <c r="V408" s="43">
        <f t="shared" si="46"/>
        <v>-10599.690240000002</v>
      </c>
      <c r="W408" s="45">
        <f t="shared" si="47"/>
        <v>-0.69399995983587026</v>
      </c>
    </row>
    <row r="409" spans="1:23" x14ac:dyDescent="0.3">
      <c r="A409" s="34" t="s">
        <v>917</v>
      </c>
      <c r="B409" s="35">
        <v>45724</v>
      </c>
      <c r="C409" s="36">
        <v>45731</v>
      </c>
      <c r="D409" s="37">
        <f t="shared" si="48"/>
        <v>7</v>
      </c>
      <c r="E409" s="37" t="str">
        <f>TEXT(Data!B409,"MMM-YYYY")</f>
        <v>Mar-2025</v>
      </c>
      <c r="F409" s="37" t="str">
        <f t="shared" si="44"/>
        <v>Q1-2025</v>
      </c>
      <c r="G409" s="32" t="s">
        <v>45</v>
      </c>
      <c r="H409" s="32" t="s">
        <v>60</v>
      </c>
      <c r="I409" s="32" t="s">
        <v>61</v>
      </c>
      <c r="J409" s="32" t="s">
        <v>19</v>
      </c>
      <c r="K409" s="32" t="s">
        <v>55</v>
      </c>
      <c r="L409" s="32" t="s">
        <v>95</v>
      </c>
      <c r="M409" s="32" t="s">
        <v>57</v>
      </c>
      <c r="N409" s="32" t="s">
        <v>918</v>
      </c>
      <c r="O409" s="37">
        <v>475.66</v>
      </c>
      <c r="P409" s="38" t="str">
        <f t="shared" si="45"/>
        <v>High</v>
      </c>
      <c r="Q409" s="37">
        <v>529.14</v>
      </c>
      <c r="R409" s="37">
        <v>0.19600000000000001</v>
      </c>
      <c r="S409" s="37">
        <v>11</v>
      </c>
      <c r="T409" s="37">
        <f t="shared" si="42"/>
        <v>1687.7889600000003</v>
      </c>
      <c r="U409" s="32">
        <f t="shared" si="43"/>
        <v>5232.26</v>
      </c>
      <c r="V409" s="37">
        <f t="shared" si="46"/>
        <v>-3544.4710399999999</v>
      </c>
      <c r="W409" s="39">
        <f t="shared" si="47"/>
        <v>-2.1000676767076372</v>
      </c>
    </row>
    <row r="410" spans="1:23" x14ac:dyDescent="0.3">
      <c r="A410" s="40" t="s">
        <v>919</v>
      </c>
      <c r="B410" s="41">
        <v>45276</v>
      </c>
      <c r="C410" s="42">
        <v>45279</v>
      </c>
      <c r="D410" s="43">
        <f t="shared" si="48"/>
        <v>3</v>
      </c>
      <c r="E410" s="43" t="str">
        <f>TEXT(Data!B410,"MMM-YYYY")</f>
        <v>Dec-2023</v>
      </c>
      <c r="F410" s="43" t="str">
        <f t="shared" si="44"/>
        <v>Q4-2023</v>
      </c>
      <c r="G410" s="33" t="s">
        <v>45</v>
      </c>
      <c r="H410" s="33" t="s">
        <v>116</v>
      </c>
      <c r="I410" s="33" t="s">
        <v>338</v>
      </c>
      <c r="J410" s="33" t="s">
        <v>27</v>
      </c>
      <c r="K410" s="33" t="s">
        <v>20</v>
      </c>
      <c r="L410" s="33" t="s">
        <v>75</v>
      </c>
      <c r="M410" s="33" t="s">
        <v>81</v>
      </c>
      <c r="N410" s="33" t="s">
        <v>920</v>
      </c>
      <c r="O410" s="43">
        <v>1415.05</v>
      </c>
      <c r="P410" s="44" t="str">
        <f t="shared" si="45"/>
        <v>High</v>
      </c>
      <c r="Q410" s="43">
        <v>1972.38</v>
      </c>
      <c r="R410" s="43">
        <v>0</v>
      </c>
      <c r="S410" s="43">
        <v>12</v>
      </c>
      <c r="T410" s="43">
        <f t="shared" si="42"/>
        <v>10899.599999999999</v>
      </c>
      <c r="U410" s="33">
        <f t="shared" si="43"/>
        <v>16980.599999999999</v>
      </c>
      <c r="V410" s="43">
        <f t="shared" si="46"/>
        <v>-6081</v>
      </c>
      <c r="W410" s="45">
        <f t="shared" si="47"/>
        <v>-0.5579103820323682</v>
      </c>
    </row>
    <row r="411" spans="1:23" x14ac:dyDescent="0.3">
      <c r="A411" s="34" t="s">
        <v>921</v>
      </c>
      <c r="B411" s="35">
        <v>45534</v>
      </c>
      <c r="C411" s="36">
        <v>45540</v>
      </c>
      <c r="D411" s="37">
        <f t="shared" si="48"/>
        <v>6</v>
      </c>
      <c r="E411" s="37" t="str">
        <f>TEXT(Data!B411,"MMM-YYYY")</f>
        <v>Aug-2024</v>
      </c>
      <c r="F411" s="37" t="str">
        <f t="shared" si="44"/>
        <v>Q3-2024</v>
      </c>
      <c r="G411" s="32" t="s">
        <v>45</v>
      </c>
      <c r="H411" s="32" t="s">
        <v>46</v>
      </c>
      <c r="I411" s="32" t="s">
        <v>231</v>
      </c>
      <c r="J411" s="32" t="s">
        <v>27</v>
      </c>
      <c r="K411" s="32" t="s">
        <v>28</v>
      </c>
      <c r="L411" s="32" t="s">
        <v>126</v>
      </c>
      <c r="M411" s="32" t="s">
        <v>57</v>
      </c>
      <c r="N411" s="32" t="s">
        <v>922</v>
      </c>
      <c r="O411" s="37">
        <v>466.16</v>
      </c>
      <c r="P411" s="38" t="str">
        <f t="shared" si="45"/>
        <v>High</v>
      </c>
      <c r="Q411" s="37">
        <v>876.81</v>
      </c>
      <c r="R411" s="37">
        <v>0.24099999999999999</v>
      </c>
      <c r="S411" s="37">
        <v>8</v>
      </c>
      <c r="T411" s="37">
        <f t="shared" si="42"/>
        <v>1725.8445600000002</v>
      </c>
      <c r="U411" s="32">
        <f t="shared" si="43"/>
        <v>3729.28</v>
      </c>
      <c r="V411" s="37">
        <f t="shared" si="46"/>
        <v>-2003.43544</v>
      </c>
      <c r="W411" s="39">
        <f t="shared" si="47"/>
        <v>-1.1608435002976165</v>
      </c>
    </row>
    <row r="412" spans="1:23" x14ac:dyDescent="0.3">
      <c r="A412" s="40" t="s">
        <v>923</v>
      </c>
      <c r="B412" s="41">
        <v>45430</v>
      </c>
      <c r="C412" s="42">
        <v>45433</v>
      </c>
      <c r="D412" s="43">
        <f t="shared" si="48"/>
        <v>3</v>
      </c>
      <c r="E412" s="43" t="str">
        <f>TEXT(Data!B412,"MMM-YYYY")</f>
        <v>May-2024</v>
      </c>
      <c r="F412" s="43" t="str">
        <f t="shared" si="44"/>
        <v>Q2-2024</v>
      </c>
      <c r="G412" s="33" t="s">
        <v>78</v>
      </c>
      <c r="H412" s="33" t="s">
        <v>90</v>
      </c>
      <c r="I412" s="33" t="s">
        <v>91</v>
      </c>
      <c r="J412" s="33" t="s">
        <v>39</v>
      </c>
      <c r="K412" s="33" t="s">
        <v>40</v>
      </c>
      <c r="L412" s="33" t="s">
        <v>145</v>
      </c>
      <c r="M412" s="33" t="s">
        <v>30</v>
      </c>
      <c r="N412" s="33" t="s">
        <v>924</v>
      </c>
      <c r="O412" s="43">
        <v>663.66</v>
      </c>
      <c r="P412" s="44" t="str">
        <f t="shared" si="45"/>
        <v>High</v>
      </c>
      <c r="Q412" s="43">
        <v>824.26</v>
      </c>
      <c r="R412" s="43">
        <v>0.23899999999999999</v>
      </c>
      <c r="S412" s="43">
        <v>11</v>
      </c>
      <c r="T412" s="43">
        <f t="shared" si="42"/>
        <v>10290.80514</v>
      </c>
      <c r="U412" s="33">
        <f t="shared" si="43"/>
        <v>7300.2599999999993</v>
      </c>
      <c r="V412" s="43">
        <f t="shared" si="46"/>
        <v>2990.5451400000011</v>
      </c>
      <c r="W412" s="45">
        <f t="shared" si="47"/>
        <v>0.29060361160429093</v>
      </c>
    </row>
    <row r="413" spans="1:23" x14ac:dyDescent="0.3">
      <c r="A413" s="34" t="s">
        <v>925</v>
      </c>
      <c r="B413" s="35">
        <v>45002</v>
      </c>
      <c r="C413" s="36">
        <v>45022</v>
      </c>
      <c r="D413" s="37">
        <f t="shared" si="48"/>
        <v>20</v>
      </c>
      <c r="E413" s="37" t="str">
        <f>TEXT(Data!B413,"MMM-YYYY")</f>
        <v>Mar-2023</v>
      </c>
      <c r="F413" s="37" t="str">
        <f t="shared" si="44"/>
        <v>Q1-2023</v>
      </c>
      <c r="G413" s="32" t="s">
        <v>78</v>
      </c>
      <c r="H413" s="32" t="s">
        <v>79</v>
      </c>
      <c r="I413" s="32" t="s">
        <v>159</v>
      </c>
      <c r="J413" s="32" t="s">
        <v>48</v>
      </c>
      <c r="K413" s="32" t="s">
        <v>20</v>
      </c>
      <c r="L413" s="32" t="s">
        <v>68</v>
      </c>
      <c r="M413" s="32" t="s">
        <v>42</v>
      </c>
      <c r="N413" s="32" t="s">
        <v>926</v>
      </c>
      <c r="O413" s="37">
        <v>692.18</v>
      </c>
      <c r="P413" s="38" t="str">
        <f t="shared" si="45"/>
        <v>High</v>
      </c>
      <c r="Q413" s="37">
        <v>1159.3499999999999</v>
      </c>
      <c r="R413" s="37">
        <v>0.112</v>
      </c>
      <c r="S413" s="37">
        <v>2</v>
      </c>
      <c r="T413" s="37">
        <f t="shared" si="42"/>
        <v>2175.1027199999999</v>
      </c>
      <c r="U413" s="32">
        <f t="shared" si="43"/>
        <v>1384.36</v>
      </c>
      <c r="V413" s="37">
        <f t="shared" si="46"/>
        <v>790.74271999999996</v>
      </c>
      <c r="W413" s="39">
        <f t="shared" si="47"/>
        <v>0.36354270202006828</v>
      </c>
    </row>
    <row r="414" spans="1:23" x14ac:dyDescent="0.3">
      <c r="A414" s="40" t="s">
        <v>927</v>
      </c>
      <c r="B414" s="41">
        <v>45163</v>
      </c>
      <c r="C414" s="42">
        <v>45185</v>
      </c>
      <c r="D414" s="43">
        <f t="shared" si="48"/>
        <v>22</v>
      </c>
      <c r="E414" s="43" t="str">
        <f>TEXT(Data!B414,"MMM-YYYY")</f>
        <v>Aug-2023</v>
      </c>
      <c r="F414" s="43" t="str">
        <f t="shared" si="44"/>
        <v>Q3-2023</v>
      </c>
      <c r="G414" s="33" t="s">
        <v>16</v>
      </c>
      <c r="H414" s="33" t="s">
        <v>25</v>
      </c>
      <c r="I414" s="33" t="s">
        <v>67</v>
      </c>
      <c r="J414" s="33" t="s">
        <v>19</v>
      </c>
      <c r="K414" s="33" t="s">
        <v>40</v>
      </c>
      <c r="L414" s="33" t="s">
        <v>49</v>
      </c>
      <c r="M414" s="33" t="s">
        <v>42</v>
      </c>
      <c r="N414" s="33" t="s">
        <v>928</v>
      </c>
      <c r="O414" s="43">
        <v>1196.83</v>
      </c>
      <c r="P414" s="44" t="str">
        <f t="shared" si="45"/>
        <v>High</v>
      </c>
      <c r="Q414" s="43">
        <v>2513.5100000000002</v>
      </c>
      <c r="R414" s="43">
        <v>8.3000000000000004E-2</v>
      </c>
      <c r="S414" s="43">
        <v>7</v>
      </c>
      <c r="T414" s="43">
        <f t="shared" si="42"/>
        <v>3118.7353400000002</v>
      </c>
      <c r="U414" s="33">
        <f t="shared" si="43"/>
        <v>8377.81</v>
      </c>
      <c r="V414" s="43">
        <f t="shared" si="46"/>
        <v>-5259.0746599999993</v>
      </c>
      <c r="W414" s="45">
        <f t="shared" si="47"/>
        <v>-1.6862843706385162</v>
      </c>
    </row>
    <row r="415" spans="1:23" x14ac:dyDescent="0.3">
      <c r="A415" s="34" t="s">
        <v>929</v>
      </c>
      <c r="B415" s="35">
        <v>45449</v>
      </c>
      <c r="C415" s="36">
        <v>45467</v>
      </c>
      <c r="D415" s="37">
        <f t="shared" si="48"/>
        <v>18</v>
      </c>
      <c r="E415" s="37" t="str">
        <f>TEXT(Data!B415,"MMM-YYYY")</f>
        <v>Jun-2024</v>
      </c>
      <c r="F415" s="37" t="str">
        <f t="shared" si="44"/>
        <v>Q2-2024</v>
      </c>
      <c r="G415" s="32" t="s">
        <v>45</v>
      </c>
      <c r="H415" s="32" t="s">
        <v>60</v>
      </c>
      <c r="I415" s="32" t="s">
        <v>61</v>
      </c>
      <c r="J415" s="32" t="s">
        <v>62</v>
      </c>
      <c r="K415" s="32" t="s">
        <v>98</v>
      </c>
      <c r="L415" s="32" t="s">
        <v>92</v>
      </c>
      <c r="M415" s="32" t="s">
        <v>35</v>
      </c>
      <c r="N415" s="32" t="s">
        <v>930</v>
      </c>
      <c r="O415" s="37">
        <v>1253.25</v>
      </c>
      <c r="P415" s="38" t="str">
        <f t="shared" si="45"/>
        <v>High</v>
      </c>
      <c r="Q415" s="37">
        <v>3087.13</v>
      </c>
      <c r="R415" s="37">
        <v>7.1999999999999995E-2</v>
      </c>
      <c r="S415" s="37">
        <v>11</v>
      </c>
      <c r="T415" s="37">
        <f t="shared" si="42"/>
        <v>22569.275520000003</v>
      </c>
      <c r="U415" s="32">
        <f t="shared" si="43"/>
        <v>13785.75</v>
      </c>
      <c r="V415" s="37">
        <f t="shared" si="46"/>
        <v>8783.5255200000029</v>
      </c>
      <c r="W415" s="39">
        <f t="shared" si="47"/>
        <v>0.38918065899884063</v>
      </c>
    </row>
    <row r="416" spans="1:23" x14ac:dyDescent="0.3">
      <c r="A416" s="40" t="s">
        <v>931</v>
      </c>
      <c r="B416" s="41">
        <v>45167</v>
      </c>
      <c r="C416" s="42">
        <v>45182</v>
      </c>
      <c r="D416" s="43">
        <f t="shared" si="48"/>
        <v>15</v>
      </c>
      <c r="E416" s="43" t="str">
        <f>TEXT(Data!B416,"MMM-YYYY")</f>
        <v>Aug-2023</v>
      </c>
      <c r="F416" s="43" t="str">
        <f t="shared" si="44"/>
        <v>Q3-2023</v>
      </c>
      <c r="G416" s="33" t="s">
        <v>52</v>
      </c>
      <c r="H416" s="33" t="s">
        <v>53</v>
      </c>
      <c r="I416" s="33" t="s">
        <v>179</v>
      </c>
      <c r="J416" s="33" t="s">
        <v>62</v>
      </c>
      <c r="K416" s="33" t="s">
        <v>40</v>
      </c>
      <c r="L416" s="33" t="s">
        <v>68</v>
      </c>
      <c r="M416" s="33" t="s">
        <v>30</v>
      </c>
      <c r="N416" s="33" t="s">
        <v>932</v>
      </c>
      <c r="O416" s="43">
        <v>1287.6400000000001</v>
      </c>
      <c r="P416" s="44" t="str">
        <f t="shared" si="45"/>
        <v>High</v>
      </c>
      <c r="Q416" s="43">
        <v>2717.15</v>
      </c>
      <c r="R416" s="43">
        <v>3.2000000000000001E-2</v>
      </c>
      <c r="S416" s="43">
        <v>7</v>
      </c>
      <c r="T416" s="43">
        <f t="shared" si="42"/>
        <v>3875.12664</v>
      </c>
      <c r="U416" s="33">
        <f t="shared" si="43"/>
        <v>9013.4800000000014</v>
      </c>
      <c r="V416" s="43">
        <f t="shared" si="46"/>
        <v>-5138.353360000001</v>
      </c>
      <c r="W416" s="45">
        <f t="shared" si="47"/>
        <v>-1.3259833387019324</v>
      </c>
    </row>
    <row r="417" spans="1:23" x14ac:dyDescent="0.3">
      <c r="A417" s="34" t="s">
        <v>933</v>
      </c>
      <c r="B417" s="35">
        <v>45626</v>
      </c>
      <c r="C417" s="36">
        <v>45636</v>
      </c>
      <c r="D417" s="37">
        <f t="shared" si="48"/>
        <v>10</v>
      </c>
      <c r="E417" s="37" t="str">
        <f>TEXT(Data!B417,"MMM-YYYY")</f>
        <v>Nov-2024</v>
      </c>
      <c r="F417" s="37" t="str">
        <f t="shared" si="44"/>
        <v>Q4-2024</v>
      </c>
      <c r="G417" s="32" t="s">
        <v>45</v>
      </c>
      <c r="H417" s="32" t="s">
        <v>60</v>
      </c>
      <c r="I417" s="32" t="s">
        <v>281</v>
      </c>
      <c r="J417" s="32" t="s">
        <v>62</v>
      </c>
      <c r="K417" s="32" t="s">
        <v>20</v>
      </c>
      <c r="L417" s="32" t="s">
        <v>84</v>
      </c>
      <c r="M417" s="32" t="s">
        <v>81</v>
      </c>
      <c r="N417" s="32" t="s">
        <v>934</v>
      </c>
      <c r="O417" s="37">
        <v>851.49</v>
      </c>
      <c r="P417" s="38" t="str">
        <f t="shared" si="45"/>
        <v>High</v>
      </c>
      <c r="Q417" s="37">
        <v>901.79</v>
      </c>
      <c r="R417" s="37">
        <v>0.245</v>
      </c>
      <c r="S417" s="37">
        <v>16</v>
      </c>
      <c r="T417" s="37">
        <f t="shared" si="42"/>
        <v>41052.309600000001</v>
      </c>
      <c r="U417" s="32">
        <f t="shared" si="43"/>
        <v>13623.84</v>
      </c>
      <c r="V417" s="37">
        <f t="shared" si="46"/>
        <v>27428.4696</v>
      </c>
      <c r="W417" s="39">
        <f t="shared" si="47"/>
        <v>0.66813462792358946</v>
      </c>
    </row>
    <row r="418" spans="1:23" x14ac:dyDescent="0.3">
      <c r="A418" s="40" t="s">
        <v>935</v>
      </c>
      <c r="B418" s="41">
        <v>45813</v>
      </c>
      <c r="C418" s="42">
        <v>45822</v>
      </c>
      <c r="D418" s="43">
        <f t="shared" si="48"/>
        <v>9</v>
      </c>
      <c r="E418" s="43" t="str">
        <f>TEXT(Data!B418,"MMM-YYYY")</f>
        <v>Jun-2025</v>
      </c>
      <c r="F418" s="43" t="str">
        <f t="shared" si="44"/>
        <v>Q2-2025</v>
      </c>
      <c r="G418" s="33" t="s">
        <v>45</v>
      </c>
      <c r="H418" s="33" t="s">
        <v>60</v>
      </c>
      <c r="I418" s="33" t="s">
        <v>141</v>
      </c>
      <c r="J418" s="33" t="s">
        <v>39</v>
      </c>
      <c r="K418" s="33" t="s">
        <v>20</v>
      </c>
      <c r="L418" s="33" t="s">
        <v>75</v>
      </c>
      <c r="M418" s="33" t="s">
        <v>81</v>
      </c>
      <c r="N418" s="33" t="s">
        <v>936</v>
      </c>
      <c r="O418" s="43">
        <v>618.69000000000005</v>
      </c>
      <c r="P418" s="44" t="str">
        <f t="shared" si="45"/>
        <v>High</v>
      </c>
      <c r="Q418" s="43">
        <v>796.15</v>
      </c>
      <c r="R418" s="43">
        <v>0.09</v>
      </c>
      <c r="S418" s="43">
        <v>11</v>
      </c>
      <c r="T418" s="43">
        <f t="shared" si="42"/>
        <v>1948.1462000000001</v>
      </c>
      <c r="U418" s="33">
        <f t="shared" si="43"/>
        <v>6805.59</v>
      </c>
      <c r="V418" s="43">
        <f t="shared" si="46"/>
        <v>-4857.4438</v>
      </c>
      <c r="W418" s="45">
        <f t="shared" si="47"/>
        <v>-2.4933671815801093</v>
      </c>
    </row>
    <row r="419" spans="1:23" x14ac:dyDescent="0.3">
      <c r="A419" s="34" t="s">
        <v>937</v>
      </c>
      <c r="B419" s="35">
        <v>45730</v>
      </c>
      <c r="C419" s="36">
        <v>45755</v>
      </c>
      <c r="D419" s="37">
        <f t="shared" si="48"/>
        <v>25</v>
      </c>
      <c r="E419" s="37" t="str">
        <f>TEXT(Data!B419,"MMM-YYYY")</f>
        <v>Mar-2025</v>
      </c>
      <c r="F419" s="37" t="str">
        <f t="shared" si="44"/>
        <v>Q1-2025</v>
      </c>
      <c r="G419" s="32" t="s">
        <v>45</v>
      </c>
      <c r="H419" s="32" t="s">
        <v>116</v>
      </c>
      <c r="I419" s="32" t="s">
        <v>1364</v>
      </c>
      <c r="J419" s="32" t="s">
        <v>19</v>
      </c>
      <c r="K419" s="32" t="s">
        <v>55</v>
      </c>
      <c r="L419" s="32" t="s">
        <v>145</v>
      </c>
      <c r="M419" s="32" t="s">
        <v>30</v>
      </c>
      <c r="N419" s="32" t="s">
        <v>938</v>
      </c>
      <c r="O419" s="37">
        <v>80.59</v>
      </c>
      <c r="P419" s="38" t="str">
        <f t="shared" si="45"/>
        <v>Medium</v>
      </c>
      <c r="Q419" s="37">
        <v>157.82</v>
      </c>
      <c r="R419" s="37">
        <v>0.217</v>
      </c>
      <c r="S419" s="37">
        <v>6</v>
      </c>
      <c r="T419" s="37">
        <f t="shared" si="42"/>
        <v>4846.6447200000002</v>
      </c>
      <c r="U419" s="32">
        <f t="shared" si="43"/>
        <v>483.54</v>
      </c>
      <c r="V419" s="37">
        <f t="shared" si="46"/>
        <v>4363.1047200000003</v>
      </c>
      <c r="W419" s="39">
        <f t="shared" si="47"/>
        <v>0.90023201040409662</v>
      </c>
    </row>
    <row r="420" spans="1:23" x14ac:dyDescent="0.3">
      <c r="A420" s="40" t="s">
        <v>939</v>
      </c>
      <c r="B420" s="41">
        <v>45307</v>
      </c>
      <c r="C420" s="42">
        <v>45333</v>
      </c>
      <c r="D420" s="43">
        <f t="shared" si="48"/>
        <v>26</v>
      </c>
      <c r="E420" s="43" t="str">
        <f>TEXT(Data!B420,"MMM-YYYY")</f>
        <v>Jan-2024</v>
      </c>
      <c r="F420" s="43" t="str">
        <f t="shared" si="44"/>
        <v>Q1-2024</v>
      </c>
      <c r="G420" s="33" t="s">
        <v>78</v>
      </c>
      <c r="H420" s="33" t="s">
        <v>79</v>
      </c>
      <c r="I420" s="33" t="s">
        <v>335</v>
      </c>
      <c r="J420" s="33" t="s">
        <v>39</v>
      </c>
      <c r="K420" s="33" t="s">
        <v>55</v>
      </c>
      <c r="L420" s="33" t="s">
        <v>63</v>
      </c>
      <c r="M420" s="33" t="s">
        <v>64</v>
      </c>
      <c r="N420" s="33" t="s">
        <v>940</v>
      </c>
      <c r="O420" s="43">
        <v>504.93</v>
      </c>
      <c r="P420" s="44" t="str">
        <f t="shared" si="45"/>
        <v>High</v>
      </c>
      <c r="Q420" s="43">
        <v>819.06</v>
      </c>
      <c r="R420" s="43">
        <v>0.22600000000000001</v>
      </c>
      <c r="S420" s="43">
        <v>15</v>
      </c>
      <c r="T420" s="43">
        <f t="shared" si="42"/>
        <v>5749.1559000000007</v>
      </c>
      <c r="U420" s="33">
        <f t="shared" si="43"/>
        <v>7573.95</v>
      </c>
      <c r="V420" s="43">
        <f t="shared" si="46"/>
        <v>-1824.7940999999992</v>
      </c>
      <c r="W420" s="45">
        <f t="shared" si="47"/>
        <v>-0.31740209027902672</v>
      </c>
    </row>
    <row r="421" spans="1:23" x14ac:dyDescent="0.3">
      <c r="A421" s="34" t="s">
        <v>941</v>
      </c>
      <c r="B421" s="35">
        <v>45211</v>
      </c>
      <c r="C421" s="36">
        <v>45228</v>
      </c>
      <c r="D421" s="37">
        <f t="shared" si="48"/>
        <v>17</v>
      </c>
      <c r="E421" s="37" t="str">
        <f>TEXT(Data!B421,"MMM-YYYY")</f>
        <v>Oct-2023</v>
      </c>
      <c r="F421" s="37" t="str">
        <f t="shared" si="44"/>
        <v>Q4-2023</v>
      </c>
      <c r="G421" s="32" t="s">
        <v>45</v>
      </c>
      <c r="H421" s="32" t="s">
        <v>46</v>
      </c>
      <c r="I421" s="32" t="s">
        <v>231</v>
      </c>
      <c r="J421" s="32" t="s">
        <v>39</v>
      </c>
      <c r="K421" s="32" t="s">
        <v>98</v>
      </c>
      <c r="L421" s="32" t="s">
        <v>92</v>
      </c>
      <c r="M421" s="32" t="s">
        <v>42</v>
      </c>
      <c r="N421" s="32" t="s">
        <v>942</v>
      </c>
      <c r="O421" s="37">
        <v>1102.19</v>
      </c>
      <c r="P421" s="38" t="str">
        <f t="shared" si="45"/>
        <v>High</v>
      </c>
      <c r="Q421" s="37">
        <v>1711.16</v>
      </c>
      <c r="R421" s="37">
        <v>0.151</v>
      </c>
      <c r="S421" s="37">
        <v>10</v>
      </c>
      <c r="T421" s="37">
        <f t="shared" si="42"/>
        <v>11198.649599999999</v>
      </c>
      <c r="U421" s="32">
        <f t="shared" si="43"/>
        <v>11021.900000000001</v>
      </c>
      <c r="V421" s="37">
        <f t="shared" si="46"/>
        <v>176.74959999999737</v>
      </c>
      <c r="W421" s="39">
        <f t="shared" si="47"/>
        <v>1.5783117278711657E-2</v>
      </c>
    </row>
    <row r="422" spans="1:23" x14ac:dyDescent="0.3">
      <c r="A422" s="40" t="s">
        <v>943</v>
      </c>
      <c r="B422" s="41">
        <v>45713</v>
      </c>
      <c r="C422" s="42">
        <v>45733</v>
      </c>
      <c r="D422" s="43">
        <f t="shared" si="48"/>
        <v>20</v>
      </c>
      <c r="E422" s="43" t="str">
        <f>TEXT(Data!B422,"MMM-YYYY")</f>
        <v>Feb-2025</v>
      </c>
      <c r="F422" s="43" t="str">
        <f t="shared" si="44"/>
        <v>Q1-2025</v>
      </c>
      <c r="G422" s="33" t="s">
        <v>52</v>
      </c>
      <c r="H422" s="33" t="s">
        <v>122</v>
      </c>
      <c r="I422" s="33" t="s">
        <v>167</v>
      </c>
      <c r="J422" s="33" t="s">
        <v>39</v>
      </c>
      <c r="K422" s="33" t="s">
        <v>40</v>
      </c>
      <c r="L422" s="33" t="s">
        <v>92</v>
      </c>
      <c r="M422" s="33" t="s">
        <v>42</v>
      </c>
      <c r="N422" s="33" t="s">
        <v>944</v>
      </c>
      <c r="O422" s="43">
        <v>1205.26</v>
      </c>
      <c r="P422" s="44" t="str">
        <f t="shared" si="45"/>
        <v>High</v>
      </c>
      <c r="Q422" s="43">
        <v>1696.35</v>
      </c>
      <c r="R422" s="43">
        <v>1.9E-2</v>
      </c>
      <c r="S422" s="43">
        <v>6</v>
      </c>
      <c r="T422" s="43">
        <f t="shared" si="42"/>
        <v>1853.32482</v>
      </c>
      <c r="U422" s="33">
        <f t="shared" si="43"/>
        <v>7231.5599999999995</v>
      </c>
      <c r="V422" s="43">
        <f t="shared" si="46"/>
        <v>-5378.2351799999997</v>
      </c>
      <c r="W422" s="45">
        <f t="shared" si="47"/>
        <v>-2.9019387869634206</v>
      </c>
    </row>
    <row r="423" spans="1:23" x14ac:dyDescent="0.3">
      <c r="A423" s="34" t="s">
        <v>945</v>
      </c>
      <c r="B423" s="35">
        <v>45841</v>
      </c>
      <c r="C423" s="36">
        <v>45844</v>
      </c>
      <c r="D423" s="37">
        <f t="shared" si="48"/>
        <v>3</v>
      </c>
      <c r="E423" s="37" t="str">
        <f>TEXT(Data!B423,"MMM-YYYY")</f>
        <v>Jul-2025</v>
      </c>
      <c r="F423" s="37" t="str">
        <f t="shared" si="44"/>
        <v>Q3-2025</v>
      </c>
      <c r="G423" s="32" t="s">
        <v>16</v>
      </c>
      <c r="H423" s="32" t="s">
        <v>25</v>
      </c>
      <c r="I423" s="32" t="s">
        <v>38</v>
      </c>
      <c r="J423" s="32" t="s">
        <v>48</v>
      </c>
      <c r="K423" s="32" t="s">
        <v>28</v>
      </c>
      <c r="L423" s="32" t="s">
        <v>1364</v>
      </c>
      <c r="M423" s="32" t="s">
        <v>57</v>
      </c>
      <c r="N423" s="32" t="s">
        <v>946</v>
      </c>
      <c r="O423" s="37">
        <v>1313.3</v>
      </c>
      <c r="P423" s="38" t="str">
        <f t="shared" si="45"/>
        <v>High</v>
      </c>
      <c r="Q423" s="37">
        <v>2884.34</v>
      </c>
      <c r="R423" s="37">
        <v>0.157</v>
      </c>
      <c r="S423" s="37">
        <v>42</v>
      </c>
      <c r="T423" s="37">
        <f t="shared" si="42"/>
        <v>78253.279020000002</v>
      </c>
      <c r="U423" s="32">
        <f t="shared" si="43"/>
        <v>55158.6</v>
      </c>
      <c r="V423" s="37">
        <f t="shared" si="46"/>
        <v>23094.679020000003</v>
      </c>
      <c r="W423" s="39">
        <f t="shared" si="47"/>
        <v>0.29512730085211453</v>
      </c>
    </row>
    <row r="424" spans="1:23" x14ac:dyDescent="0.3">
      <c r="A424" s="40" t="s">
        <v>947</v>
      </c>
      <c r="B424" s="41">
        <v>45915</v>
      </c>
      <c r="C424" s="42">
        <v>45925</v>
      </c>
      <c r="D424" s="43">
        <f t="shared" si="48"/>
        <v>10</v>
      </c>
      <c r="E424" s="43" t="str">
        <f>TEXT(Data!B424,"MMM-YYYY")</f>
        <v>Sep-2025</v>
      </c>
      <c r="F424" s="43" t="str">
        <f t="shared" si="44"/>
        <v>Q3-2025</v>
      </c>
      <c r="G424" s="33" t="s">
        <v>45</v>
      </c>
      <c r="H424" s="33" t="s">
        <v>60</v>
      </c>
      <c r="I424" s="33" t="s">
        <v>141</v>
      </c>
      <c r="J424" s="33" t="s">
        <v>48</v>
      </c>
      <c r="K424" s="33" t="s">
        <v>20</v>
      </c>
      <c r="L424" s="33" t="s">
        <v>75</v>
      </c>
      <c r="M424" s="33" t="s">
        <v>42</v>
      </c>
      <c r="N424" s="33" t="s">
        <v>948</v>
      </c>
      <c r="O424" s="43">
        <v>1488.91</v>
      </c>
      <c r="P424" s="44" t="str">
        <f t="shared" si="45"/>
        <v>High</v>
      </c>
      <c r="Q424" s="43">
        <v>1483.74</v>
      </c>
      <c r="R424" s="43">
        <v>0.16800000000000001</v>
      </c>
      <c r="S424" s="43">
        <v>24</v>
      </c>
      <c r="T424" s="43">
        <f t="shared" si="42"/>
        <v>20866.559999999998</v>
      </c>
      <c r="U424" s="33">
        <f t="shared" si="43"/>
        <v>35733.840000000004</v>
      </c>
      <c r="V424" s="43">
        <f t="shared" si="46"/>
        <v>-14867.280000000006</v>
      </c>
      <c r="W424" s="45">
        <f t="shared" si="47"/>
        <v>-0.71249309900625724</v>
      </c>
    </row>
    <row r="425" spans="1:23" x14ac:dyDescent="0.3">
      <c r="A425" s="34" t="s">
        <v>949</v>
      </c>
      <c r="B425" s="35">
        <v>45341</v>
      </c>
      <c r="C425" s="36">
        <v>45357</v>
      </c>
      <c r="D425" s="37">
        <f t="shared" si="48"/>
        <v>16</v>
      </c>
      <c r="E425" s="37" t="str">
        <f>TEXT(Data!B425,"MMM-YYYY")</f>
        <v>Feb-2024</v>
      </c>
      <c r="F425" s="37" t="str">
        <f t="shared" si="44"/>
        <v>Q1-2024</v>
      </c>
      <c r="G425" s="32" t="s">
        <v>45</v>
      </c>
      <c r="H425" s="32" t="s">
        <v>116</v>
      </c>
      <c r="I425" s="32" t="s">
        <v>338</v>
      </c>
      <c r="J425" s="32" t="s">
        <v>27</v>
      </c>
      <c r="K425" s="32" t="s">
        <v>40</v>
      </c>
      <c r="L425" s="32" t="s">
        <v>68</v>
      </c>
      <c r="M425" s="32" t="s">
        <v>30</v>
      </c>
      <c r="N425" s="32" t="s">
        <v>950</v>
      </c>
      <c r="O425" s="37">
        <v>1477.84</v>
      </c>
      <c r="P425" s="38" t="str">
        <f t="shared" si="45"/>
        <v>High</v>
      </c>
      <c r="Q425" s="37">
        <v>3197.47</v>
      </c>
      <c r="R425" s="37">
        <v>0.24299999999999999</v>
      </c>
      <c r="S425" s="37">
        <v>24</v>
      </c>
      <c r="T425" s="37">
        <f t="shared" si="42"/>
        <v>38737.627919999999</v>
      </c>
      <c r="U425" s="32">
        <f t="shared" si="43"/>
        <v>35468.159999999996</v>
      </c>
      <c r="V425" s="37">
        <f t="shared" si="46"/>
        <v>3269.4679200000028</v>
      </c>
      <c r="W425" s="39">
        <f t="shared" si="47"/>
        <v>8.4400312965781696E-2</v>
      </c>
    </row>
    <row r="426" spans="1:23" x14ac:dyDescent="0.3">
      <c r="A426" s="40" t="s">
        <v>951</v>
      </c>
      <c r="B426" s="41">
        <v>45349</v>
      </c>
      <c r="C426" s="42">
        <v>45377</v>
      </c>
      <c r="D426" s="43">
        <f t="shared" si="48"/>
        <v>28</v>
      </c>
      <c r="E426" s="43" t="str">
        <f>TEXT(Data!B426,"MMM-YYYY")</f>
        <v>Feb-2024</v>
      </c>
      <c r="F426" s="43" t="str">
        <f t="shared" si="44"/>
        <v>Q1-2024</v>
      </c>
      <c r="G426" s="33" t="s">
        <v>45</v>
      </c>
      <c r="H426" s="33" t="s">
        <v>60</v>
      </c>
      <c r="I426" s="33" t="s">
        <v>220</v>
      </c>
      <c r="J426" s="33" t="s">
        <v>27</v>
      </c>
      <c r="K426" s="33" t="s">
        <v>40</v>
      </c>
      <c r="L426" s="33" t="s">
        <v>41</v>
      </c>
      <c r="M426" s="33" t="s">
        <v>57</v>
      </c>
      <c r="N426" s="33" t="s">
        <v>952</v>
      </c>
      <c r="O426" s="43">
        <v>1035.19</v>
      </c>
      <c r="P426" s="44" t="str">
        <f t="shared" si="45"/>
        <v>High</v>
      </c>
      <c r="Q426" s="43">
        <v>2322.6999999999998</v>
      </c>
      <c r="R426" s="43">
        <v>0.17299999999999999</v>
      </c>
      <c r="S426" s="43">
        <v>8</v>
      </c>
      <c r="T426" s="43">
        <f t="shared" si="42"/>
        <v>13903.854800000001</v>
      </c>
      <c r="U426" s="33">
        <f t="shared" si="43"/>
        <v>8281.52</v>
      </c>
      <c r="V426" s="43">
        <f t="shared" si="46"/>
        <v>5622.3348000000005</v>
      </c>
      <c r="W426" s="45">
        <f t="shared" si="47"/>
        <v>0.40437237592555986</v>
      </c>
    </row>
    <row r="427" spans="1:23" x14ac:dyDescent="0.3">
      <c r="A427" s="34" t="s">
        <v>953</v>
      </c>
      <c r="B427" s="35">
        <v>45897</v>
      </c>
      <c r="C427" s="36">
        <v>45905</v>
      </c>
      <c r="D427" s="37">
        <f t="shared" si="48"/>
        <v>8</v>
      </c>
      <c r="E427" s="37" t="str">
        <f>TEXT(Data!B427,"MMM-YYYY")</f>
        <v>Aug-2025</v>
      </c>
      <c r="F427" s="37" t="str">
        <f t="shared" si="44"/>
        <v>Q3-2025</v>
      </c>
      <c r="G427" s="32" t="s">
        <v>16</v>
      </c>
      <c r="H427" s="32" t="s">
        <v>25</v>
      </c>
      <c r="I427" s="32" t="s">
        <v>26</v>
      </c>
      <c r="J427" s="32" t="s">
        <v>62</v>
      </c>
      <c r="K427" s="32" t="s">
        <v>40</v>
      </c>
      <c r="L427" s="32" t="s">
        <v>63</v>
      </c>
      <c r="M427" s="32" t="s">
        <v>57</v>
      </c>
      <c r="N427" s="32" t="s">
        <v>954</v>
      </c>
      <c r="O427" s="37">
        <v>1271.0999999999999</v>
      </c>
      <c r="P427" s="38" t="str">
        <f t="shared" si="45"/>
        <v>High</v>
      </c>
      <c r="Q427" s="37">
        <v>1932.42</v>
      </c>
      <c r="R427" s="37">
        <v>0.25</v>
      </c>
      <c r="S427" s="37">
        <v>21</v>
      </c>
      <c r="T427" s="37">
        <f t="shared" si="42"/>
        <v>33475.68</v>
      </c>
      <c r="U427" s="32">
        <f t="shared" si="43"/>
        <v>26693.1</v>
      </c>
      <c r="V427" s="37">
        <f t="shared" si="46"/>
        <v>6782.5800000000017</v>
      </c>
      <c r="W427" s="39">
        <f t="shared" si="47"/>
        <v>0.20261216501053905</v>
      </c>
    </row>
    <row r="428" spans="1:23" x14ac:dyDescent="0.3">
      <c r="A428" s="40" t="s">
        <v>955</v>
      </c>
      <c r="B428" s="41">
        <v>45522</v>
      </c>
      <c r="C428" s="42">
        <v>45547</v>
      </c>
      <c r="D428" s="43">
        <f t="shared" si="48"/>
        <v>25</v>
      </c>
      <c r="E428" s="43" t="str">
        <f>TEXT(Data!B428,"MMM-YYYY")</f>
        <v>Aug-2024</v>
      </c>
      <c r="F428" s="43" t="str">
        <f t="shared" si="44"/>
        <v>Q3-2024</v>
      </c>
      <c r="G428" s="33" t="s">
        <v>45</v>
      </c>
      <c r="H428" s="33" t="s">
        <v>60</v>
      </c>
      <c r="I428" s="33" t="s">
        <v>220</v>
      </c>
      <c r="J428" s="33" t="s">
        <v>48</v>
      </c>
      <c r="K428" s="33" t="s">
        <v>40</v>
      </c>
      <c r="L428" s="33" t="s">
        <v>21</v>
      </c>
      <c r="M428" s="33" t="s">
        <v>42</v>
      </c>
      <c r="N428" s="33" t="s">
        <v>956</v>
      </c>
      <c r="O428" s="43">
        <v>1154.03</v>
      </c>
      <c r="P428" s="44" t="str">
        <f t="shared" si="45"/>
        <v>High</v>
      </c>
      <c r="Q428" s="43">
        <v>1590.36</v>
      </c>
      <c r="R428" s="43">
        <v>0.314</v>
      </c>
      <c r="S428" s="43">
        <v>18</v>
      </c>
      <c r="T428" s="43">
        <f t="shared" si="42"/>
        <v>8801.0369999999984</v>
      </c>
      <c r="U428" s="33">
        <f t="shared" si="43"/>
        <v>20772.54</v>
      </c>
      <c r="V428" s="43">
        <f t="shared" si="46"/>
        <v>-11971.503000000002</v>
      </c>
      <c r="W428" s="45">
        <f t="shared" si="47"/>
        <v>-1.360237776525653</v>
      </c>
    </row>
    <row r="429" spans="1:23" x14ac:dyDescent="0.3">
      <c r="A429" s="34" t="s">
        <v>957</v>
      </c>
      <c r="B429" s="35">
        <v>45347</v>
      </c>
      <c r="C429" s="36">
        <v>45360</v>
      </c>
      <c r="D429" s="37">
        <f t="shared" si="48"/>
        <v>13</v>
      </c>
      <c r="E429" s="37" t="str">
        <f>TEXT(Data!B429,"MMM-YYYY")</f>
        <v>Feb-2024</v>
      </c>
      <c r="F429" s="37" t="str">
        <f t="shared" si="44"/>
        <v>Q1-2024</v>
      </c>
      <c r="G429" s="32" t="s">
        <v>78</v>
      </c>
      <c r="H429" s="32" t="s">
        <v>90</v>
      </c>
      <c r="I429" s="32" t="s">
        <v>91</v>
      </c>
      <c r="J429" s="32" t="s">
        <v>62</v>
      </c>
      <c r="K429" s="32" t="s">
        <v>55</v>
      </c>
      <c r="L429" s="32" t="s">
        <v>63</v>
      </c>
      <c r="M429" s="32" t="s">
        <v>64</v>
      </c>
      <c r="N429" s="32" t="s">
        <v>958</v>
      </c>
      <c r="O429" s="37">
        <v>322.44</v>
      </c>
      <c r="P429" s="38" t="str">
        <f t="shared" si="45"/>
        <v>High</v>
      </c>
      <c r="Q429" s="37">
        <v>395.61</v>
      </c>
      <c r="R429" s="37">
        <v>0</v>
      </c>
      <c r="S429" s="37">
        <v>34</v>
      </c>
      <c r="T429" s="37">
        <f t="shared" si="42"/>
        <v>53340.22</v>
      </c>
      <c r="U429" s="32">
        <f t="shared" si="43"/>
        <v>10962.96</v>
      </c>
      <c r="V429" s="37">
        <f t="shared" si="46"/>
        <v>42377.26</v>
      </c>
      <c r="W429" s="39">
        <f t="shared" si="47"/>
        <v>0.79447103892709858</v>
      </c>
    </row>
    <row r="430" spans="1:23" x14ac:dyDescent="0.3">
      <c r="A430" s="40" t="s">
        <v>959</v>
      </c>
      <c r="B430" s="41">
        <v>45784</v>
      </c>
      <c r="C430" s="42">
        <v>45790</v>
      </c>
      <c r="D430" s="43">
        <f t="shared" si="48"/>
        <v>6</v>
      </c>
      <c r="E430" s="43" t="str">
        <f>TEXT(Data!B430,"MMM-YYYY")</f>
        <v>May-2025</v>
      </c>
      <c r="F430" s="43" t="str">
        <f t="shared" si="44"/>
        <v>Q2-2025</v>
      </c>
      <c r="G430" s="33" t="s">
        <v>45</v>
      </c>
      <c r="H430" s="33" t="s">
        <v>60</v>
      </c>
      <c r="I430" s="33" t="s">
        <v>61</v>
      </c>
      <c r="J430" s="33" t="s">
        <v>105</v>
      </c>
      <c r="K430" s="33" t="s">
        <v>98</v>
      </c>
      <c r="L430" s="33" t="s">
        <v>29</v>
      </c>
      <c r="M430" s="33" t="s">
        <v>42</v>
      </c>
      <c r="N430" s="33" t="s">
        <v>960</v>
      </c>
      <c r="O430" s="43">
        <v>935.98</v>
      </c>
      <c r="P430" s="44" t="str">
        <f t="shared" si="45"/>
        <v>High</v>
      </c>
      <c r="Q430" s="43">
        <v>2077.69</v>
      </c>
      <c r="R430" s="43">
        <v>0.17499999999999999</v>
      </c>
      <c r="S430" s="43">
        <v>24</v>
      </c>
      <c r="T430" s="43">
        <f t="shared" si="42"/>
        <v>41071.932000000001</v>
      </c>
      <c r="U430" s="33">
        <f t="shared" si="43"/>
        <v>22463.52</v>
      </c>
      <c r="V430" s="43">
        <f t="shared" si="46"/>
        <v>18608.412</v>
      </c>
      <c r="W430" s="45">
        <f t="shared" si="47"/>
        <v>0.4530688256885505</v>
      </c>
    </row>
    <row r="431" spans="1:23" x14ac:dyDescent="0.3">
      <c r="A431" s="34" t="s">
        <v>961</v>
      </c>
      <c r="B431" s="35">
        <v>45597</v>
      </c>
      <c r="C431" s="36">
        <v>45608</v>
      </c>
      <c r="D431" s="37">
        <f t="shared" si="48"/>
        <v>11</v>
      </c>
      <c r="E431" s="37" t="str">
        <f>TEXT(Data!B431,"MMM-YYYY")</f>
        <v>Nov-2024</v>
      </c>
      <c r="F431" s="37" t="str">
        <f t="shared" si="44"/>
        <v>Q4-2024</v>
      </c>
      <c r="G431" s="32" t="s">
        <v>78</v>
      </c>
      <c r="H431" s="32" t="s">
        <v>79</v>
      </c>
      <c r="I431" s="32" t="s">
        <v>335</v>
      </c>
      <c r="J431" s="32" t="s">
        <v>48</v>
      </c>
      <c r="K431" s="32" t="s">
        <v>28</v>
      </c>
      <c r="L431" s="32" t="s">
        <v>56</v>
      </c>
      <c r="M431" s="32" t="s">
        <v>30</v>
      </c>
      <c r="N431" s="32" t="s">
        <v>962</v>
      </c>
      <c r="O431" s="37">
        <v>599.84</v>
      </c>
      <c r="P431" s="38" t="str">
        <f t="shared" si="45"/>
        <v>High</v>
      </c>
      <c r="Q431" s="37">
        <v>1330.85</v>
      </c>
      <c r="R431" s="37">
        <v>0.115</v>
      </c>
      <c r="S431" s="37">
        <v>11</v>
      </c>
      <c r="T431" s="37">
        <f t="shared" si="42"/>
        <v>4820.6746499999999</v>
      </c>
      <c r="U431" s="32">
        <f t="shared" si="43"/>
        <v>6598.2400000000007</v>
      </c>
      <c r="V431" s="37">
        <f t="shared" si="46"/>
        <v>-1777.5653500000008</v>
      </c>
      <c r="W431" s="39">
        <f t="shared" si="47"/>
        <v>-0.36873787987330792</v>
      </c>
    </row>
    <row r="432" spans="1:23" x14ac:dyDescent="0.3">
      <c r="A432" s="40" t="s">
        <v>963</v>
      </c>
      <c r="B432" s="41">
        <v>45654</v>
      </c>
      <c r="C432" s="42">
        <v>45665</v>
      </c>
      <c r="D432" s="43">
        <f t="shared" si="48"/>
        <v>11</v>
      </c>
      <c r="E432" s="43" t="str">
        <f>TEXT(Data!B432,"MMM-YYYY")</f>
        <v>Dec-2024</v>
      </c>
      <c r="F432" s="43" t="str">
        <f t="shared" si="44"/>
        <v>Q4-2024</v>
      </c>
      <c r="G432" s="33" t="s">
        <v>45</v>
      </c>
      <c r="H432" s="33" t="s">
        <v>116</v>
      </c>
      <c r="I432" s="33" t="s">
        <v>117</v>
      </c>
      <c r="J432" s="33" t="s">
        <v>105</v>
      </c>
      <c r="K432" s="33" t="s">
        <v>28</v>
      </c>
      <c r="L432" s="33" t="s">
        <v>95</v>
      </c>
      <c r="M432" s="33" t="s">
        <v>57</v>
      </c>
      <c r="N432" s="33" t="s">
        <v>964</v>
      </c>
      <c r="O432" s="43">
        <v>1201.31</v>
      </c>
      <c r="P432" s="44" t="str">
        <f t="shared" si="45"/>
        <v>High</v>
      </c>
      <c r="Q432" s="43">
        <v>2764.65</v>
      </c>
      <c r="R432" s="43">
        <v>0</v>
      </c>
      <c r="S432" s="43">
        <v>21</v>
      </c>
      <c r="T432" s="43">
        <f t="shared" si="42"/>
        <v>15909.390000000001</v>
      </c>
      <c r="U432" s="33">
        <f t="shared" si="43"/>
        <v>25227.51</v>
      </c>
      <c r="V432" s="43">
        <f t="shared" si="46"/>
        <v>-9318.1199999999972</v>
      </c>
      <c r="W432" s="45">
        <f t="shared" si="47"/>
        <v>-0.58569938885148942</v>
      </c>
    </row>
    <row r="433" spans="1:23" x14ac:dyDescent="0.3">
      <c r="A433" s="34" t="s">
        <v>965</v>
      </c>
      <c r="B433" s="35">
        <v>45220</v>
      </c>
      <c r="C433" s="36">
        <v>45220</v>
      </c>
      <c r="D433" s="37">
        <f t="shared" si="48"/>
        <v>0</v>
      </c>
      <c r="E433" s="37" t="str">
        <f>TEXT(Data!B433,"MMM-YYYY")</f>
        <v>Oct-2023</v>
      </c>
      <c r="F433" s="37" t="str">
        <f t="shared" si="44"/>
        <v>Q4-2023</v>
      </c>
      <c r="G433" s="32" t="s">
        <v>78</v>
      </c>
      <c r="H433" s="32" t="s">
        <v>108</v>
      </c>
      <c r="I433" s="32" t="s">
        <v>228</v>
      </c>
      <c r="J433" s="32" t="s">
        <v>105</v>
      </c>
      <c r="K433" s="32" t="s">
        <v>55</v>
      </c>
      <c r="L433" s="32" t="s">
        <v>29</v>
      </c>
      <c r="M433" s="32" t="s">
        <v>64</v>
      </c>
      <c r="N433" s="32" t="s">
        <v>966</v>
      </c>
      <c r="O433" s="37">
        <v>384.19</v>
      </c>
      <c r="P433" s="38" t="str">
        <f t="shared" si="45"/>
        <v>High</v>
      </c>
      <c r="Q433" s="37">
        <v>278.35000000000002</v>
      </c>
      <c r="R433" s="37">
        <v>5.6000000000000001E-2</v>
      </c>
      <c r="S433" s="37">
        <v>10</v>
      </c>
      <c r="T433" s="37">
        <f t="shared" si="42"/>
        <v>3926.6623999999993</v>
      </c>
      <c r="U433" s="32">
        <f t="shared" si="43"/>
        <v>3841.9</v>
      </c>
      <c r="V433" s="37">
        <f t="shared" si="46"/>
        <v>84.762399999999161</v>
      </c>
      <c r="W433" s="39">
        <f t="shared" si="47"/>
        <v>2.1586373200812775E-2</v>
      </c>
    </row>
    <row r="434" spans="1:23" x14ac:dyDescent="0.3">
      <c r="A434" s="40" t="s">
        <v>967</v>
      </c>
      <c r="B434" s="41">
        <v>45636</v>
      </c>
      <c r="C434" s="42">
        <v>45645</v>
      </c>
      <c r="D434" s="43">
        <f t="shared" si="48"/>
        <v>9</v>
      </c>
      <c r="E434" s="43" t="str">
        <f>TEXT(Data!B434,"MMM-YYYY")</f>
        <v>Dec-2024</v>
      </c>
      <c r="F434" s="43" t="str">
        <f t="shared" si="44"/>
        <v>Q4-2024</v>
      </c>
      <c r="G434" s="33" t="s">
        <v>16</v>
      </c>
      <c r="H434" s="33" t="s">
        <v>25</v>
      </c>
      <c r="I434" s="33" t="s">
        <v>38</v>
      </c>
      <c r="J434" s="33" t="s">
        <v>19</v>
      </c>
      <c r="K434" s="33" t="s">
        <v>20</v>
      </c>
      <c r="L434" s="33" t="s">
        <v>68</v>
      </c>
      <c r="M434" s="33" t="s">
        <v>64</v>
      </c>
      <c r="N434" s="33" t="s">
        <v>968</v>
      </c>
      <c r="O434" s="43">
        <v>488.68</v>
      </c>
      <c r="P434" s="44" t="str">
        <f t="shared" si="45"/>
        <v>High</v>
      </c>
      <c r="Q434" s="43">
        <v>984.36</v>
      </c>
      <c r="R434" s="43">
        <v>5.8999999999999997E-2</v>
      </c>
      <c r="S434" s="43">
        <v>14</v>
      </c>
      <c r="T434" s="43">
        <f t="shared" si="42"/>
        <v>24647.104860000003</v>
      </c>
      <c r="U434" s="33">
        <f t="shared" si="43"/>
        <v>6841.52</v>
      </c>
      <c r="V434" s="43">
        <f t="shared" si="46"/>
        <v>17805.584860000003</v>
      </c>
      <c r="W434" s="45">
        <f t="shared" si="47"/>
        <v>0.72242094806424251</v>
      </c>
    </row>
    <row r="435" spans="1:23" x14ac:dyDescent="0.3">
      <c r="A435" s="34" t="s">
        <v>969</v>
      </c>
      <c r="B435" s="35">
        <v>45542</v>
      </c>
      <c r="C435" s="36">
        <v>45553</v>
      </c>
      <c r="D435" s="37">
        <f t="shared" si="48"/>
        <v>11</v>
      </c>
      <c r="E435" s="37" t="str">
        <f>TEXT(Data!B435,"MMM-YYYY")</f>
        <v>Sep-2024</v>
      </c>
      <c r="F435" s="37" t="str">
        <f t="shared" si="44"/>
        <v>Q3-2024</v>
      </c>
      <c r="G435" s="32" t="s">
        <v>45</v>
      </c>
      <c r="H435" s="32" t="s">
        <v>116</v>
      </c>
      <c r="I435" s="32" t="s">
        <v>338</v>
      </c>
      <c r="J435" s="32" t="s">
        <v>48</v>
      </c>
      <c r="K435" s="32" t="s">
        <v>55</v>
      </c>
      <c r="L435" s="32" t="s">
        <v>68</v>
      </c>
      <c r="M435" s="32" t="s">
        <v>35</v>
      </c>
      <c r="N435" s="32" t="s">
        <v>970</v>
      </c>
      <c r="O435" s="37">
        <v>181.74</v>
      </c>
      <c r="P435" s="38" t="str">
        <f t="shared" si="45"/>
        <v>Medium</v>
      </c>
      <c r="Q435" s="37">
        <v>190.84</v>
      </c>
      <c r="R435" s="37">
        <v>0.214</v>
      </c>
      <c r="S435" s="37">
        <v>13</v>
      </c>
      <c r="T435" s="37">
        <f t="shared" si="42"/>
        <v>2113.89984</v>
      </c>
      <c r="U435" s="32">
        <f t="shared" si="43"/>
        <v>2362.62</v>
      </c>
      <c r="V435" s="37">
        <f t="shared" si="46"/>
        <v>-248.72015999999985</v>
      </c>
      <c r="W435" s="39">
        <f t="shared" si="47"/>
        <v>-0.11765938730569177</v>
      </c>
    </row>
    <row r="436" spans="1:23" x14ac:dyDescent="0.3">
      <c r="A436" s="40" t="s">
        <v>971</v>
      </c>
      <c r="B436" s="41">
        <v>45217</v>
      </c>
      <c r="C436" s="42">
        <v>45219</v>
      </c>
      <c r="D436" s="43">
        <f t="shared" si="48"/>
        <v>2</v>
      </c>
      <c r="E436" s="43" t="str">
        <f>TEXT(Data!B436,"MMM-YYYY")</f>
        <v>Oct-2023</v>
      </c>
      <c r="F436" s="43" t="str">
        <f t="shared" si="44"/>
        <v>Q4-2023</v>
      </c>
      <c r="G436" s="33" t="s">
        <v>16</v>
      </c>
      <c r="H436" s="33" t="s">
        <v>17</v>
      </c>
      <c r="I436" s="33" t="s">
        <v>18</v>
      </c>
      <c r="J436" s="33" t="s">
        <v>48</v>
      </c>
      <c r="K436" s="33" t="s">
        <v>20</v>
      </c>
      <c r="L436" s="33" t="s">
        <v>29</v>
      </c>
      <c r="M436" s="33" t="s">
        <v>42</v>
      </c>
      <c r="N436" s="33" t="s">
        <v>972</v>
      </c>
      <c r="O436" s="43">
        <v>774.12</v>
      </c>
      <c r="P436" s="44" t="str">
        <f t="shared" si="45"/>
        <v>High</v>
      </c>
      <c r="Q436" s="43">
        <v>908.3</v>
      </c>
      <c r="R436" s="43">
        <v>0</v>
      </c>
      <c r="S436" s="43">
        <v>30</v>
      </c>
      <c r="T436" s="43">
        <f t="shared" si="42"/>
        <v>1884.6</v>
      </c>
      <c r="U436" s="33">
        <f t="shared" si="43"/>
        <v>23223.599999999999</v>
      </c>
      <c r="V436" s="43">
        <f t="shared" si="46"/>
        <v>-21339</v>
      </c>
      <c r="W436" s="45">
        <f t="shared" si="47"/>
        <v>-11.322827125119389</v>
      </c>
    </row>
    <row r="437" spans="1:23" x14ac:dyDescent="0.3">
      <c r="A437" s="34" t="s">
        <v>973</v>
      </c>
      <c r="B437" s="35">
        <v>45650</v>
      </c>
      <c r="C437" s="36">
        <v>45670</v>
      </c>
      <c r="D437" s="37">
        <f t="shared" si="48"/>
        <v>20</v>
      </c>
      <c r="E437" s="37" t="str">
        <f>TEXT(Data!B437,"MMM-YYYY")</f>
        <v>Dec-2024</v>
      </c>
      <c r="F437" s="37" t="str">
        <f t="shared" si="44"/>
        <v>Q4-2024</v>
      </c>
      <c r="G437" s="32" t="s">
        <v>45</v>
      </c>
      <c r="H437" s="32" t="s">
        <v>60</v>
      </c>
      <c r="I437" s="32" t="s">
        <v>61</v>
      </c>
      <c r="J437" s="32" t="s">
        <v>19</v>
      </c>
      <c r="K437" s="32" t="s">
        <v>40</v>
      </c>
      <c r="L437" s="32" t="s">
        <v>145</v>
      </c>
      <c r="M437" s="32" t="s">
        <v>35</v>
      </c>
      <c r="N437" s="32" t="s">
        <v>974</v>
      </c>
      <c r="O437" s="37">
        <v>126.15</v>
      </c>
      <c r="P437" s="38" t="str">
        <f t="shared" si="45"/>
        <v>High</v>
      </c>
      <c r="Q437" s="37">
        <v>284.23</v>
      </c>
      <c r="R437" s="37">
        <v>0.113</v>
      </c>
      <c r="S437" s="37">
        <v>22</v>
      </c>
      <c r="T437" s="37">
        <f t="shared" si="42"/>
        <v>18664.94586</v>
      </c>
      <c r="U437" s="32">
        <f t="shared" si="43"/>
        <v>2775.3</v>
      </c>
      <c r="V437" s="37">
        <f t="shared" si="46"/>
        <v>15889.645860000001</v>
      </c>
      <c r="W437" s="39">
        <f t="shared" si="47"/>
        <v>0.85130950709331443</v>
      </c>
    </row>
    <row r="438" spans="1:23" x14ac:dyDescent="0.3">
      <c r="A438" s="40" t="s">
        <v>975</v>
      </c>
      <c r="B438" s="41">
        <v>45037</v>
      </c>
      <c r="C438" s="42">
        <v>45035</v>
      </c>
      <c r="D438" s="43">
        <f>DATEDIF(C438,B438, "MD")</f>
        <v>2</v>
      </c>
      <c r="E438" s="43" t="str">
        <f>TEXT(Data!B438,"MMM-YYYY")</f>
        <v>Apr-2023</v>
      </c>
      <c r="F438" s="43" t="str">
        <f t="shared" si="44"/>
        <v>Q2-2023</v>
      </c>
      <c r="G438" s="33" t="s">
        <v>45</v>
      </c>
      <c r="H438" s="33" t="s">
        <v>46</v>
      </c>
      <c r="I438" s="33" t="s">
        <v>231</v>
      </c>
      <c r="J438" s="33" t="s">
        <v>62</v>
      </c>
      <c r="K438" s="33" t="s">
        <v>98</v>
      </c>
      <c r="L438" s="33" t="s">
        <v>110</v>
      </c>
      <c r="M438" s="33" t="s">
        <v>22</v>
      </c>
      <c r="N438" s="33" t="s">
        <v>976</v>
      </c>
      <c r="O438" s="43">
        <v>607.04</v>
      </c>
      <c r="P438" s="44" t="str">
        <f t="shared" si="45"/>
        <v>High</v>
      </c>
      <c r="Q438" s="43">
        <v>1229.3399999999999</v>
      </c>
      <c r="R438" s="43">
        <v>0.14699999999999999</v>
      </c>
      <c r="S438" s="43">
        <v>7</v>
      </c>
      <c r="T438" s="43">
        <f t="shared" si="42"/>
        <v>989.39469999999983</v>
      </c>
      <c r="U438" s="33">
        <f t="shared" si="43"/>
        <v>4249.28</v>
      </c>
      <c r="V438" s="43">
        <f t="shared" si="46"/>
        <v>-3259.8852999999999</v>
      </c>
      <c r="W438" s="45">
        <f t="shared" si="47"/>
        <v>-3.2948279387387061</v>
      </c>
    </row>
    <row r="439" spans="1:23" x14ac:dyDescent="0.3">
      <c r="A439" s="34" t="s">
        <v>977</v>
      </c>
      <c r="B439" s="35">
        <v>45290</v>
      </c>
      <c r="C439" s="36">
        <v>45299</v>
      </c>
      <c r="D439" s="37">
        <f t="shared" si="48"/>
        <v>9</v>
      </c>
      <c r="E439" s="37" t="str">
        <f>TEXT(Data!B439,"MMM-YYYY")</f>
        <v>Dec-2023</v>
      </c>
      <c r="F439" s="37" t="str">
        <f t="shared" si="44"/>
        <v>Q4-2023</v>
      </c>
      <c r="G439" s="32" t="s">
        <v>78</v>
      </c>
      <c r="H439" s="32" t="s">
        <v>90</v>
      </c>
      <c r="I439" s="32" t="s">
        <v>91</v>
      </c>
      <c r="J439" s="32" t="s">
        <v>48</v>
      </c>
      <c r="K439" s="32" t="s">
        <v>40</v>
      </c>
      <c r="L439" s="32" t="s">
        <v>49</v>
      </c>
      <c r="M439" s="32" t="s">
        <v>81</v>
      </c>
      <c r="N439" s="32" t="s">
        <v>978</v>
      </c>
      <c r="O439" s="37">
        <v>861.1</v>
      </c>
      <c r="P439" s="38" t="str">
        <f t="shared" si="45"/>
        <v>High</v>
      </c>
      <c r="Q439" s="37">
        <v>1224.72</v>
      </c>
      <c r="R439" s="37">
        <v>0.17399999999999999</v>
      </c>
      <c r="S439" s="37">
        <v>24</v>
      </c>
      <c r="T439" s="37">
        <f t="shared" si="42"/>
        <v>12060.128640000001</v>
      </c>
      <c r="U439" s="32">
        <f t="shared" si="43"/>
        <v>20666.400000000001</v>
      </c>
      <c r="V439" s="37">
        <f t="shared" si="46"/>
        <v>-8606.2713600000006</v>
      </c>
      <c r="W439" s="39">
        <f t="shared" si="47"/>
        <v>-0.71361356225135586</v>
      </c>
    </row>
    <row r="440" spans="1:23" x14ac:dyDescent="0.3">
      <c r="A440" s="40" t="s">
        <v>979</v>
      </c>
      <c r="B440" s="41">
        <v>44978</v>
      </c>
      <c r="C440" s="42">
        <v>44997</v>
      </c>
      <c r="D440" s="43">
        <f t="shared" si="48"/>
        <v>19</v>
      </c>
      <c r="E440" s="43" t="str">
        <f>TEXT(Data!B440,"MMM-YYYY")</f>
        <v>Feb-2023</v>
      </c>
      <c r="F440" s="43" t="str">
        <f t="shared" si="44"/>
        <v>Q1-2023</v>
      </c>
      <c r="G440" s="33" t="s">
        <v>16</v>
      </c>
      <c r="H440" s="33" t="s">
        <v>17</v>
      </c>
      <c r="I440" s="33" t="s">
        <v>135</v>
      </c>
      <c r="J440" s="33" t="s">
        <v>19</v>
      </c>
      <c r="K440" s="33" t="s">
        <v>28</v>
      </c>
      <c r="L440" s="33" t="s">
        <v>84</v>
      </c>
      <c r="M440" s="33" t="s">
        <v>35</v>
      </c>
      <c r="N440" s="33" t="s">
        <v>980</v>
      </c>
      <c r="O440" s="43">
        <v>352.65</v>
      </c>
      <c r="P440" s="44" t="str">
        <f t="shared" si="45"/>
        <v>High</v>
      </c>
      <c r="Q440" s="43">
        <v>485.86</v>
      </c>
      <c r="R440" s="43">
        <v>4.1000000000000002E-2</v>
      </c>
      <c r="S440" s="43">
        <v>6</v>
      </c>
      <c r="T440" s="43">
        <f t="shared" si="42"/>
        <v>15339.646139999999</v>
      </c>
      <c r="U440" s="33">
        <f t="shared" si="43"/>
        <v>2115.8999999999996</v>
      </c>
      <c r="V440" s="43">
        <f t="shared" si="46"/>
        <v>13223.746139999999</v>
      </c>
      <c r="W440" s="45">
        <f t="shared" si="47"/>
        <v>0.86206331093371624</v>
      </c>
    </row>
    <row r="441" spans="1:23" x14ac:dyDescent="0.3">
      <c r="A441" s="34" t="s">
        <v>981</v>
      </c>
      <c r="B441" s="35">
        <v>45063</v>
      </c>
      <c r="C441" s="36">
        <v>45080</v>
      </c>
      <c r="D441" s="37">
        <f t="shared" si="48"/>
        <v>17</v>
      </c>
      <c r="E441" s="37" t="str">
        <f>TEXT(Data!B441,"MMM-YYYY")</f>
        <v>May-2023</v>
      </c>
      <c r="F441" s="37" t="str">
        <f t="shared" si="44"/>
        <v>Q2-2023</v>
      </c>
      <c r="G441" s="32" t="s">
        <v>45</v>
      </c>
      <c r="H441" s="32" t="s">
        <v>116</v>
      </c>
      <c r="I441" s="32" t="s">
        <v>338</v>
      </c>
      <c r="J441" s="32" t="s">
        <v>39</v>
      </c>
      <c r="K441" s="32" t="s">
        <v>55</v>
      </c>
      <c r="L441" s="32" t="s">
        <v>110</v>
      </c>
      <c r="M441" s="32" t="s">
        <v>30</v>
      </c>
      <c r="N441" s="32" t="s">
        <v>982</v>
      </c>
      <c r="O441" s="37">
        <v>979.59</v>
      </c>
      <c r="P441" s="38" t="str">
        <f t="shared" si="45"/>
        <v>High</v>
      </c>
      <c r="Q441" s="37">
        <v>2210.94</v>
      </c>
      <c r="R441" s="37">
        <v>0.15</v>
      </c>
      <c r="S441" s="37">
        <v>11</v>
      </c>
      <c r="T441" s="37">
        <f t="shared" si="42"/>
        <v>5497.3325000000004</v>
      </c>
      <c r="U441" s="32">
        <f t="shared" si="43"/>
        <v>10775.49</v>
      </c>
      <c r="V441" s="37">
        <f t="shared" si="46"/>
        <v>-5278.1574999999993</v>
      </c>
      <c r="W441" s="39">
        <f t="shared" si="47"/>
        <v>-0.96013066337173514</v>
      </c>
    </row>
    <row r="442" spans="1:23" x14ac:dyDescent="0.3">
      <c r="A442" s="40" t="s">
        <v>983</v>
      </c>
      <c r="B442" s="41">
        <v>45374</v>
      </c>
      <c r="C442" s="42">
        <v>45377</v>
      </c>
      <c r="D442" s="43">
        <f t="shared" si="48"/>
        <v>3</v>
      </c>
      <c r="E442" s="43" t="str">
        <f>TEXT(Data!B442,"MMM-YYYY")</f>
        <v>Mar-2024</v>
      </c>
      <c r="F442" s="43" t="str">
        <f t="shared" si="44"/>
        <v>Q1-2024</v>
      </c>
      <c r="G442" s="33" t="s">
        <v>45</v>
      </c>
      <c r="H442" s="33" t="s">
        <v>60</v>
      </c>
      <c r="I442" s="33" t="s">
        <v>61</v>
      </c>
      <c r="J442" s="33" t="s">
        <v>27</v>
      </c>
      <c r="K442" s="33" t="s">
        <v>98</v>
      </c>
      <c r="L442" s="33" t="s">
        <v>41</v>
      </c>
      <c r="M442" s="33" t="s">
        <v>42</v>
      </c>
      <c r="N442" s="33" t="s">
        <v>984</v>
      </c>
      <c r="O442" s="43">
        <v>382.21</v>
      </c>
      <c r="P442" s="44" t="str">
        <f t="shared" si="45"/>
        <v>High</v>
      </c>
      <c r="Q442" s="43">
        <v>571.89</v>
      </c>
      <c r="R442" s="43">
        <v>0.14799999999999999</v>
      </c>
      <c r="S442" s="43">
        <v>26</v>
      </c>
      <c r="T442" s="43">
        <f t="shared" si="42"/>
        <v>48582.215760000006</v>
      </c>
      <c r="U442" s="33">
        <f t="shared" si="43"/>
        <v>9937.4599999999991</v>
      </c>
      <c r="V442" s="43">
        <f t="shared" si="46"/>
        <v>38644.755760000007</v>
      </c>
      <c r="W442" s="45">
        <f t="shared" si="47"/>
        <v>0.79545066348781124</v>
      </c>
    </row>
    <row r="443" spans="1:23" x14ac:dyDescent="0.3">
      <c r="A443" s="34" t="s">
        <v>985</v>
      </c>
      <c r="B443" s="35">
        <v>45189</v>
      </c>
      <c r="C443" s="36">
        <v>45197</v>
      </c>
      <c r="D443" s="37">
        <f t="shared" si="48"/>
        <v>8</v>
      </c>
      <c r="E443" s="37" t="str">
        <f>TEXT(Data!B443,"MMM-YYYY")</f>
        <v>Sep-2023</v>
      </c>
      <c r="F443" s="37" t="str">
        <f t="shared" si="44"/>
        <v>Q3-2023</v>
      </c>
      <c r="G443" s="32" t="s">
        <v>45</v>
      </c>
      <c r="H443" s="32" t="s">
        <v>60</v>
      </c>
      <c r="I443" s="32" t="s">
        <v>1364</v>
      </c>
      <c r="J443" s="32" t="s">
        <v>19</v>
      </c>
      <c r="K443" s="32" t="s">
        <v>1364</v>
      </c>
      <c r="L443" s="32" t="s">
        <v>56</v>
      </c>
      <c r="M443" s="32" t="s">
        <v>81</v>
      </c>
      <c r="N443" s="32" t="s">
        <v>986</v>
      </c>
      <c r="O443" s="37">
        <v>1362.06</v>
      </c>
      <c r="P443" s="38" t="str">
        <f t="shared" si="45"/>
        <v>High</v>
      </c>
      <c r="Q443" s="37">
        <v>3398.37</v>
      </c>
      <c r="R443" s="37">
        <v>0.157</v>
      </c>
      <c r="S443" s="37">
        <v>11</v>
      </c>
      <c r="T443" s="37">
        <f t="shared" si="42"/>
        <v>20287.469400000002</v>
      </c>
      <c r="U443" s="32">
        <f t="shared" si="43"/>
        <v>14982.66</v>
      </c>
      <c r="V443" s="37">
        <f t="shared" si="46"/>
        <v>5304.8094000000019</v>
      </c>
      <c r="W443" s="39">
        <f t="shared" si="47"/>
        <v>0.26148206537775487</v>
      </c>
    </row>
    <row r="444" spans="1:23" x14ac:dyDescent="0.3">
      <c r="A444" s="40" t="s">
        <v>987</v>
      </c>
      <c r="B444" s="41">
        <v>45526</v>
      </c>
      <c r="C444" s="42">
        <v>45539</v>
      </c>
      <c r="D444" s="43">
        <f t="shared" si="48"/>
        <v>13</v>
      </c>
      <c r="E444" s="43" t="str">
        <f>TEXT(Data!B444,"MMM-YYYY")</f>
        <v>Aug-2024</v>
      </c>
      <c r="F444" s="43" t="str">
        <f t="shared" si="44"/>
        <v>Q3-2024</v>
      </c>
      <c r="G444" s="33" t="s">
        <v>78</v>
      </c>
      <c r="H444" s="33" t="s">
        <v>79</v>
      </c>
      <c r="I444" s="33" t="s">
        <v>335</v>
      </c>
      <c r="J444" s="33" t="s">
        <v>39</v>
      </c>
      <c r="K444" s="33" t="s">
        <v>20</v>
      </c>
      <c r="L444" s="33" t="s">
        <v>49</v>
      </c>
      <c r="M444" s="33" t="s">
        <v>30</v>
      </c>
      <c r="N444" s="33" t="s">
        <v>988</v>
      </c>
      <c r="O444" s="43">
        <v>90.04</v>
      </c>
      <c r="P444" s="44" t="str">
        <f t="shared" si="45"/>
        <v>Medium</v>
      </c>
      <c r="Q444" s="43">
        <v>194.62</v>
      </c>
      <c r="R444" s="43">
        <v>4.2999999999999997E-2</v>
      </c>
      <c r="S444" s="43">
        <v>32</v>
      </c>
      <c r="T444" s="43">
        <f t="shared" si="42"/>
        <v>30688.61664</v>
      </c>
      <c r="U444" s="33">
        <f t="shared" si="43"/>
        <v>2881.28</v>
      </c>
      <c r="V444" s="43">
        <f t="shared" si="46"/>
        <v>27807.336640000001</v>
      </c>
      <c r="W444" s="45">
        <f t="shared" si="47"/>
        <v>0.90611241836673417</v>
      </c>
    </row>
    <row r="445" spans="1:23" x14ac:dyDescent="0.3">
      <c r="A445" s="34" t="s">
        <v>989</v>
      </c>
      <c r="B445" s="35">
        <v>45560</v>
      </c>
      <c r="C445" s="36">
        <v>45568</v>
      </c>
      <c r="D445" s="37">
        <f t="shared" si="48"/>
        <v>8</v>
      </c>
      <c r="E445" s="37" t="str">
        <f>TEXT(Data!B445,"MMM-YYYY")</f>
        <v>Sep-2024</v>
      </c>
      <c r="F445" s="37" t="str">
        <f t="shared" si="44"/>
        <v>Q3-2024</v>
      </c>
      <c r="G445" s="32" t="s">
        <v>52</v>
      </c>
      <c r="H445" s="32" t="s">
        <v>53</v>
      </c>
      <c r="I445" s="32" t="s">
        <v>54</v>
      </c>
      <c r="J445" s="32" t="s">
        <v>48</v>
      </c>
      <c r="K445" s="32" t="s">
        <v>28</v>
      </c>
      <c r="L445" s="32" t="s">
        <v>63</v>
      </c>
      <c r="M445" s="32" t="s">
        <v>30</v>
      </c>
      <c r="N445" s="32" t="s">
        <v>990</v>
      </c>
      <c r="O445" s="37">
        <v>558.19000000000005</v>
      </c>
      <c r="P445" s="38" t="str">
        <f t="shared" si="45"/>
        <v>High</v>
      </c>
      <c r="Q445" s="37">
        <v>1031.6400000000001</v>
      </c>
      <c r="R445" s="37">
        <v>0</v>
      </c>
      <c r="S445" s="37">
        <v>21</v>
      </c>
      <c r="T445" s="37">
        <f t="shared" si="42"/>
        <v>19189.38</v>
      </c>
      <c r="U445" s="32">
        <f t="shared" si="43"/>
        <v>11721.990000000002</v>
      </c>
      <c r="V445" s="37">
        <f t="shared" si="46"/>
        <v>7467.3899999999994</v>
      </c>
      <c r="W445" s="39">
        <f t="shared" si="47"/>
        <v>0.3891418065617544</v>
      </c>
    </row>
    <row r="446" spans="1:23" x14ac:dyDescent="0.3">
      <c r="A446" s="40" t="s">
        <v>991</v>
      </c>
      <c r="B446" s="41">
        <v>45090</v>
      </c>
      <c r="C446" s="42">
        <v>45101</v>
      </c>
      <c r="D446" s="43">
        <f t="shared" si="48"/>
        <v>11</v>
      </c>
      <c r="E446" s="43" t="str">
        <f>TEXT(Data!B446,"MMM-YYYY")</f>
        <v>Jun-2023</v>
      </c>
      <c r="F446" s="43" t="str">
        <f t="shared" si="44"/>
        <v>Q2-2023</v>
      </c>
      <c r="G446" s="33" t="s">
        <v>52</v>
      </c>
      <c r="H446" s="33" t="s">
        <v>53</v>
      </c>
      <c r="I446" s="33" t="s">
        <v>54</v>
      </c>
      <c r="J446" s="33" t="s">
        <v>19</v>
      </c>
      <c r="K446" s="33" t="s">
        <v>28</v>
      </c>
      <c r="L446" s="33" t="s">
        <v>21</v>
      </c>
      <c r="M446" s="33" t="s">
        <v>30</v>
      </c>
      <c r="N446" s="33" t="s">
        <v>992</v>
      </c>
      <c r="O446" s="43">
        <v>247.07</v>
      </c>
      <c r="P446" s="44" t="str">
        <f t="shared" si="45"/>
        <v>High</v>
      </c>
      <c r="Q446" s="43">
        <v>495.19</v>
      </c>
      <c r="R446" s="43">
        <v>2.8000000000000001E-2</v>
      </c>
      <c r="S446" s="43">
        <v>4</v>
      </c>
      <c r="T446" s="43">
        <f t="shared" si="42"/>
        <v>7167.5668799999994</v>
      </c>
      <c r="U446" s="33">
        <f t="shared" si="43"/>
        <v>988.28</v>
      </c>
      <c r="V446" s="43">
        <f t="shared" si="46"/>
        <v>6179.2868799999997</v>
      </c>
      <c r="W446" s="45">
        <f t="shared" si="47"/>
        <v>0.86211778466167588</v>
      </c>
    </row>
    <row r="447" spans="1:23" x14ac:dyDescent="0.3">
      <c r="A447" s="34" t="s">
        <v>993</v>
      </c>
      <c r="B447" s="35">
        <v>45284</v>
      </c>
      <c r="C447" s="36">
        <v>45304</v>
      </c>
      <c r="D447" s="37">
        <f t="shared" si="48"/>
        <v>20</v>
      </c>
      <c r="E447" s="37" t="str">
        <f>TEXT(Data!B447,"MMM-YYYY")</f>
        <v>Dec-2023</v>
      </c>
      <c r="F447" s="37" t="str">
        <f t="shared" si="44"/>
        <v>Q4-2023</v>
      </c>
      <c r="G447" s="32" t="s">
        <v>45</v>
      </c>
      <c r="H447" s="32" t="s">
        <v>46</v>
      </c>
      <c r="I447" s="32" t="s">
        <v>231</v>
      </c>
      <c r="J447" s="32" t="s">
        <v>27</v>
      </c>
      <c r="K447" s="32" t="s">
        <v>98</v>
      </c>
      <c r="L447" s="32" t="s">
        <v>56</v>
      </c>
      <c r="M447" s="32" t="s">
        <v>57</v>
      </c>
      <c r="N447" s="32" t="s">
        <v>994</v>
      </c>
      <c r="O447" s="37">
        <v>625.37</v>
      </c>
      <c r="P447" s="38" t="str">
        <f t="shared" si="45"/>
        <v>High</v>
      </c>
      <c r="Q447" s="37">
        <v>1319.04</v>
      </c>
      <c r="R447" s="37">
        <v>7.3999999999999996E-2</v>
      </c>
      <c r="S447" s="37">
        <v>8</v>
      </c>
      <c r="T447" s="37">
        <f t="shared" si="42"/>
        <v>10249.7088</v>
      </c>
      <c r="U447" s="32">
        <f t="shared" si="43"/>
        <v>5002.96</v>
      </c>
      <c r="V447" s="37">
        <f t="shared" si="46"/>
        <v>5246.7488000000003</v>
      </c>
      <c r="W447" s="39">
        <f t="shared" si="47"/>
        <v>0.51189247444766428</v>
      </c>
    </row>
    <row r="448" spans="1:23" x14ac:dyDescent="0.3">
      <c r="A448" s="40" t="s">
        <v>995</v>
      </c>
      <c r="B448" s="41">
        <v>45746</v>
      </c>
      <c r="C448" s="42">
        <v>45776</v>
      </c>
      <c r="D448" s="43">
        <f t="shared" si="48"/>
        <v>30</v>
      </c>
      <c r="E448" s="43" t="str">
        <f>TEXT(Data!B448,"MMM-YYYY")</f>
        <v>Mar-2025</v>
      </c>
      <c r="F448" s="43" t="str">
        <f t="shared" si="44"/>
        <v>Q1-2025</v>
      </c>
      <c r="G448" s="33" t="s">
        <v>16</v>
      </c>
      <c r="H448" s="33" t="s">
        <v>148</v>
      </c>
      <c r="I448" s="33" t="s">
        <v>172</v>
      </c>
      <c r="J448" s="33" t="s">
        <v>48</v>
      </c>
      <c r="K448" s="33" t="s">
        <v>40</v>
      </c>
      <c r="L448" s="33" t="s">
        <v>29</v>
      </c>
      <c r="M448" s="33" t="s">
        <v>64</v>
      </c>
      <c r="N448" s="33" t="s">
        <v>996</v>
      </c>
      <c r="O448" s="43">
        <v>194.6</v>
      </c>
      <c r="P448" s="44" t="str">
        <f t="shared" si="45"/>
        <v>High</v>
      </c>
      <c r="Q448" s="43">
        <v>314.87</v>
      </c>
      <c r="R448" s="43">
        <v>0.29299999999999998</v>
      </c>
      <c r="S448" s="43">
        <v>25</v>
      </c>
      <c r="T448" s="43">
        <f t="shared" si="42"/>
        <v>28077.267750000003</v>
      </c>
      <c r="U448" s="33">
        <f t="shared" si="43"/>
        <v>4865</v>
      </c>
      <c r="V448" s="43">
        <f t="shared" si="46"/>
        <v>23212.267750000003</v>
      </c>
      <c r="W448" s="45">
        <f t="shared" si="47"/>
        <v>0.82672815448718295</v>
      </c>
    </row>
    <row r="449" spans="1:23" x14ac:dyDescent="0.3">
      <c r="A449" s="34" t="s">
        <v>997</v>
      </c>
      <c r="B449" s="35">
        <v>45446</v>
      </c>
      <c r="C449" s="36">
        <v>45467</v>
      </c>
      <c r="D449" s="37">
        <f t="shared" si="48"/>
        <v>21</v>
      </c>
      <c r="E449" s="37" t="str">
        <f>TEXT(Data!B449,"MMM-YYYY")</f>
        <v>Jun-2024</v>
      </c>
      <c r="F449" s="37" t="str">
        <f t="shared" si="44"/>
        <v>Q2-2024</v>
      </c>
      <c r="G449" s="32" t="s">
        <v>52</v>
      </c>
      <c r="H449" s="32" t="s">
        <v>53</v>
      </c>
      <c r="I449" s="32" t="s">
        <v>54</v>
      </c>
      <c r="J449" s="32" t="s">
        <v>62</v>
      </c>
      <c r="K449" s="32" t="s">
        <v>98</v>
      </c>
      <c r="L449" s="32" t="s">
        <v>41</v>
      </c>
      <c r="M449" s="32" t="s">
        <v>64</v>
      </c>
      <c r="N449" s="32" t="s">
        <v>998</v>
      </c>
      <c r="O449" s="37">
        <v>1205.5</v>
      </c>
      <c r="P449" s="38" t="str">
        <f t="shared" si="45"/>
        <v>High</v>
      </c>
      <c r="Q449" s="37">
        <v>2210.17</v>
      </c>
      <c r="R449" s="37">
        <v>0.104</v>
      </c>
      <c r="S449" s="37">
        <v>23</v>
      </c>
      <c r="T449" s="37">
        <f t="shared" ref="T449:T512" si="49">(Q475*S449)*(1-R449)</f>
        <v>27698.182399999998</v>
      </c>
      <c r="U449" s="32">
        <f t="shared" ref="U449:U512" si="50">(O449*S449)</f>
        <v>27726.5</v>
      </c>
      <c r="V449" s="37">
        <f t="shared" si="46"/>
        <v>-28.31760000000213</v>
      </c>
      <c r="W449" s="39">
        <f t="shared" si="47"/>
        <v>-1.0223631136172362E-3</v>
      </c>
    </row>
    <row r="450" spans="1:23" x14ac:dyDescent="0.3">
      <c r="A450" s="40" t="s">
        <v>999</v>
      </c>
      <c r="B450" s="41">
        <v>45454</v>
      </c>
      <c r="C450" s="42">
        <v>45482</v>
      </c>
      <c r="D450" s="43">
        <f t="shared" si="48"/>
        <v>28</v>
      </c>
      <c r="E450" s="43" t="str">
        <f>TEXT(Data!B450,"MMM-YYYY")</f>
        <v>Jun-2024</v>
      </c>
      <c r="F450" s="43" t="str">
        <f t="shared" ref="F450:F513" si="51">"Q"&amp;ROUNDUP(MONTH(B450)/3,0)&amp;"-"&amp;YEAR(B450)</f>
        <v>Q2-2024</v>
      </c>
      <c r="G450" s="33" t="s">
        <v>16</v>
      </c>
      <c r="H450" s="33" t="s">
        <v>25</v>
      </c>
      <c r="I450" s="33" t="s">
        <v>26</v>
      </c>
      <c r="J450" s="33" t="s">
        <v>19</v>
      </c>
      <c r="K450" s="33" t="s">
        <v>40</v>
      </c>
      <c r="L450" s="33" t="s">
        <v>34</v>
      </c>
      <c r="M450" s="33" t="s">
        <v>42</v>
      </c>
      <c r="N450" s="33" t="s">
        <v>1000</v>
      </c>
      <c r="O450" s="43">
        <v>895.54</v>
      </c>
      <c r="P450" s="44" t="str">
        <f t="shared" ref="P450:P513" si="52">IF(Q450&lt;50, "Low", IF(Q450&lt;200, "Medium", "High"))</f>
        <v>High</v>
      </c>
      <c r="Q450" s="43">
        <v>1045</v>
      </c>
      <c r="R450" s="43">
        <v>0.216</v>
      </c>
      <c r="S450" s="43">
        <v>15</v>
      </c>
      <c r="T450" s="43">
        <f t="shared" si="49"/>
        <v>15173.8104</v>
      </c>
      <c r="U450" s="33">
        <f t="shared" si="50"/>
        <v>13433.099999999999</v>
      </c>
      <c r="V450" s="43">
        <f t="shared" ref="V450:V513" si="53">(T450-U450)</f>
        <v>1740.7104000000018</v>
      </c>
      <c r="W450" s="45">
        <f t="shared" ref="W450:W513" si="54">IF(T450=0, 0, V450/T450)</f>
        <v>0.11471808030499721</v>
      </c>
    </row>
    <row r="451" spans="1:23" x14ac:dyDescent="0.3">
      <c r="A451" s="34" t="s">
        <v>1001</v>
      </c>
      <c r="B451" s="35">
        <v>45129</v>
      </c>
      <c r="C451" s="36">
        <v>45128</v>
      </c>
      <c r="D451" s="37">
        <f>DATEDIF(C451,B451, "MD")</f>
        <v>1</v>
      </c>
      <c r="E451" s="37" t="str">
        <f>TEXT(Data!B451,"MMM-YYYY")</f>
        <v>Jul-2023</v>
      </c>
      <c r="F451" s="37" t="str">
        <f t="shared" si="51"/>
        <v>Q3-2023</v>
      </c>
      <c r="G451" s="32" t="s">
        <v>45</v>
      </c>
      <c r="H451" s="32" t="s">
        <v>60</v>
      </c>
      <c r="I451" s="32" t="s">
        <v>141</v>
      </c>
      <c r="J451" s="32" t="s">
        <v>62</v>
      </c>
      <c r="K451" s="32" t="s">
        <v>55</v>
      </c>
      <c r="L451" s="32" t="s">
        <v>63</v>
      </c>
      <c r="M451" s="32" t="s">
        <v>30</v>
      </c>
      <c r="N451" s="32" t="s">
        <v>1002</v>
      </c>
      <c r="O451" s="37">
        <v>946.99</v>
      </c>
      <c r="P451" s="38" t="str">
        <f t="shared" si="52"/>
        <v>High</v>
      </c>
      <c r="Q451" s="37">
        <v>2132.19</v>
      </c>
      <c r="R451" s="37">
        <v>0.16500000000000001</v>
      </c>
      <c r="S451" s="37">
        <v>7</v>
      </c>
      <c r="T451" s="37">
        <f t="shared" si="49"/>
        <v>1295.1351000000002</v>
      </c>
      <c r="U451" s="32">
        <f t="shared" si="50"/>
        <v>6628.93</v>
      </c>
      <c r="V451" s="37">
        <f t="shared" si="53"/>
        <v>-5333.7948999999999</v>
      </c>
      <c r="W451" s="39">
        <f t="shared" si="54"/>
        <v>-4.1183308984522151</v>
      </c>
    </row>
    <row r="452" spans="1:23" x14ac:dyDescent="0.3">
      <c r="A452" s="40" t="s">
        <v>1003</v>
      </c>
      <c r="B452" s="41">
        <v>44945</v>
      </c>
      <c r="C452" s="42">
        <v>44960</v>
      </c>
      <c r="D452" s="43">
        <f t="shared" ref="D452:D515" si="55">DATEDIF(B452,C452, "MD")</f>
        <v>15</v>
      </c>
      <c r="E452" s="43" t="str">
        <f>TEXT(Data!B452,"MMM-YYYY")</f>
        <v>Jan-2023</v>
      </c>
      <c r="F452" s="43" t="str">
        <f t="shared" si="51"/>
        <v>Q1-2023</v>
      </c>
      <c r="G452" s="33" t="s">
        <v>78</v>
      </c>
      <c r="H452" s="33" t="s">
        <v>108</v>
      </c>
      <c r="I452" s="33" t="s">
        <v>152</v>
      </c>
      <c r="J452" s="33" t="s">
        <v>105</v>
      </c>
      <c r="K452" s="33" t="s">
        <v>55</v>
      </c>
      <c r="L452" s="33" t="s">
        <v>41</v>
      </c>
      <c r="M452" s="33" t="s">
        <v>81</v>
      </c>
      <c r="N452" s="33" t="s">
        <v>1004</v>
      </c>
      <c r="O452" s="43">
        <v>873.06</v>
      </c>
      <c r="P452" s="44" t="str">
        <f t="shared" si="52"/>
        <v>High</v>
      </c>
      <c r="Q452" s="43">
        <v>2101.5500000000002</v>
      </c>
      <c r="R452" s="43">
        <v>6.6000000000000003E-2</v>
      </c>
      <c r="S452" s="43">
        <v>10</v>
      </c>
      <c r="T452" s="43">
        <f t="shared" si="49"/>
        <v>3365.5755999999997</v>
      </c>
      <c r="U452" s="33">
        <f t="shared" si="50"/>
        <v>8730.5999999999985</v>
      </c>
      <c r="V452" s="43">
        <f t="shared" si="53"/>
        <v>-5365.0243999999984</v>
      </c>
      <c r="W452" s="45">
        <f t="shared" si="54"/>
        <v>-1.5940882148064062</v>
      </c>
    </row>
    <row r="453" spans="1:23" x14ac:dyDescent="0.3">
      <c r="A453" s="34" t="s">
        <v>1005</v>
      </c>
      <c r="B453" s="35">
        <v>45413</v>
      </c>
      <c r="C453" s="36">
        <v>45428</v>
      </c>
      <c r="D453" s="37">
        <f t="shared" si="55"/>
        <v>15</v>
      </c>
      <c r="E453" s="37" t="str">
        <f>TEXT(Data!B453,"MMM-YYYY")</f>
        <v>May-2024</v>
      </c>
      <c r="F453" s="37" t="str">
        <f t="shared" si="51"/>
        <v>Q2-2024</v>
      </c>
      <c r="G453" s="32" t="s">
        <v>45</v>
      </c>
      <c r="H453" s="32" t="s">
        <v>60</v>
      </c>
      <c r="I453" s="32" t="s">
        <v>61</v>
      </c>
      <c r="J453" s="32" t="s">
        <v>62</v>
      </c>
      <c r="K453" s="32" t="s">
        <v>20</v>
      </c>
      <c r="L453" s="32" t="s">
        <v>49</v>
      </c>
      <c r="M453" s="32" t="s">
        <v>22</v>
      </c>
      <c r="N453" s="32" t="s">
        <v>1006</v>
      </c>
      <c r="O453" s="37">
        <v>901.19</v>
      </c>
      <c r="P453" s="38" t="str">
        <f t="shared" si="52"/>
        <v>High</v>
      </c>
      <c r="Q453" s="37">
        <v>2125.44</v>
      </c>
      <c r="R453" s="37">
        <v>7.0999999999999994E-2</v>
      </c>
      <c r="S453" s="37">
        <v>12</v>
      </c>
      <c r="T453" s="37">
        <f t="shared" si="49"/>
        <v>28380.689880000002</v>
      </c>
      <c r="U453" s="32">
        <f t="shared" si="50"/>
        <v>10814.28</v>
      </c>
      <c r="V453" s="37">
        <f t="shared" si="53"/>
        <v>17566.409879999999</v>
      </c>
      <c r="W453" s="39">
        <f t="shared" si="54"/>
        <v>0.61895640853956568</v>
      </c>
    </row>
    <row r="454" spans="1:23" x14ac:dyDescent="0.3">
      <c r="A454" s="40" t="s">
        <v>1007</v>
      </c>
      <c r="B454" s="41">
        <v>45817</v>
      </c>
      <c r="C454" s="42">
        <v>45832</v>
      </c>
      <c r="D454" s="43">
        <f t="shared" si="55"/>
        <v>15</v>
      </c>
      <c r="E454" s="43" t="str">
        <f>TEXT(Data!B454,"MMM-YYYY")</f>
        <v>Jun-2025</v>
      </c>
      <c r="F454" s="43" t="str">
        <f t="shared" si="51"/>
        <v>Q2-2025</v>
      </c>
      <c r="G454" s="33" t="s">
        <v>45</v>
      </c>
      <c r="H454" s="33" t="s">
        <v>46</v>
      </c>
      <c r="I454" s="33" t="s">
        <v>231</v>
      </c>
      <c r="J454" s="33" t="s">
        <v>19</v>
      </c>
      <c r="K454" s="33" t="s">
        <v>98</v>
      </c>
      <c r="L454" s="33" t="s">
        <v>56</v>
      </c>
      <c r="M454" s="33" t="s">
        <v>42</v>
      </c>
      <c r="N454" s="33" t="s">
        <v>1008</v>
      </c>
      <c r="O454" s="43">
        <v>400.39</v>
      </c>
      <c r="P454" s="44" t="str">
        <f t="shared" si="52"/>
        <v>High</v>
      </c>
      <c r="Q454" s="43">
        <v>712.75</v>
      </c>
      <c r="R454" s="43">
        <v>0.115</v>
      </c>
      <c r="S454" s="43">
        <v>19</v>
      </c>
      <c r="T454" s="43">
        <f t="shared" si="49"/>
        <v>11761.58805</v>
      </c>
      <c r="U454" s="33">
        <f t="shared" si="50"/>
        <v>7607.41</v>
      </c>
      <c r="V454" s="43">
        <f t="shared" si="53"/>
        <v>4154.1780500000004</v>
      </c>
      <c r="W454" s="45">
        <f t="shared" si="54"/>
        <v>0.35319873747831187</v>
      </c>
    </row>
    <row r="455" spans="1:23" x14ac:dyDescent="0.3">
      <c r="A455" s="34" t="s">
        <v>1009</v>
      </c>
      <c r="B455" s="35">
        <v>45070</v>
      </c>
      <c r="C455" s="36">
        <v>45098</v>
      </c>
      <c r="D455" s="37">
        <f t="shared" si="55"/>
        <v>28</v>
      </c>
      <c r="E455" s="37" t="str">
        <f>TEXT(Data!B455,"MMM-YYYY")</f>
        <v>May-2023</v>
      </c>
      <c r="F455" s="37" t="str">
        <f t="shared" si="51"/>
        <v>Q2-2023</v>
      </c>
      <c r="G455" s="32" t="s">
        <v>52</v>
      </c>
      <c r="H455" s="32" t="s">
        <v>122</v>
      </c>
      <c r="I455" s="32" t="s">
        <v>326</v>
      </c>
      <c r="J455" s="32" t="s">
        <v>62</v>
      </c>
      <c r="K455" s="32" t="s">
        <v>40</v>
      </c>
      <c r="L455" s="32" t="s">
        <v>41</v>
      </c>
      <c r="M455" s="32" t="s">
        <v>64</v>
      </c>
      <c r="N455" s="32" t="s">
        <v>1010</v>
      </c>
      <c r="O455" s="37">
        <v>813.97</v>
      </c>
      <c r="P455" s="38" t="str">
        <f t="shared" si="52"/>
        <v>High</v>
      </c>
      <c r="Q455" s="37">
        <v>1568.83</v>
      </c>
      <c r="R455" s="37">
        <v>1.7000000000000001E-2</v>
      </c>
      <c r="S455" s="37">
        <v>15</v>
      </c>
      <c r="T455" s="37">
        <f t="shared" si="49"/>
        <v>40381.984049999999</v>
      </c>
      <c r="U455" s="32">
        <f t="shared" si="50"/>
        <v>12209.550000000001</v>
      </c>
      <c r="V455" s="37">
        <f t="shared" si="53"/>
        <v>28172.434049999996</v>
      </c>
      <c r="W455" s="39">
        <f t="shared" si="54"/>
        <v>0.69764858544636066</v>
      </c>
    </row>
    <row r="456" spans="1:23" x14ac:dyDescent="0.3">
      <c r="A456" s="40" t="s">
        <v>1011</v>
      </c>
      <c r="B456" s="41">
        <v>45653</v>
      </c>
      <c r="C456" s="42">
        <v>45655</v>
      </c>
      <c r="D456" s="43">
        <f t="shared" si="55"/>
        <v>2</v>
      </c>
      <c r="E456" s="43" t="str">
        <f>TEXT(Data!B456,"MMM-YYYY")</f>
        <v>Dec-2024</v>
      </c>
      <c r="F456" s="43" t="str">
        <f t="shared" si="51"/>
        <v>Q4-2024</v>
      </c>
      <c r="G456" s="33" t="s">
        <v>52</v>
      </c>
      <c r="H456" s="33" t="s">
        <v>53</v>
      </c>
      <c r="I456" s="33" t="s">
        <v>179</v>
      </c>
      <c r="J456" s="33" t="s">
        <v>105</v>
      </c>
      <c r="K456" s="33" t="s">
        <v>40</v>
      </c>
      <c r="L456" s="33" t="s">
        <v>21</v>
      </c>
      <c r="M456" s="33" t="s">
        <v>81</v>
      </c>
      <c r="N456" s="33" t="s">
        <v>1012</v>
      </c>
      <c r="O456" s="43">
        <v>1146.72</v>
      </c>
      <c r="P456" s="44" t="str">
        <f t="shared" si="52"/>
        <v>High</v>
      </c>
      <c r="Q456" s="43">
        <v>2074.34</v>
      </c>
      <c r="R456" s="43">
        <v>0.111</v>
      </c>
      <c r="S456" s="43">
        <v>8</v>
      </c>
      <c r="T456" s="43">
        <f t="shared" si="49"/>
        <v>674.07536000000005</v>
      </c>
      <c r="U456" s="33">
        <f t="shared" si="50"/>
        <v>9173.76</v>
      </c>
      <c r="V456" s="43">
        <f t="shared" si="53"/>
        <v>-8499.6846399999995</v>
      </c>
      <c r="W456" s="45">
        <f t="shared" si="54"/>
        <v>-12.60939821327989</v>
      </c>
    </row>
    <row r="457" spans="1:23" x14ac:dyDescent="0.3">
      <c r="A457" s="34" t="s">
        <v>1013</v>
      </c>
      <c r="B457" s="35">
        <v>45265</v>
      </c>
      <c r="C457" s="36">
        <v>45272</v>
      </c>
      <c r="D457" s="37">
        <f t="shared" si="55"/>
        <v>7</v>
      </c>
      <c r="E457" s="37" t="str">
        <f>TEXT(Data!B457,"MMM-YYYY")</f>
        <v>Dec-2023</v>
      </c>
      <c r="F457" s="37" t="str">
        <f t="shared" si="51"/>
        <v>Q4-2023</v>
      </c>
      <c r="G457" s="32" t="s">
        <v>52</v>
      </c>
      <c r="H457" s="32" t="s">
        <v>73</v>
      </c>
      <c r="I457" s="32" t="s">
        <v>87</v>
      </c>
      <c r="J457" s="32" t="s">
        <v>19</v>
      </c>
      <c r="K457" s="32" t="s">
        <v>98</v>
      </c>
      <c r="L457" s="32" t="s">
        <v>84</v>
      </c>
      <c r="M457" s="32" t="s">
        <v>42</v>
      </c>
      <c r="N457" s="32" t="s">
        <v>1014</v>
      </c>
      <c r="O457" s="37">
        <v>307.43</v>
      </c>
      <c r="P457" s="38" t="str">
        <f t="shared" si="52"/>
        <v>High</v>
      </c>
      <c r="Q457" s="37">
        <v>495.19</v>
      </c>
      <c r="R457" s="37">
        <v>0</v>
      </c>
      <c r="S457" s="37">
        <v>42</v>
      </c>
      <c r="T457" s="37">
        <f t="shared" si="49"/>
        <v>116648.7</v>
      </c>
      <c r="U457" s="32">
        <f t="shared" si="50"/>
        <v>12912.06</v>
      </c>
      <c r="V457" s="37">
        <f t="shared" si="53"/>
        <v>103736.64</v>
      </c>
      <c r="W457" s="39">
        <f t="shared" si="54"/>
        <v>0.88930815345563219</v>
      </c>
    </row>
    <row r="458" spans="1:23" x14ac:dyDescent="0.3">
      <c r="A458" s="40" t="s">
        <v>1015</v>
      </c>
      <c r="B458" s="41">
        <v>45048</v>
      </c>
      <c r="C458" s="42">
        <v>45065</v>
      </c>
      <c r="D458" s="43">
        <f t="shared" si="55"/>
        <v>17</v>
      </c>
      <c r="E458" s="43" t="str">
        <f>TEXT(Data!B458,"MMM-YYYY")</f>
        <v>May-2023</v>
      </c>
      <c r="F458" s="43" t="str">
        <f t="shared" si="51"/>
        <v>Q2-2023</v>
      </c>
      <c r="G458" s="33" t="s">
        <v>45</v>
      </c>
      <c r="H458" s="33" t="s">
        <v>116</v>
      </c>
      <c r="I458" s="33" t="s">
        <v>162</v>
      </c>
      <c r="J458" s="33" t="s">
        <v>39</v>
      </c>
      <c r="K458" s="33" t="s">
        <v>98</v>
      </c>
      <c r="L458" s="33" t="s">
        <v>29</v>
      </c>
      <c r="M458" s="33" t="s">
        <v>64</v>
      </c>
      <c r="N458" s="33" t="s">
        <v>1016</v>
      </c>
      <c r="O458" s="43">
        <v>714.28</v>
      </c>
      <c r="P458" s="44" t="str">
        <f t="shared" si="52"/>
        <v>High</v>
      </c>
      <c r="Q458" s="43">
        <v>757.59</v>
      </c>
      <c r="R458" s="43">
        <v>0.13600000000000001</v>
      </c>
      <c r="S458" s="43">
        <v>12</v>
      </c>
      <c r="T458" s="43">
        <f t="shared" si="49"/>
        <v>5102.9222399999999</v>
      </c>
      <c r="U458" s="33">
        <f t="shared" si="50"/>
        <v>8571.36</v>
      </c>
      <c r="V458" s="43">
        <f t="shared" si="53"/>
        <v>-3468.4377600000007</v>
      </c>
      <c r="W458" s="45">
        <f t="shared" si="54"/>
        <v>-0.67969637726637211</v>
      </c>
    </row>
    <row r="459" spans="1:23" x14ac:dyDescent="0.3">
      <c r="A459" s="34" t="s">
        <v>1017</v>
      </c>
      <c r="B459" s="35">
        <v>45260</v>
      </c>
      <c r="C459" s="36">
        <v>45270</v>
      </c>
      <c r="D459" s="37">
        <f t="shared" si="55"/>
        <v>10</v>
      </c>
      <c r="E459" s="37" t="str">
        <f>TEXT(Data!B459,"MMM-YYYY")</f>
        <v>Nov-2023</v>
      </c>
      <c r="F459" s="37" t="str">
        <f t="shared" si="51"/>
        <v>Q4-2023</v>
      </c>
      <c r="G459" s="32" t="s">
        <v>78</v>
      </c>
      <c r="H459" s="32" t="s">
        <v>79</v>
      </c>
      <c r="I459" s="32" t="s">
        <v>159</v>
      </c>
      <c r="J459" s="32" t="s">
        <v>62</v>
      </c>
      <c r="K459" s="32" t="s">
        <v>98</v>
      </c>
      <c r="L459" s="32" t="s">
        <v>84</v>
      </c>
      <c r="M459" s="32" t="s">
        <v>57</v>
      </c>
      <c r="N459" s="32" t="s">
        <v>1018</v>
      </c>
      <c r="O459" s="37">
        <v>174.74</v>
      </c>
      <c r="P459" s="38" t="str">
        <f t="shared" si="52"/>
        <v>High</v>
      </c>
      <c r="Q459" s="37">
        <v>415.96</v>
      </c>
      <c r="R459" s="37">
        <v>0.125</v>
      </c>
      <c r="S459" s="37">
        <v>21</v>
      </c>
      <c r="T459" s="37">
        <f t="shared" si="49"/>
        <v>35310.318749999999</v>
      </c>
      <c r="U459" s="32">
        <f t="shared" si="50"/>
        <v>3669.54</v>
      </c>
      <c r="V459" s="37">
        <f t="shared" si="53"/>
        <v>31640.778749999998</v>
      </c>
      <c r="W459" s="39">
        <f t="shared" si="54"/>
        <v>0.89607740371927391</v>
      </c>
    </row>
    <row r="460" spans="1:23" x14ac:dyDescent="0.3">
      <c r="A460" s="40" t="s">
        <v>1019</v>
      </c>
      <c r="B460" s="41">
        <v>45417</v>
      </c>
      <c r="C460" s="42">
        <v>45430</v>
      </c>
      <c r="D460" s="43">
        <f t="shared" si="55"/>
        <v>13</v>
      </c>
      <c r="E460" s="43" t="str">
        <f>TEXT(Data!B460,"MMM-YYYY")</f>
        <v>May-2024</v>
      </c>
      <c r="F460" s="43" t="str">
        <f t="shared" si="51"/>
        <v>Q2-2024</v>
      </c>
      <c r="G460" s="33" t="s">
        <v>78</v>
      </c>
      <c r="H460" s="33" t="s">
        <v>90</v>
      </c>
      <c r="I460" s="33" t="s">
        <v>91</v>
      </c>
      <c r="J460" s="33" t="s">
        <v>19</v>
      </c>
      <c r="K460" s="33" t="s">
        <v>40</v>
      </c>
      <c r="L460" s="33" t="s">
        <v>75</v>
      </c>
      <c r="M460" s="33" t="s">
        <v>22</v>
      </c>
      <c r="N460" s="33" t="s">
        <v>1020</v>
      </c>
      <c r="O460" s="43">
        <v>1264.04</v>
      </c>
      <c r="P460" s="44" t="str">
        <f t="shared" si="52"/>
        <v>High</v>
      </c>
      <c r="Q460" s="43">
        <v>1870.89</v>
      </c>
      <c r="R460" s="43">
        <v>0</v>
      </c>
      <c r="S460" s="43">
        <v>13</v>
      </c>
      <c r="T460" s="43">
        <f t="shared" si="49"/>
        <v>3774.29</v>
      </c>
      <c r="U460" s="33">
        <f t="shared" si="50"/>
        <v>16432.52</v>
      </c>
      <c r="V460" s="43">
        <f t="shared" si="53"/>
        <v>-12658.23</v>
      </c>
      <c r="W460" s="45">
        <f t="shared" si="54"/>
        <v>-3.3538042916681019</v>
      </c>
    </row>
    <row r="461" spans="1:23" x14ac:dyDescent="0.3">
      <c r="A461" s="34" t="s">
        <v>1021</v>
      </c>
      <c r="B461" s="35">
        <v>45116</v>
      </c>
      <c r="C461" s="36">
        <v>45126</v>
      </c>
      <c r="D461" s="37">
        <f t="shared" si="55"/>
        <v>10</v>
      </c>
      <c r="E461" s="37" t="str">
        <f>TEXT(Data!B461,"MMM-YYYY")</f>
        <v>Jul-2023</v>
      </c>
      <c r="F461" s="37" t="str">
        <f t="shared" si="51"/>
        <v>Q3-2023</v>
      </c>
      <c r="G461" s="32" t="s">
        <v>45</v>
      </c>
      <c r="H461" s="32" t="s">
        <v>46</v>
      </c>
      <c r="I461" s="32" t="s">
        <v>214</v>
      </c>
      <c r="J461" s="32" t="s">
        <v>105</v>
      </c>
      <c r="K461" s="32" t="s">
        <v>55</v>
      </c>
      <c r="L461" s="32" t="s">
        <v>126</v>
      </c>
      <c r="M461" s="32" t="s">
        <v>22</v>
      </c>
      <c r="N461" s="32" t="s">
        <v>1022</v>
      </c>
      <c r="O461" s="37">
        <v>141.26</v>
      </c>
      <c r="P461" s="38" t="str">
        <f t="shared" si="52"/>
        <v>High</v>
      </c>
      <c r="Q461" s="37">
        <v>206.88</v>
      </c>
      <c r="R461" s="37">
        <v>0.107</v>
      </c>
      <c r="S461" s="37">
        <v>9</v>
      </c>
      <c r="T461" s="37">
        <f t="shared" si="49"/>
        <v>4845.6680399999996</v>
      </c>
      <c r="U461" s="32">
        <f t="shared" si="50"/>
        <v>1271.3399999999999</v>
      </c>
      <c r="V461" s="37">
        <f t="shared" si="53"/>
        <v>3574.3280399999994</v>
      </c>
      <c r="W461" s="39">
        <f t="shared" si="54"/>
        <v>0.737633698902742</v>
      </c>
    </row>
    <row r="462" spans="1:23" x14ac:dyDescent="0.3">
      <c r="A462" s="40" t="s">
        <v>1023</v>
      </c>
      <c r="B462" s="41">
        <v>45063</v>
      </c>
      <c r="C462" s="42">
        <v>45092</v>
      </c>
      <c r="D462" s="43">
        <f t="shared" si="55"/>
        <v>29</v>
      </c>
      <c r="E462" s="43" t="str">
        <f>TEXT(Data!B462,"MMM-YYYY")</f>
        <v>May-2023</v>
      </c>
      <c r="F462" s="43" t="str">
        <f t="shared" si="51"/>
        <v>Q2-2023</v>
      </c>
      <c r="G462" s="33" t="s">
        <v>16</v>
      </c>
      <c r="H462" s="33" t="s">
        <v>148</v>
      </c>
      <c r="I462" s="33" t="s">
        <v>172</v>
      </c>
      <c r="J462" s="33" t="s">
        <v>105</v>
      </c>
      <c r="K462" s="33" t="s">
        <v>20</v>
      </c>
      <c r="L462" s="33" t="s">
        <v>95</v>
      </c>
      <c r="M462" s="33" t="s">
        <v>81</v>
      </c>
      <c r="N462" s="33" t="s">
        <v>1024</v>
      </c>
      <c r="O462" s="43">
        <v>40.89</v>
      </c>
      <c r="P462" s="44" t="str">
        <f t="shared" si="52"/>
        <v>Medium</v>
      </c>
      <c r="Q462" s="43">
        <v>62.82</v>
      </c>
      <c r="R462" s="43">
        <v>0.129</v>
      </c>
      <c r="S462" s="43">
        <v>17</v>
      </c>
      <c r="T462" s="43">
        <f t="shared" si="49"/>
        <v>30761.5425</v>
      </c>
      <c r="U462" s="33">
        <f t="shared" si="50"/>
        <v>695.13</v>
      </c>
      <c r="V462" s="43">
        <f t="shared" si="53"/>
        <v>30066.412499999999</v>
      </c>
      <c r="W462" s="45">
        <f t="shared" si="54"/>
        <v>0.97740262862306071</v>
      </c>
    </row>
    <row r="463" spans="1:23" x14ac:dyDescent="0.3">
      <c r="A463" s="34" t="s">
        <v>1025</v>
      </c>
      <c r="B463" s="35">
        <v>45358</v>
      </c>
      <c r="C463" s="36">
        <v>45385</v>
      </c>
      <c r="D463" s="37">
        <f t="shared" si="55"/>
        <v>27</v>
      </c>
      <c r="E463" s="37" t="str">
        <f>TEXT(Data!B463,"MMM-YYYY")</f>
        <v>Mar-2024</v>
      </c>
      <c r="F463" s="37" t="str">
        <f t="shared" si="51"/>
        <v>Q1-2024</v>
      </c>
      <c r="G463" s="32" t="s">
        <v>78</v>
      </c>
      <c r="H463" s="32" t="s">
        <v>79</v>
      </c>
      <c r="I463" s="32" t="s">
        <v>335</v>
      </c>
      <c r="J463" s="32" t="s">
        <v>19</v>
      </c>
      <c r="K463" s="32" t="s">
        <v>98</v>
      </c>
      <c r="L463" s="32" t="s">
        <v>110</v>
      </c>
      <c r="M463" s="32" t="s">
        <v>30</v>
      </c>
      <c r="N463" s="32" t="s">
        <v>1026</v>
      </c>
      <c r="O463" s="37">
        <v>738.16</v>
      </c>
      <c r="P463" s="38" t="str">
        <f t="shared" si="52"/>
        <v>High</v>
      </c>
      <c r="Q463" s="37">
        <v>956.49</v>
      </c>
      <c r="R463" s="37">
        <v>0.152</v>
      </c>
      <c r="S463" s="37">
        <v>5</v>
      </c>
      <c r="T463" s="37">
        <f t="shared" si="49"/>
        <v>733.01119999999992</v>
      </c>
      <c r="U463" s="32">
        <f t="shared" si="50"/>
        <v>3690.7999999999997</v>
      </c>
      <c r="V463" s="37">
        <f t="shared" si="53"/>
        <v>-2957.7887999999998</v>
      </c>
      <c r="W463" s="39">
        <f t="shared" si="54"/>
        <v>-4.0351208821911593</v>
      </c>
    </row>
    <row r="464" spans="1:23" x14ac:dyDescent="0.3">
      <c r="A464" s="40" t="s">
        <v>1027</v>
      </c>
      <c r="B464" s="41">
        <v>45757</v>
      </c>
      <c r="C464" s="42">
        <v>45766</v>
      </c>
      <c r="D464" s="43">
        <f t="shared" si="55"/>
        <v>9</v>
      </c>
      <c r="E464" s="43" t="str">
        <f>TEXT(Data!B464,"MMM-YYYY")</f>
        <v>Apr-2025</v>
      </c>
      <c r="F464" s="43" t="str">
        <f t="shared" si="51"/>
        <v>Q2-2025</v>
      </c>
      <c r="G464" s="33" t="s">
        <v>16</v>
      </c>
      <c r="H464" s="33" t="s">
        <v>148</v>
      </c>
      <c r="I464" s="33" t="s">
        <v>172</v>
      </c>
      <c r="J464" s="33" t="s">
        <v>105</v>
      </c>
      <c r="K464" s="33" t="s">
        <v>1364</v>
      </c>
      <c r="L464" s="33" t="s">
        <v>41</v>
      </c>
      <c r="M464" s="33" t="s">
        <v>35</v>
      </c>
      <c r="N464" s="33" t="s">
        <v>1028</v>
      </c>
      <c r="O464" s="43">
        <v>113.74</v>
      </c>
      <c r="P464" s="44" t="str">
        <f t="shared" si="52"/>
        <v>Medium</v>
      </c>
      <c r="Q464" s="43">
        <v>165.7</v>
      </c>
      <c r="R464" s="43">
        <v>0.124</v>
      </c>
      <c r="S464" s="43">
        <v>13</v>
      </c>
      <c r="T464" s="43">
        <f t="shared" si="49"/>
        <v>31644.291119999994</v>
      </c>
      <c r="U464" s="33">
        <f t="shared" si="50"/>
        <v>1478.62</v>
      </c>
      <c r="V464" s="43">
        <f t="shared" si="53"/>
        <v>30165.671119999995</v>
      </c>
      <c r="W464" s="45">
        <f t="shared" si="54"/>
        <v>0.95327372022988777</v>
      </c>
    </row>
    <row r="465" spans="1:23" x14ac:dyDescent="0.3">
      <c r="A465" s="34" t="s">
        <v>1029</v>
      </c>
      <c r="B465" s="35">
        <v>45865</v>
      </c>
      <c r="C465" s="36">
        <v>45884</v>
      </c>
      <c r="D465" s="37">
        <f t="shared" si="55"/>
        <v>19</v>
      </c>
      <c r="E465" s="37" t="str">
        <f>TEXT(Data!B465,"MMM-YYYY")</f>
        <v>Jul-2025</v>
      </c>
      <c r="F465" s="37" t="str">
        <f t="shared" si="51"/>
        <v>Q3-2025</v>
      </c>
      <c r="G465" s="32" t="s">
        <v>45</v>
      </c>
      <c r="H465" s="32" t="s">
        <v>46</v>
      </c>
      <c r="I465" s="32" t="s">
        <v>214</v>
      </c>
      <c r="J465" s="32" t="s">
        <v>62</v>
      </c>
      <c r="K465" s="32" t="s">
        <v>40</v>
      </c>
      <c r="L465" s="32" t="s">
        <v>29</v>
      </c>
      <c r="M465" s="32" t="s">
        <v>22</v>
      </c>
      <c r="N465" s="32" t="s">
        <v>1030</v>
      </c>
      <c r="O465" s="37">
        <v>275.43</v>
      </c>
      <c r="P465" s="38" t="str">
        <f t="shared" si="52"/>
        <v>High</v>
      </c>
      <c r="Q465" s="37">
        <v>608.36</v>
      </c>
      <c r="R465" s="37">
        <v>0.25700000000000001</v>
      </c>
      <c r="S465" s="37">
        <v>4</v>
      </c>
      <c r="T465" s="37">
        <f t="shared" si="49"/>
        <v>919.74484000000007</v>
      </c>
      <c r="U465" s="32">
        <f t="shared" si="50"/>
        <v>1101.72</v>
      </c>
      <c r="V465" s="37">
        <f t="shared" si="53"/>
        <v>-181.97515999999996</v>
      </c>
      <c r="W465" s="39">
        <f t="shared" si="54"/>
        <v>-0.19785396132257718</v>
      </c>
    </row>
    <row r="466" spans="1:23" x14ac:dyDescent="0.3">
      <c r="A466" s="40" t="s">
        <v>1031</v>
      </c>
      <c r="B466" s="41">
        <v>45618</v>
      </c>
      <c r="C466" s="42">
        <v>45641</v>
      </c>
      <c r="D466" s="43">
        <f t="shared" si="55"/>
        <v>23</v>
      </c>
      <c r="E466" s="43" t="str">
        <f>TEXT(Data!B466,"MMM-YYYY")</f>
        <v>Nov-2024</v>
      </c>
      <c r="F466" s="43" t="str">
        <f t="shared" si="51"/>
        <v>Q4-2024</v>
      </c>
      <c r="G466" s="33" t="s">
        <v>16</v>
      </c>
      <c r="H466" s="33" t="s">
        <v>17</v>
      </c>
      <c r="I466" s="33" t="s">
        <v>113</v>
      </c>
      <c r="J466" s="33" t="s">
        <v>39</v>
      </c>
      <c r="K466" s="33" t="s">
        <v>55</v>
      </c>
      <c r="L466" s="33" t="s">
        <v>21</v>
      </c>
      <c r="M466" s="33" t="s">
        <v>22</v>
      </c>
      <c r="N466" s="33" t="s">
        <v>1032</v>
      </c>
      <c r="O466" s="43">
        <v>1335.76</v>
      </c>
      <c r="P466" s="44" t="str">
        <f t="shared" si="52"/>
        <v>High</v>
      </c>
      <c r="Q466" s="43">
        <v>2665.91</v>
      </c>
      <c r="R466" s="43">
        <v>0.21099999999999999</v>
      </c>
      <c r="S466" s="43">
        <v>40</v>
      </c>
      <c r="T466" s="43">
        <f t="shared" si="49"/>
        <v>21031.899600000001</v>
      </c>
      <c r="U466" s="33">
        <f t="shared" si="50"/>
        <v>53430.400000000001</v>
      </c>
      <c r="V466" s="43">
        <f t="shared" si="53"/>
        <v>-32398.500400000001</v>
      </c>
      <c r="W466" s="45">
        <f t="shared" si="54"/>
        <v>-1.5404457522229709</v>
      </c>
    </row>
    <row r="467" spans="1:23" x14ac:dyDescent="0.3">
      <c r="A467" s="34" t="s">
        <v>1033</v>
      </c>
      <c r="B467" s="35">
        <v>45466</v>
      </c>
      <c r="C467" s="36">
        <v>45471</v>
      </c>
      <c r="D467" s="37">
        <f t="shared" si="55"/>
        <v>5</v>
      </c>
      <c r="E467" s="37" t="str">
        <f>TEXT(Data!B467,"MMM-YYYY")</f>
        <v>Jun-2024</v>
      </c>
      <c r="F467" s="37" t="str">
        <f t="shared" si="51"/>
        <v>Q2-2024</v>
      </c>
      <c r="G467" s="32" t="s">
        <v>16</v>
      </c>
      <c r="H467" s="32" t="s">
        <v>25</v>
      </c>
      <c r="I467" s="32" t="s">
        <v>26</v>
      </c>
      <c r="J467" s="32" t="s">
        <v>39</v>
      </c>
      <c r="K467" s="32" t="s">
        <v>98</v>
      </c>
      <c r="L467" s="32" t="s">
        <v>110</v>
      </c>
      <c r="M467" s="32" t="s">
        <v>81</v>
      </c>
      <c r="N467" s="32" t="s">
        <v>1034</v>
      </c>
      <c r="O467" s="37">
        <v>242.31</v>
      </c>
      <c r="P467" s="38" t="str">
        <f t="shared" si="52"/>
        <v>High</v>
      </c>
      <c r="Q467" s="37">
        <v>587.95000000000005</v>
      </c>
      <c r="R467" s="37">
        <v>0.22900000000000001</v>
      </c>
      <c r="S467" s="37">
        <v>6</v>
      </c>
      <c r="T467" s="37">
        <f t="shared" si="49"/>
        <v>3442.9930199999999</v>
      </c>
      <c r="U467" s="32">
        <f t="shared" si="50"/>
        <v>1453.8600000000001</v>
      </c>
      <c r="V467" s="37">
        <f t="shared" si="53"/>
        <v>1989.1330199999998</v>
      </c>
      <c r="W467" s="39">
        <f t="shared" si="54"/>
        <v>0.57773367777550699</v>
      </c>
    </row>
    <row r="468" spans="1:23" x14ac:dyDescent="0.3">
      <c r="A468" s="40" t="s">
        <v>1035</v>
      </c>
      <c r="B468" s="41">
        <v>45278</v>
      </c>
      <c r="C468" s="42">
        <v>45305</v>
      </c>
      <c r="D468" s="43">
        <f t="shared" si="55"/>
        <v>27</v>
      </c>
      <c r="E468" s="43" t="str">
        <f>TEXT(Data!B468,"MMM-YYYY")</f>
        <v>Dec-2023</v>
      </c>
      <c r="F468" s="43" t="str">
        <f t="shared" si="51"/>
        <v>Q4-2023</v>
      </c>
      <c r="G468" s="33" t="s">
        <v>45</v>
      </c>
      <c r="H468" s="33" t="s">
        <v>60</v>
      </c>
      <c r="I468" s="33" t="s">
        <v>220</v>
      </c>
      <c r="J468" s="33" t="s">
        <v>48</v>
      </c>
      <c r="K468" s="33" t="s">
        <v>55</v>
      </c>
      <c r="L468" s="33" t="s">
        <v>145</v>
      </c>
      <c r="M468" s="33" t="s">
        <v>35</v>
      </c>
      <c r="N468" s="33" t="s">
        <v>1036</v>
      </c>
      <c r="O468" s="43">
        <v>1408.3</v>
      </c>
      <c r="P468" s="44" t="str">
        <f t="shared" si="52"/>
        <v>High</v>
      </c>
      <c r="Q468" s="43">
        <v>2193.13</v>
      </c>
      <c r="R468" s="43">
        <v>7.0999999999999994E-2</v>
      </c>
      <c r="S468" s="43">
        <v>7</v>
      </c>
      <c r="T468" s="43">
        <f t="shared" si="49"/>
        <v>82.523070000000004</v>
      </c>
      <c r="U468" s="33">
        <f t="shared" si="50"/>
        <v>9858.1</v>
      </c>
      <c r="V468" s="43">
        <f t="shared" si="53"/>
        <v>-9775.5769300000011</v>
      </c>
      <c r="W468" s="45">
        <f t="shared" si="54"/>
        <v>-118.45871621111527</v>
      </c>
    </row>
    <row r="469" spans="1:23" x14ac:dyDescent="0.3">
      <c r="A469" s="34" t="s">
        <v>1037</v>
      </c>
      <c r="B469" s="35">
        <v>45809</v>
      </c>
      <c r="C469" s="36">
        <v>45813</v>
      </c>
      <c r="D469" s="37">
        <f t="shared" si="55"/>
        <v>4</v>
      </c>
      <c r="E469" s="37" t="str">
        <f>TEXT(Data!B469,"MMM-YYYY")</f>
        <v>Jun-2025</v>
      </c>
      <c r="F469" s="37" t="str">
        <f t="shared" si="51"/>
        <v>Q2-2025</v>
      </c>
      <c r="G469" s="32" t="s">
        <v>78</v>
      </c>
      <c r="H469" s="32" t="s">
        <v>79</v>
      </c>
      <c r="I469" s="32" t="s">
        <v>159</v>
      </c>
      <c r="J469" s="32" t="s">
        <v>105</v>
      </c>
      <c r="K469" s="32" t="s">
        <v>98</v>
      </c>
      <c r="L469" s="32" t="s">
        <v>110</v>
      </c>
      <c r="M469" s="32" t="s">
        <v>22</v>
      </c>
      <c r="N469" s="32" t="s">
        <v>1038</v>
      </c>
      <c r="O469" s="37">
        <v>1171.42</v>
      </c>
      <c r="P469" s="38" t="str">
        <f t="shared" si="52"/>
        <v>High</v>
      </c>
      <c r="Q469" s="37">
        <v>2187.8000000000002</v>
      </c>
      <c r="R469" s="37">
        <v>0.23</v>
      </c>
      <c r="S469" s="37">
        <v>15</v>
      </c>
      <c r="T469" s="37">
        <f t="shared" si="49"/>
        <v>7525.518</v>
      </c>
      <c r="U469" s="32">
        <f t="shared" si="50"/>
        <v>17571.300000000003</v>
      </c>
      <c r="V469" s="37">
        <f t="shared" si="53"/>
        <v>-10045.782000000003</v>
      </c>
      <c r="W469" s="39">
        <f t="shared" si="54"/>
        <v>-1.3348957506978261</v>
      </c>
    </row>
    <row r="470" spans="1:23" x14ac:dyDescent="0.3">
      <c r="A470" s="40" t="s">
        <v>1039</v>
      </c>
      <c r="B470" s="41">
        <v>45739</v>
      </c>
      <c r="C470" s="42">
        <v>45749</v>
      </c>
      <c r="D470" s="43">
        <f t="shared" si="55"/>
        <v>10</v>
      </c>
      <c r="E470" s="43" t="str">
        <f>TEXT(Data!B470,"MMM-YYYY")</f>
        <v>Mar-2025</v>
      </c>
      <c r="F470" s="43" t="str">
        <f t="shared" si="51"/>
        <v>Q1-2025</v>
      </c>
      <c r="G470" s="33" t="s">
        <v>78</v>
      </c>
      <c r="H470" s="33" t="s">
        <v>79</v>
      </c>
      <c r="I470" s="33" t="s">
        <v>80</v>
      </c>
      <c r="J470" s="33" t="s">
        <v>105</v>
      </c>
      <c r="K470" s="33" t="s">
        <v>28</v>
      </c>
      <c r="L470" s="33" t="s">
        <v>63</v>
      </c>
      <c r="M470" s="33" t="s">
        <v>30</v>
      </c>
      <c r="N470" s="33" t="s">
        <v>1040</v>
      </c>
      <c r="O470" s="43">
        <v>663.61</v>
      </c>
      <c r="P470" s="44" t="str">
        <f t="shared" si="52"/>
        <v>High</v>
      </c>
      <c r="Q470" s="43">
        <v>1002.11</v>
      </c>
      <c r="R470" s="43">
        <v>4.5999999999999999E-2</v>
      </c>
      <c r="S470" s="43">
        <v>17</v>
      </c>
      <c r="T470" s="43">
        <f t="shared" si="49"/>
        <v>12231.93996</v>
      </c>
      <c r="U470" s="33">
        <f t="shared" si="50"/>
        <v>11281.37</v>
      </c>
      <c r="V470" s="43">
        <f t="shared" si="53"/>
        <v>950.5699599999989</v>
      </c>
      <c r="W470" s="45">
        <f t="shared" si="54"/>
        <v>7.7712117874064429E-2</v>
      </c>
    </row>
    <row r="471" spans="1:23" x14ac:dyDescent="0.3">
      <c r="A471" s="34" t="s">
        <v>1041</v>
      </c>
      <c r="B471" s="35">
        <v>45060</v>
      </c>
      <c r="C471" s="36">
        <v>45068</v>
      </c>
      <c r="D471" s="37">
        <f t="shared" si="55"/>
        <v>8</v>
      </c>
      <c r="E471" s="37" t="str">
        <f>TEXT(Data!B471,"MMM-YYYY")</f>
        <v>May-2023</v>
      </c>
      <c r="F471" s="37" t="str">
        <f t="shared" si="51"/>
        <v>Q2-2023</v>
      </c>
      <c r="G471" s="32" t="s">
        <v>16</v>
      </c>
      <c r="H471" s="32" t="s">
        <v>17</v>
      </c>
      <c r="I471" s="32" t="s">
        <v>113</v>
      </c>
      <c r="J471" s="32" t="s">
        <v>62</v>
      </c>
      <c r="K471" s="32" t="s">
        <v>55</v>
      </c>
      <c r="L471" s="32" t="s">
        <v>84</v>
      </c>
      <c r="M471" s="32" t="s">
        <v>30</v>
      </c>
      <c r="N471" s="32" t="s">
        <v>1042</v>
      </c>
      <c r="O471" s="37">
        <v>432.01</v>
      </c>
      <c r="P471" s="38" t="str">
        <f t="shared" si="52"/>
        <v>High</v>
      </c>
      <c r="Q471" s="37">
        <v>913.78</v>
      </c>
      <c r="R471" s="37">
        <v>4.9000000000000002E-2</v>
      </c>
      <c r="S471" s="37">
        <v>12</v>
      </c>
      <c r="T471" s="37">
        <f t="shared" si="49"/>
        <v>34019.286120000004</v>
      </c>
      <c r="U471" s="32">
        <f t="shared" si="50"/>
        <v>5184.12</v>
      </c>
      <c r="V471" s="37">
        <f t="shared" si="53"/>
        <v>28835.166120000005</v>
      </c>
      <c r="W471" s="39">
        <f t="shared" si="54"/>
        <v>0.84761232255981278</v>
      </c>
    </row>
    <row r="472" spans="1:23" x14ac:dyDescent="0.3">
      <c r="A472" s="40" t="s">
        <v>1043</v>
      </c>
      <c r="B472" s="41">
        <v>45167</v>
      </c>
      <c r="C472" s="42">
        <v>45188</v>
      </c>
      <c r="D472" s="43">
        <f t="shared" si="55"/>
        <v>21</v>
      </c>
      <c r="E472" s="43" t="str">
        <f>TEXT(Data!B472,"MMM-YYYY")</f>
        <v>Aug-2023</v>
      </c>
      <c r="F472" s="43" t="str">
        <f t="shared" si="51"/>
        <v>Q3-2023</v>
      </c>
      <c r="G472" s="33" t="s">
        <v>78</v>
      </c>
      <c r="H472" s="33" t="s">
        <v>90</v>
      </c>
      <c r="I472" s="33" t="s">
        <v>138</v>
      </c>
      <c r="J472" s="33" t="s">
        <v>62</v>
      </c>
      <c r="K472" s="33" t="s">
        <v>98</v>
      </c>
      <c r="L472" s="33" t="s">
        <v>56</v>
      </c>
      <c r="M472" s="33" t="s">
        <v>30</v>
      </c>
      <c r="N472" s="33" t="s">
        <v>1044</v>
      </c>
      <c r="O472" s="43">
        <v>784.46</v>
      </c>
      <c r="P472" s="44" t="str">
        <f t="shared" si="52"/>
        <v>High</v>
      </c>
      <c r="Q472" s="43">
        <v>1843.51</v>
      </c>
      <c r="R472" s="43">
        <v>0.13800000000000001</v>
      </c>
      <c r="S472" s="43">
        <v>23</v>
      </c>
      <c r="T472" s="43">
        <f t="shared" si="49"/>
        <v>19353.546419999999</v>
      </c>
      <c r="U472" s="33">
        <f t="shared" si="50"/>
        <v>18042.580000000002</v>
      </c>
      <c r="V472" s="43">
        <f t="shared" si="53"/>
        <v>1310.966419999997</v>
      </c>
      <c r="W472" s="45">
        <f t="shared" si="54"/>
        <v>6.7737787770268371E-2</v>
      </c>
    </row>
    <row r="473" spans="1:23" x14ac:dyDescent="0.3">
      <c r="A473" s="34" t="s">
        <v>1045</v>
      </c>
      <c r="B473" s="35">
        <v>45841</v>
      </c>
      <c r="C473" s="36">
        <v>45861</v>
      </c>
      <c r="D473" s="37">
        <f t="shared" si="55"/>
        <v>20</v>
      </c>
      <c r="E473" s="37" t="str">
        <f>TEXT(Data!B473,"MMM-YYYY")</f>
        <v>Jul-2025</v>
      </c>
      <c r="F473" s="37" t="str">
        <f t="shared" si="51"/>
        <v>Q3-2025</v>
      </c>
      <c r="G473" s="32" t="s">
        <v>45</v>
      </c>
      <c r="H473" s="32" t="s">
        <v>116</v>
      </c>
      <c r="I473" s="32" t="s">
        <v>338</v>
      </c>
      <c r="J473" s="32" t="s">
        <v>62</v>
      </c>
      <c r="K473" s="32" t="s">
        <v>28</v>
      </c>
      <c r="L473" s="32" t="s">
        <v>110</v>
      </c>
      <c r="M473" s="32" t="s">
        <v>22</v>
      </c>
      <c r="N473" s="32" t="s">
        <v>1046</v>
      </c>
      <c r="O473" s="37">
        <v>647.36</v>
      </c>
      <c r="P473" s="38" t="str">
        <f t="shared" si="52"/>
        <v>High</v>
      </c>
      <c r="Q473" s="37">
        <v>1383.6</v>
      </c>
      <c r="R473" s="37">
        <v>7.3999999999999996E-2</v>
      </c>
      <c r="S473" s="37">
        <v>12</v>
      </c>
      <c r="T473" s="37">
        <f t="shared" si="49"/>
        <v>12733.240800000001</v>
      </c>
      <c r="U473" s="32">
        <f t="shared" si="50"/>
        <v>7768.32</v>
      </c>
      <c r="V473" s="37">
        <f t="shared" si="53"/>
        <v>4964.9208000000017</v>
      </c>
      <c r="W473" s="39">
        <f t="shared" si="54"/>
        <v>0.38991807961410746</v>
      </c>
    </row>
    <row r="474" spans="1:23" x14ac:dyDescent="0.3">
      <c r="A474" s="40" t="s">
        <v>1047</v>
      </c>
      <c r="B474" s="41">
        <v>45328</v>
      </c>
      <c r="C474" s="42">
        <v>45350</v>
      </c>
      <c r="D474" s="43">
        <f t="shared" si="55"/>
        <v>22</v>
      </c>
      <c r="E474" s="43" t="str">
        <f>TEXT(Data!B474,"MMM-YYYY")</f>
        <v>Feb-2024</v>
      </c>
      <c r="F474" s="43" t="str">
        <f t="shared" si="51"/>
        <v>Q1-2024</v>
      </c>
      <c r="G474" s="33" t="s">
        <v>16</v>
      </c>
      <c r="H474" s="33" t="s">
        <v>17</v>
      </c>
      <c r="I474" s="33" t="s">
        <v>18</v>
      </c>
      <c r="J474" s="33" t="s">
        <v>39</v>
      </c>
      <c r="K474" s="33" t="s">
        <v>28</v>
      </c>
      <c r="L474" s="33" t="s">
        <v>95</v>
      </c>
      <c r="M474" s="33" t="s">
        <v>64</v>
      </c>
      <c r="N474" s="33" t="s">
        <v>1048</v>
      </c>
      <c r="O474" s="43">
        <v>834.93</v>
      </c>
      <c r="P474" s="44" t="str">
        <f t="shared" si="52"/>
        <v>High</v>
      </c>
      <c r="Q474" s="43">
        <v>1588.53</v>
      </c>
      <c r="R474" s="43">
        <v>0.126</v>
      </c>
      <c r="S474" s="43">
        <v>6</v>
      </c>
      <c r="T474" s="43">
        <f t="shared" si="49"/>
        <v>8549.7651600000008</v>
      </c>
      <c r="U474" s="33">
        <f t="shared" si="50"/>
        <v>5009.58</v>
      </c>
      <c r="V474" s="43">
        <f t="shared" si="53"/>
        <v>3540.1851600000009</v>
      </c>
      <c r="W474" s="45">
        <f t="shared" si="54"/>
        <v>0.4140681169305942</v>
      </c>
    </row>
    <row r="475" spans="1:23" x14ac:dyDescent="0.3">
      <c r="A475" s="34" t="s">
        <v>1049</v>
      </c>
      <c r="B475" s="35">
        <v>45882</v>
      </c>
      <c r="C475" s="36">
        <v>45903</v>
      </c>
      <c r="D475" s="37">
        <f t="shared" si="55"/>
        <v>21</v>
      </c>
      <c r="E475" s="37" t="str">
        <f>TEXT(Data!B475,"MMM-YYYY")</f>
        <v>Aug-2025</v>
      </c>
      <c r="F475" s="37" t="str">
        <f t="shared" si="51"/>
        <v>Q3-2025</v>
      </c>
      <c r="G475" s="32" t="s">
        <v>78</v>
      </c>
      <c r="H475" s="32" t="s">
        <v>90</v>
      </c>
      <c r="I475" s="32" t="s">
        <v>217</v>
      </c>
      <c r="J475" s="32" t="s">
        <v>27</v>
      </c>
      <c r="K475" s="32" t="s">
        <v>20</v>
      </c>
      <c r="L475" s="32" t="s">
        <v>34</v>
      </c>
      <c r="M475" s="32" t="s">
        <v>42</v>
      </c>
      <c r="N475" s="32" t="s">
        <v>1050</v>
      </c>
      <c r="O475" s="37">
        <v>603.47</v>
      </c>
      <c r="P475" s="38" t="str">
        <f t="shared" si="52"/>
        <v>High</v>
      </c>
      <c r="Q475" s="37">
        <v>1344.05</v>
      </c>
      <c r="R475" s="37">
        <v>0.20499999999999999</v>
      </c>
      <c r="S475" s="37">
        <v>18</v>
      </c>
      <c r="T475" s="37">
        <f t="shared" si="49"/>
        <v>13790.9763</v>
      </c>
      <c r="U475" s="32">
        <f t="shared" si="50"/>
        <v>10862.460000000001</v>
      </c>
      <c r="V475" s="37">
        <f t="shared" si="53"/>
        <v>2928.5162999999993</v>
      </c>
      <c r="W475" s="39">
        <f t="shared" si="54"/>
        <v>0.21235018002315031</v>
      </c>
    </row>
    <row r="476" spans="1:23" x14ac:dyDescent="0.3">
      <c r="A476" s="40" t="s">
        <v>1051</v>
      </c>
      <c r="B476" s="41">
        <v>45069</v>
      </c>
      <c r="C476" s="42">
        <v>45071</v>
      </c>
      <c r="D476" s="43">
        <f t="shared" si="55"/>
        <v>2</v>
      </c>
      <c r="E476" s="43" t="str">
        <f>TEXT(Data!B476,"MMM-YYYY")</f>
        <v>May-2023</v>
      </c>
      <c r="F476" s="43" t="str">
        <f t="shared" si="51"/>
        <v>Q2-2023</v>
      </c>
      <c r="G476" s="33" t="s">
        <v>52</v>
      </c>
      <c r="H476" s="33" t="s">
        <v>73</v>
      </c>
      <c r="I476" s="33" t="s">
        <v>225</v>
      </c>
      <c r="J476" s="33" t="s">
        <v>105</v>
      </c>
      <c r="K476" s="33" t="s">
        <v>20</v>
      </c>
      <c r="L476" s="33" t="s">
        <v>110</v>
      </c>
      <c r="M476" s="33" t="s">
        <v>30</v>
      </c>
      <c r="N476" s="33" t="s">
        <v>1052</v>
      </c>
      <c r="O476" s="43">
        <v>690.49</v>
      </c>
      <c r="P476" s="44" t="str">
        <f t="shared" si="52"/>
        <v>High</v>
      </c>
      <c r="Q476" s="43">
        <v>1290.29</v>
      </c>
      <c r="R476" s="43">
        <v>4.2000000000000003E-2</v>
      </c>
      <c r="S476" s="43">
        <v>22</v>
      </c>
      <c r="T476" s="43">
        <f t="shared" si="49"/>
        <v>18794.101480000001</v>
      </c>
      <c r="U476" s="33">
        <f t="shared" si="50"/>
        <v>15190.78</v>
      </c>
      <c r="V476" s="43">
        <f t="shared" si="53"/>
        <v>3603.3214800000005</v>
      </c>
      <c r="W476" s="45">
        <f t="shared" si="54"/>
        <v>0.19172619046643566</v>
      </c>
    </row>
    <row r="477" spans="1:23" x14ac:dyDescent="0.3">
      <c r="A477" s="34" t="s">
        <v>1053</v>
      </c>
      <c r="B477" s="35">
        <v>45422</v>
      </c>
      <c r="C477" s="36">
        <v>45428</v>
      </c>
      <c r="D477" s="37">
        <f t="shared" si="55"/>
        <v>6</v>
      </c>
      <c r="E477" s="37" t="str">
        <f>TEXT(Data!B477,"MMM-YYYY")</f>
        <v>May-2024</v>
      </c>
      <c r="F477" s="37" t="str">
        <f t="shared" si="51"/>
        <v>Q2-2024</v>
      </c>
      <c r="G477" s="32" t="s">
        <v>78</v>
      </c>
      <c r="H477" s="32" t="s">
        <v>108</v>
      </c>
      <c r="I477" s="32" t="s">
        <v>109</v>
      </c>
      <c r="J477" s="32" t="s">
        <v>39</v>
      </c>
      <c r="K477" s="32" t="s">
        <v>98</v>
      </c>
      <c r="L477" s="32" t="s">
        <v>41</v>
      </c>
      <c r="M477" s="32" t="s">
        <v>57</v>
      </c>
      <c r="N477" s="32" t="s">
        <v>1054</v>
      </c>
      <c r="O477" s="37">
        <v>210.76</v>
      </c>
      <c r="P477" s="38" t="str">
        <f t="shared" si="52"/>
        <v>High</v>
      </c>
      <c r="Q477" s="37">
        <v>221.58</v>
      </c>
      <c r="R477" s="37">
        <v>8.8999999999999996E-2</v>
      </c>
      <c r="S477" s="37">
        <v>5</v>
      </c>
      <c r="T477" s="37">
        <f t="shared" si="49"/>
        <v>7596.9201000000003</v>
      </c>
      <c r="U477" s="32">
        <f t="shared" si="50"/>
        <v>1053.8</v>
      </c>
      <c r="V477" s="37">
        <f t="shared" si="53"/>
        <v>6543.1201000000001</v>
      </c>
      <c r="W477" s="39">
        <f t="shared" si="54"/>
        <v>0.86128589137063583</v>
      </c>
    </row>
    <row r="478" spans="1:23" x14ac:dyDescent="0.3">
      <c r="A478" s="40" t="s">
        <v>1055</v>
      </c>
      <c r="B478" s="41">
        <v>44999</v>
      </c>
      <c r="C478" s="42">
        <v>45003</v>
      </c>
      <c r="D478" s="43">
        <f t="shared" si="55"/>
        <v>4</v>
      </c>
      <c r="E478" s="43" t="str">
        <f>TEXT(Data!B478,"MMM-YYYY")</f>
        <v>Mar-2023</v>
      </c>
      <c r="F478" s="43" t="str">
        <f t="shared" si="51"/>
        <v>Q1-2023</v>
      </c>
      <c r="G478" s="33" t="s">
        <v>78</v>
      </c>
      <c r="H478" s="33" t="s">
        <v>79</v>
      </c>
      <c r="I478" s="33" t="s">
        <v>335</v>
      </c>
      <c r="J478" s="33" t="s">
        <v>105</v>
      </c>
      <c r="K478" s="33" t="s">
        <v>98</v>
      </c>
      <c r="L478" s="33" t="s">
        <v>75</v>
      </c>
      <c r="M478" s="33" t="s">
        <v>22</v>
      </c>
      <c r="N478" s="33" t="s">
        <v>1056</v>
      </c>
      <c r="O478" s="43">
        <v>472.33</v>
      </c>
      <c r="P478" s="44" t="str">
        <f t="shared" si="52"/>
        <v>High</v>
      </c>
      <c r="Q478" s="43">
        <v>360.34</v>
      </c>
      <c r="R478" s="43">
        <v>0.16500000000000001</v>
      </c>
      <c r="S478" s="43">
        <v>14</v>
      </c>
      <c r="T478" s="43">
        <f t="shared" si="49"/>
        <v>22462.4519</v>
      </c>
      <c r="U478" s="33">
        <f t="shared" si="50"/>
        <v>6612.62</v>
      </c>
      <c r="V478" s="43">
        <f t="shared" si="53"/>
        <v>15849.831900000001</v>
      </c>
      <c r="W478" s="45">
        <f t="shared" si="54"/>
        <v>0.70561450595693875</v>
      </c>
    </row>
    <row r="479" spans="1:23" x14ac:dyDescent="0.3">
      <c r="A479" s="34" t="s">
        <v>1057</v>
      </c>
      <c r="B479" s="35">
        <v>45123</v>
      </c>
      <c r="C479" s="36">
        <v>45151</v>
      </c>
      <c r="D479" s="37">
        <f t="shared" si="55"/>
        <v>28</v>
      </c>
      <c r="E479" s="37" t="str">
        <f>TEXT(Data!B479,"MMM-YYYY")</f>
        <v>Jul-2023</v>
      </c>
      <c r="F479" s="37" t="str">
        <f t="shared" si="51"/>
        <v>Q3-2023</v>
      </c>
      <c r="G479" s="32" t="s">
        <v>78</v>
      </c>
      <c r="H479" s="32" t="s">
        <v>108</v>
      </c>
      <c r="I479" s="32" t="s">
        <v>228</v>
      </c>
      <c r="J479" s="32" t="s">
        <v>39</v>
      </c>
      <c r="K479" s="32" t="s">
        <v>28</v>
      </c>
      <c r="L479" s="32" t="s">
        <v>29</v>
      </c>
      <c r="M479" s="32" t="s">
        <v>57</v>
      </c>
      <c r="N479" s="32" t="s">
        <v>1058</v>
      </c>
      <c r="O479" s="37">
        <v>1039.03</v>
      </c>
      <c r="P479" s="38" t="str">
        <f t="shared" si="52"/>
        <v>High</v>
      </c>
      <c r="Q479" s="37">
        <v>2545.81</v>
      </c>
      <c r="R479" s="37">
        <v>0.216</v>
      </c>
      <c r="S479" s="37">
        <v>21</v>
      </c>
      <c r="T479" s="37">
        <f t="shared" si="49"/>
        <v>20043.767520000001</v>
      </c>
      <c r="U479" s="32">
        <f t="shared" si="50"/>
        <v>21819.63</v>
      </c>
      <c r="V479" s="37">
        <f t="shared" si="53"/>
        <v>-1775.8624799999998</v>
      </c>
      <c r="W479" s="39">
        <f t="shared" si="54"/>
        <v>-8.8599235559283701E-2</v>
      </c>
    </row>
    <row r="480" spans="1:23" x14ac:dyDescent="0.3">
      <c r="A480" s="40" t="s">
        <v>1059</v>
      </c>
      <c r="B480" s="41">
        <v>45032</v>
      </c>
      <c r="C480" s="42">
        <v>45035</v>
      </c>
      <c r="D480" s="43">
        <f t="shared" si="55"/>
        <v>3</v>
      </c>
      <c r="E480" s="43" t="str">
        <f>TEXT(Data!B480,"MMM-YYYY")</f>
        <v>Apr-2023</v>
      </c>
      <c r="F480" s="43" t="str">
        <f t="shared" si="51"/>
        <v>Q2-2023</v>
      </c>
      <c r="G480" s="33" t="s">
        <v>78</v>
      </c>
      <c r="H480" s="33" t="s">
        <v>79</v>
      </c>
      <c r="I480" s="33" t="s">
        <v>159</v>
      </c>
      <c r="J480" s="33" t="s">
        <v>19</v>
      </c>
      <c r="K480" s="33" t="s">
        <v>98</v>
      </c>
      <c r="L480" s="33" t="s">
        <v>56</v>
      </c>
      <c r="M480" s="33" t="s">
        <v>81</v>
      </c>
      <c r="N480" s="33" t="s">
        <v>1060</v>
      </c>
      <c r="O480" s="43">
        <v>553.61</v>
      </c>
      <c r="P480" s="44" t="str">
        <f t="shared" si="52"/>
        <v>High</v>
      </c>
      <c r="Q480" s="43">
        <v>699.47</v>
      </c>
      <c r="R480" s="43">
        <v>0.02</v>
      </c>
      <c r="S480" s="43">
        <v>33</v>
      </c>
      <c r="T480" s="43">
        <f t="shared" si="49"/>
        <v>31378.531800000001</v>
      </c>
      <c r="U480" s="33">
        <f t="shared" si="50"/>
        <v>18269.13</v>
      </c>
      <c r="V480" s="43">
        <f t="shared" si="53"/>
        <v>13109.4018</v>
      </c>
      <c r="W480" s="45">
        <f t="shared" si="54"/>
        <v>0.41778251078018885</v>
      </c>
    </row>
    <row r="481" spans="1:23" x14ac:dyDescent="0.3">
      <c r="A481" s="34" t="s">
        <v>1061</v>
      </c>
      <c r="B481" s="35">
        <v>45293</v>
      </c>
      <c r="C481" s="36">
        <v>45306</v>
      </c>
      <c r="D481" s="37">
        <f t="shared" si="55"/>
        <v>13</v>
      </c>
      <c r="E481" s="37" t="str">
        <f>TEXT(Data!B481,"MMM-YYYY")</f>
        <v>Jan-2024</v>
      </c>
      <c r="F481" s="37" t="str">
        <f t="shared" si="51"/>
        <v>Q1-2024</v>
      </c>
      <c r="G481" s="32" t="s">
        <v>45</v>
      </c>
      <c r="H481" s="32" t="s">
        <v>46</v>
      </c>
      <c r="I481" s="32" t="s">
        <v>231</v>
      </c>
      <c r="J481" s="32" t="s">
        <v>62</v>
      </c>
      <c r="K481" s="32" t="s">
        <v>40</v>
      </c>
      <c r="L481" s="32" t="s">
        <v>41</v>
      </c>
      <c r="M481" s="32" t="s">
        <v>35</v>
      </c>
      <c r="N481" s="32" t="s">
        <v>1062</v>
      </c>
      <c r="O481" s="37">
        <v>1219.06</v>
      </c>
      <c r="P481" s="38" t="str">
        <f t="shared" si="52"/>
        <v>High</v>
      </c>
      <c r="Q481" s="37">
        <v>2738.69</v>
      </c>
      <c r="R481" s="37">
        <v>7.5999999999999998E-2</v>
      </c>
      <c r="S481" s="37">
        <v>16</v>
      </c>
      <c r="T481" s="37">
        <f t="shared" si="49"/>
        <v>24019.121280000003</v>
      </c>
      <c r="U481" s="32">
        <f t="shared" si="50"/>
        <v>19504.96</v>
      </c>
      <c r="V481" s="37">
        <f t="shared" si="53"/>
        <v>4514.1612800000039</v>
      </c>
      <c r="W481" s="39">
        <f t="shared" si="54"/>
        <v>0.18794031752355611</v>
      </c>
    </row>
    <row r="482" spans="1:23" x14ac:dyDescent="0.3">
      <c r="A482" s="40" t="s">
        <v>1063</v>
      </c>
      <c r="B482" s="41">
        <v>45538</v>
      </c>
      <c r="C482" s="42">
        <v>45542</v>
      </c>
      <c r="D482" s="43">
        <f t="shared" si="55"/>
        <v>4</v>
      </c>
      <c r="E482" s="43" t="str">
        <f>TEXT(Data!B482,"MMM-YYYY")</f>
        <v>Sep-2024</v>
      </c>
      <c r="F482" s="43" t="str">
        <f t="shared" si="51"/>
        <v>Q3-2024</v>
      </c>
      <c r="G482" s="33" t="s">
        <v>45</v>
      </c>
      <c r="H482" s="33" t="s">
        <v>46</v>
      </c>
      <c r="I482" s="33" t="s">
        <v>214</v>
      </c>
      <c r="J482" s="33" t="s">
        <v>62</v>
      </c>
      <c r="K482" s="33" t="s">
        <v>55</v>
      </c>
      <c r="L482" s="33" t="s">
        <v>126</v>
      </c>
      <c r="M482" s="33" t="s">
        <v>30</v>
      </c>
      <c r="N482" s="33" t="s">
        <v>1064</v>
      </c>
      <c r="O482" s="43">
        <v>43.23</v>
      </c>
      <c r="P482" s="44" t="str">
        <f t="shared" si="52"/>
        <v>Medium</v>
      </c>
      <c r="Q482" s="43">
        <v>94.78</v>
      </c>
      <c r="R482" s="43">
        <v>9.0999999999999998E-2</v>
      </c>
      <c r="S482" s="43">
        <v>55</v>
      </c>
      <c r="T482" s="43">
        <f t="shared" si="49"/>
        <v>130292.46945000002</v>
      </c>
      <c r="U482" s="33">
        <f t="shared" si="50"/>
        <v>2377.6499999999996</v>
      </c>
      <c r="V482" s="43">
        <f t="shared" si="53"/>
        <v>127914.81945000002</v>
      </c>
      <c r="W482" s="45">
        <f t="shared" si="54"/>
        <v>0.98175143958790023</v>
      </c>
    </row>
    <row r="483" spans="1:23" x14ac:dyDescent="0.3">
      <c r="A483" s="34" t="s">
        <v>1065</v>
      </c>
      <c r="B483" s="35">
        <v>45899</v>
      </c>
      <c r="C483" s="36">
        <v>45903</v>
      </c>
      <c r="D483" s="37">
        <f t="shared" si="55"/>
        <v>4</v>
      </c>
      <c r="E483" s="37" t="str">
        <f>TEXT(Data!B483,"MMM-YYYY")</f>
        <v>Aug-2025</v>
      </c>
      <c r="F483" s="37" t="str">
        <f t="shared" si="51"/>
        <v>Q3-2025</v>
      </c>
      <c r="G483" s="32" t="s">
        <v>78</v>
      </c>
      <c r="H483" s="32" t="s">
        <v>90</v>
      </c>
      <c r="I483" s="32" t="s">
        <v>91</v>
      </c>
      <c r="J483" s="32" t="s">
        <v>62</v>
      </c>
      <c r="K483" s="32" t="s">
        <v>40</v>
      </c>
      <c r="L483" s="32" t="s">
        <v>29</v>
      </c>
      <c r="M483" s="32" t="s">
        <v>57</v>
      </c>
      <c r="N483" s="32" t="s">
        <v>1066</v>
      </c>
      <c r="O483" s="37">
        <v>1286.56</v>
      </c>
      <c r="P483" s="38" t="str">
        <f t="shared" si="52"/>
        <v>High</v>
      </c>
      <c r="Q483" s="37">
        <v>2777.35</v>
      </c>
      <c r="R483" s="37">
        <v>0.13200000000000001</v>
      </c>
      <c r="S483" s="37">
        <v>15</v>
      </c>
      <c r="T483" s="37">
        <f t="shared" si="49"/>
        <v>5660.0544</v>
      </c>
      <c r="U483" s="32">
        <f t="shared" si="50"/>
        <v>19298.399999999998</v>
      </c>
      <c r="V483" s="37">
        <f t="shared" si="53"/>
        <v>-13638.345599999997</v>
      </c>
      <c r="W483" s="39">
        <f t="shared" si="54"/>
        <v>-2.4095785369130014</v>
      </c>
    </row>
    <row r="484" spans="1:23" x14ac:dyDescent="0.3">
      <c r="A484" s="40" t="s">
        <v>1067</v>
      </c>
      <c r="B484" s="41">
        <v>45775</v>
      </c>
      <c r="C484" s="42">
        <v>45796</v>
      </c>
      <c r="D484" s="43">
        <f t="shared" si="55"/>
        <v>21</v>
      </c>
      <c r="E484" s="43" t="str">
        <f>TEXT(Data!B484,"MMM-YYYY")</f>
        <v>Apr-2025</v>
      </c>
      <c r="F484" s="43" t="str">
        <f t="shared" si="51"/>
        <v>Q2-2025</v>
      </c>
      <c r="G484" s="33" t="s">
        <v>78</v>
      </c>
      <c r="H484" s="33" t="s">
        <v>79</v>
      </c>
      <c r="I484" s="33" t="s">
        <v>80</v>
      </c>
      <c r="J484" s="33" t="s">
        <v>19</v>
      </c>
      <c r="K484" s="33" t="s">
        <v>55</v>
      </c>
      <c r="L484" s="33" t="s">
        <v>56</v>
      </c>
      <c r="M484" s="33" t="s">
        <v>42</v>
      </c>
      <c r="N484" s="33" t="s">
        <v>1068</v>
      </c>
      <c r="O484" s="43">
        <v>350.76</v>
      </c>
      <c r="P484" s="44" t="str">
        <f t="shared" si="52"/>
        <v>High</v>
      </c>
      <c r="Q484" s="43">
        <v>492.18</v>
      </c>
      <c r="R484" s="43">
        <v>5.2999999999999999E-2</v>
      </c>
      <c r="S484" s="43">
        <v>11</v>
      </c>
      <c r="T484" s="43">
        <f t="shared" si="49"/>
        <v>19379.89097</v>
      </c>
      <c r="U484" s="33">
        <f t="shared" si="50"/>
        <v>3858.3599999999997</v>
      </c>
      <c r="V484" s="43">
        <f t="shared" si="53"/>
        <v>15521.53097</v>
      </c>
      <c r="W484" s="45">
        <f t="shared" si="54"/>
        <v>0.80090909665215726</v>
      </c>
    </row>
    <row r="485" spans="1:23" x14ac:dyDescent="0.3">
      <c r="A485" s="34" t="s">
        <v>1069</v>
      </c>
      <c r="B485" s="35">
        <v>45148</v>
      </c>
      <c r="C485" s="36">
        <v>45153</v>
      </c>
      <c r="D485" s="37">
        <f t="shared" si="55"/>
        <v>5</v>
      </c>
      <c r="E485" s="37" t="str">
        <f>TEXT(Data!B485,"MMM-YYYY")</f>
        <v>Aug-2023</v>
      </c>
      <c r="F485" s="37" t="str">
        <f t="shared" si="51"/>
        <v>Q3-2023</v>
      </c>
      <c r="G485" s="32" t="s">
        <v>52</v>
      </c>
      <c r="H485" s="32" t="s">
        <v>73</v>
      </c>
      <c r="I485" s="32" t="s">
        <v>74</v>
      </c>
      <c r="J485" s="32" t="s">
        <v>27</v>
      </c>
      <c r="K485" s="32" t="s">
        <v>98</v>
      </c>
      <c r="L485" s="32" t="s">
        <v>41</v>
      </c>
      <c r="M485" s="32" t="s">
        <v>35</v>
      </c>
      <c r="N485" s="32" t="s">
        <v>1070</v>
      </c>
      <c r="O485" s="37">
        <v>1307.52</v>
      </c>
      <c r="P485" s="38" t="str">
        <f t="shared" si="52"/>
        <v>High</v>
      </c>
      <c r="Q485" s="37">
        <v>1921.65</v>
      </c>
      <c r="R485" s="37">
        <v>0.123</v>
      </c>
      <c r="S485" s="37">
        <v>13</v>
      </c>
      <c r="T485" s="37">
        <f t="shared" si="49"/>
        <v>9504.8996900000002</v>
      </c>
      <c r="U485" s="32">
        <f t="shared" si="50"/>
        <v>16997.759999999998</v>
      </c>
      <c r="V485" s="37">
        <f t="shared" si="53"/>
        <v>-7492.8603099999982</v>
      </c>
      <c r="W485" s="39">
        <f t="shared" si="54"/>
        <v>-0.78831555875157244</v>
      </c>
    </row>
    <row r="486" spans="1:23" x14ac:dyDescent="0.3">
      <c r="A486" s="40" t="s">
        <v>1071</v>
      </c>
      <c r="B486" s="41">
        <v>45634</v>
      </c>
      <c r="C486" s="42">
        <v>45634</v>
      </c>
      <c r="D486" s="43">
        <f t="shared" si="55"/>
        <v>0</v>
      </c>
      <c r="E486" s="43" t="str">
        <f>TEXT(Data!B486,"MMM-YYYY")</f>
        <v>Dec-2024</v>
      </c>
      <c r="F486" s="43" t="str">
        <f t="shared" si="51"/>
        <v>Q4-2024</v>
      </c>
      <c r="G486" s="33" t="s">
        <v>78</v>
      </c>
      <c r="H486" s="33" t="s">
        <v>90</v>
      </c>
      <c r="I486" s="33" t="s">
        <v>138</v>
      </c>
      <c r="J486" s="33" t="s">
        <v>105</v>
      </c>
      <c r="K486" s="33" t="s">
        <v>20</v>
      </c>
      <c r="L486" s="33" t="s">
        <v>92</v>
      </c>
      <c r="M486" s="33" t="s">
        <v>22</v>
      </c>
      <c r="N486" s="33" t="s">
        <v>1072</v>
      </c>
      <c r="O486" s="43">
        <v>257.44</v>
      </c>
      <c r="P486" s="44" t="str">
        <f t="shared" si="52"/>
        <v>High</v>
      </c>
      <c r="Q486" s="43">
        <v>290.33</v>
      </c>
      <c r="R486" s="43">
        <v>9.1999999999999998E-2</v>
      </c>
      <c r="S486" s="43">
        <v>23</v>
      </c>
      <c r="T486" s="43">
        <f t="shared" si="49"/>
        <v>6964.3963200000007</v>
      </c>
      <c r="U486" s="33">
        <f t="shared" si="50"/>
        <v>5921.12</v>
      </c>
      <c r="V486" s="43">
        <f t="shared" si="53"/>
        <v>1043.2763200000009</v>
      </c>
      <c r="W486" s="45">
        <f t="shared" si="54"/>
        <v>0.14980140015926044</v>
      </c>
    </row>
    <row r="487" spans="1:23" x14ac:dyDescent="0.3">
      <c r="A487" s="34" t="s">
        <v>1073</v>
      </c>
      <c r="B487" s="35">
        <v>45224</v>
      </c>
      <c r="C487" s="36">
        <v>45254</v>
      </c>
      <c r="D487" s="37">
        <f t="shared" si="55"/>
        <v>30</v>
      </c>
      <c r="E487" s="37" t="str">
        <f>TEXT(Data!B487,"MMM-YYYY")</f>
        <v>Oct-2023</v>
      </c>
      <c r="F487" s="37" t="str">
        <f t="shared" si="51"/>
        <v>Q4-2023</v>
      </c>
      <c r="G487" s="32" t="s">
        <v>78</v>
      </c>
      <c r="H487" s="32" t="s">
        <v>90</v>
      </c>
      <c r="I487" s="32" t="s">
        <v>217</v>
      </c>
      <c r="J487" s="32" t="s">
        <v>105</v>
      </c>
      <c r="K487" s="32" t="s">
        <v>55</v>
      </c>
      <c r="L487" s="32" t="s">
        <v>21</v>
      </c>
      <c r="M487" s="32" t="s">
        <v>42</v>
      </c>
      <c r="N487" s="32" t="s">
        <v>1074</v>
      </c>
      <c r="O487" s="37">
        <v>287.85000000000002</v>
      </c>
      <c r="P487" s="38" t="str">
        <f t="shared" si="52"/>
        <v>High</v>
      </c>
      <c r="Q487" s="37">
        <v>602.91999999999996</v>
      </c>
      <c r="R487" s="37">
        <v>0.222</v>
      </c>
      <c r="S487" s="37">
        <v>11</v>
      </c>
      <c r="T487" s="37">
        <f t="shared" si="49"/>
        <v>15273.462600000001</v>
      </c>
      <c r="U487" s="32">
        <f t="shared" si="50"/>
        <v>3166.3500000000004</v>
      </c>
      <c r="V487" s="37">
        <f t="shared" si="53"/>
        <v>12107.1126</v>
      </c>
      <c r="W487" s="39">
        <f t="shared" si="54"/>
        <v>0.79268944554851628</v>
      </c>
    </row>
    <row r="488" spans="1:23" x14ac:dyDescent="0.3">
      <c r="A488" s="40" t="s">
        <v>1075</v>
      </c>
      <c r="B488" s="41">
        <v>45613</v>
      </c>
      <c r="C488" s="42">
        <v>45624</v>
      </c>
      <c r="D488" s="43">
        <f t="shared" si="55"/>
        <v>11</v>
      </c>
      <c r="E488" s="43" t="str">
        <f>TEXT(Data!B488,"MMM-YYYY")</f>
        <v>Nov-2024</v>
      </c>
      <c r="F488" s="43" t="str">
        <f t="shared" si="51"/>
        <v>Q4-2024</v>
      </c>
      <c r="G488" s="33" t="s">
        <v>52</v>
      </c>
      <c r="H488" s="33" t="s">
        <v>53</v>
      </c>
      <c r="I488" s="33" t="s">
        <v>1364</v>
      </c>
      <c r="J488" s="33" t="s">
        <v>48</v>
      </c>
      <c r="K488" s="33" t="s">
        <v>55</v>
      </c>
      <c r="L488" s="33" t="s">
        <v>75</v>
      </c>
      <c r="M488" s="33" t="s">
        <v>30</v>
      </c>
      <c r="N488" s="33" t="s">
        <v>1076</v>
      </c>
      <c r="O488" s="43">
        <v>1008.16</v>
      </c>
      <c r="P488" s="44" t="str">
        <f t="shared" si="52"/>
        <v>High</v>
      </c>
      <c r="Q488" s="43">
        <v>2077.5</v>
      </c>
      <c r="R488" s="43">
        <v>7.3999999999999996E-2</v>
      </c>
      <c r="S488" s="43">
        <v>15</v>
      </c>
      <c r="T488" s="43">
        <f t="shared" si="49"/>
        <v>14894.108099999999</v>
      </c>
      <c r="U488" s="33">
        <f t="shared" si="50"/>
        <v>15122.4</v>
      </c>
      <c r="V488" s="43">
        <f t="shared" si="53"/>
        <v>-228.29190000000017</v>
      </c>
      <c r="W488" s="45">
        <f t="shared" si="54"/>
        <v>-1.5327665038230801E-2</v>
      </c>
    </row>
    <row r="489" spans="1:23" x14ac:dyDescent="0.3">
      <c r="A489" s="34" t="s">
        <v>1077</v>
      </c>
      <c r="B489" s="35">
        <v>45424</v>
      </c>
      <c r="C489" s="36">
        <v>45436</v>
      </c>
      <c r="D489" s="37">
        <f t="shared" si="55"/>
        <v>12</v>
      </c>
      <c r="E489" s="37" t="str">
        <f>TEXT(Data!B489,"MMM-YYYY")</f>
        <v>May-2024</v>
      </c>
      <c r="F489" s="37" t="str">
        <f t="shared" si="51"/>
        <v>Q2-2024</v>
      </c>
      <c r="G489" s="32" t="s">
        <v>78</v>
      </c>
      <c r="H489" s="32" t="s">
        <v>108</v>
      </c>
      <c r="I489" s="32" t="s">
        <v>228</v>
      </c>
      <c r="J489" s="32" t="s">
        <v>27</v>
      </c>
      <c r="K489" s="32" t="s">
        <v>40</v>
      </c>
      <c r="L489" s="32" t="s">
        <v>95</v>
      </c>
      <c r="M489" s="32" t="s">
        <v>30</v>
      </c>
      <c r="N489" s="32" t="s">
        <v>1078</v>
      </c>
      <c r="O489" s="37">
        <v>111.02</v>
      </c>
      <c r="P489" s="38" t="str">
        <f t="shared" si="52"/>
        <v>Medium</v>
      </c>
      <c r="Q489" s="37">
        <v>172.88</v>
      </c>
      <c r="R489" s="37">
        <v>0.19700000000000001</v>
      </c>
      <c r="S489" s="37">
        <v>29</v>
      </c>
      <c r="T489" s="37">
        <f t="shared" si="49"/>
        <v>70514.200349999999</v>
      </c>
      <c r="U489" s="32">
        <f t="shared" si="50"/>
        <v>3219.58</v>
      </c>
      <c r="V489" s="37">
        <f t="shared" si="53"/>
        <v>67294.620349999997</v>
      </c>
      <c r="W489" s="39">
        <f t="shared" si="54"/>
        <v>0.95434139529315387</v>
      </c>
    </row>
    <row r="490" spans="1:23" x14ac:dyDescent="0.3">
      <c r="A490" s="40" t="s">
        <v>1079</v>
      </c>
      <c r="B490" s="41">
        <v>45792</v>
      </c>
      <c r="C490" s="42">
        <v>45813</v>
      </c>
      <c r="D490" s="43">
        <f t="shared" si="55"/>
        <v>21</v>
      </c>
      <c r="E490" s="43" t="str">
        <f>TEXT(Data!B490,"MMM-YYYY")</f>
        <v>May-2025</v>
      </c>
      <c r="F490" s="43" t="str">
        <f t="shared" si="51"/>
        <v>Q2-2025</v>
      </c>
      <c r="G490" s="33" t="s">
        <v>45</v>
      </c>
      <c r="H490" s="33" t="s">
        <v>46</v>
      </c>
      <c r="I490" s="33" t="s">
        <v>47</v>
      </c>
      <c r="J490" s="33" t="s">
        <v>105</v>
      </c>
      <c r="K490" s="33" t="s">
        <v>98</v>
      </c>
      <c r="L490" s="33" t="s">
        <v>92</v>
      </c>
      <c r="M490" s="33" t="s">
        <v>42</v>
      </c>
      <c r="N490" s="33" t="s">
        <v>1080</v>
      </c>
      <c r="O490" s="43">
        <v>1466.5</v>
      </c>
      <c r="P490" s="44" t="str">
        <f t="shared" si="52"/>
        <v>High</v>
      </c>
      <c r="Q490" s="43">
        <v>2778.74</v>
      </c>
      <c r="R490" s="43">
        <v>0.13500000000000001</v>
      </c>
      <c r="S490" s="43">
        <v>4</v>
      </c>
      <c r="T490" s="43">
        <f t="shared" si="49"/>
        <v>3415.8503999999998</v>
      </c>
      <c r="U490" s="33">
        <f t="shared" si="50"/>
        <v>5866</v>
      </c>
      <c r="V490" s="43">
        <f t="shared" si="53"/>
        <v>-2450.1496000000002</v>
      </c>
      <c r="W490" s="45">
        <f t="shared" si="54"/>
        <v>-0.71728832152602473</v>
      </c>
    </row>
    <row r="491" spans="1:23" x14ac:dyDescent="0.3">
      <c r="A491" s="34" t="s">
        <v>1081</v>
      </c>
      <c r="B491" s="35">
        <v>45403</v>
      </c>
      <c r="C491" s="36">
        <v>45431</v>
      </c>
      <c r="D491" s="37">
        <f t="shared" si="55"/>
        <v>28</v>
      </c>
      <c r="E491" s="37" t="str">
        <f>TEXT(Data!B491,"MMM-YYYY")</f>
        <v>Apr-2024</v>
      </c>
      <c r="F491" s="37" t="str">
        <f t="shared" si="51"/>
        <v>Q2-2024</v>
      </c>
      <c r="G491" s="32" t="s">
        <v>16</v>
      </c>
      <c r="H491" s="32" t="s">
        <v>25</v>
      </c>
      <c r="I491" s="32" t="s">
        <v>38</v>
      </c>
      <c r="J491" s="32" t="s">
        <v>19</v>
      </c>
      <c r="K491" s="32" t="s">
        <v>55</v>
      </c>
      <c r="L491" s="32" t="s">
        <v>75</v>
      </c>
      <c r="M491" s="32" t="s">
        <v>81</v>
      </c>
      <c r="N491" s="32" t="s">
        <v>1082</v>
      </c>
      <c r="O491" s="37">
        <v>187.22</v>
      </c>
      <c r="P491" s="38" t="str">
        <f t="shared" si="52"/>
        <v>High</v>
      </c>
      <c r="Q491" s="37">
        <v>309.47000000000003</v>
      </c>
      <c r="R491" s="37">
        <v>0</v>
      </c>
      <c r="S491" s="37">
        <v>5</v>
      </c>
      <c r="T491" s="37">
        <f t="shared" si="49"/>
        <v>4877.1499999999996</v>
      </c>
      <c r="U491" s="32">
        <f t="shared" si="50"/>
        <v>936.1</v>
      </c>
      <c r="V491" s="37">
        <f t="shared" si="53"/>
        <v>3941.0499999999997</v>
      </c>
      <c r="W491" s="39">
        <f t="shared" si="54"/>
        <v>0.8080641358170243</v>
      </c>
    </row>
    <row r="492" spans="1:23" x14ac:dyDescent="0.3">
      <c r="A492" s="40" t="s">
        <v>1083</v>
      </c>
      <c r="B492" s="41">
        <v>45523</v>
      </c>
      <c r="C492" s="42">
        <v>45542</v>
      </c>
      <c r="D492" s="43">
        <f t="shared" si="55"/>
        <v>19</v>
      </c>
      <c r="E492" s="43" t="str">
        <f>TEXT(Data!B492,"MMM-YYYY")</f>
        <v>Aug-2024</v>
      </c>
      <c r="F492" s="43" t="str">
        <f t="shared" si="51"/>
        <v>Q3-2024</v>
      </c>
      <c r="G492" s="33" t="s">
        <v>78</v>
      </c>
      <c r="H492" s="33" t="s">
        <v>90</v>
      </c>
      <c r="I492" s="33" t="s">
        <v>138</v>
      </c>
      <c r="J492" s="33" t="s">
        <v>19</v>
      </c>
      <c r="K492" s="33" t="s">
        <v>98</v>
      </c>
      <c r="L492" s="33" t="s">
        <v>29</v>
      </c>
      <c r="M492" s="33" t="s">
        <v>22</v>
      </c>
      <c r="N492" s="33" t="s">
        <v>1084</v>
      </c>
      <c r="O492" s="43">
        <v>297.58999999999997</v>
      </c>
      <c r="P492" s="44" t="str">
        <f t="shared" si="52"/>
        <v>High</v>
      </c>
      <c r="Q492" s="43">
        <v>666.41</v>
      </c>
      <c r="R492" s="43">
        <v>0</v>
      </c>
      <c r="S492" s="43">
        <v>10</v>
      </c>
      <c r="T492" s="43">
        <f t="shared" si="49"/>
        <v>1414.3000000000002</v>
      </c>
      <c r="U492" s="33">
        <f t="shared" si="50"/>
        <v>2975.8999999999996</v>
      </c>
      <c r="V492" s="43">
        <f t="shared" si="53"/>
        <v>-1561.5999999999995</v>
      </c>
      <c r="W492" s="45">
        <f t="shared" si="54"/>
        <v>-1.1041504631266346</v>
      </c>
    </row>
    <row r="493" spans="1:23" x14ac:dyDescent="0.3">
      <c r="A493" s="34" t="s">
        <v>1085</v>
      </c>
      <c r="B493" s="35">
        <v>45861</v>
      </c>
      <c r="C493" s="36">
        <v>45888</v>
      </c>
      <c r="D493" s="37">
        <f t="shared" si="55"/>
        <v>27</v>
      </c>
      <c r="E493" s="37" t="str">
        <f>TEXT(Data!B493,"MMM-YYYY")</f>
        <v>Jul-2025</v>
      </c>
      <c r="F493" s="37" t="str">
        <f t="shared" si="51"/>
        <v>Q3-2025</v>
      </c>
      <c r="G493" s="32" t="s">
        <v>45</v>
      </c>
      <c r="H493" s="32" t="s">
        <v>46</v>
      </c>
      <c r="I493" s="32" t="s">
        <v>231</v>
      </c>
      <c r="J493" s="32" t="s">
        <v>48</v>
      </c>
      <c r="K493" s="32" t="s">
        <v>40</v>
      </c>
      <c r="L493" s="32" t="s">
        <v>56</v>
      </c>
      <c r="M493" s="32" t="s">
        <v>81</v>
      </c>
      <c r="N493" s="32" t="s">
        <v>1086</v>
      </c>
      <c r="O493" s="37">
        <v>896.09</v>
      </c>
      <c r="P493" s="38" t="str">
        <f t="shared" si="52"/>
        <v>High</v>
      </c>
      <c r="Q493" s="37">
        <v>744.27</v>
      </c>
      <c r="R493" s="37">
        <v>8.3000000000000004E-2</v>
      </c>
      <c r="S493" s="37">
        <v>11</v>
      </c>
      <c r="T493" s="37">
        <f t="shared" si="49"/>
        <v>16395.611540000002</v>
      </c>
      <c r="U493" s="32">
        <f t="shared" si="50"/>
        <v>9856.99</v>
      </c>
      <c r="V493" s="37">
        <f t="shared" si="53"/>
        <v>6538.6215400000019</v>
      </c>
      <c r="W493" s="39">
        <f t="shared" si="54"/>
        <v>0.3988031507118765</v>
      </c>
    </row>
    <row r="494" spans="1:23" x14ac:dyDescent="0.3">
      <c r="A494" s="40" t="s">
        <v>1087</v>
      </c>
      <c r="B494" s="41">
        <v>45352</v>
      </c>
      <c r="C494" s="42">
        <v>45351</v>
      </c>
      <c r="D494" s="43">
        <f>DATEDIF(C494,B494, "MD")</f>
        <v>1</v>
      </c>
      <c r="E494" s="43" t="str">
        <f>TEXT(Data!B494,"MMM-YYYY")</f>
        <v>Mar-2024</v>
      </c>
      <c r="F494" s="43" t="str">
        <f t="shared" si="51"/>
        <v>Q1-2024</v>
      </c>
      <c r="G494" s="33" t="s">
        <v>52</v>
      </c>
      <c r="H494" s="33" t="s">
        <v>73</v>
      </c>
      <c r="I494" s="33" t="s">
        <v>74</v>
      </c>
      <c r="J494" s="33" t="s">
        <v>39</v>
      </c>
      <c r="K494" s="33" t="s">
        <v>98</v>
      </c>
      <c r="L494" s="33" t="s">
        <v>34</v>
      </c>
      <c r="M494" s="33" t="s">
        <v>42</v>
      </c>
      <c r="N494" s="33" t="s">
        <v>1088</v>
      </c>
      <c r="O494" s="43">
        <v>5.34</v>
      </c>
      <c r="P494" s="44" t="str">
        <f t="shared" si="52"/>
        <v>Low</v>
      </c>
      <c r="Q494" s="43">
        <v>12.69</v>
      </c>
      <c r="R494" s="43">
        <v>0.13200000000000001</v>
      </c>
      <c r="S494" s="43">
        <v>10</v>
      </c>
      <c r="T494" s="43">
        <f t="shared" si="49"/>
        <v>2603.4792000000002</v>
      </c>
      <c r="U494" s="33">
        <f t="shared" si="50"/>
        <v>53.4</v>
      </c>
      <c r="V494" s="43">
        <f t="shared" si="53"/>
        <v>2550.0792000000001</v>
      </c>
      <c r="W494" s="45">
        <f t="shared" si="54"/>
        <v>0.97948898535467455</v>
      </c>
    </row>
    <row r="495" spans="1:23" x14ac:dyDescent="0.3">
      <c r="A495" s="34" t="s">
        <v>1089</v>
      </c>
      <c r="B495" s="35">
        <v>45439</v>
      </c>
      <c r="C495" s="36">
        <v>45460</v>
      </c>
      <c r="D495" s="37">
        <f t="shared" si="55"/>
        <v>21</v>
      </c>
      <c r="E495" s="37" t="str">
        <f>TEXT(Data!B495,"MMM-YYYY")</f>
        <v>May-2024</v>
      </c>
      <c r="F495" s="37" t="str">
        <f t="shared" si="51"/>
        <v>Q2-2024</v>
      </c>
      <c r="G495" s="32" t="s">
        <v>45</v>
      </c>
      <c r="H495" s="32" t="s">
        <v>60</v>
      </c>
      <c r="I495" s="32" t="s">
        <v>141</v>
      </c>
      <c r="J495" s="32" t="s">
        <v>62</v>
      </c>
      <c r="K495" s="32" t="s">
        <v>28</v>
      </c>
      <c r="L495" s="32" t="s">
        <v>92</v>
      </c>
      <c r="M495" s="32" t="s">
        <v>81</v>
      </c>
      <c r="N495" s="32" t="s">
        <v>1090</v>
      </c>
      <c r="O495" s="37">
        <v>465.02</v>
      </c>
      <c r="P495" s="38" t="str">
        <f t="shared" si="52"/>
        <v>High</v>
      </c>
      <c r="Q495" s="37">
        <v>651.55999999999995</v>
      </c>
      <c r="R495" s="37">
        <v>4.2000000000000003E-2</v>
      </c>
      <c r="S495" s="37">
        <v>19</v>
      </c>
      <c r="T495" s="37">
        <f t="shared" si="49"/>
        <v>27375.07992</v>
      </c>
      <c r="U495" s="32">
        <f t="shared" si="50"/>
        <v>8835.3799999999992</v>
      </c>
      <c r="V495" s="37">
        <f t="shared" si="53"/>
        <v>18539.699919999999</v>
      </c>
      <c r="W495" s="39">
        <f t="shared" si="54"/>
        <v>0.67724733495499501</v>
      </c>
    </row>
    <row r="496" spans="1:23" x14ac:dyDescent="0.3">
      <c r="A496" s="40" t="s">
        <v>1091</v>
      </c>
      <c r="B496" s="41">
        <v>45508</v>
      </c>
      <c r="C496" s="42">
        <v>45521</v>
      </c>
      <c r="D496" s="43">
        <f t="shared" si="55"/>
        <v>13</v>
      </c>
      <c r="E496" s="43" t="str">
        <f>TEXT(Data!B496,"MMM-YYYY")</f>
        <v>Aug-2024</v>
      </c>
      <c r="F496" s="43" t="str">
        <f t="shared" si="51"/>
        <v>Q3-2024</v>
      </c>
      <c r="G496" s="33" t="s">
        <v>52</v>
      </c>
      <c r="H496" s="33" t="s">
        <v>122</v>
      </c>
      <c r="I496" s="33" t="s">
        <v>326</v>
      </c>
      <c r="J496" s="33" t="s">
        <v>48</v>
      </c>
      <c r="K496" s="33" t="s">
        <v>20</v>
      </c>
      <c r="L496" s="33" t="s">
        <v>145</v>
      </c>
      <c r="M496" s="33" t="s">
        <v>64</v>
      </c>
      <c r="N496" s="33" t="s">
        <v>1092</v>
      </c>
      <c r="O496" s="43">
        <v>352.79</v>
      </c>
      <c r="P496" s="44" t="str">
        <f t="shared" si="52"/>
        <v>High</v>
      </c>
      <c r="Q496" s="43">
        <v>754.22</v>
      </c>
      <c r="R496" s="43">
        <v>0.113</v>
      </c>
      <c r="S496" s="43">
        <v>7</v>
      </c>
      <c r="T496" s="43">
        <f t="shared" si="49"/>
        <v>19254.791990000002</v>
      </c>
      <c r="U496" s="33">
        <f t="shared" si="50"/>
        <v>2469.5300000000002</v>
      </c>
      <c r="V496" s="43">
        <f t="shared" si="53"/>
        <v>16785.261990000003</v>
      </c>
      <c r="W496" s="45">
        <f t="shared" si="54"/>
        <v>0.87174465445887173</v>
      </c>
    </row>
    <row r="497" spans="1:23" x14ac:dyDescent="0.3">
      <c r="A497" s="34" t="s">
        <v>1093</v>
      </c>
      <c r="B497" s="35">
        <v>45097</v>
      </c>
      <c r="C497" s="36">
        <v>45111</v>
      </c>
      <c r="D497" s="37">
        <f t="shared" si="55"/>
        <v>14</v>
      </c>
      <c r="E497" s="37" t="str">
        <f>TEXT(Data!B497,"MMM-YYYY")</f>
        <v>Jun-2023</v>
      </c>
      <c r="F497" s="37" t="str">
        <f t="shared" si="51"/>
        <v>Q2-2023</v>
      </c>
      <c r="G497" s="32" t="s">
        <v>52</v>
      </c>
      <c r="H497" s="32" t="s">
        <v>73</v>
      </c>
      <c r="I497" s="32" t="s">
        <v>87</v>
      </c>
      <c r="J497" s="32" t="s">
        <v>39</v>
      </c>
      <c r="K497" s="32" t="s">
        <v>98</v>
      </c>
      <c r="L497" s="32" t="s">
        <v>21</v>
      </c>
      <c r="M497" s="32" t="s">
        <v>35</v>
      </c>
      <c r="N497" s="32" t="s">
        <v>1094</v>
      </c>
      <c r="O497" s="37">
        <v>1292.8599999999999</v>
      </c>
      <c r="P497" s="38" t="str">
        <f t="shared" si="52"/>
        <v>High</v>
      </c>
      <c r="Q497" s="37">
        <v>2981.01</v>
      </c>
      <c r="R497" s="37">
        <v>0.14199999999999999</v>
      </c>
      <c r="S497" s="37">
        <v>12</v>
      </c>
      <c r="T497" s="37">
        <f t="shared" si="49"/>
        <v>10084.108319999999</v>
      </c>
      <c r="U497" s="32">
        <f t="shared" si="50"/>
        <v>15514.32</v>
      </c>
      <c r="V497" s="37">
        <f t="shared" si="53"/>
        <v>-5430.2116800000003</v>
      </c>
      <c r="W497" s="39">
        <f t="shared" si="54"/>
        <v>-0.5384920022358507</v>
      </c>
    </row>
    <row r="498" spans="1:23" x14ac:dyDescent="0.3">
      <c r="A498" s="40" t="s">
        <v>1095</v>
      </c>
      <c r="B498" s="41">
        <v>45544</v>
      </c>
      <c r="C498" s="42">
        <v>45548</v>
      </c>
      <c r="D498" s="43">
        <f t="shared" si="55"/>
        <v>4</v>
      </c>
      <c r="E498" s="43" t="str">
        <f>TEXT(Data!B498,"MMM-YYYY")</f>
        <v>Sep-2024</v>
      </c>
      <c r="F498" s="43" t="str">
        <f t="shared" si="51"/>
        <v>Q3-2024</v>
      </c>
      <c r="G498" s="33" t="s">
        <v>78</v>
      </c>
      <c r="H498" s="33" t="s">
        <v>108</v>
      </c>
      <c r="I498" s="33" t="s">
        <v>152</v>
      </c>
      <c r="J498" s="33" t="s">
        <v>48</v>
      </c>
      <c r="K498" s="33" t="s">
        <v>40</v>
      </c>
      <c r="L498" s="33" t="s">
        <v>84</v>
      </c>
      <c r="M498" s="33" t="s">
        <v>35</v>
      </c>
      <c r="N498" s="33" t="s">
        <v>1096</v>
      </c>
      <c r="O498" s="43">
        <v>1133.08</v>
      </c>
      <c r="P498" s="44" t="str">
        <f t="shared" si="52"/>
        <v>High</v>
      </c>
      <c r="Q498" s="43">
        <v>976.17</v>
      </c>
      <c r="R498" s="43">
        <v>4.2000000000000003E-2</v>
      </c>
      <c r="S498" s="43">
        <v>27</v>
      </c>
      <c r="T498" s="43">
        <f t="shared" si="49"/>
        <v>30683.801159999999</v>
      </c>
      <c r="U498" s="33">
        <f t="shared" si="50"/>
        <v>30593.159999999996</v>
      </c>
      <c r="V498" s="43">
        <f t="shared" si="53"/>
        <v>90.641160000002856</v>
      </c>
      <c r="W498" s="45">
        <f t="shared" si="54"/>
        <v>2.9540394792469337E-3</v>
      </c>
    </row>
    <row r="499" spans="1:23" x14ac:dyDescent="0.3">
      <c r="A499" s="34" t="s">
        <v>1097</v>
      </c>
      <c r="B499" s="35">
        <v>45224</v>
      </c>
      <c r="C499" s="36">
        <v>45227</v>
      </c>
      <c r="D499" s="37">
        <f t="shared" si="55"/>
        <v>3</v>
      </c>
      <c r="E499" s="37" t="str">
        <f>TEXT(Data!B499,"MMM-YYYY")</f>
        <v>Oct-2023</v>
      </c>
      <c r="F499" s="37" t="str">
        <f t="shared" si="51"/>
        <v>Q4-2023</v>
      </c>
      <c r="G499" s="32" t="s">
        <v>52</v>
      </c>
      <c r="H499" s="32" t="s">
        <v>73</v>
      </c>
      <c r="I499" s="32" t="s">
        <v>87</v>
      </c>
      <c r="J499" s="32" t="s">
        <v>19</v>
      </c>
      <c r="K499" s="32" t="s">
        <v>55</v>
      </c>
      <c r="L499" s="32" t="s">
        <v>49</v>
      </c>
      <c r="M499" s="32" t="s">
        <v>81</v>
      </c>
      <c r="N499" s="32" t="s">
        <v>1098</v>
      </c>
      <c r="O499" s="37">
        <v>509.31</v>
      </c>
      <c r="P499" s="38" t="str">
        <f t="shared" si="52"/>
        <v>High</v>
      </c>
      <c r="Q499" s="37">
        <v>1145.9000000000001</v>
      </c>
      <c r="R499" s="37">
        <v>5.7000000000000002E-2</v>
      </c>
      <c r="S499" s="37">
        <v>8</v>
      </c>
      <c r="T499" s="37">
        <f t="shared" si="49"/>
        <v>14622.761519999998</v>
      </c>
      <c r="U499" s="32">
        <f t="shared" si="50"/>
        <v>4074.48</v>
      </c>
      <c r="V499" s="37">
        <f t="shared" si="53"/>
        <v>10548.281519999999</v>
      </c>
      <c r="W499" s="39">
        <f t="shared" si="54"/>
        <v>0.7213604287789821</v>
      </c>
    </row>
    <row r="500" spans="1:23" x14ac:dyDescent="0.3">
      <c r="A500" s="40" t="s">
        <v>1099</v>
      </c>
      <c r="B500" s="41">
        <v>45908</v>
      </c>
      <c r="C500" s="42">
        <v>45935</v>
      </c>
      <c r="D500" s="43">
        <f t="shared" si="55"/>
        <v>27</v>
      </c>
      <c r="E500" s="43" t="str">
        <f>TEXT(Data!B500,"MMM-YYYY")</f>
        <v>Sep-2025</v>
      </c>
      <c r="F500" s="43" t="str">
        <f t="shared" si="51"/>
        <v>Q3-2025</v>
      </c>
      <c r="G500" s="33" t="s">
        <v>52</v>
      </c>
      <c r="H500" s="33" t="s">
        <v>73</v>
      </c>
      <c r="I500" s="33" t="s">
        <v>225</v>
      </c>
      <c r="J500" s="33" t="s">
        <v>27</v>
      </c>
      <c r="K500" s="33" t="s">
        <v>28</v>
      </c>
      <c r="L500" s="33" t="s">
        <v>21</v>
      </c>
      <c r="M500" s="33" t="s">
        <v>64</v>
      </c>
      <c r="N500" s="33" t="s">
        <v>1100</v>
      </c>
      <c r="O500" s="43">
        <v>660.78</v>
      </c>
      <c r="P500" s="44" t="str">
        <f t="shared" si="52"/>
        <v>High</v>
      </c>
      <c r="Q500" s="43">
        <v>1630.39</v>
      </c>
      <c r="R500" s="43">
        <v>0.218</v>
      </c>
      <c r="S500" s="43">
        <v>13</v>
      </c>
      <c r="T500" s="43">
        <f t="shared" si="49"/>
        <v>8401.8940200000015</v>
      </c>
      <c r="U500" s="33">
        <f t="shared" si="50"/>
        <v>8590.14</v>
      </c>
      <c r="V500" s="43">
        <f t="shared" si="53"/>
        <v>-188.24597999999787</v>
      </c>
      <c r="W500" s="45">
        <f t="shared" si="54"/>
        <v>-2.2405183825443903E-2</v>
      </c>
    </row>
    <row r="501" spans="1:23" x14ac:dyDescent="0.3">
      <c r="A501" s="34" t="s">
        <v>1101</v>
      </c>
      <c r="B501" s="35">
        <v>45048</v>
      </c>
      <c r="C501" s="36">
        <v>45062</v>
      </c>
      <c r="D501" s="37">
        <f t="shared" si="55"/>
        <v>14</v>
      </c>
      <c r="E501" s="37" t="str">
        <f>TEXT(Data!B501,"MMM-YYYY")</f>
        <v>May-2023</v>
      </c>
      <c r="F501" s="37" t="str">
        <f t="shared" si="51"/>
        <v>Q2-2023</v>
      </c>
      <c r="G501" s="32" t="s">
        <v>45</v>
      </c>
      <c r="H501" s="32" t="s">
        <v>60</v>
      </c>
      <c r="I501" s="32" t="s">
        <v>61</v>
      </c>
      <c r="J501" s="32" t="s">
        <v>39</v>
      </c>
      <c r="K501" s="32" t="s">
        <v>20</v>
      </c>
      <c r="L501" s="32" t="s">
        <v>49</v>
      </c>
      <c r="M501" s="32" t="s">
        <v>64</v>
      </c>
      <c r="N501" s="32" t="s">
        <v>1102</v>
      </c>
      <c r="O501" s="37">
        <v>475.37</v>
      </c>
      <c r="P501" s="38" t="str">
        <f t="shared" si="52"/>
        <v>High</v>
      </c>
      <c r="Q501" s="37">
        <v>963.73</v>
      </c>
      <c r="R501" s="37">
        <v>4.1000000000000002E-2</v>
      </c>
      <c r="S501" s="37">
        <v>22</v>
      </c>
      <c r="T501" s="37">
        <f t="shared" si="49"/>
        <v>2493.1506600000002</v>
      </c>
      <c r="U501" s="32">
        <f t="shared" si="50"/>
        <v>10458.14</v>
      </c>
      <c r="V501" s="37">
        <f t="shared" si="53"/>
        <v>-7964.9893399999992</v>
      </c>
      <c r="W501" s="39">
        <f t="shared" si="54"/>
        <v>-3.194748503485946</v>
      </c>
    </row>
    <row r="502" spans="1:23" x14ac:dyDescent="0.3">
      <c r="A502" s="40" t="s">
        <v>1103</v>
      </c>
      <c r="B502" s="41">
        <v>45408</v>
      </c>
      <c r="C502" s="42">
        <v>45406</v>
      </c>
      <c r="D502" s="43">
        <f>DATEDIF(C502,B502, "MD")</f>
        <v>2</v>
      </c>
      <c r="E502" s="43" t="str">
        <f>TEXT(Data!B502,"MMM-YYYY")</f>
        <v>Apr-2024</v>
      </c>
      <c r="F502" s="43" t="str">
        <f t="shared" si="51"/>
        <v>Q2-2024</v>
      </c>
      <c r="G502" s="33" t="s">
        <v>78</v>
      </c>
      <c r="H502" s="33" t="s">
        <v>108</v>
      </c>
      <c r="I502" s="33" t="s">
        <v>152</v>
      </c>
      <c r="J502" s="33" t="s">
        <v>39</v>
      </c>
      <c r="K502" s="33" t="s">
        <v>55</v>
      </c>
      <c r="L502" s="33" t="s">
        <v>126</v>
      </c>
      <c r="M502" s="33" t="s">
        <v>42</v>
      </c>
      <c r="N502" s="33" t="s">
        <v>1104</v>
      </c>
      <c r="O502" s="43">
        <v>1232.77</v>
      </c>
      <c r="P502" s="44" t="str">
        <f t="shared" si="52"/>
        <v>High</v>
      </c>
      <c r="Q502" s="43">
        <v>891.73</v>
      </c>
      <c r="R502" s="43">
        <v>0.16700000000000001</v>
      </c>
      <c r="S502" s="43">
        <v>10</v>
      </c>
      <c r="T502" s="43">
        <f t="shared" si="49"/>
        <v>11877.497099999999</v>
      </c>
      <c r="U502" s="33">
        <f t="shared" si="50"/>
        <v>12327.7</v>
      </c>
      <c r="V502" s="43">
        <f t="shared" si="53"/>
        <v>-450.20290000000205</v>
      </c>
      <c r="W502" s="45">
        <f t="shared" si="54"/>
        <v>-3.7903852655960836E-2</v>
      </c>
    </row>
    <row r="503" spans="1:23" x14ac:dyDescent="0.3">
      <c r="A503" s="34" t="s">
        <v>1105</v>
      </c>
      <c r="B503" s="35">
        <v>44980</v>
      </c>
      <c r="C503" s="36">
        <v>45003</v>
      </c>
      <c r="D503" s="37">
        <f t="shared" si="55"/>
        <v>23</v>
      </c>
      <c r="E503" s="37" t="str">
        <f>TEXT(Data!B503,"MMM-YYYY")</f>
        <v>Feb-2023</v>
      </c>
      <c r="F503" s="37" t="str">
        <f t="shared" si="51"/>
        <v>Q1-2023</v>
      </c>
      <c r="G503" s="32" t="s">
        <v>45</v>
      </c>
      <c r="H503" s="32" t="s">
        <v>116</v>
      </c>
      <c r="I503" s="32" t="s">
        <v>338</v>
      </c>
      <c r="J503" s="32" t="s">
        <v>27</v>
      </c>
      <c r="K503" s="32" t="s">
        <v>55</v>
      </c>
      <c r="L503" s="32" t="s">
        <v>95</v>
      </c>
      <c r="M503" s="32" t="s">
        <v>30</v>
      </c>
      <c r="N503" s="32" t="s">
        <v>1106</v>
      </c>
      <c r="O503" s="37">
        <v>770.11</v>
      </c>
      <c r="P503" s="38" t="str">
        <f t="shared" si="52"/>
        <v>High</v>
      </c>
      <c r="Q503" s="37">
        <v>1667.82</v>
      </c>
      <c r="R503" s="37">
        <v>6.9000000000000006E-2</v>
      </c>
      <c r="S503" s="37">
        <v>7</v>
      </c>
      <c r="T503" s="37">
        <f t="shared" si="49"/>
        <v>10393.181259999999</v>
      </c>
      <c r="U503" s="32">
        <f t="shared" si="50"/>
        <v>5390.77</v>
      </c>
      <c r="V503" s="37">
        <f t="shared" si="53"/>
        <v>5002.4112599999989</v>
      </c>
      <c r="W503" s="39">
        <f t="shared" si="54"/>
        <v>0.48131665703288229</v>
      </c>
    </row>
    <row r="504" spans="1:23" x14ac:dyDescent="0.3">
      <c r="A504" s="40" t="s">
        <v>1107</v>
      </c>
      <c r="B504" s="41">
        <v>45740</v>
      </c>
      <c r="C504" s="42">
        <v>45741</v>
      </c>
      <c r="D504" s="43">
        <f t="shared" si="55"/>
        <v>1</v>
      </c>
      <c r="E504" s="43" t="str">
        <f>TEXT(Data!B504,"MMM-YYYY")</f>
        <v>Mar-2025</v>
      </c>
      <c r="F504" s="43" t="str">
        <f t="shared" si="51"/>
        <v>Q1-2025</v>
      </c>
      <c r="G504" s="33" t="s">
        <v>45</v>
      </c>
      <c r="H504" s="33" t="s">
        <v>116</v>
      </c>
      <c r="I504" s="33" t="s">
        <v>338</v>
      </c>
      <c r="J504" s="33" t="s">
        <v>39</v>
      </c>
      <c r="K504" s="33" t="s">
        <v>28</v>
      </c>
      <c r="L504" s="33" t="s">
        <v>41</v>
      </c>
      <c r="M504" s="33" t="s">
        <v>35</v>
      </c>
      <c r="N504" s="33" t="s">
        <v>1108</v>
      </c>
      <c r="O504" s="43">
        <v>1133.03</v>
      </c>
      <c r="P504" s="44" t="str">
        <f t="shared" si="52"/>
        <v>High</v>
      </c>
      <c r="Q504" s="43">
        <v>1921.51</v>
      </c>
      <c r="R504" s="43">
        <v>0.10100000000000001</v>
      </c>
      <c r="S504" s="43">
        <v>5</v>
      </c>
      <c r="T504" s="43">
        <f t="shared" si="49"/>
        <v>15022.784449999999</v>
      </c>
      <c r="U504" s="33">
        <f t="shared" si="50"/>
        <v>5665.15</v>
      </c>
      <c r="V504" s="43">
        <f t="shared" si="53"/>
        <v>9357.6344499999996</v>
      </c>
      <c r="W504" s="45">
        <f t="shared" si="54"/>
        <v>0.62289614026912299</v>
      </c>
    </row>
    <row r="505" spans="1:23" x14ac:dyDescent="0.3">
      <c r="A505" s="34" t="s">
        <v>1109</v>
      </c>
      <c r="B505" s="35">
        <v>45726</v>
      </c>
      <c r="C505" s="36">
        <v>45743</v>
      </c>
      <c r="D505" s="37">
        <f t="shared" si="55"/>
        <v>17</v>
      </c>
      <c r="E505" s="37" t="str">
        <f>TEXT(Data!B505,"MMM-YYYY")</f>
        <v>Mar-2025</v>
      </c>
      <c r="F505" s="37" t="str">
        <f t="shared" si="51"/>
        <v>Q1-2025</v>
      </c>
      <c r="G505" s="32" t="s">
        <v>52</v>
      </c>
      <c r="H505" s="32" t="s">
        <v>73</v>
      </c>
      <c r="I505" s="32" t="s">
        <v>225</v>
      </c>
      <c r="J505" s="32" t="s">
        <v>105</v>
      </c>
      <c r="K505" s="32" t="s">
        <v>98</v>
      </c>
      <c r="L505" s="32" t="s">
        <v>84</v>
      </c>
      <c r="M505" s="32" t="s">
        <v>35</v>
      </c>
      <c r="N505" s="32" t="s">
        <v>1110</v>
      </c>
      <c r="O505" s="37">
        <v>996.73</v>
      </c>
      <c r="P505" s="38" t="str">
        <f t="shared" si="52"/>
        <v>High</v>
      </c>
      <c r="Q505" s="37">
        <v>1217.43</v>
      </c>
      <c r="R505" s="37">
        <v>7.0000000000000007E-2</v>
      </c>
      <c r="S505" s="37">
        <v>9</v>
      </c>
      <c r="T505" s="37">
        <f t="shared" si="49"/>
        <v>8953.9748999999993</v>
      </c>
      <c r="U505" s="32">
        <f t="shared" si="50"/>
        <v>8970.57</v>
      </c>
      <c r="V505" s="37">
        <f t="shared" si="53"/>
        <v>-16.595100000000457</v>
      </c>
      <c r="W505" s="39">
        <f t="shared" si="54"/>
        <v>-1.8533779897015859E-3</v>
      </c>
    </row>
    <row r="506" spans="1:23" x14ac:dyDescent="0.3">
      <c r="A506" s="40" t="s">
        <v>1111</v>
      </c>
      <c r="B506" s="41">
        <v>45387</v>
      </c>
      <c r="C506" s="42">
        <v>45391</v>
      </c>
      <c r="D506" s="43">
        <f t="shared" si="55"/>
        <v>4</v>
      </c>
      <c r="E506" s="43" t="str">
        <f>TEXT(Data!B506,"MMM-YYYY")</f>
        <v>Apr-2024</v>
      </c>
      <c r="F506" s="43" t="str">
        <f t="shared" si="51"/>
        <v>Q2-2024</v>
      </c>
      <c r="G506" s="33" t="s">
        <v>16</v>
      </c>
      <c r="H506" s="33" t="s">
        <v>25</v>
      </c>
      <c r="I506" s="33" t="s">
        <v>38</v>
      </c>
      <c r="J506" s="33" t="s">
        <v>39</v>
      </c>
      <c r="K506" s="33" t="s">
        <v>98</v>
      </c>
      <c r="L506" s="33" t="s">
        <v>95</v>
      </c>
      <c r="M506" s="33" t="s">
        <v>22</v>
      </c>
      <c r="N506" s="33" t="s">
        <v>1112</v>
      </c>
      <c r="O506" s="43">
        <v>395.07</v>
      </c>
      <c r="P506" s="44" t="str">
        <f t="shared" si="52"/>
        <v>High</v>
      </c>
      <c r="Q506" s="43">
        <v>970.27</v>
      </c>
      <c r="R506" s="43">
        <v>0.123</v>
      </c>
      <c r="S506" s="43">
        <v>38</v>
      </c>
      <c r="T506" s="43">
        <f t="shared" si="49"/>
        <v>4692.9673199999997</v>
      </c>
      <c r="U506" s="33">
        <f t="shared" si="50"/>
        <v>15012.66</v>
      </c>
      <c r="V506" s="43">
        <f t="shared" si="53"/>
        <v>-10319.69268</v>
      </c>
      <c r="W506" s="45">
        <f t="shared" si="54"/>
        <v>-2.1989696446469185</v>
      </c>
    </row>
    <row r="507" spans="1:23" x14ac:dyDescent="0.3">
      <c r="A507" s="34" t="s">
        <v>1113</v>
      </c>
      <c r="B507" s="35">
        <v>45774</v>
      </c>
      <c r="C507" s="36">
        <v>45794</v>
      </c>
      <c r="D507" s="37">
        <f t="shared" si="55"/>
        <v>20</v>
      </c>
      <c r="E507" s="37" t="str">
        <f>TEXT(Data!B507,"MMM-YYYY")</f>
        <v>Apr-2025</v>
      </c>
      <c r="F507" s="37" t="str">
        <f t="shared" si="51"/>
        <v>Q2-2025</v>
      </c>
      <c r="G507" s="32" t="s">
        <v>52</v>
      </c>
      <c r="H507" s="32" t="s">
        <v>122</v>
      </c>
      <c r="I507" s="32" t="s">
        <v>326</v>
      </c>
      <c r="J507" s="32" t="s">
        <v>19</v>
      </c>
      <c r="K507" s="32" t="s">
        <v>98</v>
      </c>
      <c r="L507" s="32" t="s">
        <v>126</v>
      </c>
      <c r="M507" s="32" t="s">
        <v>42</v>
      </c>
      <c r="N507" s="32" t="s">
        <v>1114</v>
      </c>
      <c r="O507" s="37">
        <v>932.26</v>
      </c>
      <c r="P507" s="38" t="str">
        <f t="shared" si="52"/>
        <v>High</v>
      </c>
      <c r="Q507" s="37">
        <v>1624.67</v>
      </c>
      <c r="R507" s="37">
        <v>0.23499999999999999</v>
      </c>
      <c r="S507" s="37">
        <v>28</v>
      </c>
      <c r="T507" s="37">
        <f t="shared" si="49"/>
        <v>1435.9968000000001</v>
      </c>
      <c r="U507" s="32">
        <f t="shared" si="50"/>
        <v>26103.279999999999</v>
      </c>
      <c r="V507" s="37">
        <f t="shared" si="53"/>
        <v>-24667.283199999998</v>
      </c>
      <c r="W507" s="39">
        <f t="shared" si="54"/>
        <v>-17.177812095402995</v>
      </c>
    </row>
    <row r="508" spans="1:23" x14ac:dyDescent="0.3">
      <c r="A508" s="40" t="s">
        <v>1115</v>
      </c>
      <c r="B508" s="41">
        <v>45589</v>
      </c>
      <c r="C508" s="42">
        <v>45593</v>
      </c>
      <c r="D508" s="43">
        <f t="shared" si="55"/>
        <v>4</v>
      </c>
      <c r="E508" s="43" t="str">
        <f>TEXT(Data!B508,"MMM-YYYY")</f>
        <v>Oct-2024</v>
      </c>
      <c r="F508" s="43" t="str">
        <f t="shared" si="51"/>
        <v>Q4-2024</v>
      </c>
      <c r="G508" s="33" t="s">
        <v>45</v>
      </c>
      <c r="H508" s="33" t="s">
        <v>116</v>
      </c>
      <c r="I508" s="33" t="s">
        <v>162</v>
      </c>
      <c r="J508" s="33" t="s">
        <v>62</v>
      </c>
      <c r="K508" s="33" t="s">
        <v>55</v>
      </c>
      <c r="L508" s="33" t="s">
        <v>34</v>
      </c>
      <c r="M508" s="33" t="s">
        <v>35</v>
      </c>
      <c r="N508" s="33" t="s">
        <v>1116</v>
      </c>
      <c r="O508" s="43">
        <v>1331.77</v>
      </c>
      <c r="P508" s="44" t="str">
        <f t="shared" si="52"/>
        <v>High</v>
      </c>
      <c r="Q508" s="43">
        <v>2606.11</v>
      </c>
      <c r="R508" s="43">
        <v>0.02</v>
      </c>
      <c r="S508" s="43">
        <v>6</v>
      </c>
      <c r="T508" s="43">
        <f t="shared" si="49"/>
        <v>7506.8196000000007</v>
      </c>
      <c r="U508" s="33">
        <f t="shared" si="50"/>
        <v>7990.62</v>
      </c>
      <c r="V508" s="43">
        <f t="shared" si="53"/>
        <v>-483.80039999999917</v>
      </c>
      <c r="W508" s="45">
        <f t="shared" si="54"/>
        <v>-6.444811861470591E-2</v>
      </c>
    </row>
    <row r="509" spans="1:23" x14ac:dyDescent="0.3">
      <c r="A509" s="34" t="s">
        <v>1117</v>
      </c>
      <c r="B509" s="35">
        <v>45029</v>
      </c>
      <c r="C509" s="36">
        <v>45036</v>
      </c>
      <c r="D509" s="37">
        <f t="shared" si="55"/>
        <v>7</v>
      </c>
      <c r="E509" s="37" t="str">
        <f>TEXT(Data!B509,"MMM-YYYY")</f>
        <v>Apr-2023</v>
      </c>
      <c r="F509" s="37" t="str">
        <f t="shared" si="51"/>
        <v>Q2-2023</v>
      </c>
      <c r="G509" s="32" t="s">
        <v>78</v>
      </c>
      <c r="H509" s="32" t="s">
        <v>90</v>
      </c>
      <c r="I509" s="32" t="s">
        <v>138</v>
      </c>
      <c r="J509" s="32" t="s">
        <v>62</v>
      </c>
      <c r="K509" s="32" t="s">
        <v>28</v>
      </c>
      <c r="L509" s="32" t="s">
        <v>75</v>
      </c>
      <c r="M509" s="32" t="s">
        <v>57</v>
      </c>
      <c r="N509" s="32" t="s">
        <v>1118</v>
      </c>
      <c r="O509" s="37">
        <v>227.02</v>
      </c>
      <c r="P509" s="38" t="str">
        <f t="shared" si="52"/>
        <v>High</v>
      </c>
      <c r="Q509" s="37">
        <v>434.72</v>
      </c>
      <c r="R509" s="37">
        <v>9.8000000000000004E-2</v>
      </c>
      <c r="S509" s="37">
        <v>10</v>
      </c>
      <c r="T509" s="37">
        <f t="shared" si="49"/>
        <v>25448.667200000004</v>
      </c>
      <c r="U509" s="32">
        <f t="shared" si="50"/>
        <v>2270.2000000000003</v>
      </c>
      <c r="V509" s="37">
        <f t="shared" si="53"/>
        <v>23178.467200000003</v>
      </c>
      <c r="W509" s="39">
        <f t="shared" si="54"/>
        <v>0.91079297072186161</v>
      </c>
    </row>
    <row r="510" spans="1:23" x14ac:dyDescent="0.3">
      <c r="A510" s="40" t="s">
        <v>1119</v>
      </c>
      <c r="B510" s="41">
        <v>45608</v>
      </c>
      <c r="C510" s="42">
        <v>45617</v>
      </c>
      <c r="D510" s="43">
        <f t="shared" si="55"/>
        <v>9</v>
      </c>
      <c r="E510" s="43" t="str">
        <f>TEXT(Data!B510,"MMM-YYYY")</f>
        <v>Nov-2024</v>
      </c>
      <c r="F510" s="43" t="str">
        <f t="shared" si="51"/>
        <v>Q4-2024</v>
      </c>
      <c r="G510" s="33" t="s">
        <v>45</v>
      </c>
      <c r="H510" s="33" t="s">
        <v>60</v>
      </c>
      <c r="I510" s="33" t="s">
        <v>220</v>
      </c>
      <c r="J510" s="33" t="s">
        <v>19</v>
      </c>
      <c r="K510" s="33" t="s">
        <v>98</v>
      </c>
      <c r="L510" s="33" t="s">
        <v>92</v>
      </c>
      <c r="M510" s="33" t="s">
        <v>57</v>
      </c>
      <c r="N510" s="33" t="s">
        <v>1120</v>
      </c>
      <c r="O510" s="43">
        <v>903.41</v>
      </c>
      <c r="P510" s="44" t="str">
        <f t="shared" si="52"/>
        <v>High</v>
      </c>
      <c r="Q510" s="43">
        <v>1860.41</v>
      </c>
      <c r="R510" s="43">
        <v>0.108</v>
      </c>
      <c r="S510" s="43">
        <v>5</v>
      </c>
      <c r="T510" s="43">
        <f t="shared" si="49"/>
        <v>6953.9874000000009</v>
      </c>
      <c r="U510" s="33">
        <f t="shared" si="50"/>
        <v>4517.05</v>
      </c>
      <c r="V510" s="43">
        <f t="shared" si="53"/>
        <v>2436.9374000000007</v>
      </c>
      <c r="W510" s="45">
        <f t="shared" si="54"/>
        <v>0.35043741954436103</v>
      </c>
    </row>
    <row r="511" spans="1:23" x14ac:dyDescent="0.3">
      <c r="A511" s="34" t="s">
        <v>1121</v>
      </c>
      <c r="B511" s="35">
        <v>45056</v>
      </c>
      <c r="C511" s="36">
        <v>45060</v>
      </c>
      <c r="D511" s="37">
        <f t="shared" si="55"/>
        <v>4</v>
      </c>
      <c r="E511" s="37" t="str">
        <f>TEXT(Data!B511,"MMM-YYYY")</f>
        <v>May-2023</v>
      </c>
      <c r="F511" s="37" t="str">
        <f t="shared" si="51"/>
        <v>Q2-2023</v>
      </c>
      <c r="G511" s="32" t="s">
        <v>45</v>
      </c>
      <c r="H511" s="32" t="s">
        <v>60</v>
      </c>
      <c r="I511" s="32" t="s">
        <v>141</v>
      </c>
      <c r="J511" s="32" t="s">
        <v>39</v>
      </c>
      <c r="K511" s="32" t="s">
        <v>55</v>
      </c>
      <c r="L511" s="32" t="s">
        <v>21</v>
      </c>
      <c r="M511" s="32" t="s">
        <v>64</v>
      </c>
      <c r="N511" s="32" t="s">
        <v>1122</v>
      </c>
      <c r="O511" s="37">
        <v>622.6</v>
      </c>
      <c r="P511" s="38" t="str">
        <f t="shared" si="52"/>
        <v>High</v>
      </c>
      <c r="Q511" s="37">
        <v>833.69</v>
      </c>
      <c r="R511" s="37">
        <v>0.20899999999999999</v>
      </c>
      <c r="S511" s="37">
        <v>14</v>
      </c>
      <c r="T511" s="37">
        <f t="shared" si="49"/>
        <v>7271.8528400000005</v>
      </c>
      <c r="U511" s="32">
        <f t="shared" si="50"/>
        <v>8716.4</v>
      </c>
      <c r="V511" s="37">
        <f t="shared" si="53"/>
        <v>-1444.5471599999992</v>
      </c>
      <c r="W511" s="39">
        <f t="shared" si="54"/>
        <v>-0.19864911897749557</v>
      </c>
    </row>
    <row r="512" spans="1:23" x14ac:dyDescent="0.3">
      <c r="A512" s="40" t="s">
        <v>1123</v>
      </c>
      <c r="B512" s="41">
        <v>45353</v>
      </c>
      <c r="C512" s="42">
        <v>45374</v>
      </c>
      <c r="D512" s="43">
        <f t="shared" si="55"/>
        <v>21</v>
      </c>
      <c r="E512" s="43" t="str">
        <f>TEXT(Data!B512,"MMM-YYYY")</f>
        <v>Mar-2024</v>
      </c>
      <c r="F512" s="43" t="str">
        <f t="shared" si="51"/>
        <v>Q1-2024</v>
      </c>
      <c r="G512" s="33" t="s">
        <v>52</v>
      </c>
      <c r="H512" s="33" t="s">
        <v>122</v>
      </c>
      <c r="I512" s="33" t="s">
        <v>123</v>
      </c>
      <c r="J512" s="33" t="s">
        <v>62</v>
      </c>
      <c r="K512" s="33" t="s">
        <v>28</v>
      </c>
      <c r="L512" s="33" t="s">
        <v>84</v>
      </c>
      <c r="M512" s="33" t="s">
        <v>22</v>
      </c>
      <c r="N512" s="33" t="s">
        <v>1124</v>
      </c>
      <c r="O512" s="43">
        <v>225.01</v>
      </c>
      <c r="P512" s="44" t="str">
        <f t="shared" si="52"/>
        <v>High</v>
      </c>
      <c r="Q512" s="43">
        <v>333.48</v>
      </c>
      <c r="R512" s="43">
        <v>0.11899999999999999</v>
      </c>
      <c r="S512" s="43">
        <v>12</v>
      </c>
      <c r="T512" s="43">
        <f t="shared" si="49"/>
        <v>28098.68448</v>
      </c>
      <c r="U512" s="33">
        <f t="shared" si="50"/>
        <v>2700.12</v>
      </c>
      <c r="V512" s="43">
        <f t="shared" si="53"/>
        <v>25398.564480000001</v>
      </c>
      <c r="W512" s="45">
        <f t="shared" si="54"/>
        <v>0.90390582157246957</v>
      </c>
    </row>
    <row r="513" spans="1:23" x14ac:dyDescent="0.3">
      <c r="A513" s="34" t="s">
        <v>1125</v>
      </c>
      <c r="B513" s="35">
        <v>45575</v>
      </c>
      <c r="C513" s="36">
        <v>45576</v>
      </c>
      <c r="D513" s="37">
        <f t="shared" si="55"/>
        <v>1</v>
      </c>
      <c r="E513" s="37" t="str">
        <f>TEXT(Data!B513,"MMM-YYYY")</f>
        <v>Oct-2024</v>
      </c>
      <c r="F513" s="37" t="str">
        <f t="shared" si="51"/>
        <v>Q4-2024</v>
      </c>
      <c r="G513" s="32" t="s">
        <v>78</v>
      </c>
      <c r="H513" s="32" t="s">
        <v>108</v>
      </c>
      <c r="I513" s="32" t="s">
        <v>228</v>
      </c>
      <c r="J513" s="32" t="s">
        <v>39</v>
      </c>
      <c r="K513" s="32" t="s">
        <v>55</v>
      </c>
      <c r="L513" s="32" t="s">
        <v>49</v>
      </c>
      <c r="M513" s="32" t="s">
        <v>22</v>
      </c>
      <c r="N513" s="32" t="s">
        <v>1126</v>
      </c>
      <c r="O513" s="37">
        <v>1389.46</v>
      </c>
      <c r="P513" s="38" t="str">
        <f t="shared" si="52"/>
        <v>High</v>
      </c>
      <c r="Q513" s="37">
        <v>1784.7</v>
      </c>
      <c r="R513" s="37">
        <v>0.14599999999999999</v>
      </c>
      <c r="S513" s="37">
        <v>33</v>
      </c>
      <c r="T513" s="37">
        <f t="shared" ref="T513:T576" si="56">(Q539*S513)*(1-R513)</f>
        <v>40152.022679999995</v>
      </c>
      <c r="U513" s="32">
        <f t="shared" ref="U513:U576" si="57">(O513*S513)</f>
        <v>45852.18</v>
      </c>
      <c r="V513" s="37">
        <f t="shared" si="53"/>
        <v>-5700.1573200000057</v>
      </c>
      <c r="W513" s="39">
        <f t="shared" si="54"/>
        <v>-0.14196438783242904</v>
      </c>
    </row>
    <row r="514" spans="1:23" x14ac:dyDescent="0.3">
      <c r="A514" s="40" t="s">
        <v>1127</v>
      </c>
      <c r="B514" s="41">
        <v>45078</v>
      </c>
      <c r="C514" s="42">
        <v>45085</v>
      </c>
      <c r="D514" s="43">
        <f t="shared" si="55"/>
        <v>7</v>
      </c>
      <c r="E514" s="43" t="str">
        <f>TEXT(Data!B514,"MMM-YYYY")</f>
        <v>Jun-2023</v>
      </c>
      <c r="F514" s="43" t="str">
        <f t="shared" ref="F514:F577" si="58">"Q"&amp;ROUNDUP(MONTH(B514)/3,0)&amp;"-"&amp;YEAR(B514)</f>
        <v>Q2-2023</v>
      </c>
      <c r="G514" s="33" t="s">
        <v>78</v>
      </c>
      <c r="H514" s="33" t="s">
        <v>79</v>
      </c>
      <c r="I514" s="33" t="s">
        <v>335</v>
      </c>
      <c r="J514" s="33" t="s">
        <v>48</v>
      </c>
      <c r="K514" s="33" t="s">
        <v>28</v>
      </c>
      <c r="L514" s="33" t="s">
        <v>75</v>
      </c>
      <c r="M514" s="33" t="s">
        <v>42</v>
      </c>
      <c r="N514" s="33" t="s">
        <v>1128</v>
      </c>
      <c r="O514" s="43">
        <v>804.17</v>
      </c>
      <c r="P514" s="44" t="str">
        <f t="shared" ref="P514:P577" si="59">IF(Q514&lt;50, "Low", IF(Q514&lt;200, "Medium", "High"))</f>
        <v>High</v>
      </c>
      <c r="Q514" s="43">
        <v>1072.29</v>
      </c>
      <c r="R514" s="43">
        <v>3.2000000000000001E-2</v>
      </c>
      <c r="S514" s="43">
        <v>5</v>
      </c>
      <c r="T514" s="43">
        <f t="shared" si="56"/>
        <v>11222.701599999999</v>
      </c>
      <c r="U514" s="33">
        <f t="shared" si="57"/>
        <v>4020.85</v>
      </c>
      <c r="V514" s="43">
        <f t="shared" ref="V514:V577" si="60">(T514-U514)</f>
        <v>7201.8515999999981</v>
      </c>
      <c r="W514" s="45">
        <f t="shared" ref="W514:W577" si="61">IF(T514=0, 0, V514/T514)</f>
        <v>0.64172174015568584</v>
      </c>
    </row>
    <row r="515" spans="1:23" x14ac:dyDescent="0.3">
      <c r="A515" s="34" t="s">
        <v>1129</v>
      </c>
      <c r="B515" s="35">
        <v>45661</v>
      </c>
      <c r="C515" s="36">
        <v>45662</v>
      </c>
      <c r="D515" s="37">
        <f t="shared" si="55"/>
        <v>1</v>
      </c>
      <c r="E515" s="37" t="str">
        <f>TEXT(Data!B515,"MMM-YYYY")</f>
        <v>Jan-2025</v>
      </c>
      <c r="F515" s="37" t="str">
        <f t="shared" si="58"/>
        <v>Q1-2025</v>
      </c>
      <c r="G515" s="32" t="s">
        <v>45</v>
      </c>
      <c r="H515" s="32" t="s">
        <v>60</v>
      </c>
      <c r="I515" s="32" t="s">
        <v>141</v>
      </c>
      <c r="J515" s="32" t="s">
        <v>27</v>
      </c>
      <c r="K515" s="32" t="s">
        <v>20</v>
      </c>
      <c r="L515" s="32" t="s">
        <v>34</v>
      </c>
      <c r="M515" s="32" t="s">
        <v>22</v>
      </c>
      <c r="N515" s="32" t="s">
        <v>1130</v>
      </c>
      <c r="O515" s="37">
        <v>1428.33</v>
      </c>
      <c r="P515" s="38" t="str">
        <f t="shared" si="59"/>
        <v>High</v>
      </c>
      <c r="Q515" s="37">
        <v>3028.05</v>
      </c>
      <c r="R515" s="37">
        <v>0</v>
      </c>
      <c r="S515" s="37">
        <v>11</v>
      </c>
      <c r="T515" s="37">
        <f t="shared" si="56"/>
        <v>4033.7</v>
      </c>
      <c r="U515" s="32">
        <f t="shared" si="57"/>
        <v>15711.63</v>
      </c>
      <c r="V515" s="37">
        <f t="shared" si="60"/>
        <v>-11677.93</v>
      </c>
      <c r="W515" s="39">
        <f t="shared" si="61"/>
        <v>-2.8950913553313335</v>
      </c>
    </row>
    <row r="516" spans="1:23" x14ac:dyDescent="0.3">
      <c r="A516" s="40" t="s">
        <v>1131</v>
      </c>
      <c r="B516" s="41">
        <v>45874</v>
      </c>
      <c r="C516" s="42">
        <v>45897</v>
      </c>
      <c r="D516" s="43">
        <f t="shared" ref="D516:D579" si="62">DATEDIF(B516,C516, "MD")</f>
        <v>23</v>
      </c>
      <c r="E516" s="43" t="str">
        <f>TEXT(Data!B516,"MMM-YYYY")</f>
        <v>Aug-2025</v>
      </c>
      <c r="F516" s="43" t="str">
        <f t="shared" si="58"/>
        <v>Q3-2025</v>
      </c>
      <c r="G516" s="33" t="s">
        <v>45</v>
      </c>
      <c r="H516" s="33" t="s">
        <v>60</v>
      </c>
      <c r="I516" s="33" t="s">
        <v>220</v>
      </c>
      <c r="J516" s="33" t="s">
        <v>39</v>
      </c>
      <c r="K516" s="33" t="s">
        <v>55</v>
      </c>
      <c r="L516" s="33" t="s">
        <v>126</v>
      </c>
      <c r="M516" s="33" t="s">
        <v>57</v>
      </c>
      <c r="N516" s="33" t="s">
        <v>1132</v>
      </c>
      <c r="O516" s="43">
        <v>638.54</v>
      </c>
      <c r="P516" s="44" t="str">
        <f t="shared" si="59"/>
        <v>High</v>
      </c>
      <c r="Q516" s="43">
        <v>987.24</v>
      </c>
      <c r="R516" s="43">
        <v>0</v>
      </c>
      <c r="S516" s="43">
        <v>11</v>
      </c>
      <c r="T516" s="43">
        <f t="shared" si="56"/>
        <v>30771.51</v>
      </c>
      <c r="U516" s="33">
        <f t="shared" si="57"/>
        <v>7023.94</v>
      </c>
      <c r="V516" s="43">
        <f t="shared" si="60"/>
        <v>23747.57</v>
      </c>
      <c r="W516" s="45">
        <f t="shared" si="61"/>
        <v>0.77173885844406076</v>
      </c>
    </row>
    <row r="517" spans="1:23" x14ac:dyDescent="0.3">
      <c r="A517" s="34" t="s">
        <v>1133</v>
      </c>
      <c r="B517" s="35">
        <v>45199</v>
      </c>
      <c r="C517" s="36">
        <v>45229</v>
      </c>
      <c r="D517" s="37">
        <f t="shared" si="62"/>
        <v>0</v>
      </c>
      <c r="E517" s="37" t="str">
        <f>TEXT(Data!B517,"MMM-YYYY")</f>
        <v>Sep-2023</v>
      </c>
      <c r="F517" s="37" t="str">
        <f t="shared" si="58"/>
        <v>Q3-2023</v>
      </c>
      <c r="G517" s="32" t="s">
        <v>45</v>
      </c>
      <c r="H517" s="32" t="s">
        <v>46</v>
      </c>
      <c r="I517" s="32" t="s">
        <v>214</v>
      </c>
      <c r="J517" s="32" t="s">
        <v>105</v>
      </c>
      <c r="K517" s="32" t="s">
        <v>28</v>
      </c>
      <c r="L517" s="32" t="s">
        <v>145</v>
      </c>
      <c r="M517" s="32" t="s">
        <v>30</v>
      </c>
      <c r="N517" s="32" t="s">
        <v>1134</v>
      </c>
      <c r="O517" s="37">
        <v>649.13</v>
      </c>
      <c r="P517" s="38" t="str">
        <f t="shared" si="59"/>
        <v>High</v>
      </c>
      <c r="Q517" s="37">
        <v>975.43</v>
      </c>
      <c r="R517" s="37">
        <v>0.157</v>
      </c>
      <c r="S517" s="37">
        <v>27</v>
      </c>
      <c r="T517" s="37">
        <f t="shared" si="56"/>
        <v>50294.07125999999</v>
      </c>
      <c r="U517" s="32">
        <f t="shared" si="57"/>
        <v>17526.509999999998</v>
      </c>
      <c r="V517" s="37">
        <f t="shared" si="60"/>
        <v>32767.561259999991</v>
      </c>
      <c r="W517" s="39">
        <f t="shared" si="61"/>
        <v>0.65151936280133227</v>
      </c>
    </row>
    <row r="518" spans="1:23" x14ac:dyDescent="0.3">
      <c r="A518" s="40" t="s">
        <v>1135</v>
      </c>
      <c r="B518" s="41">
        <v>45794</v>
      </c>
      <c r="C518" s="42">
        <v>45807</v>
      </c>
      <c r="D518" s="43">
        <f t="shared" si="62"/>
        <v>13</v>
      </c>
      <c r="E518" s="43" t="str">
        <f>TEXT(Data!B518,"MMM-YYYY")</f>
        <v>May-2025</v>
      </c>
      <c r="F518" s="43" t="str">
        <f t="shared" si="58"/>
        <v>Q2-2025</v>
      </c>
      <c r="G518" s="33" t="s">
        <v>16</v>
      </c>
      <c r="H518" s="33" t="s">
        <v>25</v>
      </c>
      <c r="I518" s="33" t="s">
        <v>38</v>
      </c>
      <c r="J518" s="33" t="s">
        <v>48</v>
      </c>
      <c r="K518" s="33" t="s">
        <v>55</v>
      </c>
      <c r="L518" s="33" t="s">
        <v>84</v>
      </c>
      <c r="M518" s="33" t="s">
        <v>81</v>
      </c>
      <c r="N518" s="33" t="s">
        <v>1136</v>
      </c>
      <c r="O518" s="43">
        <v>66.400000000000006</v>
      </c>
      <c r="P518" s="44" t="str">
        <f t="shared" si="59"/>
        <v>Medium</v>
      </c>
      <c r="Q518" s="43">
        <v>141.43</v>
      </c>
      <c r="R518" s="43">
        <v>0.107</v>
      </c>
      <c r="S518" s="43">
        <v>8</v>
      </c>
      <c r="T518" s="43">
        <f t="shared" si="56"/>
        <v>5994.1017599999996</v>
      </c>
      <c r="U518" s="33">
        <f t="shared" si="57"/>
        <v>531.20000000000005</v>
      </c>
      <c r="V518" s="43">
        <f t="shared" si="60"/>
        <v>5462.9017599999997</v>
      </c>
      <c r="W518" s="45">
        <f t="shared" si="61"/>
        <v>0.91137954921873066</v>
      </c>
    </row>
    <row r="519" spans="1:23" x14ac:dyDescent="0.3">
      <c r="A519" s="34" t="s">
        <v>1137</v>
      </c>
      <c r="B519" s="35">
        <v>45413</v>
      </c>
      <c r="C519" s="36">
        <v>45438</v>
      </c>
      <c r="D519" s="37">
        <f t="shared" si="62"/>
        <v>25</v>
      </c>
      <c r="E519" s="37" t="str">
        <f>TEXT(Data!B519,"MMM-YYYY")</f>
        <v>May-2024</v>
      </c>
      <c r="F519" s="37" t="str">
        <f t="shared" si="58"/>
        <v>Q2-2024</v>
      </c>
      <c r="G519" s="32" t="s">
        <v>78</v>
      </c>
      <c r="H519" s="32" t="s">
        <v>79</v>
      </c>
      <c r="I519" s="32" t="s">
        <v>80</v>
      </c>
      <c r="J519" s="32" t="s">
        <v>39</v>
      </c>
      <c r="K519" s="32" t="s">
        <v>20</v>
      </c>
      <c r="L519" s="32" t="s">
        <v>56</v>
      </c>
      <c r="M519" s="32" t="s">
        <v>35</v>
      </c>
      <c r="N519" s="32" t="s">
        <v>1138</v>
      </c>
      <c r="O519" s="37">
        <v>930.71</v>
      </c>
      <c r="P519" s="38" t="str">
        <f t="shared" si="59"/>
        <v>High</v>
      </c>
      <c r="Q519" s="37">
        <v>1625.42</v>
      </c>
      <c r="R519" s="37">
        <v>0.13800000000000001</v>
      </c>
      <c r="S519" s="37">
        <v>7</v>
      </c>
      <c r="T519" s="37">
        <f t="shared" si="56"/>
        <v>6873.6311000000005</v>
      </c>
      <c r="U519" s="32">
        <f t="shared" si="57"/>
        <v>6514.97</v>
      </c>
      <c r="V519" s="37">
        <f t="shared" si="60"/>
        <v>358.66110000000026</v>
      </c>
      <c r="W519" s="39">
        <f t="shared" si="61"/>
        <v>5.2179276830844216E-2</v>
      </c>
    </row>
    <row r="520" spans="1:23" x14ac:dyDescent="0.3">
      <c r="A520" s="40" t="s">
        <v>1139</v>
      </c>
      <c r="B520" s="41">
        <v>45047</v>
      </c>
      <c r="C520" s="42">
        <v>45064</v>
      </c>
      <c r="D520" s="43">
        <f t="shared" si="62"/>
        <v>17</v>
      </c>
      <c r="E520" s="43" t="str">
        <f>TEXT(Data!B520,"MMM-YYYY")</f>
        <v>May-2023</v>
      </c>
      <c r="F520" s="43" t="str">
        <f t="shared" si="58"/>
        <v>Q2-2023</v>
      </c>
      <c r="G520" s="33" t="s">
        <v>16</v>
      </c>
      <c r="H520" s="33" t="s">
        <v>25</v>
      </c>
      <c r="I520" s="33" t="s">
        <v>26</v>
      </c>
      <c r="J520" s="33" t="s">
        <v>19</v>
      </c>
      <c r="K520" s="33" t="s">
        <v>98</v>
      </c>
      <c r="L520" s="33" t="s">
        <v>84</v>
      </c>
      <c r="M520" s="33" t="s">
        <v>22</v>
      </c>
      <c r="N520" s="33" t="s">
        <v>1140</v>
      </c>
      <c r="O520" s="43">
        <v>327.97</v>
      </c>
      <c r="P520" s="44" t="str">
        <f t="shared" si="59"/>
        <v>High</v>
      </c>
      <c r="Q520" s="43">
        <v>299.94</v>
      </c>
      <c r="R520" s="43">
        <v>4.9000000000000002E-2</v>
      </c>
      <c r="S520" s="43">
        <v>3</v>
      </c>
      <c r="T520" s="43">
        <f t="shared" si="56"/>
        <v>4884.4215899999999</v>
      </c>
      <c r="U520" s="33">
        <f t="shared" si="57"/>
        <v>983.91000000000008</v>
      </c>
      <c r="V520" s="43">
        <f t="shared" si="60"/>
        <v>3900.5115900000001</v>
      </c>
      <c r="W520" s="45">
        <f t="shared" si="61"/>
        <v>0.79856161433435968</v>
      </c>
    </row>
    <row r="521" spans="1:23" x14ac:dyDescent="0.3">
      <c r="A521" s="34" t="s">
        <v>1141</v>
      </c>
      <c r="B521" s="35">
        <v>45482</v>
      </c>
      <c r="C521" s="36">
        <v>45512</v>
      </c>
      <c r="D521" s="37">
        <f t="shared" si="62"/>
        <v>30</v>
      </c>
      <c r="E521" s="37" t="str">
        <f>TEXT(Data!B521,"MMM-YYYY")</f>
        <v>Jul-2024</v>
      </c>
      <c r="F521" s="37" t="str">
        <f t="shared" si="58"/>
        <v>Q3-2024</v>
      </c>
      <c r="G521" s="32" t="s">
        <v>78</v>
      </c>
      <c r="H521" s="32" t="s">
        <v>90</v>
      </c>
      <c r="I521" s="32" t="s">
        <v>91</v>
      </c>
      <c r="J521" s="32" t="s">
        <v>19</v>
      </c>
      <c r="K521" s="32" t="s">
        <v>98</v>
      </c>
      <c r="L521" s="32" t="s">
        <v>29</v>
      </c>
      <c r="M521" s="32" t="s">
        <v>22</v>
      </c>
      <c r="N521" s="32" t="s">
        <v>1142</v>
      </c>
      <c r="O521" s="37">
        <v>1062.3800000000001</v>
      </c>
      <c r="P521" s="38" t="str">
        <f t="shared" si="59"/>
        <v>High</v>
      </c>
      <c r="Q521" s="37">
        <v>1503.96</v>
      </c>
      <c r="R521" s="37">
        <v>0.18</v>
      </c>
      <c r="S521" s="37">
        <v>6</v>
      </c>
      <c r="T521" s="37">
        <f t="shared" si="56"/>
        <v>5187.1068000000005</v>
      </c>
      <c r="U521" s="32">
        <f t="shared" si="57"/>
        <v>6374.2800000000007</v>
      </c>
      <c r="V521" s="37">
        <f t="shared" si="60"/>
        <v>-1187.1732000000002</v>
      </c>
      <c r="W521" s="39">
        <f t="shared" si="61"/>
        <v>-0.22887001285572142</v>
      </c>
    </row>
    <row r="522" spans="1:23" x14ac:dyDescent="0.3">
      <c r="A522" s="40" t="s">
        <v>1143</v>
      </c>
      <c r="B522" s="41">
        <v>45056</v>
      </c>
      <c r="C522" s="42">
        <v>45073</v>
      </c>
      <c r="D522" s="43">
        <f t="shared" si="62"/>
        <v>17</v>
      </c>
      <c r="E522" s="43" t="str">
        <f>TEXT(Data!B522,"MMM-YYYY")</f>
        <v>May-2023</v>
      </c>
      <c r="F522" s="43" t="str">
        <f t="shared" si="58"/>
        <v>Q2-2023</v>
      </c>
      <c r="G522" s="33" t="s">
        <v>45</v>
      </c>
      <c r="H522" s="33" t="s">
        <v>60</v>
      </c>
      <c r="I522" s="33" t="s">
        <v>220</v>
      </c>
      <c r="J522" s="33" t="s">
        <v>48</v>
      </c>
      <c r="K522" s="33" t="s">
        <v>20</v>
      </c>
      <c r="L522" s="33" t="s">
        <v>110</v>
      </c>
      <c r="M522" s="33" t="s">
        <v>57</v>
      </c>
      <c r="N522" s="33" t="s">
        <v>1144</v>
      </c>
      <c r="O522" s="43">
        <v>1286.1600000000001</v>
      </c>
      <c r="P522" s="44" t="str">
        <f t="shared" si="59"/>
        <v>High</v>
      </c>
      <c r="Q522" s="43">
        <v>3101.11</v>
      </c>
      <c r="R522" s="43">
        <v>0.1</v>
      </c>
      <c r="S522" s="43">
        <v>23</v>
      </c>
      <c r="T522" s="43">
        <f t="shared" si="56"/>
        <v>50740.254000000001</v>
      </c>
      <c r="U522" s="33">
        <f t="shared" si="57"/>
        <v>29581.68</v>
      </c>
      <c r="V522" s="43">
        <f t="shared" si="60"/>
        <v>21158.574000000001</v>
      </c>
      <c r="W522" s="45">
        <f t="shared" si="61"/>
        <v>0.41699779429562966</v>
      </c>
    </row>
    <row r="523" spans="1:23" x14ac:dyDescent="0.3">
      <c r="A523" s="34" t="s">
        <v>1145</v>
      </c>
      <c r="B523" s="35">
        <v>45482</v>
      </c>
      <c r="C523" s="36">
        <v>45485</v>
      </c>
      <c r="D523" s="37">
        <f t="shared" si="62"/>
        <v>3</v>
      </c>
      <c r="E523" s="37" t="str">
        <f>TEXT(Data!B523,"MMM-YYYY")</f>
        <v>Jul-2024</v>
      </c>
      <c r="F523" s="37" t="str">
        <f t="shared" si="58"/>
        <v>Q3-2024</v>
      </c>
      <c r="G523" s="32" t="s">
        <v>45</v>
      </c>
      <c r="H523" s="32" t="s">
        <v>116</v>
      </c>
      <c r="I523" s="32" t="s">
        <v>162</v>
      </c>
      <c r="J523" s="32" t="s">
        <v>62</v>
      </c>
      <c r="K523" s="32" t="s">
        <v>20</v>
      </c>
      <c r="L523" s="32" t="s">
        <v>145</v>
      </c>
      <c r="M523" s="32" t="s">
        <v>81</v>
      </c>
      <c r="N523" s="32" t="s">
        <v>1146</v>
      </c>
      <c r="O523" s="37">
        <v>748.39</v>
      </c>
      <c r="P523" s="38" t="str">
        <f t="shared" si="59"/>
        <v>High</v>
      </c>
      <c r="Q523" s="37">
        <v>979.42</v>
      </c>
      <c r="R523" s="37">
        <v>0</v>
      </c>
      <c r="S523" s="37">
        <v>23</v>
      </c>
      <c r="T523" s="37">
        <f t="shared" si="56"/>
        <v>28777.83</v>
      </c>
      <c r="U523" s="32">
        <f t="shared" si="57"/>
        <v>17212.97</v>
      </c>
      <c r="V523" s="37">
        <f t="shared" si="60"/>
        <v>11564.86</v>
      </c>
      <c r="W523" s="39">
        <f t="shared" si="61"/>
        <v>0.401866992751017</v>
      </c>
    </row>
    <row r="524" spans="1:23" x14ac:dyDescent="0.3">
      <c r="A524" s="40" t="s">
        <v>1147</v>
      </c>
      <c r="B524" s="41">
        <v>45406</v>
      </c>
      <c r="C524" s="42">
        <v>45422</v>
      </c>
      <c r="D524" s="43">
        <f t="shared" si="62"/>
        <v>16</v>
      </c>
      <c r="E524" s="43" t="str">
        <f>TEXT(Data!B524,"MMM-YYYY")</f>
        <v>Apr-2024</v>
      </c>
      <c r="F524" s="43" t="str">
        <f t="shared" si="58"/>
        <v>Q2-2024</v>
      </c>
      <c r="G524" s="33" t="s">
        <v>16</v>
      </c>
      <c r="H524" s="33" t="s">
        <v>17</v>
      </c>
      <c r="I524" s="33" t="s">
        <v>18</v>
      </c>
      <c r="J524" s="33" t="s">
        <v>39</v>
      </c>
      <c r="K524" s="33" t="s">
        <v>28</v>
      </c>
      <c r="L524" s="33" t="s">
        <v>126</v>
      </c>
      <c r="M524" s="33" t="s">
        <v>64</v>
      </c>
      <c r="N524" s="33" t="s">
        <v>1148</v>
      </c>
      <c r="O524" s="43">
        <v>513.30999999999995</v>
      </c>
      <c r="P524" s="44" t="str">
        <f t="shared" si="59"/>
        <v>High</v>
      </c>
      <c r="Q524" s="43">
        <v>1186.26</v>
      </c>
      <c r="R524" s="43">
        <v>9.4E-2</v>
      </c>
      <c r="S524" s="43">
        <v>15</v>
      </c>
      <c r="T524" s="43">
        <f t="shared" si="56"/>
        <v>15014.232</v>
      </c>
      <c r="U524" s="33">
        <f t="shared" si="57"/>
        <v>7699.65</v>
      </c>
      <c r="V524" s="43">
        <f t="shared" si="60"/>
        <v>7314.5820000000003</v>
      </c>
      <c r="W524" s="45">
        <f t="shared" si="61"/>
        <v>0.48717656687335059</v>
      </c>
    </row>
    <row r="525" spans="1:23" x14ac:dyDescent="0.3">
      <c r="A525" s="34" t="s">
        <v>1149</v>
      </c>
      <c r="B525" s="35">
        <v>45304</v>
      </c>
      <c r="C525" s="36">
        <v>45306</v>
      </c>
      <c r="D525" s="37">
        <f t="shared" si="62"/>
        <v>2</v>
      </c>
      <c r="E525" s="37" t="str">
        <f>TEXT(Data!B525,"MMM-YYYY")</f>
        <v>Jan-2024</v>
      </c>
      <c r="F525" s="37" t="str">
        <f t="shared" si="58"/>
        <v>Q1-2024</v>
      </c>
      <c r="G525" s="32" t="s">
        <v>52</v>
      </c>
      <c r="H525" s="32" t="s">
        <v>122</v>
      </c>
      <c r="I525" s="32" t="s">
        <v>167</v>
      </c>
      <c r="J525" s="32" t="s">
        <v>39</v>
      </c>
      <c r="K525" s="32" t="s">
        <v>98</v>
      </c>
      <c r="L525" s="32" t="s">
        <v>63</v>
      </c>
      <c r="M525" s="32" t="s">
        <v>22</v>
      </c>
      <c r="N525" s="32" t="s">
        <v>1150</v>
      </c>
      <c r="O525" s="37">
        <v>1061.3699999999999</v>
      </c>
      <c r="P525" s="38" t="str">
        <f t="shared" si="59"/>
        <v>High</v>
      </c>
      <c r="Q525" s="37">
        <v>1938.33</v>
      </c>
      <c r="R525" s="37">
        <v>0.17</v>
      </c>
      <c r="S525" s="37">
        <v>4</v>
      </c>
      <c r="T525" s="37">
        <f t="shared" si="56"/>
        <v>7912.9211999999989</v>
      </c>
      <c r="U525" s="32">
        <f t="shared" si="57"/>
        <v>4245.4799999999996</v>
      </c>
      <c r="V525" s="37">
        <f t="shared" si="60"/>
        <v>3667.4411999999993</v>
      </c>
      <c r="W525" s="39">
        <f t="shared" si="61"/>
        <v>0.46347500591816837</v>
      </c>
    </row>
    <row r="526" spans="1:23" x14ac:dyDescent="0.3">
      <c r="A526" s="40" t="s">
        <v>1151</v>
      </c>
      <c r="B526" s="41">
        <v>45398</v>
      </c>
      <c r="C526" s="42">
        <v>45409</v>
      </c>
      <c r="D526" s="43">
        <f t="shared" si="62"/>
        <v>11</v>
      </c>
      <c r="E526" s="43" t="str">
        <f>TEXT(Data!B526,"MMM-YYYY")</f>
        <v>Apr-2024</v>
      </c>
      <c r="F526" s="43" t="str">
        <f t="shared" si="58"/>
        <v>Q2-2024</v>
      </c>
      <c r="G526" s="33" t="s">
        <v>16</v>
      </c>
      <c r="H526" s="33" t="s">
        <v>17</v>
      </c>
      <c r="I526" s="33" t="s">
        <v>135</v>
      </c>
      <c r="J526" s="33" t="s">
        <v>105</v>
      </c>
      <c r="K526" s="33" t="s">
        <v>28</v>
      </c>
      <c r="L526" s="33" t="s">
        <v>145</v>
      </c>
      <c r="M526" s="33" t="s">
        <v>30</v>
      </c>
      <c r="N526" s="33" t="s">
        <v>1152</v>
      </c>
      <c r="O526" s="43">
        <v>401.3</v>
      </c>
      <c r="P526" s="44" t="str">
        <f t="shared" si="59"/>
        <v>High</v>
      </c>
      <c r="Q526" s="43">
        <v>826.47</v>
      </c>
      <c r="R526" s="43">
        <v>0.22500000000000001</v>
      </c>
      <c r="S526" s="43">
        <v>13</v>
      </c>
      <c r="T526" s="43">
        <f t="shared" si="56"/>
        <v>2146.5795000000003</v>
      </c>
      <c r="U526" s="33">
        <f t="shared" si="57"/>
        <v>5216.9000000000005</v>
      </c>
      <c r="V526" s="43">
        <f t="shared" si="60"/>
        <v>-3070.3205000000003</v>
      </c>
      <c r="W526" s="45">
        <f t="shared" si="61"/>
        <v>-1.4303316043034977</v>
      </c>
    </row>
    <row r="527" spans="1:23" x14ac:dyDescent="0.3">
      <c r="A527" s="34" t="s">
        <v>1153</v>
      </c>
      <c r="B527" s="35">
        <v>45695</v>
      </c>
      <c r="C527" s="36">
        <v>45704</v>
      </c>
      <c r="D527" s="37">
        <f t="shared" si="62"/>
        <v>9</v>
      </c>
      <c r="E527" s="37" t="str">
        <f>TEXT(Data!B527,"MMM-YYYY")</f>
        <v>Feb-2025</v>
      </c>
      <c r="F527" s="37" t="str">
        <f t="shared" si="58"/>
        <v>Q1-2025</v>
      </c>
      <c r="G527" s="32" t="s">
        <v>16</v>
      </c>
      <c r="H527" s="32" t="s">
        <v>25</v>
      </c>
      <c r="I527" s="32" t="s">
        <v>38</v>
      </c>
      <c r="J527" s="32" t="s">
        <v>62</v>
      </c>
      <c r="K527" s="32" t="s">
        <v>55</v>
      </c>
      <c r="L527" s="32" t="s">
        <v>21</v>
      </c>
      <c r="M527" s="32" t="s">
        <v>30</v>
      </c>
      <c r="N527" s="32" t="s">
        <v>1154</v>
      </c>
      <c r="O527" s="37">
        <v>90.68</v>
      </c>
      <c r="P527" s="38" t="str">
        <f t="shared" si="59"/>
        <v>Medium</v>
      </c>
      <c r="Q527" s="37">
        <v>118.17</v>
      </c>
      <c r="R527" s="37">
        <v>0.13500000000000001</v>
      </c>
      <c r="S527" s="37">
        <v>21</v>
      </c>
      <c r="T527" s="37">
        <f t="shared" si="56"/>
        <v>36886.575600000004</v>
      </c>
      <c r="U527" s="32">
        <f t="shared" si="57"/>
        <v>1904.2800000000002</v>
      </c>
      <c r="V527" s="37">
        <f t="shared" si="60"/>
        <v>34982.295600000005</v>
      </c>
      <c r="W527" s="39">
        <f t="shared" si="61"/>
        <v>0.94837471440422894</v>
      </c>
    </row>
    <row r="528" spans="1:23" x14ac:dyDescent="0.3">
      <c r="A528" s="40" t="s">
        <v>1155</v>
      </c>
      <c r="B528" s="41">
        <v>44938</v>
      </c>
      <c r="C528" s="42">
        <v>44952</v>
      </c>
      <c r="D528" s="43">
        <f t="shared" si="62"/>
        <v>14</v>
      </c>
      <c r="E528" s="43" t="str">
        <f>TEXT(Data!B528,"MMM-YYYY")</f>
        <v>Jan-2023</v>
      </c>
      <c r="F528" s="43" t="str">
        <f t="shared" si="58"/>
        <v>Q1-2023</v>
      </c>
      <c r="G528" s="33" t="s">
        <v>45</v>
      </c>
      <c r="H528" s="33" t="s">
        <v>116</v>
      </c>
      <c r="I528" s="33" t="s">
        <v>117</v>
      </c>
      <c r="J528" s="33" t="s">
        <v>39</v>
      </c>
      <c r="K528" s="33" t="s">
        <v>20</v>
      </c>
      <c r="L528" s="33" t="s">
        <v>110</v>
      </c>
      <c r="M528" s="33" t="s">
        <v>30</v>
      </c>
      <c r="N528" s="33" t="s">
        <v>1156</v>
      </c>
      <c r="O528" s="43">
        <v>1083.0899999999999</v>
      </c>
      <c r="P528" s="44" t="str">
        <f t="shared" si="59"/>
        <v>High</v>
      </c>
      <c r="Q528" s="43">
        <v>1425.87</v>
      </c>
      <c r="R528" s="43">
        <v>0</v>
      </c>
      <c r="S528" s="43">
        <v>8</v>
      </c>
      <c r="T528" s="43">
        <f t="shared" si="56"/>
        <v>7653.6</v>
      </c>
      <c r="U528" s="33">
        <f t="shared" si="57"/>
        <v>8664.7199999999993</v>
      </c>
      <c r="V528" s="43">
        <f t="shared" si="60"/>
        <v>-1011.119999999999</v>
      </c>
      <c r="W528" s="45">
        <f t="shared" si="61"/>
        <v>-0.13211037942928805</v>
      </c>
    </row>
    <row r="529" spans="1:23" x14ac:dyDescent="0.3">
      <c r="A529" s="34" t="s">
        <v>1157</v>
      </c>
      <c r="B529" s="35">
        <v>45448</v>
      </c>
      <c r="C529" s="36">
        <v>45466</v>
      </c>
      <c r="D529" s="37">
        <f t="shared" si="62"/>
        <v>18</v>
      </c>
      <c r="E529" s="37" t="str">
        <f>TEXT(Data!B529,"MMM-YYYY")</f>
        <v>Jun-2024</v>
      </c>
      <c r="F529" s="37" t="str">
        <f t="shared" si="58"/>
        <v>Q2-2024</v>
      </c>
      <c r="G529" s="32" t="s">
        <v>16</v>
      </c>
      <c r="H529" s="32" t="s">
        <v>17</v>
      </c>
      <c r="I529" s="32" t="s">
        <v>33</v>
      </c>
      <c r="J529" s="32" t="s">
        <v>48</v>
      </c>
      <c r="K529" s="32" t="s">
        <v>55</v>
      </c>
      <c r="L529" s="32" t="s">
        <v>145</v>
      </c>
      <c r="M529" s="32" t="s">
        <v>57</v>
      </c>
      <c r="N529" s="32" t="s">
        <v>1158</v>
      </c>
      <c r="O529" s="37">
        <v>1208.74</v>
      </c>
      <c r="P529" s="38" t="str">
        <f t="shared" si="59"/>
        <v>High</v>
      </c>
      <c r="Q529" s="37">
        <v>1594.78</v>
      </c>
      <c r="R529" s="37">
        <v>5.8999999999999997E-2</v>
      </c>
      <c r="S529" s="37">
        <v>39</v>
      </c>
      <c r="T529" s="37">
        <f t="shared" si="56"/>
        <v>53128.40832000001</v>
      </c>
      <c r="U529" s="32">
        <f t="shared" si="57"/>
        <v>47140.86</v>
      </c>
      <c r="V529" s="37">
        <f t="shared" si="60"/>
        <v>5987.548320000009</v>
      </c>
      <c r="W529" s="39">
        <f t="shared" si="61"/>
        <v>0.11269956148387032</v>
      </c>
    </row>
    <row r="530" spans="1:23" x14ac:dyDescent="0.3">
      <c r="A530" s="40" t="s">
        <v>1159</v>
      </c>
      <c r="B530" s="41">
        <v>45162</v>
      </c>
      <c r="C530" s="42">
        <v>45189</v>
      </c>
      <c r="D530" s="43">
        <f t="shared" si="62"/>
        <v>27</v>
      </c>
      <c r="E530" s="43" t="str">
        <f>TEXT(Data!B530,"MMM-YYYY")</f>
        <v>Aug-2023</v>
      </c>
      <c r="F530" s="43" t="str">
        <f t="shared" si="58"/>
        <v>Q3-2023</v>
      </c>
      <c r="G530" s="33" t="s">
        <v>16</v>
      </c>
      <c r="H530" s="33" t="s">
        <v>148</v>
      </c>
      <c r="I530" s="33" t="s">
        <v>172</v>
      </c>
      <c r="J530" s="33" t="s">
        <v>62</v>
      </c>
      <c r="K530" s="33" t="s">
        <v>40</v>
      </c>
      <c r="L530" s="33" t="s">
        <v>110</v>
      </c>
      <c r="M530" s="33" t="s">
        <v>30</v>
      </c>
      <c r="N530" s="33" t="s">
        <v>1160</v>
      </c>
      <c r="O530" s="43">
        <v>1399.64</v>
      </c>
      <c r="P530" s="44" t="str">
        <f t="shared" si="59"/>
        <v>High</v>
      </c>
      <c r="Q530" s="43">
        <v>3342.11</v>
      </c>
      <c r="R530" s="43">
        <v>0</v>
      </c>
      <c r="S530" s="43">
        <v>10</v>
      </c>
      <c r="T530" s="43">
        <f t="shared" si="56"/>
        <v>29496.199999999997</v>
      </c>
      <c r="U530" s="33">
        <f t="shared" si="57"/>
        <v>13996.400000000001</v>
      </c>
      <c r="V530" s="43">
        <f t="shared" si="60"/>
        <v>15499.799999999996</v>
      </c>
      <c r="W530" s="45">
        <f t="shared" si="61"/>
        <v>0.52548463869922213</v>
      </c>
    </row>
    <row r="531" spans="1:23" x14ac:dyDescent="0.3">
      <c r="A531" s="34" t="s">
        <v>1161</v>
      </c>
      <c r="B531" s="35">
        <v>45316</v>
      </c>
      <c r="C531" s="36">
        <v>45330</v>
      </c>
      <c r="D531" s="37">
        <f t="shared" si="62"/>
        <v>14</v>
      </c>
      <c r="E531" s="37" t="str">
        <f>TEXT(Data!B531,"MMM-YYYY")</f>
        <v>Jan-2024</v>
      </c>
      <c r="F531" s="37" t="str">
        <f t="shared" si="58"/>
        <v>Q1-2024</v>
      </c>
      <c r="G531" s="32" t="s">
        <v>45</v>
      </c>
      <c r="H531" s="32" t="s">
        <v>46</v>
      </c>
      <c r="I531" s="32" t="s">
        <v>47</v>
      </c>
      <c r="J531" s="32" t="s">
        <v>48</v>
      </c>
      <c r="K531" s="32" t="s">
        <v>40</v>
      </c>
      <c r="L531" s="32" t="s">
        <v>34</v>
      </c>
      <c r="M531" s="32" t="s">
        <v>35</v>
      </c>
      <c r="N531" s="32" t="s">
        <v>1162</v>
      </c>
      <c r="O531" s="37">
        <v>937.16</v>
      </c>
      <c r="P531" s="38" t="str">
        <f t="shared" si="59"/>
        <v>High</v>
      </c>
      <c r="Q531" s="37">
        <v>1069.77</v>
      </c>
      <c r="R531" s="37">
        <v>3.7999999999999999E-2</v>
      </c>
      <c r="S531" s="37">
        <v>9</v>
      </c>
      <c r="T531" s="37">
        <f t="shared" si="56"/>
        <v>22342.575059999999</v>
      </c>
      <c r="U531" s="32">
        <f t="shared" si="57"/>
        <v>8434.44</v>
      </c>
      <c r="V531" s="37">
        <f t="shared" si="60"/>
        <v>13908.135059999999</v>
      </c>
      <c r="W531" s="39">
        <f t="shared" si="61"/>
        <v>0.62249472241450754</v>
      </c>
    </row>
    <row r="532" spans="1:23" x14ac:dyDescent="0.3">
      <c r="A532" s="40" t="s">
        <v>1163</v>
      </c>
      <c r="B532" s="41">
        <v>45727</v>
      </c>
      <c r="C532" s="42">
        <v>45742</v>
      </c>
      <c r="D532" s="43">
        <f t="shared" si="62"/>
        <v>15</v>
      </c>
      <c r="E532" s="43" t="str">
        <f>TEXT(Data!B532,"MMM-YYYY")</f>
        <v>Mar-2025</v>
      </c>
      <c r="F532" s="43" t="str">
        <f t="shared" si="58"/>
        <v>Q1-2025</v>
      </c>
      <c r="G532" s="33" t="s">
        <v>78</v>
      </c>
      <c r="H532" s="33" t="s">
        <v>79</v>
      </c>
      <c r="I532" s="33" t="s">
        <v>80</v>
      </c>
      <c r="J532" s="33" t="s">
        <v>62</v>
      </c>
      <c r="K532" s="33" t="s">
        <v>28</v>
      </c>
      <c r="L532" s="33" t="s">
        <v>34</v>
      </c>
      <c r="M532" s="33" t="s">
        <v>42</v>
      </c>
      <c r="N532" s="33" t="s">
        <v>1164</v>
      </c>
      <c r="O532" s="43">
        <v>116.97</v>
      </c>
      <c r="P532" s="44" t="str">
        <f t="shared" si="59"/>
        <v>Medium</v>
      </c>
      <c r="Q532" s="43">
        <v>140.82</v>
      </c>
      <c r="R532" s="43">
        <v>0.122</v>
      </c>
      <c r="S532" s="43">
        <v>5</v>
      </c>
      <c r="T532" s="43">
        <f t="shared" si="56"/>
        <v>8687.4149000000016</v>
      </c>
      <c r="U532" s="33">
        <f t="shared" si="57"/>
        <v>584.85</v>
      </c>
      <c r="V532" s="43">
        <f t="shared" si="60"/>
        <v>8102.5649000000012</v>
      </c>
      <c r="W532" s="45">
        <f t="shared" si="61"/>
        <v>0.93267847723032082</v>
      </c>
    </row>
    <row r="533" spans="1:23" x14ac:dyDescent="0.3">
      <c r="A533" s="34" t="s">
        <v>1165</v>
      </c>
      <c r="B533" s="35">
        <v>45769</v>
      </c>
      <c r="C533" s="36">
        <v>45789</v>
      </c>
      <c r="D533" s="37">
        <f t="shared" si="62"/>
        <v>20</v>
      </c>
      <c r="E533" s="37" t="str">
        <f>TEXT(Data!B533,"MMM-YYYY")</f>
        <v>Apr-2025</v>
      </c>
      <c r="F533" s="37" t="str">
        <f t="shared" si="58"/>
        <v>Q2-2025</v>
      </c>
      <c r="G533" s="32" t="s">
        <v>78</v>
      </c>
      <c r="H533" s="32" t="s">
        <v>90</v>
      </c>
      <c r="I533" s="32" t="s">
        <v>138</v>
      </c>
      <c r="J533" s="32" t="s">
        <v>105</v>
      </c>
      <c r="K533" s="32" t="s">
        <v>40</v>
      </c>
      <c r="L533" s="32" t="s">
        <v>95</v>
      </c>
      <c r="M533" s="32" t="s">
        <v>64</v>
      </c>
      <c r="N533" s="32" t="s">
        <v>1166</v>
      </c>
      <c r="O533" s="37">
        <v>59.51</v>
      </c>
      <c r="P533" s="38" t="str">
        <f t="shared" si="59"/>
        <v>Medium</v>
      </c>
      <c r="Q533" s="37">
        <v>67.040000000000006</v>
      </c>
      <c r="R533" s="37">
        <v>0.114</v>
      </c>
      <c r="S533" s="37">
        <v>9</v>
      </c>
      <c r="T533" s="37">
        <f t="shared" si="56"/>
        <v>11813.082300000002</v>
      </c>
      <c r="U533" s="32">
        <f t="shared" si="57"/>
        <v>535.59</v>
      </c>
      <c r="V533" s="37">
        <f t="shared" si="60"/>
        <v>11277.492300000002</v>
      </c>
      <c r="W533" s="39">
        <f t="shared" si="61"/>
        <v>0.95466128260191674</v>
      </c>
    </row>
    <row r="534" spans="1:23" x14ac:dyDescent="0.3">
      <c r="A534" s="40" t="s">
        <v>1167</v>
      </c>
      <c r="B534" s="41">
        <v>45155</v>
      </c>
      <c r="C534" s="42">
        <v>45172</v>
      </c>
      <c r="D534" s="43">
        <f t="shared" si="62"/>
        <v>17</v>
      </c>
      <c r="E534" s="43" t="str">
        <f>TEXT(Data!B534,"MMM-YYYY")</f>
        <v>Aug-2023</v>
      </c>
      <c r="F534" s="43" t="str">
        <f t="shared" si="58"/>
        <v>Q3-2023</v>
      </c>
      <c r="G534" s="33" t="s">
        <v>16</v>
      </c>
      <c r="H534" s="33" t="s">
        <v>148</v>
      </c>
      <c r="I534" s="33" t="s">
        <v>172</v>
      </c>
      <c r="J534" s="33" t="s">
        <v>105</v>
      </c>
      <c r="K534" s="33" t="s">
        <v>20</v>
      </c>
      <c r="L534" s="33" t="s">
        <v>75</v>
      </c>
      <c r="M534" s="33" t="s">
        <v>42</v>
      </c>
      <c r="N534" s="33" t="s">
        <v>1168</v>
      </c>
      <c r="O534" s="43">
        <v>676.37</v>
      </c>
      <c r="P534" s="44" t="str">
        <f t="shared" si="59"/>
        <v>High</v>
      </c>
      <c r="Q534" s="43">
        <v>1276.67</v>
      </c>
      <c r="R534" s="43">
        <v>6.6000000000000003E-2</v>
      </c>
      <c r="S534" s="43">
        <v>10</v>
      </c>
      <c r="T534" s="43">
        <f t="shared" si="56"/>
        <v>15494.3128</v>
      </c>
      <c r="U534" s="33">
        <f t="shared" si="57"/>
        <v>6763.7</v>
      </c>
      <c r="V534" s="43">
        <f t="shared" si="60"/>
        <v>8730.612799999999</v>
      </c>
      <c r="W534" s="45">
        <f t="shared" si="61"/>
        <v>0.56347208893317291</v>
      </c>
    </row>
    <row r="535" spans="1:23" x14ac:dyDescent="0.3">
      <c r="A535" s="34" t="s">
        <v>1169</v>
      </c>
      <c r="B535" s="35">
        <v>45832</v>
      </c>
      <c r="C535" s="36">
        <v>45852</v>
      </c>
      <c r="D535" s="37">
        <f t="shared" si="62"/>
        <v>20</v>
      </c>
      <c r="E535" s="37" t="str">
        <f>TEXT(Data!B535,"MMM-YYYY")</f>
        <v>Jun-2025</v>
      </c>
      <c r="F535" s="37" t="str">
        <f t="shared" si="58"/>
        <v>Q2-2025</v>
      </c>
      <c r="G535" s="32" t="s">
        <v>16</v>
      </c>
      <c r="H535" s="32" t="s">
        <v>148</v>
      </c>
      <c r="I535" s="32" t="s">
        <v>149</v>
      </c>
      <c r="J535" s="32" t="s">
        <v>105</v>
      </c>
      <c r="K535" s="32" t="s">
        <v>40</v>
      </c>
      <c r="L535" s="32" t="s">
        <v>29</v>
      </c>
      <c r="M535" s="32" t="s">
        <v>57</v>
      </c>
      <c r="N535" s="32" t="s">
        <v>1170</v>
      </c>
      <c r="O535" s="37">
        <v>1151.06</v>
      </c>
      <c r="P535" s="38" t="str">
        <f t="shared" si="59"/>
        <v>High</v>
      </c>
      <c r="Q535" s="37">
        <v>2821.36</v>
      </c>
      <c r="R535" s="37">
        <v>0.248</v>
      </c>
      <c r="S535" s="37">
        <v>20</v>
      </c>
      <c r="T535" s="37">
        <f t="shared" si="56"/>
        <v>9059.1936000000005</v>
      </c>
      <c r="U535" s="32">
        <f t="shared" si="57"/>
        <v>23021.199999999997</v>
      </c>
      <c r="V535" s="37">
        <f t="shared" si="60"/>
        <v>-13962.006399999997</v>
      </c>
      <c r="W535" s="39">
        <f t="shared" si="61"/>
        <v>-1.5411974858336173</v>
      </c>
    </row>
    <row r="536" spans="1:23" x14ac:dyDescent="0.3">
      <c r="A536" s="40" t="s">
        <v>1171</v>
      </c>
      <c r="B536" s="41">
        <v>45667</v>
      </c>
      <c r="C536" s="42">
        <v>45694</v>
      </c>
      <c r="D536" s="43">
        <f t="shared" si="62"/>
        <v>27</v>
      </c>
      <c r="E536" s="43" t="str">
        <f>TEXT(Data!B536,"MMM-YYYY")</f>
        <v>Jan-2025</v>
      </c>
      <c r="F536" s="43" t="str">
        <f t="shared" si="58"/>
        <v>Q1-2025</v>
      </c>
      <c r="G536" s="33" t="s">
        <v>52</v>
      </c>
      <c r="H536" s="33" t="s">
        <v>73</v>
      </c>
      <c r="I536" s="33" t="s">
        <v>87</v>
      </c>
      <c r="J536" s="33" t="s">
        <v>39</v>
      </c>
      <c r="K536" s="33" t="s">
        <v>20</v>
      </c>
      <c r="L536" s="33" t="s">
        <v>56</v>
      </c>
      <c r="M536" s="33" t="s">
        <v>57</v>
      </c>
      <c r="N536" s="33" t="s">
        <v>1172</v>
      </c>
      <c r="O536" s="43">
        <v>725.62</v>
      </c>
      <c r="P536" s="44" t="str">
        <f t="shared" si="59"/>
        <v>High</v>
      </c>
      <c r="Q536" s="43">
        <v>1559.19</v>
      </c>
      <c r="R536" s="43">
        <v>0.19</v>
      </c>
      <c r="S536" s="43">
        <v>12</v>
      </c>
      <c r="T536" s="43">
        <f t="shared" si="56"/>
        <v>5128.6608000000006</v>
      </c>
      <c r="U536" s="33">
        <f t="shared" si="57"/>
        <v>8707.44</v>
      </c>
      <c r="V536" s="43">
        <f t="shared" si="60"/>
        <v>-3578.7791999999999</v>
      </c>
      <c r="W536" s="45">
        <f t="shared" si="61"/>
        <v>-0.69779994028850567</v>
      </c>
    </row>
    <row r="537" spans="1:23" x14ac:dyDescent="0.3">
      <c r="A537" s="34" t="s">
        <v>1173</v>
      </c>
      <c r="B537" s="35">
        <v>45108</v>
      </c>
      <c r="C537" s="36">
        <v>45118</v>
      </c>
      <c r="D537" s="37">
        <f t="shared" si="62"/>
        <v>10</v>
      </c>
      <c r="E537" s="37" t="str">
        <f>TEXT(Data!B537,"MMM-YYYY")</f>
        <v>Jul-2023</v>
      </c>
      <c r="F537" s="37" t="str">
        <f t="shared" si="58"/>
        <v>Q3-2023</v>
      </c>
      <c r="G537" s="32" t="s">
        <v>78</v>
      </c>
      <c r="H537" s="32" t="s">
        <v>90</v>
      </c>
      <c r="I537" s="32" t="s">
        <v>217</v>
      </c>
      <c r="J537" s="32" t="s">
        <v>19</v>
      </c>
      <c r="K537" s="32" t="s">
        <v>98</v>
      </c>
      <c r="L537" s="32" t="s">
        <v>84</v>
      </c>
      <c r="M537" s="32" t="s">
        <v>35</v>
      </c>
      <c r="N537" s="32" t="s">
        <v>1174</v>
      </c>
      <c r="O537" s="37">
        <v>479.5</v>
      </c>
      <c r="P537" s="38" t="str">
        <f t="shared" si="59"/>
        <v>High</v>
      </c>
      <c r="Q537" s="37">
        <v>656.66</v>
      </c>
      <c r="R537" s="37">
        <v>0.14899999999999999</v>
      </c>
      <c r="S537" s="37">
        <v>14</v>
      </c>
      <c r="T537" s="37">
        <f t="shared" si="56"/>
        <v>21944.3966</v>
      </c>
      <c r="U537" s="32">
        <f t="shared" si="57"/>
        <v>6713</v>
      </c>
      <c r="V537" s="37">
        <f t="shared" si="60"/>
        <v>15231.3966</v>
      </c>
      <c r="W537" s="39">
        <f t="shared" si="61"/>
        <v>0.69409047228029042</v>
      </c>
    </row>
    <row r="538" spans="1:23" x14ac:dyDescent="0.3">
      <c r="A538" s="40" t="s">
        <v>1175</v>
      </c>
      <c r="B538" s="41">
        <v>45520</v>
      </c>
      <c r="C538" s="42">
        <v>45530</v>
      </c>
      <c r="D538" s="43">
        <f t="shared" si="62"/>
        <v>10</v>
      </c>
      <c r="E538" s="43" t="str">
        <f>TEXT(Data!B538,"MMM-YYYY")</f>
        <v>Aug-2024</v>
      </c>
      <c r="F538" s="43" t="str">
        <f t="shared" si="58"/>
        <v>Q3-2024</v>
      </c>
      <c r="G538" s="33" t="s">
        <v>52</v>
      </c>
      <c r="H538" s="33" t="s">
        <v>122</v>
      </c>
      <c r="I538" s="33" t="s">
        <v>123</v>
      </c>
      <c r="J538" s="33" t="s">
        <v>19</v>
      </c>
      <c r="K538" s="33" t="s">
        <v>55</v>
      </c>
      <c r="L538" s="33" t="s">
        <v>49</v>
      </c>
      <c r="M538" s="33" t="s">
        <v>57</v>
      </c>
      <c r="N538" s="33" t="s">
        <v>878</v>
      </c>
      <c r="O538" s="43">
        <v>1291.7</v>
      </c>
      <c r="P538" s="44" t="str">
        <f t="shared" si="59"/>
        <v>High</v>
      </c>
      <c r="Q538" s="43">
        <v>2657.84</v>
      </c>
      <c r="R538" s="43">
        <v>8.6999999999999994E-2</v>
      </c>
      <c r="S538" s="43">
        <v>21</v>
      </c>
      <c r="T538" s="43">
        <f t="shared" si="56"/>
        <v>31548.788040000003</v>
      </c>
      <c r="U538" s="33">
        <f t="shared" si="57"/>
        <v>27125.7</v>
      </c>
      <c r="V538" s="43">
        <f t="shared" si="60"/>
        <v>4423.0880400000024</v>
      </c>
      <c r="W538" s="45">
        <f t="shared" si="61"/>
        <v>0.14019835038962727</v>
      </c>
    </row>
    <row r="539" spans="1:23" x14ac:dyDescent="0.3">
      <c r="A539" s="34" t="s">
        <v>1176</v>
      </c>
      <c r="B539" s="35">
        <v>45114</v>
      </c>
      <c r="C539" s="36">
        <v>45120</v>
      </c>
      <c r="D539" s="37">
        <f t="shared" si="62"/>
        <v>6</v>
      </c>
      <c r="E539" s="37" t="str">
        <f>TEXT(Data!B539,"MMM-YYYY")</f>
        <v>Jul-2023</v>
      </c>
      <c r="F539" s="37" t="str">
        <f t="shared" si="58"/>
        <v>Q3-2023</v>
      </c>
      <c r="G539" s="32" t="s">
        <v>16</v>
      </c>
      <c r="H539" s="32" t="s">
        <v>148</v>
      </c>
      <c r="I539" s="32" t="s">
        <v>258</v>
      </c>
      <c r="J539" s="32" t="s">
        <v>62</v>
      </c>
      <c r="K539" s="32" t="s">
        <v>40</v>
      </c>
      <c r="L539" s="32" t="s">
        <v>56</v>
      </c>
      <c r="M539" s="32" t="s">
        <v>81</v>
      </c>
      <c r="N539" s="32" t="s">
        <v>1177</v>
      </c>
      <c r="O539" s="37">
        <v>612.59</v>
      </c>
      <c r="P539" s="38" t="str">
        <f t="shared" si="59"/>
        <v>High</v>
      </c>
      <c r="Q539" s="37">
        <v>1424.74</v>
      </c>
      <c r="R539" s="37">
        <v>4.3999999999999997E-2</v>
      </c>
      <c r="S539" s="37">
        <v>15</v>
      </c>
      <c r="T539" s="37">
        <f t="shared" si="56"/>
        <v>10428.334800000001</v>
      </c>
      <c r="U539" s="32">
        <f t="shared" si="57"/>
        <v>9188.85</v>
      </c>
      <c r="V539" s="37">
        <f t="shared" si="60"/>
        <v>1239.4848000000002</v>
      </c>
      <c r="W539" s="39">
        <f t="shared" si="61"/>
        <v>0.11885740377265219</v>
      </c>
    </row>
    <row r="540" spans="1:23" x14ac:dyDescent="0.3">
      <c r="A540" s="40" t="s">
        <v>1178</v>
      </c>
      <c r="B540" s="41">
        <v>45288</v>
      </c>
      <c r="C540" s="42">
        <v>45292</v>
      </c>
      <c r="D540" s="43">
        <f t="shared" si="62"/>
        <v>4</v>
      </c>
      <c r="E540" s="43" t="str">
        <f>TEXT(Data!B540,"MMM-YYYY")</f>
        <v>Dec-2023</v>
      </c>
      <c r="F540" s="43" t="str">
        <f t="shared" si="58"/>
        <v>Q4-2023</v>
      </c>
      <c r="G540" s="33" t="s">
        <v>16</v>
      </c>
      <c r="H540" s="33" t="s">
        <v>148</v>
      </c>
      <c r="I540" s="33" t="s">
        <v>258</v>
      </c>
      <c r="J540" s="33" t="s">
        <v>27</v>
      </c>
      <c r="K540" s="33" t="s">
        <v>55</v>
      </c>
      <c r="L540" s="33" t="s">
        <v>75</v>
      </c>
      <c r="M540" s="33" t="s">
        <v>30</v>
      </c>
      <c r="N540" s="33" t="s">
        <v>1179</v>
      </c>
      <c r="O540" s="43">
        <v>1141.8</v>
      </c>
      <c r="P540" s="44" t="str">
        <f t="shared" si="59"/>
        <v>High</v>
      </c>
      <c r="Q540" s="43">
        <v>2318.7399999999998</v>
      </c>
      <c r="R540" s="43">
        <v>0.107</v>
      </c>
      <c r="S540" s="43">
        <v>32</v>
      </c>
      <c r="T540" s="43">
        <f t="shared" si="56"/>
        <v>35256.783040000002</v>
      </c>
      <c r="U540" s="33">
        <f t="shared" si="57"/>
        <v>36537.599999999999</v>
      </c>
      <c r="V540" s="43">
        <f t="shared" si="60"/>
        <v>-1280.8169599999965</v>
      </c>
      <c r="W540" s="45">
        <f t="shared" si="61"/>
        <v>-3.6328242385213268E-2</v>
      </c>
    </row>
    <row r="541" spans="1:23" x14ac:dyDescent="0.3">
      <c r="A541" s="34" t="s">
        <v>1180</v>
      </c>
      <c r="B541" s="35">
        <v>44952</v>
      </c>
      <c r="C541" s="36">
        <v>44972</v>
      </c>
      <c r="D541" s="37">
        <f t="shared" si="62"/>
        <v>20</v>
      </c>
      <c r="E541" s="37" t="str">
        <f>TEXT(Data!B541,"MMM-YYYY")</f>
        <v>Jan-2023</v>
      </c>
      <c r="F541" s="37" t="str">
        <f t="shared" si="58"/>
        <v>Q1-2023</v>
      </c>
      <c r="G541" s="32" t="s">
        <v>78</v>
      </c>
      <c r="H541" s="32" t="s">
        <v>79</v>
      </c>
      <c r="I541" s="32" t="s">
        <v>80</v>
      </c>
      <c r="J541" s="32" t="s">
        <v>62</v>
      </c>
      <c r="K541" s="32" t="s">
        <v>28</v>
      </c>
      <c r="L541" s="32" t="s">
        <v>68</v>
      </c>
      <c r="M541" s="32" t="s">
        <v>35</v>
      </c>
      <c r="N541" s="32" t="s">
        <v>1181</v>
      </c>
      <c r="O541" s="37">
        <v>492.62</v>
      </c>
      <c r="P541" s="38" t="str">
        <f t="shared" si="59"/>
        <v>High</v>
      </c>
      <c r="Q541" s="37">
        <v>366.7</v>
      </c>
      <c r="R541" s="37">
        <v>8.8999999999999996E-2</v>
      </c>
      <c r="S541" s="37">
        <v>10</v>
      </c>
      <c r="T541" s="37">
        <f t="shared" si="56"/>
        <v>14063.653600000001</v>
      </c>
      <c r="U541" s="32">
        <f t="shared" si="57"/>
        <v>4926.2</v>
      </c>
      <c r="V541" s="37">
        <f t="shared" si="60"/>
        <v>9137.4536000000007</v>
      </c>
      <c r="W541" s="39">
        <f t="shared" si="61"/>
        <v>0.6497211791393952</v>
      </c>
    </row>
    <row r="542" spans="1:23" x14ac:dyDescent="0.3">
      <c r="A542" s="40" t="s">
        <v>1182</v>
      </c>
      <c r="B542" s="41">
        <v>45115</v>
      </c>
      <c r="C542" s="42">
        <v>45116</v>
      </c>
      <c r="D542" s="43">
        <f t="shared" si="62"/>
        <v>1</v>
      </c>
      <c r="E542" s="43" t="str">
        <f>TEXT(Data!B542,"MMM-YYYY")</f>
        <v>Jul-2023</v>
      </c>
      <c r="F542" s="43" t="str">
        <f t="shared" si="58"/>
        <v>Q3-2023</v>
      </c>
      <c r="G542" s="33" t="s">
        <v>16</v>
      </c>
      <c r="H542" s="33" t="s">
        <v>17</v>
      </c>
      <c r="I542" s="33" t="s">
        <v>33</v>
      </c>
      <c r="J542" s="33" t="s">
        <v>48</v>
      </c>
      <c r="K542" s="33" t="s">
        <v>28</v>
      </c>
      <c r="L542" s="33" t="s">
        <v>145</v>
      </c>
      <c r="M542" s="33" t="s">
        <v>57</v>
      </c>
      <c r="N542" s="33" t="s">
        <v>1183</v>
      </c>
      <c r="O542" s="43">
        <v>1258.72</v>
      </c>
      <c r="P542" s="44" t="str">
        <f t="shared" si="59"/>
        <v>High</v>
      </c>
      <c r="Q542" s="43">
        <v>2797.41</v>
      </c>
      <c r="R542" s="43">
        <v>0</v>
      </c>
      <c r="S542" s="43">
        <v>7</v>
      </c>
      <c r="T542" s="43">
        <f t="shared" si="56"/>
        <v>14806.33</v>
      </c>
      <c r="U542" s="33">
        <f t="shared" si="57"/>
        <v>8811.0400000000009</v>
      </c>
      <c r="V542" s="43">
        <f t="shared" si="60"/>
        <v>5995.2899999999991</v>
      </c>
      <c r="W542" s="45">
        <f t="shared" si="61"/>
        <v>0.40491397935882822</v>
      </c>
    </row>
    <row r="543" spans="1:23" x14ac:dyDescent="0.3">
      <c r="A543" s="34" t="s">
        <v>1184</v>
      </c>
      <c r="B543" s="35">
        <v>45450</v>
      </c>
      <c r="C543" s="36">
        <v>45452</v>
      </c>
      <c r="D543" s="37">
        <f t="shared" si="62"/>
        <v>2</v>
      </c>
      <c r="E543" s="37" t="str">
        <f>TEXT(Data!B543,"MMM-YYYY")</f>
        <v>Jun-2024</v>
      </c>
      <c r="F543" s="37" t="str">
        <f t="shared" si="58"/>
        <v>Q2-2024</v>
      </c>
      <c r="G543" s="32" t="s">
        <v>45</v>
      </c>
      <c r="H543" s="32" t="s">
        <v>116</v>
      </c>
      <c r="I543" s="32" t="s">
        <v>162</v>
      </c>
      <c r="J543" s="32" t="s">
        <v>19</v>
      </c>
      <c r="K543" s="32" t="s">
        <v>20</v>
      </c>
      <c r="L543" s="32" t="s">
        <v>68</v>
      </c>
      <c r="M543" s="32" t="s">
        <v>64</v>
      </c>
      <c r="N543" s="32" t="s">
        <v>1185</v>
      </c>
      <c r="O543" s="37">
        <v>1370.28</v>
      </c>
      <c r="P543" s="38" t="str">
        <f t="shared" si="59"/>
        <v>High</v>
      </c>
      <c r="Q543" s="37">
        <v>2209.66</v>
      </c>
      <c r="R543" s="37">
        <v>0.13300000000000001</v>
      </c>
      <c r="S543" s="37">
        <v>16</v>
      </c>
      <c r="T543" s="37">
        <f t="shared" si="56"/>
        <v>25485.499680000001</v>
      </c>
      <c r="U543" s="32">
        <f t="shared" si="57"/>
        <v>21924.48</v>
      </c>
      <c r="V543" s="37">
        <f t="shared" si="60"/>
        <v>3561.0196800000012</v>
      </c>
      <c r="W543" s="39">
        <f t="shared" si="61"/>
        <v>0.13972728511164123</v>
      </c>
    </row>
    <row r="544" spans="1:23" x14ac:dyDescent="0.3">
      <c r="A544" s="40" t="s">
        <v>1186</v>
      </c>
      <c r="B544" s="41">
        <v>44968</v>
      </c>
      <c r="C544" s="42">
        <v>44969</v>
      </c>
      <c r="D544" s="43">
        <f t="shared" si="62"/>
        <v>1</v>
      </c>
      <c r="E544" s="43" t="str">
        <f>TEXT(Data!B544,"MMM-YYYY")</f>
        <v>Feb-2023</v>
      </c>
      <c r="F544" s="43" t="str">
        <f t="shared" si="58"/>
        <v>Q1-2023</v>
      </c>
      <c r="G544" s="33" t="s">
        <v>16</v>
      </c>
      <c r="H544" s="33" t="s">
        <v>25</v>
      </c>
      <c r="I544" s="33" t="s">
        <v>26</v>
      </c>
      <c r="J544" s="33" t="s">
        <v>39</v>
      </c>
      <c r="K544" s="33" t="s">
        <v>98</v>
      </c>
      <c r="L544" s="33" t="s">
        <v>145</v>
      </c>
      <c r="M544" s="33" t="s">
        <v>81</v>
      </c>
      <c r="N544" s="33" t="s">
        <v>1187</v>
      </c>
      <c r="O544" s="43">
        <v>944.61</v>
      </c>
      <c r="P544" s="44" t="str">
        <f t="shared" si="59"/>
        <v>High</v>
      </c>
      <c r="Q544" s="43">
        <v>839.04</v>
      </c>
      <c r="R544" s="43">
        <v>5.8999999999999997E-2</v>
      </c>
      <c r="S544" s="43">
        <v>6</v>
      </c>
      <c r="T544" s="43">
        <f t="shared" si="56"/>
        <v>16141.518779999999</v>
      </c>
      <c r="U544" s="33">
        <f t="shared" si="57"/>
        <v>5667.66</v>
      </c>
      <c r="V544" s="43">
        <f t="shared" si="60"/>
        <v>10473.858779999999</v>
      </c>
      <c r="W544" s="45">
        <f t="shared" si="61"/>
        <v>0.64887690698458544</v>
      </c>
    </row>
    <row r="545" spans="1:23" x14ac:dyDescent="0.3">
      <c r="A545" s="34" t="s">
        <v>1188</v>
      </c>
      <c r="B545" s="35">
        <v>45108</v>
      </c>
      <c r="C545" s="36">
        <v>45115</v>
      </c>
      <c r="D545" s="37">
        <f t="shared" si="62"/>
        <v>7</v>
      </c>
      <c r="E545" s="37" t="str">
        <f>TEXT(Data!B545,"MMM-YYYY")</f>
        <v>Jul-2023</v>
      </c>
      <c r="F545" s="37" t="str">
        <f t="shared" si="58"/>
        <v>Q3-2023</v>
      </c>
      <c r="G545" s="32" t="s">
        <v>78</v>
      </c>
      <c r="H545" s="32" t="s">
        <v>79</v>
      </c>
      <c r="I545" s="32" t="s">
        <v>335</v>
      </c>
      <c r="J545" s="32" t="s">
        <v>62</v>
      </c>
      <c r="K545" s="32" t="s">
        <v>55</v>
      </c>
      <c r="L545" s="32" t="s">
        <v>126</v>
      </c>
      <c r="M545" s="32" t="s">
        <v>57</v>
      </c>
      <c r="N545" s="32" t="s">
        <v>1189</v>
      </c>
      <c r="O545" s="37">
        <v>460.21</v>
      </c>
      <c r="P545" s="38" t="str">
        <f t="shared" si="59"/>
        <v>High</v>
      </c>
      <c r="Q545" s="37">
        <v>1139.1500000000001</v>
      </c>
      <c r="R545" s="37">
        <v>0.115</v>
      </c>
      <c r="S545" s="37">
        <v>14</v>
      </c>
      <c r="T545" s="37">
        <f t="shared" si="56"/>
        <v>3592.1088</v>
      </c>
      <c r="U545" s="32">
        <f t="shared" si="57"/>
        <v>6442.94</v>
      </c>
      <c r="V545" s="37">
        <f t="shared" si="60"/>
        <v>-2850.8311999999996</v>
      </c>
      <c r="W545" s="39">
        <f t="shared" si="61"/>
        <v>-0.79363720831618456</v>
      </c>
    </row>
    <row r="546" spans="1:23" x14ac:dyDescent="0.3">
      <c r="A546" s="40" t="s">
        <v>1190</v>
      </c>
      <c r="B546" s="41">
        <v>45889</v>
      </c>
      <c r="C546" s="42">
        <v>45895</v>
      </c>
      <c r="D546" s="43">
        <f t="shared" si="62"/>
        <v>6</v>
      </c>
      <c r="E546" s="43" t="str">
        <f>TEXT(Data!B546,"MMM-YYYY")</f>
        <v>Aug-2025</v>
      </c>
      <c r="F546" s="43" t="str">
        <f t="shared" si="58"/>
        <v>Q3-2025</v>
      </c>
      <c r="G546" s="33" t="s">
        <v>52</v>
      </c>
      <c r="H546" s="33" t="s">
        <v>122</v>
      </c>
      <c r="I546" s="33" t="s">
        <v>387</v>
      </c>
      <c r="J546" s="33" t="s">
        <v>19</v>
      </c>
      <c r="K546" s="33" t="s">
        <v>20</v>
      </c>
      <c r="L546" s="33" t="s">
        <v>110</v>
      </c>
      <c r="M546" s="33" t="s">
        <v>35</v>
      </c>
      <c r="N546" s="33" t="s">
        <v>1191</v>
      </c>
      <c r="O546" s="43">
        <v>1304.95</v>
      </c>
      <c r="P546" s="44" t="str">
        <f t="shared" si="59"/>
        <v>High</v>
      </c>
      <c r="Q546" s="43">
        <v>1712.03</v>
      </c>
      <c r="R546" s="43">
        <v>0.21199999999999999</v>
      </c>
      <c r="S546" s="43">
        <v>8</v>
      </c>
      <c r="T546" s="43">
        <f t="shared" si="56"/>
        <v>6286.3488000000007</v>
      </c>
      <c r="U546" s="33">
        <f t="shared" si="57"/>
        <v>10439.6</v>
      </c>
      <c r="V546" s="43">
        <f t="shared" si="60"/>
        <v>-4153.2511999999997</v>
      </c>
      <c r="W546" s="45">
        <f t="shared" si="61"/>
        <v>-0.66067781666839731</v>
      </c>
    </row>
    <row r="547" spans="1:23" x14ac:dyDescent="0.3">
      <c r="A547" s="34" t="s">
        <v>1192</v>
      </c>
      <c r="B547" s="35">
        <v>45355</v>
      </c>
      <c r="C547" s="36">
        <v>45367</v>
      </c>
      <c r="D547" s="37">
        <f t="shared" si="62"/>
        <v>12</v>
      </c>
      <c r="E547" s="37" t="str">
        <f>TEXT(Data!B547,"MMM-YYYY")</f>
        <v>Mar-2024</v>
      </c>
      <c r="F547" s="37" t="str">
        <f t="shared" si="58"/>
        <v>Q1-2024</v>
      </c>
      <c r="G547" s="32" t="s">
        <v>16</v>
      </c>
      <c r="H547" s="32" t="s">
        <v>148</v>
      </c>
      <c r="I547" s="32" t="s">
        <v>149</v>
      </c>
      <c r="J547" s="32" t="s">
        <v>105</v>
      </c>
      <c r="K547" s="32" t="s">
        <v>55</v>
      </c>
      <c r="L547" s="32" t="s">
        <v>110</v>
      </c>
      <c r="M547" s="32" t="s">
        <v>64</v>
      </c>
      <c r="N547" s="32" t="s">
        <v>1193</v>
      </c>
      <c r="O547" s="37">
        <v>441.08</v>
      </c>
      <c r="P547" s="38" t="str">
        <f t="shared" si="59"/>
        <v>High</v>
      </c>
      <c r="Q547" s="37">
        <v>1054.29</v>
      </c>
      <c r="R547" s="37">
        <v>0.23699999999999999</v>
      </c>
      <c r="S547" s="37">
        <v>6</v>
      </c>
      <c r="T547" s="37">
        <f t="shared" si="56"/>
        <v>216.49362000000002</v>
      </c>
      <c r="U547" s="32">
        <f t="shared" si="57"/>
        <v>2646.48</v>
      </c>
      <c r="V547" s="37">
        <f t="shared" si="60"/>
        <v>-2429.9863799999998</v>
      </c>
      <c r="W547" s="39">
        <f t="shared" si="61"/>
        <v>-11.224286332317782</v>
      </c>
    </row>
    <row r="548" spans="1:23" x14ac:dyDescent="0.3">
      <c r="A548" s="40" t="s">
        <v>1194</v>
      </c>
      <c r="B548" s="41">
        <v>45177</v>
      </c>
      <c r="C548" s="42">
        <v>45201</v>
      </c>
      <c r="D548" s="43">
        <f t="shared" si="62"/>
        <v>24</v>
      </c>
      <c r="E548" s="43" t="str">
        <f>TEXT(Data!B548,"MMM-YYYY")</f>
        <v>Sep-2023</v>
      </c>
      <c r="F548" s="43" t="str">
        <f t="shared" si="58"/>
        <v>Q3-2023</v>
      </c>
      <c r="G548" s="33" t="s">
        <v>52</v>
      </c>
      <c r="H548" s="33" t="s">
        <v>53</v>
      </c>
      <c r="I548" s="33" t="s">
        <v>54</v>
      </c>
      <c r="J548" s="33" t="s">
        <v>27</v>
      </c>
      <c r="K548" s="33" t="s">
        <v>98</v>
      </c>
      <c r="L548" s="33" t="s">
        <v>75</v>
      </c>
      <c r="M548" s="33" t="s">
        <v>81</v>
      </c>
      <c r="N548" s="33" t="s">
        <v>1195</v>
      </c>
      <c r="O548" s="43">
        <v>1299.03</v>
      </c>
      <c r="P548" s="44" t="str">
        <f t="shared" si="59"/>
        <v>High</v>
      </c>
      <c r="Q548" s="43">
        <v>2451.2199999999998</v>
      </c>
      <c r="R548" s="43">
        <v>0.20799999999999999</v>
      </c>
      <c r="S548" s="43">
        <v>8</v>
      </c>
      <c r="T548" s="43">
        <f t="shared" si="56"/>
        <v>4778.8646400000007</v>
      </c>
      <c r="U548" s="33">
        <f t="shared" si="57"/>
        <v>10392.24</v>
      </c>
      <c r="V548" s="43">
        <f t="shared" si="60"/>
        <v>-5613.3753599999991</v>
      </c>
      <c r="W548" s="45">
        <f t="shared" si="61"/>
        <v>-1.1746253101657214</v>
      </c>
    </row>
    <row r="549" spans="1:23" x14ac:dyDescent="0.3">
      <c r="A549" s="34" t="s">
        <v>1196</v>
      </c>
      <c r="B549" s="35">
        <v>44985</v>
      </c>
      <c r="C549" s="36">
        <v>44991</v>
      </c>
      <c r="D549" s="37">
        <f t="shared" si="62"/>
        <v>6</v>
      </c>
      <c r="E549" s="37" t="str">
        <f>TEXT(Data!B549,"MMM-YYYY")</f>
        <v>Feb-2023</v>
      </c>
      <c r="F549" s="37" t="str">
        <f t="shared" si="58"/>
        <v>Q1-2023</v>
      </c>
      <c r="G549" s="32" t="s">
        <v>78</v>
      </c>
      <c r="H549" s="32" t="s">
        <v>79</v>
      </c>
      <c r="I549" s="32" t="s">
        <v>335</v>
      </c>
      <c r="J549" s="32" t="s">
        <v>62</v>
      </c>
      <c r="K549" s="32" t="s">
        <v>40</v>
      </c>
      <c r="L549" s="32" t="s">
        <v>145</v>
      </c>
      <c r="M549" s="32" t="s">
        <v>30</v>
      </c>
      <c r="N549" s="32" t="s">
        <v>1197</v>
      </c>
      <c r="O549" s="37">
        <v>880.02</v>
      </c>
      <c r="P549" s="38" t="str">
        <f t="shared" si="59"/>
        <v>High</v>
      </c>
      <c r="Q549" s="37">
        <v>1251.21</v>
      </c>
      <c r="R549" s="37">
        <v>0.123</v>
      </c>
      <c r="S549" s="37">
        <v>29</v>
      </c>
      <c r="T549" s="37">
        <f t="shared" si="56"/>
        <v>22927.340840000001</v>
      </c>
      <c r="U549" s="32">
        <f t="shared" si="57"/>
        <v>25520.579999999998</v>
      </c>
      <c r="V549" s="37">
        <f t="shared" si="60"/>
        <v>-2593.2391599999974</v>
      </c>
      <c r="W549" s="39">
        <f t="shared" si="61"/>
        <v>-0.1131068438375428</v>
      </c>
    </row>
    <row r="550" spans="1:23" x14ac:dyDescent="0.3">
      <c r="A550" s="40" t="s">
        <v>1198</v>
      </c>
      <c r="B550" s="41">
        <v>45486</v>
      </c>
      <c r="C550" s="42">
        <v>45507</v>
      </c>
      <c r="D550" s="43">
        <f t="shared" si="62"/>
        <v>21</v>
      </c>
      <c r="E550" s="43" t="str">
        <f>TEXT(Data!B550,"MMM-YYYY")</f>
        <v>Jul-2024</v>
      </c>
      <c r="F550" s="43" t="str">
        <f t="shared" si="58"/>
        <v>Q3-2024</v>
      </c>
      <c r="G550" s="33" t="s">
        <v>52</v>
      </c>
      <c r="H550" s="33" t="s">
        <v>73</v>
      </c>
      <c r="I550" s="33" t="s">
        <v>225</v>
      </c>
      <c r="J550" s="33" t="s">
        <v>19</v>
      </c>
      <c r="K550" s="33" t="s">
        <v>40</v>
      </c>
      <c r="L550" s="33" t="s">
        <v>110</v>
      </c>
      <c r="M550" s="33" t="s">
        <v>64</v>
      </c>
      <c r="N550" s="33" t="s">
        <v>1199</v>
      </c>
      <c r="O550" s="43">
        <v>702.98</v>
      </c>
      <c r="P550" s="44" t="str">
        <f t="shared" si="59"/>
        <v>High</v>
      </c>
      <c r="Q550" s="43">
        <v>1104.8</v>
      </c>
      <c r="R550" s="43">
        <v>0.17499999999999999</v>
      </c>
      <c r="S550" s="43">
        <v>12</v>
      </c>
      <c r="T550" s="43">
        <f t="shared" si="56"/>
        <v>1119.492</v>
      </c>
      <c r="U550" s="33">
        <f t="shared" si="57"/>
        <v>8435.76</v>
      </c>
      <c r="V550" s="43">
        <f t="shared" si="60"/>
        <v>-7316.268</v>
      </c>
      <c r="W550" s="45">
        <f t="shared" si="61"/>
        <v>-6.5353463892551265</v>
      </c>
    </row>
    <row r="551" spans="1:23" x14ac:dyDescent="0.3">
      <c r="A551" s="34" t="s">
        <v>1200</v>
      </c>
      <c r="B551" s="35">
        <v>45633</v>
      </c>
      <c r="C551" s="36">
        <v>45652</v>
      </c>
      <c r="D551" s="37">
        <f t="shared" si="62"/>
        <v>19</v>
      </c>
      <c r="E551" s="37" t="str">
        <f>TEXT(Data!B551,"MMM-YYYY")</f>
        <v>Dec-2024</v>
      </c>
      <c r="F551" s="37" t="str">
        <f t="shared" si="58"/>
        <v>Q4-2024</v>
      </c>
      <c r="G551" s="32" t="s">
        <v>78</v>
      </c>
      <c r="H551" s="32" t="s">
        <v>108</v>
      </c>
      <c r="I551" s="32" t="s">
        <v>152</v>
      </c>
      <c r="J551" s="32" t="s">
        <v>105</v>
      </c>
      <c r="K551" s="32" t="s">
        <v>28</v>
      </c>
      <c r="L551" s="32" t="s">
        <v>145</v>
      </c>
      <c r="M551" s="32" t="s">
        <v>35</v>
      </c>
      <c r="N551" s="32" t="s">
        <v>1201</v>
      </c>
      <c r="O551" s="37">
        <v>1035.24</v>
      </c>
      <c r="P551" s="38" t="str">
        <f t="shared" si="59"/>
        <v>High</v>
      </c>
      <c r="Q551" s="37">
        <v>2383.41</v>
      </c>
      <c r="R551" s="37">
        <v>0.17</v>
      </c>
      <c r="S551" s="37">
        <v>15</v>
      </c>
      <c r="T551" s="37">
        <f t="shared" si="56"/>
        <v>10814.319</v>
      </c>
      <c r="U551" s="32">
        <f t="shared" si="57"/>
        <v>15528.6</v>
      </c>
      <c r="V551" s="37">
        <f t="shared" si="60"/>
        <v>-4714.2810000000009</v>
      </c>
      <c r="W551" s="39">
        <f t="shared" si="61"/>
        <v>-0.43592953009801183</v>
      </c>
    </row>
    <row r="552" spans="1:23" x14ac:dyDescent="0.3">
      <c r="A552" s="40" t="s">
        <v>1202</v>
      </c>
      <c r="B552" s="41">
        <v>45875</v>
      </c>
      <c r="C552" s="42">
        <v>45892</v>
      </c>
      <c r="D552" s="43">
        <f t="shared" si="62"/>
        <v>17</v>
      </c>
      <c r="E552" s="43" t="str">
        <f>TEXT(Data!B552,"MMM-YYYY")</f>
        <v>Aug-2025</v>
      </c>
      <c r="F552" s="43" t="str">
        <f t="shared" si="58"/>
        <v>Q3-2025</v>
      </c>
      <c r="G552" s="33" t="s">
        <v>52</v>
      </c>
      <c r="H552" s="33" t="s">
        <v>73</v>
      </c>
      <c r="I552" s="33" t="s">
        <v>87</v>
      </c>
      <c r="J552" s="33" t="s">
        <v>48</v>
      </c>
      <c r="K552" s="33" t="s">
        <v>55</v>
      </c>
      <c r="L552" s="33" t="s">
        <v>75</v>
      </c>
      <c r="M552" s="33" t="s">
        <v>64</v>
      </c>
      <c r="N552" s="33" t="s">
        <v>1203</v>
      </c>
      <c r="O552" s="43">
        <v>86.64</v>
      </c>
      <c r="P552" s="44" t="str">
        <f t="shared" si="59"/>
        <v>High</v>
      </c>
      <c r="Q552" s="43">
        <v>213.06</v>
      </c>
      <c r="R552" s="43">
        <v>0.21199999999999999</v>
      </c>
      <c r="S552" s="43">
        <v>11</v>
      </c>
      <c r="T552" s="43">
        <f t="shared" si="56"/>
        <v>3015.5971999999997</v>
      </c>
      <c r="U552" s="33">
        <f t="shared" si="57"/>
        <v>953.04</v>
      </c>
      <c r="V552" s="43">
        <f t="shared" si="60"/>
        <v>2062.5571999999997</v>
      </c>
      <c r="W552" s="45">
        <f t="shared" si="61"/>
        <v>0.68396309692819712</v>
      </c>
    </row>
    <row r="553" spans="1:23" x14ac:dyDescent="0.3">
      <c r="A553" s="34" t="s">
        <v>1204</v>
      </c>
      <c r="B553" s="35">
        <v>44988</v>
      </c>
      <c r="C553" s="36">
        <v>45005</v>
      </c>
      <c r="D553" s="37">
        <f t="shared" si="62"/>
        <v>17</v>
      </c>
      <c r="E553" s="37" t="str">
        <f>TEXT(Data!B553,"MMM-YYYY")</f>
        <v>Mar-2023</v>
      </c>
      <c r="F553" s="37" t="str">
        <f t="shared" si="58"/>
        <v>Q1-2023</v>
      </c>
      <c r="G553" s="32" t="s">
        <v>45</v>
      </c>
      <c r="H553" s="32" t="s">
        <v>46</v>
      </c>
      <c r="I553" s="32" t="s">
        <v>231</v>
      </c>
      <c r="J553" s="32" t="s">
        <v>62</v>
      </c>
      <c r="K553" s="32" t="s">
        <v>28</v>
      </c>
      <c r="L553" s="32" t="s">
        <v>145</v>
      </c>
      <c r="M553" s="32" t="s">
        <v>35</v>
      </c>
      <c r="N553" s="32" t="s">
        <v>1205</v>
      </c>
      <c r="O553" s="37">
        <v>1171.17</v>
      </c>
      <c r="P553" s="38" t="str">
        <f t="shared" si="59"/>
        <v>High</v>
      </c>
      <c r="Q553" s="37">
        <v>2030.64</v>
      </c>
      <c r="R553" s="37">
        <v>0.157</v>
      </c>
      <c r="S553" s="37">
        <v>11</v>
      </c>
      <c r="T553" s="37">
        <f t="shared" si="56"/>
        <v>10310.463239999999</v>
      </c>
      <c r="U553" s="32">
        <f t="shared" si="57"/>
        <v>12882.87</v>
      </c>
      <c r="V553" s="37">
        <f t="shared" si="60"/>
        <v>-2572.4067600000017</v>
      </c>
      <c r="W553" s="39">
        <f t="shared" si="61"/>
        <v>-0.24949478021707217</v>
      </c>
    </row>
    <row r="554" spans="1:23" x14ac:dyDescent="0.3">
      <c r="A554" s="40" t="s">
        <v>1206</v>
      </c>
      <c r="B554" s="41">
        <v>45704</v>
      </c>
      <c r="C554" s="42">
        <v>45733</v>
      </c>
      <c r="D554" s="43">
        <f t="shared" si="62"/>
        <v>1</v>
      </c>
      <c r="E554" s="43" t="str">
        <f>TEXT(Data!B554,"MMM-YYYY")</f>
        <v>Feb-2025</v>
      </c>
      <c r="F554" s="43" t="str">
        <f t="shared" si="58"/>
        <v>Q1-2025</v>
      </c>
      <c r="G554" s="33" t="s">
        <v>78</v>
      </c>
      <c r="H554" s="33" t="s">
        <v>79</v>
      </c>
      <c r="I554" s="33" t="s">
        <v>159</v>
      </c>
      <c r="J554" s="33" t="s">
        <v>48</v>
      </c>
      <c r="K554" s="33" t="s">
        <v>20</v>
      </c>
      <c r="L554" s="33" t="s">
        <v>49</v>
      </c>
      <c r="M554" s="33" t="s">
        <v>81</v>
      </c>
      <c r="N554" s="33" t="s">
        <v>1207</v>
      </c>
      <c r="O554" s="43">
        <v>730.42</v>
      </c>
      <c r="P554" s="44" t="str">
        <f t="shared" si="59"/>
        <v>High</v>
      </c>
      <c r="Q554" s="43">
        <v>956.7</v>
      </c>
      <c r="R554" s="43">
        <v>4.2000000000000003E-2</v>
      </c>
      <c r="S554" s="43">
        <v>22</v>
      </c>
      <c r="T554" s="43">
        <f t="shared" si="56"/>
        <v>6907.0267199999998</v>
      </c>
      <c r="U554" s="33">
        <f t="shared" si="57"/>
        <v>16069.24</v>
      </c>
      <c r="V554" s="43">
        <f t="shared" si="60"/>
        <v>-9162.2132799999999</v>
      </c>
      <c r="W554" s="45">
        <f t="shared" si="61"/>
        <v>-1.3265061293986133</v>
      </c>
    </row>
    <row r="555" spans="1:23" x14ac:dyDescent="0.3">
      <c r="A555" s="34" t="s">
        <v>1208</v>
      </c>
      <c r="B555" s="35">
        <v>45703</v>
      </c>
      <c r="C555" s="36">
        <v>45717</v>
      </c>
      <c r="D555" s="37">
        <f t="shared" si="62"/>
        <v>14</v>
      </c>
      <c r="E555" s="37" t="str">
        <f>TEXT(Data!B555,"MMM-YYYY")</f>
        <v>Feb-2025</v>
      </c>
      <c r="F555" s="37" t="str">
        <f t="shared" si="58"/>
        <v>Q1-2025</v>
      </c>
      <c r="G555" s="32" t="s">
        <v>16</v>
      </c>
      <c r="H555" s="32" t="s">
        <v>17</v>
      </c>
      <c r="I555" s="32" t="s">
        <v>113</v>
      </c>
      <c r="J555" s="32" t="s">
        <v>27</v>
      </c>
      <c r="K555" s="32" t="s">
        <v>98</v>
      </c>
      <c r="L555" s="32" t="s">
        <v>49</v>
      </c>
      <c r="M555" s="32" t="s">
        <v>81</v>
      </c>
      <c r="N555" s="32" t="s">
        <v>1209</v>
      </c>
      <c r="O555" s="37">
        <v>1162.8599999999999</v>
      </c>
      <c r="P555" s="38" t="str">
        <f t="shared" si="59"/>
        <v>High</v>
      </c>
      <c r="Q555" s="37">
        <v>1447.68</v>
      </c>
      <c r="R555" s="37">
        <v>8.6999999999999994E-2</v>
      </c>
      <c r="S555" s="37">
        <v>12</v>
      </c>
      <c r="T555" s="37">
        <f t="shared" si="56"/>
        <v>5326.0402800000002</v>
      </c>
      <c r="U555" s="32">
        <f t="shared" si="57"/>
        <v>13954.32</v>
      </c>
      <c r="V555" s="37">
        <f t="shared" si="60"/>
        <v>-8628.2797199999986</v>
      </c>
      <c r="W555" s="39">
        <f t="shared" si="61"/>
        <v>-1.6200177367040112</v>
      </c>
    </row>
    <row r="556" spans="1:23" x14ac:dyDescent="0.3">
      <c r="A556" s="40" t="s">
        <v>1210</v>
      </c>
      <c r="B556" s="41">
        <v>45535</v>
      </c>
      <c r="C556" s="42">
        <v>45561</v>
      </c>
      <c r="D556" s="43">
        <f t="shared" si="62"/>
        <v>26</v>
      </c>
      <c r="E556" s="43" t="str">
        <f>TEXT(Data!B556,"MMM-YYYY")</f>
        <v>Aug-2024</v>
      </c>
      <c r="F556" s="43" t="str">
        <f t="shared" si="58"/>
        <v>Q3-2024</v>
      </c>
      <c r="G556" s="33" t="s">
        <v>45</v>
      </c>
      <c r="H556" s="33" t="s">
        <v>46</v>
      </c>
      <c r="I556" s="33" t="s">
        <v>214</v>
      </c>
      <c r="J556" s="33" t="s">
        <v>27</v>
      </c>
      <c r="K556" s="33" t="s">
        <v>28</v>
      </c>
      <c r="L556" s="33" t="s">
        <v>34</v>
      </c>
      <c r="M556" s="33" t="s">
        <v>42</v>
      </c>
      <c r="N556" s="33" t="s">
        <v>1211</v>
      </c>
      <c r="O556" s="43">
        <v>1189.03</v>
      </c>
      <c r="P556" s="44" t="str">
        <f t="shared" si="59"/>
        <v>High</v>
      </c>
      <c r="Q556" s="43">
        <v>2949.62</v>
      </c>
      <c r="R556" s="43">
        <v>0.125</v>
      </c>
      <c r="S556" s="43">
        <v>13</v>
      </c>
      <c r="T556" s="43">
        <f t="shared" si="56"/>
        <v>23507.575000000001</v>
      </c>
      <c r="U556" s="33">
        <f t="shared" si="57"/>
        <v>15457.39</v>
      </c>
      <c r="V556" s="43">
        <f t="shared" si="60"/>
        <v>8050.1850000000013</v>
      </c>
      <c r="W556" s="45">
        <f t="shared" si="61"/>
        <v>0.34245067813247437</v>
      </c>
    </row>
    <row r="557" spans="1:23" x14ac:dyDescent="0.3">
      <c r="A557" s="34" t="s">
        <v>1212</v>
      </c>
      <c r="B557" s="35">
        <v>45053</v>
      </c>
      <c r="C557" s="36">
        <v>45066</v>
      </c>
      <c r="D557" s="37">
        <f t="shared" si="62"/>
        <v>13</v>
      </c>
      <c r="E557" s="37" t="str">
        <f>TEXT(Data!B557,"MMM-YYYY")</f>
        <v>May-2023</v>
      </c>
      <c r="F557" s="37" t="str">
        <f t="shared" si="58"/>
        <v>Q2-2023</v>
      </c>
      <c r="G557" s="32" t="s">
        <v>45</v>
      </c>
      <c r="H557" s="32" t="s">
        <v>60</v>
      </c>
      <c r="I557" s="32" t="s">
        <v>220</v>
      </c>
      <c r="J557" s="32" t="s">
        <v>105</v>
      </c>
      <c r="K557" s="32" t="s">
        <v>20</v>
      </c>
      <c r="L557" s="32" t="s">
        <v>145</v>
      </c>
      <c r="M557" s="32" t="s">
        <v>81</v>
      </c>
      <c r="N557" s="32" t="s">
        <v>1213</v>
      </c>
      <c r="O557" s="37">
        <v>1443.28</v>
      </c>
      <c r="P557" s="38" t="str">
        <f t="shared" si="59"/>
        <v>High</v>
      </c>
      <c r="Q557" s="37">
        <v>2580.5700000000002</v>
      </c>
      <c r="R557" s="37">
        <v>0</v>
      </c>
      <c r="S557" s="37">
        <v>18</v>
      </c>
      <c r="T557" s="37">
        <f t="shared" si="56"/>
        <v>1551.6000000000001</v>
      </c>
      <c r="U557" s="32">
        <f t="shared" si="57"/>
        <v>25979.040000000001</v>
      </c>
      <c r="V557" s="37">
        <f t="shared" si="60"/>
        <v>-24427.440000000002</v>
      </c>
      <c r="W557" s="39">
        <f t="shared" si="61"/>
        <v>-15.74338747099768</v>
      </c>
    </row>
    <row r="558" spans="1:23" x14ac:dyDescent="0.3">
      <c r="A558" s="40" t="s">
        <v>1214</v>
      </c>
      <c r="B558" s="41">
        <v>45791</v>
      </c>
      <c r="C558" s="42">
        <v>45789</v>
      </c>
      <c r="D558" s="43">
        <f>DATEDIF(C558,B558, "MD")</f>
        <v>2</v>
      </c>
      <c r="E558" s="43" t="str">
        <f>TEXT(Data!B558,"MMM-YYYY")</f>
        <v>May-2025</v>
      </c>
      <c r="F558" s="43" t="str">
        <f t="shared" si="58"/>
        <v>Q2-2025</v>
      </c>
      <c r="G558" s="33" t="s">
        <v>52</v>
      </c>
      <c r="H558" s="33" t="s">
        <v>53</v>
      </c>
      <c r="I558" s="33" t="s">
        <v>179</v>
      </c>
      <c r="J558" s="33" t="s">
        <v>39</v>
      </c>
      <c r="K558" s="33" t="s">
        <v>55</v>
      </c>
      <c r="L558" s="33" t="s">
        <v>84</v>
      </c>
      <c r="M558" s="33" t="s">
        <v>30</v>
      </c>
      <c r="N558" s="33" t="s">
        <v>1215</v>
      </c>
      <c r="O558" s="43">
        <v>883.5</v>
      </c>
      <c r="P558" s="44" t="str">
        <f t="shared" si="59"/>
        <v>High</v>
      </c>
      <c r="Q558" s="43">
        <v>1978.91</v>
      </c>
      <c r="R558" s="43">
        <v>5.3999999999999999E-2</v>
      </c>
      <c r="S558" s="43">
        <v>27</v>
      </c>
      <c r="T558" s="43">
        <f t="shared" si="56"/>
        <v>58944.550499999998</v>
      </c>
      <c r="U558" s="33">
        <f t="shared" si="57"/>
        <v>23854.5</v>
      </c>
      <c r="V558" s="43">
        <f t="shared" si="60"/>
        <v>35090.050499999998</v>
      </c>
      <c r="W558" s="45">
        <f t="shared" si="61"/>
        <v>0.59530610043416987</v>
      </c>
    </row>
    <row r="559" spans="1:23" x14ac:dyDescent="0.3">
      <c r="A559" s="34" t="s">
        <v>1216</v>
      </c>
      <c r="B559" s="35">
        <v>45362</v>
      </c>
      <c r="C559" s="36">
        <v>45380</v>
      </c>
      <c r="D559" s="37">
        <f t="shared" si="62"/>
        <v>18</v>
      </c>
      <c r="E559" s="37" t="str">
        <f>TEXT(Data!B559,"MMM-YYYY")</f>
        <v>Mar-2024</v>
      </c>
      <c r="F559" s="37" t="str">
        <f t="shared" si="58"/>
        <v>Q1-2024</v>
      </c>
      <c r="G559" s="32" t="s">
        <v>52</v>
      </c>
      <c r="H559" s="32" t="s">
        <v>122</v>
      </c>
      <c r="I559" s="32" t="s">
        <v>387</v>
      </c>
      <c r="J559" s="32" t="s">
        <v>19</v>
      </c>
      <c r="K559" s="32" t="s">
        <v>20</v>
      </c>
      <c r="L559" s="32" t="s">
        <v>110</v>
      </c>
      <c r="M559" s="32" t="s">
        <v>64</v>
      </c>
      <c r="N559" s="32" t="s">
        <v>1217</v>
      </c>
      <c r="O559" s="37">
        <v>710.98</v>
      </c>
      <c r="P559" s="38" t="str">
        <f t="shared" si="59"/>
        <v>High</v>
      </c>
      <c r="Q559" s="37">
        <v>1481.45</v>
      </c>
      <c r="R559" s="37">
        <v>0.21099999999999999</v>
      </c>
      <c r="S559" s="37">
        <v>9</v>
      </c>
      <c r="T559" s="37">
        <f t="shared" si="56"/>
        <v>7902.0638099999996</v>
      </c>
      <c r="U559" s="32">
        <f t="shared" si="57"/>
        <v>6398.82</v>
      </c>
      <c r="V559" s="37">
        <f t="shared" si="60"/>
        <v>1503.2438099999999</v>
      </c>
      <c r="W559" s="39">
        <f t="shared" si="61"/>
        <v>0.19023432942893434</v>
      </c>
    </row>
    <row r="560" spans="1:23" x14ac:dyDescent="0.3">
      <c r="A560" s="40" t="s">
        <v>1218</v>
      </c>
      <c r="B560" s="41">
        <v>45430</v>
      </c>
      <c r="C560" s="42">
        <v>45434</v>
      </c>
      <c r="D560" s="43">
        <f t="shared" si="62"/>
        <v>4</v>
      </c>
      <c r="E560" s="43" t="str">
        <f>TEXT(Data!B560,"MMM-YYYY")</f>
        <v>May-2024</v>
      </c>
      <c r="F560" s="43" t="str">
        <f t="shared" si="58"/>
        <v>Q2-2024</v>
      </c>
      <c r="G560" s="33" t="s">
        <v>16</v>
      </c>
      <c r="H560" s="33" t="s">
        <v>17</v>
      </c>
      <c r="I560" s="33" t="s">
        <v>33</v>
      </c>
      <c r="J560" s="33" t="s">
        <v>19</v>
      </c>
      <c r="K560" s="33" t="s">
        <v>98</v>
      </c>
      <c r="L560" s="33" t="s">
        <v>92</v>
      </c>
      <c r="M560" s="33" t="s">
        <v>81</v>
      </c>
      <c r="N560" s="33" t="s">
        <v>1219</v>
      </c>
      <c r="O560" s="43">
        <v>857.42</v>
      </c>
      <c r="P560" s="44" t="str">
        <f t="shared" si="59"/>
        <v>High</v>
      </c>
      <c r="Q560" s="43">
        <v>1658.92</v>
      </c>
      <c r="R560" s="43">
        <v>0.122</v>
      </c>
      <c r="S560" s="43">
        <v>9</v>
      </c>
      <c r="T560" s="43">
        <f t="shared" si="56"/>
        <v>8897.572979999999</v>
      </c>
      <c r="U560" s="33">
        <f t="shared" si="57"/>
        <v>7716.78</v>
      </c>
      <c r="V560" s="43">
        <f t="shared" si="60"/>
        <v>1180.7929799999993</v>
      </c>
      <c r="W560" s="45">
        <f t="shared" si="61"/>
        <v>0.13270955828675871</v>
      </c>
    </row>
    <row r="561" spans="1:23" x14ac:dyDescent="0.3">
      <c r="A561" s="34" t="s">
        <v>1220</v>
      </c>
      <c r="B561" s="35">
        <v>45299</v>
      </c>
      <c r="C561" s="36">
        <v>45303</v>
      </c>
      <c r="D561" s="37">
        <f t="shared" si="62"/>
        <v>4</v>
      </c>
      <c r="E561" s="37" t="str">
        <f>TEXT(Data!B561,"MMM-YYYY")</f>
        <v>Jan-2024</v>
      </c>
      <c r="F561" s="37" t="str">
        <f t="shared" si="58"/>
        <v>Q1-2024</v>
      </c>
      <c r="G561" s="32" t="s">
        <v>45</v>
      </c>
      <c r="H561" s="32" t="s">
        <v>60</v>
      </c>
      <c r="I561" s="32" t="s">
        <v>61</v>
      </c>
      <c r="J561" s="32" t="s">
        <v>19</v>
      </c>
      <c r="K561" s="32" t="s">
        <v>98</v>
      </c>
      <c r="L561" s="32" t="s">
        <v>63</v>
      </c>
      <c r="M561" s="32" t="s">
        <v>30</v>
      </c>
      <c r="N561" s="32" t="s">
        <v>1221</v>
      </c>
      <c r="O561" s="37">
        <v>802.32</v>
      </c>
      <c r="P561" s="38" t="str">
        <f t="shared" si="59"/>
        <v>High</v>
      </c>
      <c r="Q561" s="37">
        <v>602.34</v>
      </c>
      <c r="R561" s="37">
        <v>0.12</v>
      </c>
      <c r="S561" s="37">
        <v>25</v>
      </c>
      <c r="T561" s="37">
        <f t="shared" si="56"/>
        <v>2719.64</v>
      </c>
      <c r="U561" s="32">
        <f t="shared" si="57"/>
        <v>20058</v>
      </c>
      <c r="V561" s="37">
        <f t="shared" si="60"/>
        <v>-17338.36</v>
      </c>
      <c r="W561" s="39">
        <f t="shared" si="61"/>
        <v>-6.3752408406995045</v>
      </c>
    </row>
    <row r="562" spans="1:23" x14ac:dyDescent="0.3">
      <c r="A562" s="40" t="s">
        <v>1222</v>
      </c>
      <c r="B562" s="41">
        <v>45590</v>
      </c>
      <c r="C562" s="42">
        <v>45601</v>
      </c>
      <c r="D562" s="43">
        <f t="shared" si="62"/>
        <v>11</v>
      </c>
      <c r="E562" s="43" t="str">
        <f>TEXT(Data!B562,"MMM-YYYY")</f>
        <v>Oct-2024</v>
      </c>
      <c r="F562" s="43" t="str">
        <f t="shared" si="58"/>
        <v>Q4-2024</v>
      </c>
      <c r="G562" s="33" t="s">
        <v>52</v>
      </c>
      <c r="H562" s="33" t="s">
        <v>122</v>
      </c>
      <c r="I562" s="33" t="s">
        <v>387</v>
      </c>
      <c r="J562" s="33" t="s">
        <v>19</v>
      </c>
      <c r="K562" s="33" t="s">
        <v>55</v>
      </c>
      <c r="L562" s="33" t="s">
        <v>126</v>
      </c>
      <c r="M562" s="33" t="s">
        <v>22</v>
      </c>
      <c r="N562" s="33" t="s">
        <v>1223</v>
      </c>
      <c r="O562" s="43">
        <v>446.66</v>
      </c>
      <c r="P562" s="44" t="str">
        <f t="shared" si="59"/>
        <v>High</v>
      </c>
      <c r="Q562" s="43">
        <v>527.64</v>
      </c>
      <c r="R562" s="43">
        <v>0.14499999999999999</v>
      </c>
      <c r="S562" s="43">
        <v>15</v>
      </c>
      <c r="T562" s="43">
        <f t="shared" si="56"/>
        <v>22209.693749999999</v>
      </c>
      <c r="U562" s="33">
        <f t="shared" si="57"/>
        <v>6699.9000000000005</v>
      </c>
      <c r="V562" s="43">
        <f t="shared" si="60"/>
        <v>15509.793749999997</v>
      </c>
      <c r="W562" s="45">
        <f t="shared" si="61"/>
        <v>0.6983344266059498</v>
      </c>
    </row>
    <row r="563" spans="1:23" x14ac:dyDescent="0.3">
      <c r="A563" s="34" t="s">
        <v>1224</v>
      </c>
      <c r="B563" s="35">
        <v>45626</v>
      </c>
      <c r="C563" s="36">
        <v>45645</v>
      </c>
      <c r="D563" s="37">
        <f t="shared" si="62"/>
        <v>19</v>
      </c>
      <c r="E563" s="37" t="str">
        <f>TEXT(Data!B563,"MMM-YYYY")</f>
        <v>Nov-2024</v>
      </c>
      <c r="F563" s="37" t="str">
        <f t="shared" si="58"/>
        <v>Q4-2024</v>
      </c>
      <c r="G563" s="32" t="s">
        <v>16</v>
      </c>
      <c r="H563" s="32" t="s">
        <v>17</v>
      </c>
      <c r="I563" s="32" t="s">
        <v>18</v>
      </c>
      <c r="J563" s="32" t="s">
        <v>19</v>
      </c>
      <c r="K563" s="32" t="s">
        <v>28</v>
      </c>
      <c r="L563" s="32" t="s">
        <v>49</v>
      </c>
      <c r="M563" s="32" t="s">
        <v>42</v>
      </c>
      <c r="N563" s="32" t="s">
        <v>1225</v>
      </c>
      <c r="O563" s="37">
        <v>1195.98</v>
      </c>
      <c r="P563" s="38" t="str">
        <f t="shared" si="59"/>
        <v>High</v>
      </c>
      <c r="Q563" s="37">
        <v>1841.9</v>
      </c>
      <c r="R563" s="37">
        <v>5.5E-2</v>
      </c>
      <c r="S563" s="37">
        <v>19</v>
      </c>
      <c r="T563" s="37">
        <f t="shared" si="56"/>
        <v>54978.38955</v>
      </c>
      <c r="U563" s="32">
        <f t="shared" si="57"/>
        <v>22723.62</v>
      </c>
      <c r="V563" s="37">
        <f t="shared" si="60"/>
        <v>32254.769550000001</v>
      </c>
      <c r="W563" s="39">
        <f t="shared" si="61"/>
        <v>0.58668087250293055</v>
      </c>
    </row>
    <row r="564" spans="1:23" x14ac:dyDescent="0.3">
      <c r="A564" s="40" t="s">
        <v>1226</v>
      </c>
      <c r="B564" s="41">
        <v>45029</v>
      </c>
      <c r="C564" s="42">
        <v>45048</v>
      </c>
      <c r="D564" s="43">
        <f t="shared" si="62"/>
        <v>19</v>
      </c>
      <c r="E564" s="43" t="str">
        <f>TEXT(Data!B564,"MMM-YYYY")</f>
        <v>Apr-2023</v>
      </c>
      <c r="F564" s="43" t="str">
        <f t="shared" si="58"/>
        <v>Q2-2023</v>
      </c>
      <c r="G564" s="33" t="s">
        <v>52</v>
      </c>
      <c r="H564" s="33" t="s">
        <v>53</v>
      </c>
      <c r="I564" s="33" t="s">
        <v>144</v>
      </c>
      <c r="J564" s="33" t="s">
        <v>48</v>
      </c>
      <c r="K564" s="33" t="s">
        <v>55</v>
      </c>
      <c r="L564" s="33" t="s">
        <v>63</v>
      </c>
      <c r="M564" s="33" t="s">
        <v>64</v>
      </c>
      <c r="N564" s="33" t="s">
        <v>1227</v>
      </c>
      <c r="O564" s="43">
        <v>671.05</v>
      </c>
      <c r="P564" s="44" t="str">
        <f t="shared" si="59"/>
        <v>High</v>
      </c>
      <c r="Q564" s="43">
        <v>1645.48</v>
      </c>
      <c r="R564" s="43">
        <v>0.13700000000000001</v>
      </c>
      <c r="S564" s="43">
        <v>6</v>
      </c>
      <c r="T564" s="43">
        <f t="shared" si="56"/>
        <v>11393.722979999999</v>
      </c>
      <c r="U564" s="33">
        <f t="shared" si="57"/>
        <v>4026.2999999999997</v>
      </c>
      <c r="V564" s="43">
        <f t="shared" si="60"/>
        <v>7367.4229799999994</v>
      </c>
      <c r="W564" s="45">
        <f t="shared" si="61"/>
        <v>0.64662121353419111</v>
      </c>
    </row>
    <row r="565" spans="1:23" x14ac:dyDescent="0.3">
      <c r="A565" s="34" t="s">
        <v>1228</v>
      </c>
      <c r="B565" s="35">
        <v>45692</v>
      </c>
      <c r="C565" s="36">
        <v>45696</v>
      </c>
      <c r="D565" s="37">
        <f t="shared" si="62"/>
        <v>4</v>
      </c>
      <c r="E565" s="37" t="str">
        <f>TEXT(Data!B565,"MMM-YYYY")</f>
        <v>Feb-2025</v>
      </c>
      <c r="F565" s="37" t="str">
        <f t="shared" si="58"/>
        <v>Q1-2025</v>
      </c>
      <c r="G565" s="32" t="s">
        <v>78</v>
      </c>
      <c r="H565" s="32" t="s">
        <v>108</v>
      </c>
      <c r="I565" s="32" t="s">
        <v>228</v>
      </c>
      <c r="J565" s="32" t="s">
        <v>105</v>
      </c>
      <c r="K565" s="32" t="s">
        <v>40</v>
      </c>
      <c r="L565" s="32" t="s">
        <v>49</v>
      </c>
      <c r="M565" s="32" t="s">
        <v>35</v>
      </c>
      <c r="N565" s="32" t="s">
        <v>1229</v>
      </c>
      <c r="O565" s="37">
        <v>586.21</v>
      </c>
      <c r="P565" s="38" t="str">
        <f t="shared" si="59"/>
        <v>High</v>
      </c>
      <c r="Q565" s="37">
        <v>727.22</v>
      </c>
      <c r="R565" s="37">
        <v>6.8000000000000005E-2</v>
      </c>
      <c r="S565" s="37">
        <v>15</v>
      </c>
      <c r="T565" s="37">
        <f t="shared" si="56"/>
        <v>8408.8302000000003</v>
      </c>
      <c r="U565" s="32">
        <f t="shared" si="57"/>
        <v>8793.1500000000015</v>
      </c>
      <c r="V565" s="37">
        <f t="shared" si="60"/>
        <v>-384.31980000000112</v>
      </c>
      <c r="W565" s="39">
        <f t="shared" si="61"/>
        <v>-4.5704312117041096E-2</v>
      </c>
    </row>
    <row r="566" spans="1:23" x14ac:dyDescent="0.3">
      <c r="A566" s="40" t="s">
        <v>1230</v>
      </c>
      <c r="B566" s="41">
        <v>45315</v>
      </c>
      <c r="C566" s="42">
        <v>45326</v>
      </c>
      <c r="D566" s="43">
        <f t="shared" si="62"/>
        <v>11</v>
      </c>
      <c r="E566" s="43" t="str">
        <f>TEXT(Data!B566,"MMM-YYYY")</f>
        <v>Jan-2024</v>
      </c>
      <c r="F566" s="43" t="str">
        <f t="shared" si="58"/>
        <v>Q1-2024</v>
      </c>
      <c r="G566" s="33" t="s">
        <v>78</v>
      </c>
      <c r="H566" s="33" t="s">
        <v>108</v>
      </c>
      <c r="I566" s="33" t="s">
        <v>228</v>
      </c>
      <c r="J566" s="33" t="s">
        <v>48</v>
      </c>
      <c r="K566" s="33" t="s">
        <v>20</v>
      </c>
      <c r="L566" s="33" t="s">
        <v>56</v>
      </c>
      <c r="M566" s="33" t="s">
        <v>57</v>
      </c>
      <c r="N566" s="33" t="s">
        <v>1231</v>
      </c>
      <c r="O566" s="43">
        <v>525.34</v>
      </c>
      <c r="P566" s="44" t="str">
        <f t="shared" si="59"/>
        <v>High</v>
      </c>
      <c r="Q566" s="43">
        <v>1233.79</v>
      </c>
      <c r="R566" s="43">
        <v>0.14299999999999999</v>
      </c>
      <c r="S566" s="43">
        <v>4</v>
      </c>
      <c r="T566" s="43">
        <f t="shared" si="56"/>
        <v>3248.9555599999999</v>
      </c>
      <c r="U566" s="33">
        <f t="shared" si="57"/>
        <v>2101.36</v>
      </c>
      <c r="V566" s="43">
        <f t="shared" si="60"/>
        <v>1147.5955599999998</v>
      </c>
      <c r="W566" s="45">
        <f t="shared" si="61"/>
        <v>0.35321983905498533</v>
      </c>
    </row>
    <row r="567" spans="1:23" x14ac:dyDescent="0.3">
      <c r="A567" s="34" t="s">
        <v>1232</v>
      </c>
      <c r="B567" s="35">
        <v>45330</v>
      </c>
      <c r="C567" s="36">
        <v>45331</v>
      </c>
      <c r="D567" s="37">
        <f t="shared" si="62"/>
        <v>1</v>
      </c>
      <c r="E567" s="37" t="str">
        <f>TEXT(Data!B567,"MMM-YYYY")</f>
        <v>Feb-2024</v>
      </c>
      <c r="F567" s="37" t="str">
        <f t="shared" si="58"/>
        <v>Q1-2024</v>
      </c>
      <c r="G567" s="32" t="s">
        <v>16</v>
      </c>
      <c r="H567" s="32" t="s">
        <v>17</v>
      </c>
      <c r="I567" s="32" t="s">
        <v>113</v>
      </c>
      <c r="J567" s="32" t="s">
        <v>19</v>
      </c>
      <c r="K567" s="32" t="s">
        <v>98</v>
      </c>
      <c r="L567" s="32" t="s">
        <v>84</v>
      </c>
      <c r="M567" s="32" t="s">
        <v>22</v>
      </c>
      <c r="N567" s="32" t="s">
        <v>1233</v>
      </c>
      <c r="O567" s="37">
        <v>1233.52</v>
      </c>
      <c r="P567" s="38" t="str">
        <f t="shared" si="59"/>
        <v>High</v>
      </c>
      <c r="Q567" s="37">
        <v>1543.76</v>
      </c>
      <c r="R567" s="37">
        <v>0.126</v>
      </c>
      <c r="S567" s="37">
        <v>13</v>
      </c>
      <c r="T567" s="37">
        <f t="shared" si="56"/>
        <v>26490.27576</v>
      </c>
      <c r="U567" s="32">
        <f t="shared" si="57"/>
        <v>16035.76</v>
      </c>
      <c r="V567" s="37">
        <f t="shared" si="60"/>
        <v>10454.51576</v>
      </c>
      <c r="W567" s="39">
        <f t="shared" si="61"/>
        <v>0.39465484824382968</v>
      </c>
    </row>
    <row r="568" spans="1:23" x14ac:dyDescent="0.3">
      <c r="A568" s="40" t="s">
        <v>1234</v>
      </c>
      <c r="B568" s="41">
        <v>45834</v>
      </c>
      <c r="C568" s="42">
        <v>45849</v>
      </c>
      <c r="D568" s="43">
        <f t="shared" si="62"/>
        <v>15</v>
      </c>
      <c r="E568" s="43" t="str">
        <f>TEXT(Data!B568,"MMM-YYYY")</f>
        <v>Jun-2025</v>
      </c>
      <c r="F568" s="43" t="str">
        <f t="shared" si="58"/>
        <v>Q2-2025</v>
      </c>
      <c r="G568" s="33" t="s">
        <v>16</v>
      </c>
      <c r="H568" s="33" t="s">
        <v>25</v>
      </c>
      <c r="I568" s="33" t="s">
        <v>26</v>
      </c>
      <c r="J568" s="33" t="s">
        <v>62</v>
      </c>
      <c r="K568" s="33" t="s">
        <v>28</v>
      </c>
      <c r="L568" s="33" t="s">
        <v>75</v>
      </c>
      <c r="M568" s="33" t="s">
        <v>57</v>
      </c>
      <c r="N568" s="33" t="s">
        <v>1235</v>
      </c>
      <c r="O568" s="43">
        <v>1170.1500000000001</v>
      </c>
      <c r="P568" s="44" t="str">
        <f t="shared" si="59"/>
        <v>High</v>
      </c>
      <c r="Q568" s="43">
        <v>2115.19</v>
      </c>
      <c r="R568" s="43">
        <v>9.1999999999999998E-2</v>
      </c>
      <c r="S568" s="43">
        <v>23</v>
      </c>
      <c r="T568" s="43">
        <f t="shared" si="56"/>
        <v>29597.640160000003</v>
      </c>
      <c r="U568" s="33">
        <f t="shared" si="57"/>
        <v>26913.45</v>
      </c>
      <c r="V568" s="43">
        <f t="shared" si="60"/>
        <v>2684.1901600000019</v>
      </c>
      <c r="W568" s="45">
        <f t="shared" si="61"/>
        <v>9.0689330145569333E-2</v>
      </c>
    </row>
    <row r="569" spans="1:23" x14ac:dyDescent="0.3">
      <c r="A569" s="34" t="s">
        <v>1236</v>
      </c>
      <c r="B569" s="35">
        <v>45600</v>
      </c>
      <c r="C569" s="36">
        <v>45603</v>
      </c>
      <c r="D569" s="37">
        <f t="shared" si="62"/>
        <v>3</v>
      </c>
      <c r="E569" s="37" t="str">
        <f>TEXT(Data!B569,"MMM-YYYY")</f>
        <v>Nov-2024</v>
      </c>
      <c r="F569" s="37" t="str">
        <f t="shared" si="58"/>
        <v>Q4-2024</v>
      </c>
      <c r="G569" s="32" t="s">
        <v>78</v>
      </c>
      <c r="H569" s="32" t="s">
        <v>90</v>
      </c>
      <c r="I569" s="32" t="s">
        <v>138</v>
      </c>
      <c r="J569" s="32" t="s">
        <v>19</v>
      </c>
      <c r="K569" s="32" t="s">
        <v>28</v>
      </c>
      <c r="L569" s="32" t="s">
        <v>68</v>
      </c>
      <c r="M569" s="32" t="s">
        <v>64</v>
      </c>
      <c r="N569" s="32" t="s">
        <v>1237</v>
      </c>
      <c r="O569" s="37">
        <v>740.68</v>
      </c>
      <c r="P569" s="38" t="str">
        <f t="shared" si="59"/>
        <v>High</v>
      </c>
      <c r="Q569" s="37">
        <v>1837.19</v>
      </c>
      <c r="R569" s="37">
        <v>0.19700000000000001</v>
      </c>
      <c r="S569" s="37">
        <v>17</v>
      </c>
      <c r="T569" s="37">
        <f t="shared" si="56"/>
        <v>9548.8744999999999</v>
      </c>
      <c r="U569" s="32">
        <f t="shared" si="57"/>
        <v>12591.56</v>
      </c>
      <c r="V569" s="37">
        <f t="shared" si="60"/>
        <v>-3042.6854999999996</v>
      </c>
      <c r="W569" s="39">
        <f t="shared" si="61"/>
        <v>-0.31864336472324561</v>
      </c>
    </row>
    <row r="570" spans="1:23" x14ac:dyDescent="0.3">
      <c r="A570" s="40" t="s">
        <v>1238</v>
      </c>
      <c r="B570" s="41">
        <v>45342</v>
      </c>
      <c r="C570" s="42">
        <v>45342</v>
      </c>
      <c r="D570" s="43">
        <f t="shared" si="62"/>
        <v>0</v>
      </c>
      <c r="E570" s="43" t="str">
        <f>TEXT(Data!B570,"MMM-YYYY")</f>
        <v>Feb-2024</v>
      </c>
      <c r="F570" s="43" t="str">
        <f t="shared" si="58"/>
        <v>Q1-2024</v>
      </c>
      <c r="G570" s="33" t="s">
        <v>52</v>
      </c>
      <c r="H570" s="33" t="s">
        <v>122</v>
      </c>
      <c r="I570" s="33" t="s">
        <v>387</v>
      </c>
      <c r="J570" s="33" t="s">
        <v>105</v>
      </c>
      <c r="K570" s="33" t="s">
        <v>28</v>
      </c>
      <c r="L570" s="33" t="s">
        <v>21</v>
      </c>
      <c r="M570" s="33" t="s">
        <v>35</v>
      </c>
      <c r="N570" s="33" t="s">
        <v>1239</v>
      </c>
      <c r="O570" s="43">
        <v>1407.05</v>
      </c>
      <c r="P570" s="44" t="str">
        <f t="shared" si="59"/>
        <v>High</v>
      </c>
      <c r="Q570" s="43">
        <v>2858.93</v>
      </c>
      <c r="R570" s="43">
        <v>0</v>
      </c>
      <c r="S570" s="43">
        <v>12</v>
      </c>
      <c r="T570" s="43">
        <f t="shared" si="56"/>
        <v>21446.400000000001</v>
      </c>
      <c r="U570" s="33">
        <f t="shared" si="57"/>
        <v>16884.599999999999</v>
      </c>
      <c r="V570" s="43">
        <f t="shared" si="60"/>
        <v>4561.8000000000029</v>
      </c>
      <c r="W570" s="45">
        <f t="shared" si="61"/>
        <v>0.2127070277529097</v>
      </c>
    </row>
    <row r="571" spans="1:23" x14ac:dyDescent="0.3">
      <c r="A571" s="34" t="s">
        <v>1240</v>
      </c>
      <c r="B571" s="35">
        <v>45760</v>
      </c>
      <c r="C571" s="36">
        <v>45761</v>
      </c>
      <c r="D571" s="37">
        <f t="shared" si="62"/>
        <v>1</v>
      </c>
      <c r="E571" s="37" t="str">
        <f>TEXT(Data!B571,"MMM-YYYY")</f>
        <v>Apr-2025</v>
      </c>
      <c r="F571" s="37" t="str">
        <f t="shared" si="58"/>
        <v>Q2-2025</v>
      </c>
      <c r="G571" s="32" t="s">
        <v>45</v>
      </c>
      <c r="H571" s="32" t="s">
        <v>46</v>
      </c>
      <c r="I571" s="32" t="s">
        <v>47</v>
      </c>
      <c r="J571" s="32" t="s">
        <v>105</v>
      </c>
      <c r="K571" s="32" t="s">
        <v>28</v>
      </c>
      <c r="L571" s="32" t="s">
        <v>41</v>
      </c>
      <c r="M571" s="32" t="s">
        <v>22</v>
      </c>
      <c r="N571" s="32" t="s">
        <v>1241</v>
      </c>
      <c r="O571" s="37">
        <v>138.9</v>
      </c>
      <c r="P571" s="38" t="str">
        <f t="shared" si="59"/>
        <v>High</v>
      </c>
      <c r="Q571" s="37">
        <v>289.92</v>
      </c>
      <c r="R571" s="37">
        <v>2.9000000000000001E-2</v>
      </c>
      <c r="S571" s="37">
        <v>12</v>
      </c>
      <c r="T571" s="37">
        <f t="shared" si="56"/>
        <v>19793.834999999999</v>
      </c>
      <c r="U571" s="32">
        <f t="shared" si="57"/>
        <v>1666.8000000000002</v>
      </c>
      <c r="V571" s="37">
        <f t="shared" si="60"/>
        <v>18127.035</v>
      </c>
      <c r="W571" s="39">
        <f t="shared" si="61"/>
        <v>0.91579196249741401</v>
      </c>
    </row>
    <row r="572" spans="1:23" x14ac:dyDescent="0.3">
      <c r="A572" s="40" t="s">
        <v>1242</v>
      </c>
      <c r="B572" s="41">
        <v>45078</v>
      </c>
      <c r="C572" s="42">
        <v>45078</v>
      </c>
      <c r="D572" s="43">
        <f t="shared" si="62"/>
        <v>0</v>
      </c>
      <c r="E572" s="43" t="str">
        <f>TEXT(Data!B572,"MMM-YYYY")</f>
        <v>Jun-2023</v>
      </c>
      <c r="F572" s="43" t="str">
        <f t="shared" si="58"/>
        <v>Q2-2023</v>
      </c>
      <c r="G572" s="33" t="s">
        <v>45</v>
      </c>
      <c r="H572" s="33" t="s">
        <v>60</v>
      </c>
      <c r="I572" s="33" t="s">
        <v>61</v>
      </c>
      <c r="J572" s="33" t="s">
        <v>19</v>
      </c>
      <c r="K572" s="33" t="s">
        <v>20</v>
      </c>
      <c r="L572" s="33" t="s">
        <v>63</v>
      </c>
      <c r="M572" s="33" t="s">
        <v>81</v>
      </c>
      <c r="N572" s="33" t="s">
        <v>1243</v>
      </c>
      <c r="O572" s="43">
        <v>669.37</v>
      </c>
      <c r="P572" s="44" t="str">
        <f t="shared" si="59"/>
        <v>High</v>
      </c>
      <c r="Q572" s="43">
        <v>997.2</v>
      </c>
      <c r="R572" s="43">
        <v>8.2000000000000003E-2</v>
      </c>
      <c r="S572" s="43">
        <v>5</v>
      </c>
      <c r="T572" s="43">
        <f t="shared" si="56"/>
        <v>3326.373</v>
      </c>
      <c r="U572" s="33">
        <f t="shared" si="57"/>
        <v>3346.85</v>
      </c>
      <c r="V572" s="43">
        <f t="shared" si="60"/>
        <v>-20.476999999999862</v>
      </c>
      <c r="W572" s="45">
        <f t="shared" si="61"/>
        <v>-6.1559542480653434E-3</v>
      </c>
    </row>
    <row r="573" spans="1:23" x14ac:dyDescent="0.3">
      <c r="A573" s="34" t="s">
        <v>1244</v>
      </c>
      <c r="B573" s="35">
        <v>45740</v>
      </c>
      <c r="C573" s="36">
        <v>45751</v>
      </c>
      <c r="D573" s="37">
        <f t="shared" si="62"/>
        <v>11</v>
      </c>
      <c r="E573" s="37" t="str">
        <f>TEXT(Data!B573,"MMM-YYYY")</f>
        <v>Mar-2025</v>
      </c>
      <c r="F573" s="37" t="str">
        <f t="shared" si="58"/>
        <v>Q1-2025</v>
      </c>
      <c r="G573" s="32" t="s">
        <v>45</v>
      </c>
      <c r="H573" s="32" t="s">
        <v>60</v>
      </c>
      <c r="I573" s="32" t="s">
        <v>220</v>
      </c>
      <c r="J573" s="32" t="s">
        <v>27</v>
      </c>
      <c r="K573" s="32" t="s">
        <v>40</v>
      </c>
      <c r="L573" s="32" t="s">
        <v>29</v>
      </c>
      <c r="M573" s="32" t="s">
        <v>42</v>
      </c>
      <c r="N573" s="32" t="s">
        <v>1245</v>
      </c>
      <c r="O573" s="37">
        <v>23.83</v>
      </c>
      <c r="P573" s="38" t="str">
        <f t="shared" si="59"/>
        <v>Low</v>
      </c>
      <c r="Q573" s="37">
        <v>47.29</v>
      </c>
      <c r="R573" s="37">
        <v>6.4000000000000001E-2</v>
      </c>
      <c r="S573" s="37">
        <v>19</v>
      </c>
      <c r="T573" s="37">
        <f t="shared" si="56"/>
        <v>24114.036959999998</v>
      </c>
      <c r="U573" s="32">
        <f t="shared" si="57"/>
        <v>452.77</v>
      </c>
      <c r="V573" s="37">
        <f t="shared" si="60"/>
        <v>23661.266959999997</v>
      </c>
      <c r="W573" s="39">
        <f t="shared" si="61"/>
        <v>0.98122379920247083</v>
      </c>
    </row>
    <row r="574" spans="1:23" x14ac:dyDescent="0.3">
      <c r="A574" s="40" t="s">
        <v>1246</v>
      </c>
      <c r="B574" s="41">
        <v>45293</v>
      </c>
      <c r="C574" s="42">
        <v>45293</v>
      </c>
      <c r="D574" s="43">
        <f t="shared" si="62"/>
        <v>0</v>
      </c>
      <c r="E574" s="43" t="str">
        <f>TEXT(Data!B574,"MMM-YYYY")</f>
        <v>Jan-2024</v>
      </c>
      <c r="F574" s="43" t="str">
        <f t="shared" si="58"/>
        <v>Q1-2024</v>
      </c>
      <c r="G574" s="33" t="s">
        <v>52</v>
      </c>
      <c r="H574" s="33" t="s">
        <v>53</v>
      </c>
      <c r="I574" s="33" t="s">
        <v>179</v>
      </c>
      <c r="J574" s="33" t="s">
        <v>27</v>
      </c>
      <c r="K574" s="33" t="s">
        <v>98</v>
      </c>
      <c r="L574" s="33" t="s">
        <v>75</v>
      </c>
      <c r="M574" s="33" t="s">
        <v>57</v>
      </c>
      <c r="N574" s="33" t="s">
        <v>1247</v>
      </c>
      <c r="O574" s="43">
        <v>444.41</v>
      </c>
      <c r="P574" s="44" t="str">
        <f t="shared" si="59"/>
        <v>High</v>
      </c>
      <c r="Q574" s="43">
        <v>754.24</v>
      </c>
      <c r="R574" s="43">
        <v>0.20699999999999999</v>
      </c>
      <c r="S574" s="43">
        <v>32</v>
      </c>
      <c r="T574" s="43">
        <f t="shared" si="56"/>
        <v>6980.1763200000005</v>
      </c>
      <c r="U574" s="33">
        <f t="shared" si="57"/>
        <v>14221.12</v>
      </c>
      <c r="V574" s="43">
        <f t="shared" si="60"/>
        <v>-7240.9436800000003</v>
      </c>
      <c r="W574" s="45">
        <f t="shared" si="61"/>
        <v>-1.0373582769324659</v>
      </c>
    </row>
    <row r="575" spans="1:23" x14ac:dyDescent="0.3">
      <c r="A575" s="34" t="s">
        <v>1248</v>
      </c>
      <c r="B575" s="35">
        <v>45279</v>
      </c>
      <c r="C575" s="36">
        <v>45292</v>
      </c>
      <c r="D575" s="37">
        <f t="shared" si="62"/>
        <v>13</v>
      </c>
      <c r="E575" s="37" t="str">
        <f>TEXT(Data!B575,"MMM-YYYY")</f>
        <v>Dec-2023</v>
      </c>
      <c r="F575" s="37" t="str">
        <f t="shared" si="58"/>
        <v>Q4-2023</v>
      </c>
      <c r="G575" s="32" t="s">
        <v>52</v>
      </c>
      <c r="H575" s="32" t="s">
        <v>53</v>
      </c>
      <c r="I575" s="32" t="s">
        <v>54</v>
      </c>
      <c r="J575" s="32" t="s">
        <v>105</v>
      </c>
      <c r="K575" s="32" t="s">
        <v>20</v>
      </c>
      <c r="L575" s="32" t="s">
        <v>95</v>
      </c>
      <c r="M575" s="32" t="s">
        <v>64</v>
      </c>
      <c r="N575" s="32" t="s">
        <v>1249</v>
      </c>
      <c r="O575" s="37">
        <v>856.1</v>
      </c>
      <c r="P575" s="38" t="str">
        <f t="shared" si="59"/>
        <v>High</v>
      </c>
      <c r="Q575" s="37">
        <v>901.48</v>
      </c>
      <c r="R575" s="37">
        <v>5.6000000000000001E-2</v>
      </c>
      <c r="S575" s="37">
        <v>17</v>
      </c>
      <c r="T575" s="37">
        <f t="shared" si="56"/>
        <v>28925.557119999998</v>
      </c>
      <c r="U575" s="32">
        <f t="shared" si="57"/>
        <v>14553.7</v>
      </c>
      <c r="V575" s="37">
        <f t="shared" si="60"/>
        <v>14371.857119999997</v>
      </c>
      <c r="W575" s="39">
        <f t="shared" si="61"/>
        <v>0.49685670911634278</v>
      </c>
    </row>
    <row r="576" spans="1:23" x14ac:dyDescent="0.3">
      <c r="A576" s="40" t="s">
        <v>1250</v>
      </c>
      <c r="B576" s="41">
        <v>45042</v>
      </c>
      <c r="C576" s="42">
        <v>45042</v>
      </c>
      <c r="D576" s="43">
        <f t="shared" si="62"/>
        <v>0</v>
      </c>
      <c r="E576" s="43" t="str">
        <f>TEXT(Data!B576,"MMM-YYYY")</f>
        <v>Apr-2023</v>
      </c>
      <c r="F576" s="43" t="str">
        <f t="shared" si="58"/>
        <v>Q2-2023</v>
      </c>
      <c r="G576" s="33" t="s">
        <v>78</v>
      </c>
      <c r="H576" s="33" t="s">
        <v>90</v>
      </c>
      <c r="I576" s="33" t="s">
        <v>91</v>
      </c>
      <c r="J576" s="33" t="s">
        <v>48</v>
      </c>
      <c r="K576" s="33" t="s">
        <v>98</v>
      </c>
      <c r="L576" s="33" t="s">
        <v>110</v>
      </c>
      <c r="M576" s="33" t="s">
        <v>22</v>
      </c>
      <c r="N576" s="33" t="s">
        <v>1251</v>
      </c>
      <c r="O576" s="43">
        <v>81.489999999999995</v>
      </c>
      <c r="P576" s="44" t="str">
        <f t="shared" si="59"/>
        <v>Medium</v>
      </c>
      <c r="Q576" s="43">
        <v>113.08</v>
      </c>
      <c r="R576" s="43">
        <v>0.121</v>
      </c>
      <c r="S576" s="43">
        <v>5</v>
      </c>
      <c r="T576" s="43">
        <f t="shared" si="56"/>
        <v>5580.6830999999993</v>
      </c>
      <c r="U576" s="33">
        <f t="shared" si="57"/>
        <v>407.45</v>
      </c>
      <c r="V576" s="43">
        <f t="shared" si="60"/>
        <v>5173.2330999999995</v>
      </c>
      <c r="W576" s="45">
        <f t="shared" si="61"/>
        <v>0.92698922467036338</v>
      </c>
    </row>
    <row r="577" spans="1:23" x14ac:dyDescent="0.3">
      <c r="A577" s="34" t="s">
        <v>1252</v>
      </c>
      <c r="B577" s="35">
        <v>45872</v>
      </c>
      <c r="C577" s="36">
        <v>45885</v>
      </c>
      <c r="D577" s="37">
        <f t="shared" si="62"/>
        <v>13</v>
      </c>
      <c r="E577" s="37" t="str">
        <f>TEXT(Data!B577,"MMM-YYYY")</f>
        <v>Aug-2025</v>
      </c>
      <c r="F577" s="37" t="str">
        <f t="shared" si="58"/>
        <v>Q3-2025</v>
      </c>
      <c r="G577" s="32" t="s">
        <v>52</v>
      </c>
      <c r="H577" s="32" t="s">
        <v>53</v>
      </c>
      <c r="I577" s="32" t="s">
        <v>144</v>
      </c>
      <c r="J577" s="32" t="s">
        <v>105</v>
      </c>
      <c r="K577" s="32" t="s">
        <v>55</v>
      </c>
      <c r="L577" s="32" t="s">
        <v>68</v>
      </c>
      <c r="M577" s="32" t="s">
        <v>35</v>
      </c>
      <c r="N577" s="32" t="s">
        <v>1253</v>
      </c>
      <c r="O577" s="37">
        <v>698.66</v>
      </c>
      <c r="P577" s="38" t="str">
        <f t="shared" si="59"/>
        <v>High</v>
      </c>
      <c r="Q577" s="37">
        <v>868.62</v>
      </c>
      <c r="R577" s="37">
        <v>7.1999999999999995E-2</v>
      </c>
      <c r="S577" s="37">
        <v>15</v>
      </c>
      <c r="T577" s="37">
        <f t="shared" ref="T577:T632" si="63">(Q603*S577)*(1-R577)</f>
        <v>7960.848</v>
      </c>
      <c r="U577" s="32">
        <f t="shared" ref="U577:U632" si="64">(O577*S577)</f>
        <v>10479.9</v>
      </c>
      <c r="V577" s="37">
        <f t="shared" si="60"/>
        <v>-2519.0519999999997</v>
      </c>
      <c r="W577" s="39">
        <f t="shared" si="61"/>
        <v>-0.31643010895321699</v>
      </c>
    </row>
    <row r="578" spans="1:23" x14ac:dyDescent="0.3">
      <c r="A578" s="40" t="s">
        <v>1254</v>
      </c>
      <c r="B578" s="41">
        <v>45140</v>
      </c>
      <c r="C578" s="42">
        <v>45157</v>
      </c>
      <c r="D578" s="43">
        <f t="shared" si="62"/>
        <v>17</v>
      </c>
      <c r="E578" s="43" t="str">
        <f>TEXT(Data!B578,"MMM-YYYY")</f>
        <v>Aug-2023</v>
      </c>
      <c r="F578" s="43" t="str">
        <f t="shared" ref="F578:F632" si="65">"Q"&amp;ROUNDUP(MONTH(B578)/3,0)&amp;"-"&amp;YEAR(B578)</f>
        <v>Q3-2023</v>
      </c>
      <c r="G578" s="33" t="s">
        <v>52</v>
      </c>
      <c r="H578" s="33" t="s">
        <v>53</v>
      </c>
      <c r="I578" s="33" t="s">
        <v>179</v>
      </c>
      <c r="J578" s="33" t="s">
        <v>19</v>
      </c>
      <c r="K578" s="33" t="s">
        <v>28</v>
      </c>
      <c r="L578" s="33" t="s">
        <v>84</v>
      </c>
      <c r="M578" s="33" t="s">
        <v>35</v>
      </c>
      <c r="N578" s="33" t="s">
        <v>1255</v>
      </c>
      <c r="O578" s="43">
        <v>175.38</v>
      </c>
      <c r="P578" s="44" t="str">
        <f t="shared" ref="P578:P632" si="66">IF(Q578&lt;50, "Low", IF(Q578&lt;200, "Medium", "High"))</f>
        <v>High</v>
      </c>
      <c r="Q578" s="43">
        <v>347.9</v>
      </c>
      <c r="R578" s="43">
        <v>7.1999999999999995E-2</v>
      </c>
      <c r="S578" s="43">
        <v>43</v>
      </c>
      <c r="T578" s="43">
        <f t="shared" si="63"/>
        <v>109937.11616000001</v>
      </c>
      <c r="U578" s="33">
        <f t="shared" si="64"/>
        <v>7541.34</v>
      </c>
      <c r="V578" s="43">
        <f t="shared" ref="V578:V632" si="67">(T578-U578)</f>
        <v>102395.77616000001</v>
      </c>
      <c r="W578" s="45">
        <f t="shared" ref="W578:W632" si="68">IF(T578=0, 0, V578/T578)</f>
        <v>0.93140314878712571</v>
      </c>
    </row>
    <row r="579" spans="1:23" x14ac:dyDescent="0.3">
      <c r="A579" s="34" t="s">
        <v>1256</v>
      </c>
      <c r="B579" s="35">
        <v>45092</v>
      </c>
      <c r="C579" s="36">
        <v>45119</v>
      </c>
      <c r="D579" s="37">
        <f t="shared" si="62"/>
        <v>27</v>
      </c>
      <c r="E579" s="37" t="str">
        <f>TEXT(Data!B579,"MMM-YYYY")</f>
        <v>Jun-2023</v>
      </c>
      <c r="F579" s="37" t="str">
        <f t="shared" si="65"/>
        <v>Q2-2023</v>
      </c>
      <c r="G579" s="32" t="s">
        <v>78</v>
      </c>
      <c r="H579" s="32" t="s">
        <v>108</v>
      </c>
      <c r="I579" s="32" t="s">
        <v>228</v>
      </c>
      <c r="J579" s="32" t="s">
        <v>48</v>
      </c>
      <c r="K579" s="32" t="s">
        <v>98</v>
      </c>
      <c r="L579" s="32" t="s">
        <v>34</v>
      </c>
      <c r="M579" s="32" t="s">
        <v>81</v>
      </c>
      <c r="N579" s="32" t="s">
        <v>1257</v>
      </c>
      <c r="O579" s="37">
        <v>751.28</v>
      </c>
      <c r="P579" s="38" t="str">
        <f t="shared" si="66"/>
        <v>High</v>
      </c>
      <c r="Q579" s="37">
        <v>1111.8800000000001</v>
      </c>
      <c r="R579" s="37">
        <v>0.13500000000000001</v>
      </c>
      <c r="S579" s="37">
        <v>7</v>
      </c>
      <c r="T579" s="37">
        <f t="shared" si="63"/>
        <v>5827.9980499999992</v>
      </c>
      <c r="U579" s="32">
        <f t="shared" si="64"/>
        <v>5258.96</v>
      </c>
      <c r="V579" s="37">
        <f t="shared" si="67"/>
        <v>569.0380499999992</v>
      </c>
      <c r="W579" s="39">
        <f t="shared" si="68"/>
        <v>9.7638682291597417E-2</v>
      </c>
    </row>
    <row r="580" spans="1:23" x14ac:dyDescent="0.3">
      <c r="A580" s="40" t="s">
        <v>1258</v>
      </c>
      <c r="B580" s="41">
        <v>45607</v>
      </c>
      <c r="C580" s="42">
        <v>45620</v>
      </c>
      <c r="D580" s="43">
        <f t="shared" ref="D580:D632" si="69">DATEDIF(B580,C580, "MD")</f>
        <v>13</v>
      </c>
      <c r="E580" s="43" t="str">
        <f>TEXT(Data!B580,"MMM-YYYY")</f>
        <v>Nov-2024</v>
      </c>
      <c r="F580" s="43" t="str">
        <f t="shared" si="65"/>
        <v>Q4-2024</v>
      </c>
      <c r="G580" s="33" t="s">
        <v>78</v>
      </c>
      <c r="H580" s="33" t="s">
        <v>108</v>
      </c>
      <c r="I580" s="33" t="s">
        <v>152</v>
      </c>
      <c r="J580" s="33" t="s">
        <v>19</v>
      </c>
      <c r="K580" s="33" t="s">
        <v>20</v>
      </c>
      <c r="L580" s="33" t="s">
        <v>63</v>
      </c>
      <c r="M580" s="33" t="s">
        <v>35</v>
      </c>
      <c r="N580" s="33" t="s">
        <v>1259</v>
      </c>
      <c r="O580" s="43">
        <v>164.53</v>
      </c>
      <c r="P580" s="44" t="str">
        <f t="shared" si="66"/>
        <v>High</v>
      </c>
      <c r="Q580" s="43">
        <v>327.72</v>
      </c>
      <c r="R580" s="43">
        <v>6.7000000000000004E-2</v>
      </c>
      <c r="S580" s="43">
        <v>14</v>
      </c>
      <c r="T580" s="43">
        <f t="shared" si="63"/>
        <v>8728.9427399999986</v>
      </c>
      <c r="U580" s="33">
        <f t="shared" si="64"/>
        <v>2303.42</v>
      </c>
      <c r="V580" s="43">
        <f t="shared" si="67"/>
        <v>6425.5227399999985</v>
      </c>
      <c r="W580" s="45">
        <f t="shared" si="68"/>
        <v>0.73611695383855846</v>
      </c>
    </row>
    <row r="581" spans="1:23" x14ac:dyDescent="0.3">
      <c r="A581" s="34" t="s">
        <v>1260</v>
      </c>
      <c r="B581" s="35">
        <v>45849</v>
      </c>
      <c r="C581" s="36">
        <v>45872</v>
      </c>
      <c r="D581" s="37">
        <f t="shared" si="69"/>
        <v>23</v>
      </c>
      <c r="E581" s="37" t="str">
        <f>TEXT(Data!B581,"MMM-YYYY")</f>
        <v>Jul-2025</v>
      </c>
      <c r="F581" s="37" t="str">
        <f t="shared" si="65"/>
        <v>Q3-2025</v>
      </c>
      <c r="G581" s="32" t="s">
        <v>16</v>
      </c>
      <c r="H581" s="32" t="s">
        <v>17</v>
      </c>
      <c r="I581" s="32" t="s">
        <v>135</v>
      </c>
      <c r="J581" s="32" t="s">
        <v>62</v>
      </c>
      <c r="K581" s="32" t="s">
        <v>20</v>
      </c>
      <c r="L581" s="32" t="s">
        <v>21</v>
      </c>
      <c r="M581" s="32" t="s">
        <v>42</v>
      </c>
      <c r="N581" s="32" t="s">
        <v>1261</v>
      </c>
      <c r="O581" s="37">
        <v>389.93</v>
      </c>
      <c r="P581" s="38" t="str">
        <f t="shared" si="66"/>
        <v>High</v>
      </c>
      <c r="Q581" s="37">
        <v>486.13</v>
      </c>
      <c r="R581" s="37">
        <v>0.13200000000000001</v>
      </c>
      <c r="S581" s="37">
        <v>17</v>
      </c>
      <c r="T581" s="37">
        <f t="shared" si="63"/>
        <v>20722.29348</v>
      </c>
      <c r="U581" s="32">
        <f t="shared" si="64"/>
        <v>6628.81</v>
      </c>
      <c r="V581" s="37">
        <f t="shared" si="67"/>
        <v>14093.483479999999</v>
      </c>
      <c r="W581" s="39">
        <f t="shared" si="68"/>
        <v>0.6801121455789747</v>
      </c>
    </row>
    <row r="582" spans="1:23" x14ac:dyDescent="0.3">
      <c r="A582" s="40" t="s">
        <v>1262</v>
      </c>
      <c r="B582" s="41">
        <v>45080</v>
      </c>
      <c r="C582" s="42">
        <v>45108</v>
      </c>
      <c r="D582" s="43">
        <f t="shared" si="69"/>
        <v>28</v>
      </c>
      <c r="E582" s="43" t="str">
        <f>TEXT(Data!B582,"MMM-YYYY")</f>
        <v>Jun-2023</v>
      </c>
      <c r="F582" s="43" t="str">
        <f t="shared" si="65"/>
        <v>Q2-2023</v>
      </c>
      <c r="G582" s="33" t="s">
        <v>52</v>
      </c>
      <c r="H582" s="33" t="s">
        <v>73</v>
      </c>
      <c r="I582" s="33" t="s">
        <v>87</v>
      </c>
      <c r="J582" s="33" t="s">
        <v>62</v>
      </c>
      <c r="K582" s="33" t="s">
        <v>40</v>
      </c>
      <c r="L582" s="33" t="s">
        <v>75</v>
      </c>
      <c r="M582" s="33" t="s">
        <v>22</v>
      </c>
      <c r="N582" s="33" t="s">
        <v>1263</v>
      </c>
      <c r="O582" s="43">
        <v>860.4</v>
      </c>
      <c r="P582" s="44" t="str">
        <f t="shared" si="66"/>
        <v>High</v>
      </c>
      <c r="Q582" s="43">
        <v>2066.6</v>
      </c>
      <c r="R582" s="43">
        <v>0.01</v>
      </c>
      <c r="S582" s="43">
        <v>3</v>
      </c>
      <c r="T582" s="43">
        <f t="shared" si="63"/>
        <v>10661.9733</v>
      </c>
      <c r="U582" s="33">
        <f t="shared" si="64"/>
        <v>2581.1999999999998</v>
      </c>
      <c r="V582" s="43">
        <f t="shared" si="67"/>
        <v>8080.7732999999998</v>
      </c>
      <c r="W582" s="45">
        <f t="shared" si="68"/>
        <v>0.7579059778737206</v>
      </c>
    </row>
    <row r="583" spans="1:23" x14ac:dyDescent="0.3">
      <c r="A583" s="34" t="s">
        <v>1264</v>
      </c>
      <c r="B583" s="35">
        <v>44955</v>
      </c>
      <c r="C583" s="36">
        <v>44963</v>
      </c>
      <c r="D583" s="37">
        <f t="shared" si="69"/>
        <v>8</v>
      </c>
      <c r="E583" s="37" t="str">
        <f>TEXT(Data!B583,"MMM-YYYY")</f>
        <v>Jan-2023</v>
      </c>
      <c r="F583" s="37" t="str">
        <f t="shared" si="65"/>
        <v>Q1-2023</v>
      </c>
      <c r="G583" s="32" t="s">
        <v>52</v>
      </c>
      <c r="H583" s="32" t="s">
        <v>73</v>
      </c>
      <c r="I583" s="32" t="s">
        <v>87</v>
      </c>
      <c r="J583" s="32" t="s">
        <v>19</v>
      </c>
      <c r="K583" s="32" t="s">
        <v>40</v>
      </c>
      <c r="L583" s="32" t="s">
        <v>145</v>
      </c>
      <c r="M583" s="32" t="s">
        <v>64</v>
      </c>
      <c r="N583" s="32" t="s">
        <v>1265</v>
      </c>
      <c r="O583" s="37">
        <v>41.84</v>
      </c>
      <c r="P583" s="38" t="str">
        <f t="shared" si="66"/>
        <v>Medium</v>
      </c>
      <c r="Q583" s="37">
        <v>86.2</v>
      </c>
      <c r="R583" s="37">
        <v>0.22600000000000001</v>
      </c>
      <c r="S583" s="37">
        <v>27</v>
      </c>
      <c r="T583" s="37">
        <f t="shared" si="63"/>
        <v>4879.8919799999994</v>
      </c>
      <c r="U583" s="32">
        <f t="shared" si="64"/>
        <v>1129.68</v>
      </c>
      <c r="V583" s="37">
        <f t="shared" si="67"/>
        <v>3750.2119799999991</v>
      </c>
      <c r="W583" s="39">
        <f t="shared" si="68"/>
        <v>0.76850307247989524</v>
      </c>
    </row>
    <row r="584" spans="1:23" x14ac:dyDescent="0.3">
      <c r="A584" s="40" t="s">
        <v>1266</v>
      </c>
      <c r="B584" s="41">
        <v>45541</v>
      </c>
      <c r="C584" s="42">
        <v>45539</v>
      </c>
      <c r="D584" s="43">
        <f>DATEDIF(C584,B584, "MD")</f>
        <v>2</v>
      </c>
      <c r="E584" s="43" t="str">
        <f>TEXT(Data!B584,"MMM-YYYY")</f>
        <v>Sep-2024</v>
      </c>
      <c r="F584" s="43" t="str">
        <f t="shared" si="65"/>
        <v>Q3-2024</v>
      </c>
      <c r="G584" s="33" t="s">
        <v>45</v>
      </c>
      <c r="H584" s="33" t="s">
        <v>46</v>
      </c>
      <c r="I584" s="33" t="s">
        <v>47</v>
      </c>
      <c r="J584" s="33" t="s">
        <v>19</v>
      </c>
      <c r="K584" s="33" t="s">
        <v>98</v>
      </c>
      <c r="L584" s="33" t="s">
        <v>75</v>
      </c>
      <c r="M584" s="33" t="s">
        <v>57</v>
      </c>
      <c r="N584" s="33" t="s">
        <v>1267</v>
      </c>
      <c r="O584" s="43">
        <v>1368.17</v>
      </c>
      <c r="P584" s="44" t="str">
        <f t="shared" si="66"/>
        <v>High</v>
      </c>
      <c r="Q584" s="43">
        <v>2307.75</v>
      </c>
      <c r="R584" s="43">
        <v>0.16300000000000001</v>
      </c>
      <c r="S584" s="43">
        <v>21</v>
      </c>
      <c r="T584" s="43">
        <f t="shared" si="63"/>
        <v>2183.9422500000001</v>
      </c>
      <c r="U584" s="33">
        <f t="shared" si="64"/>
        <v>28731.57</v>
      </c>
      <c r="V584" s="43">
        <f t="shared" si="67"/>
        <v>-26547.62775</v>
      </c>
      <c r="W584" s="45">
        <f t="shared" si="68"/>
        <v>-12.155828639699607</v>
      </c>
    </row>
    <row r="585" spans="1:23" x14ac:dyDescent="0.3">
      <c r="A585" s="34" t="s">
        <v>1268</v>
      </c>
      <c r="B585" s="35">
        <v>45507</v>
      </c>
      <c r="C585" s="36">
        <v>45513</v>
      </c>
      <c r="D585" s="37">
        <f t="shared" si="69"/>
        <v>6</v>
      </c>
      <c r="E585" s="37" t="str">
        <f>TEXT(Data!B585,"MMM-YYYY")</f>
        <v>Aug-2024</v>
      </c>
      <c r="F585" s="37" t="str">
        <f t="shared" si="65"/>
        <v>Q3-2024</v>
      </c>
      <c r="G585" s="32" t="s">
        <v>16</v>
      </c>
      <c r="H585" s="32" t="s">
        <v>17</v>
      </c>
      <c r="I585" s="32" t="s">
        <v>113</v>
      </c>
      <c r="J585" s="32" t="s">
        <v>48</v>
      </c>
      <c r="K585" s="32" t="s">
        <v>40</v>
      </c>
      <c r="L585" s="32" t="s">
        <v>92</v>
      </c>
      <c r="M585" s="32" t="s">
        <v>57</v>
      </c>
      <c r="N585" s="32" t="s">
        <v>1269</v>
      </c>
      <c r="O585" s="37">
        <v>643.21</v>
      </c>
      <c r="P585" s="38" t="str">
        <f t="shared" si="66"/>
        <v>High</v>
      </c>
      <c r="Q585" s="37">
        <v>1112.81</v>
      </c>
      <c r="R585" s="37">
        <v>0.14099999999999999</v>
      </c>
      <c r="S585" s="37">
        <v>4</v>
      </c>
      <c r="T585" s="37">
        <f t="shared" si="63"/>
        <v>4918.1873199999991</v>
      </c>
      <c r="U585" s="32">
        <f t="shared" si="64"/>
        <v>2572.84</v>
      </c>
      <c r="V585" s="37">
        <f t="shared" si="67"/>
        <v>2345.3473199999989</v>
      </c>
      <c r="W585" s="39">
        <f t="shared" si="68"/>
        <v>0.47687230424562183</v>
      </c>
    </row>
    <row r="586" spans="1:23" x14ac:dyDescent="0.3">
      <c r="A586" s="40" t="s">
        <v>1270</v>
      </c>
      <c r="B586" s="41">
        <v>45764</v>
      </c>
      <c r="C586" s="42">
        <v>45764</v>
      </c>
      <c r="D586" s="43">
        <f t="shared" si="69"/>
        <v>0</v>
      </c>
      <c r="E586" s="43" t="str">
        <f>TEXT(Data!B586,"MMM-YYYY")</f>
        <v>Apr-2025</v>
      </c>
      <c r="F586" s="43" t="str">
        <f t="shared" si="65"/>
        <v>Q2-2025</v>
      </c>
      <c r="G586" s="33" t="s">
        <v>52</v>
      </c>
      <c r="H586" s="33" t="s">
        <v>73</v>
      </c>
      <c r="I586" s="33" t="s">
        <v>74</v>
      </c>
      <c r="J586" s="33" t="s">
        <v>19</v>
      </c>
      <c r="K586" s="33" t="s">
        <v>55</v>
      </c>
      <c r="L586" s="33" t="s">
        <v>49</v>
      </c>
      <c r="M586" s="33" t="s">
        <v>42</v>
      </c>
      <c r="N586" s="33" t="s">
        <v>1271</v>
      </c>
      <c r="O586" s="43">
        <v>719.41</v>
      </c>
      <c r="P586" s="44" t="str">
        <f t="shared" si="66"/>
        <v>High</v>
      </c>
      <c r="Q586" s="43">
        <v>1125.99</v>
      </c>
      <c r="R586" s="43">
        <v>4.1000000000000002E-2</v>
      </c>
      <c r="S586" s="43">
        <v>21</v>
      </c>
      <c r="T586" s="43">
        <f t="shared" si="63"/>
        <v>32132.177279999996</v>
      </c>
      <c r="U586" s="33">
        <f t="shared" si="64"/>
        <v>15107.609999999999</v>
      </c>
      <c r="V586" s="43">
        <f t="shared" si="67"/>
        <v>17024.567279999996</v>
      </c>
      <c r="W586" s="45">
        <f t="shared" si="68"/>
        <v>0.52982924660373332</v>
      </c>
    </row>
    <row r="587" spans="1:23" x14ac:dyDescent="0.3">
      <c r="A587" s="34" t="s">
        <v>1272</v>
      </c>
      <c r="B587" s="35">
        <v>45049</v>
      </c>
      <c r="C587" s="36">
        <v>45062</v>
      </c>
      <c r="D587" s="37">
        <f t="shared" si="69"/>
        <v>13</v>
      </c>
      <c r="E587" s="37" t="str">
        <f>TEXT(Data!B587,"MMM-YYYY")</f>
        <v>May-2023</v>
      </c>
      <c r="F587" s="37" t="str">
        <f t="shared" si="65"/>
        <v>Q2-2023</v>
      </c>
      <c r="G587" s="32" t="s">
        <v>52</v>
      </c>
      <c r="H587" s="32" t="s">
        <v>122</v>
      </c>
      <c r="I587" s="32" t="s">
        <v>387</v>
      </c>
      <c r="J587" s="32" t="s">
        <v>19</v>
      </c>
      <c r="K587" s="32" t="s">
        <v>40</v>
      </c>
      <c r="L587" s="32" t="s">
        <v>49</v>
      </c>
      <c r="M587" s="32" t="s">
        <v>42</v>
      </c>
      <c r="N587" s="32" t="s">
        <v>1273</v>
      </c>
      <c r="O587" s="37">
        <v>64.5</v>
      </c>
      <c r="P587" s="38" t="str">
        <f t="shared" si="66"/>
        <v>Medium</v>
      </c>
      <c r="Q587" s="37">
        <v>123.62</v>
      </c>
      <c r="R587" s="37">
        <v>0</v>
      </c>
      <c r="S587" s="37">
        <v>3</v>
      </c>
      <c r="T587" s="37">
        <f t="shared" si="63"/>
        <v>3085.38</v>
      </c>
      <c r="U587" s="32">
        <f t="shared" si="64"/>
        <v>193.5</v>
      </c>
      <c r="V587" s="37">
        <f t="shared" si="67"/>
        <v>2891.88</v>
      </c>
      <c r="W587" s="39">
        <f t="shared" si="68"/>
        <v>0.93728487252785719</v>
      </c>
    </row>
    <row r="588" spans="1:23" x14ac:dyDescent="0.3">
      <c r="A588" s="40" t="s">
        <v>1274</v>
      </c>
      <c r="B588" s="41">
        <v>45364</v>
      </c>
      <c r="C588" s="42">
        <v>45388</v>
      </c>
      <c r="D588" s="43">
        <f t="shared" si="69"/>
        <v>24</v>
      </c>
      <c r="E588" s="43" t="str">
        <f>TEXT(Data!B588,"MMM-YYYY")</f>
        <v>Mar-2024</v>
      </c>
      <c r="F588" s="43" t="str">
        <f t="shared" si="65"/>
        <v>Q1-2024</v>
      </c>
      <c r="G588" s="33" t="s">
        <v>16</v>
      </c>
      <c r="H588" s="33" t="s">
        <v>25</v>
      </c>
      <c r="I588" s="33" t="s">
        <v>67</v>
      </c>
      <c r="J588" s="33" t="s">
        <v>48</v>
      </c>
      <c r="K588" s="33" t="s">
        <v>55</v>
      </c>
      <c r="L588" s="33" t="s">
        <v>49</v>
      </c>
      <c r="M588" s="33" t="s">
        <v>22</v>
      </c>
      <c r="N588" s="33" t="s">
        <v>1275</v>
      </c>
      <c r="O588" s="43">
        <v>1232.78</v>
      </c>
      <c r="P588" s="44" t="str">
        <f t="shared" si="66"/>
        <v>High</v>
      </c>
      <c r="Q588" s="43">
        <v>1731.75</v>
      </c>
      <c r="R588" s="43">
        <v>9.2999999999999999E-2</v>
      </c>
      <c r="S588" s="43">
        <v>16</v>
      </c>
      <c r="T588" s="43">
        <f t="shared" si="63"/>
        <v>46878.839200000002</v>
      </c>
      <c r="U588" s="33">
        <f t="shared" si="64"/>
        <v>19724.48</v>
      </c>
      <c r="V588" s="43">
        <f t="shared" si="67"/>
        <v>27154.359200000003</v>
      </c>
      <c r="W588" s="45">
        <f t="shared" si="68"/>
        <v>0.5792455543566446</v>
      </c>
    </row>
    <row r="589" spans="1:23" x14ac:dyDescent="0.3">
      <c r="A589" s="34" t="s">
        <v>1276</v>
      </c>
      <c r="B589" s="35">
        <v>45459</v>
      </c>
      <c r="C589" s="36">
        <v>45464</v>
      </c>
      <c r="D589" s="37">
        <f t="shared" si="69"/>
        <v>5</v>
      </c>
      <c r="E589" s="37" t="str">
        <f>TEXT(Data!B589,"MMM-YYYY")</f>
        <v>Jun-2024</v>
      </c>
      <c r="F589" s="37" t="str">
        <f t="shared" si="65"/>
        <v>Q2-2024</v>
      </c>
      <c r="G589" s="32" t="s">
        <v>45</v>
      </c>
      <c r="H589" s="32" t="s">
        <v>46</v>
      </c>
      <c r="I589" s="32" t="s">
        <v>214</v>
      </c>
      <c r="J589" s="32" t="s">
        <v>62</v>
      </c>
      <c r="K589" s="32" t="s">
        <v>55</v>
      </c>
      <c r="L589" s="32" t="s">
        <v>84</v>
      </c>
      <c r="M589" s="32" t="s">
        <v>42</v>
      </c>
      <c r="N589" s="32" t="s">
        <v>1277</v>
      </c>
      <c r="O589" s="37">
        <v>1367.13</v>
      </c>
      <c r="P589" s="38" t="str">
        <f t="shared" si="66"/>
        <v>High</v>
      </c>
      <c r="Q589" s="37">
        <v>3062.01</v>
      </c>
      <c r="R589" s="37">
        <v>0.10299999999999999</v>
      </c>
      <c r="S589" s="37">
        <v>25</v>
      </c>
      <c r="T589" s="37">
        <f t="shared" si="63"/>
        <v>62557.004249999998</v>
      </c>
      <c r="U589" s="32">
        <f t="shared" si="64"/>
        <v>34178.25</v>
      </c>
      <c r="V589" s="37">
        <f t="shared" si="67"/>
        <v>28378.754249999998</v>
      </c>
      <c r="W589" s="39">
        <f t="shared" si="68"/>
        <v>0.45364631171576603</v>
      </c>
    </row>
    <row r="590" spans="1:23" x14ac:dyDescent="0.3">
      <c r="A590" s="40" t="s">
        <v>1278</v>
      </c>
      <c r="B590" s="41">
        <v>45703</v>
      </c>
      <c r="C590" s="42">
        <v>45715</v>
      </c>
      <c r="D590" s="43">
        <f t="shared" si="69"/>
        <v>12</v>
      </c>
      <c r="E590" s="43" t="str">
        <f>TEXT(Data!B590,"MMM-YYYY")</f>
        <v>Feb-2025</v>
      </c>
      <c r="F590" s="43" t="str">
        <f t="shared" si="65"/>
        <v>Q1-2025</v>
      </c>
      <c r="G590" s="33" t="s">
        <v>78</v>
      </c>
      <c r="H590" s="33" t="s">
        <v>90</v>
      </c>
      <c r="I590" s="33" t="s">
        <v>138</v>
      </c>
      <c r="J590" s="33" t="s">
        <v>39</v>
      </c>
      <c r="K590" s="33" t="s">
        <v>98</v>
      </c>
      <c r="L590" s="33" t="s">
        <v>95</v>
      </c>
      <c r="M590" s="33" t="s">
        <v>81</v>
      </c>
      <c r="N590" s="33" t="s">
        <v>1279</v>
      </c>
      <c r="O590" s="43">
        <v>1027.26</v>
      </c>
      <c r="P590" s="44" t="str">
        <f t="shared" si="66"/>
        <v>High</v>
      </c>
      <c r="Q590" s="43">
        <v>2200.41</v>
      </c>
      <c r="R590" s="43">
        <v>8.7999999999999995E-2</v>
      </c>
      <c r="S590" s="43">
        <v>6</v>
      </c>
      <c r="T590" s="43">
        <f t="shared" si="63"/>
        <v>10384.433280000001</v>
      </c>
      <c r="U590" s="33">
        <f t="shared" si="64"/>
        <v>6163.5599999999995</v>
      </c>
      <c r="V590" s="43">
        <f t="shared" si="67"/>
        <v>4220.8732800000016</v>
      </c>
      <c r="W590" s="45">
        <f t="shared" si="68"/>
        <v>0.40646159171047236</v>
      </c>
    </row>
    <row r="591" spans="1:23" x14ac:dyDescent="0.3">
      <c r="A591" s="34" t="s">
        <v>1280</v>
      </c>
      <c r="B591" s="35">
        <v>45019</v>
      </c>
      <c r="C591" s="36">
        <v>45032</v>
      </c>
      <c r="D591" s="37">
        <f t="shared" si="69"/>
        <v>13</v>
      </c>
      <c r="E591" s="37" t="str">
        <f>TEXT(Data!B591,"MMM-YYYY")</f>
        <v>Apr-2023</v>
      </c>
      <c r="F591" s="37" t="str">
        <f t="shared" si="65"/>
        <v>Q2-2023</v>
      </c>
      <c r="G591" s="32" t="s">
        <v>78</v>
      </c>
      <c r="H591" s="32" t="s">
        <v>90</v>
      </c>
      <c r="I591" s="32" t="s">
        <v>91</v>
      </c>
      <c r="J591" s="32" t="s">
        <v>39</v>
      </c>
      <c r="K591" s="32" t="s">
        <v>40</v>
      </c>
      <c r="L591" s="32" t="s">
        <v>110</v>
      </c>
      <c r="M591" s="32" t="s">
        <v>81</v>
      </c>
      <c r="N591" s="32" t="s">
        <v>1281</v>
      </c>
      <c r="O591" s="37">
        <v>790.54</v>
      </c>
      <c r="P591" s="38" t="str">
        <f t="shared" si="66"/>
        <v>High</v>
      </c>
      <c r="Q591" s="37">
        <v>601.49</v>
      </c>
      <c r="R591" s="37">
        <v>0</v>
      </c>
      <c r="S591" s="37">
        <v>15</v>
      </c>
      <c r="T591" s="37">
        <f t="shared" si="63"/>
        <v>13537.050000000001</v>
      </c>
      <c r="U591" s="32">
        <f t="shared" si="64"/>
        <v>11858.099999999999</v>
      </c>
      <c r="V591" s="37">
        <f t="shared" si="67"/>
        <v>1678.9500000000025</v>
      </c>
      <c r="W591" s="39">
        <f t="shared" si="68"/>
        <v>0.12402628342216379</v>
      </c>
    </row>
    <row r="592" spans="1:23" x14ac:dyDescent="0.3">
      <c r="A592" s="40" t="s">
        <v>1282</v>
      </c>
      <c r="B592" s="41">
        <v>45899</v>
      </c>
      <c r="C592" s="42">
        <v>45922</v>
      </c>
      <c r="D592" s="43">
        <f t="shared" si="69"/>
        <v>23</v>
      </c>
      <c r="E592" s="43" t="str">
        <f>TEXT(Data!B592,"MMM-YYYY")</f>
        <v>Aug-2025</v>
      </c>
      <c r="F592" s="43" t="str">
        <f t="shared" si="65"/>
        <v>Q3-2025</v>
      </c>
      <c r="G592" s="33" t="s">
        <v>78</v>
      </c>
      <c r="H592" s="33" t="s">
        <v>90</v>
      </c>
      <c r="I592" s="33" t="s">
        <v>91</v>
      </c>
      <c r="J592" s="33" t="s">
        <v>19</v>
      </c>
      <c r="K592" s="33" t="s">
        <v>98</v>
      </c>
      <c r="L592" s="33" t="s">
        <v>63</v>
      </c>
      <c r="M592" s="33" t="s">
        <v>22</v>
      </c>
      <c r="N592" s="33" t="s">
        <v>1283</v>
      </c>
      <c r="O592" s="43">
        <v>663.9</v>
      </c>
      <c r="P592" s="44" t="str">
        <f t="shared" si="66"/>
        <v>High</v>
      </c>
      <c r="Q592" s="43">
        <v>947.77</v>
      </c>
      <c r="R592" s="43">
        <v>0.17399999999999999</v>
      </c>
      <c r="S592" s="43">
        <v>15</v>
      </c>
      <c r="T592" s="43">
        <f t="shared" si="63"/>
        <v>-417.04740000000004</v>
      </c>
      <c r="U592" s="33">
        <f t="shared" si="64"/>
        <v>9958.5</v>
      </c>
      <c r="V592" s="43">
        <f t="shared" si="67"/>
        <v>-10375.547399999999</v>
      </c>
      <c r="W592" s="45">
        <f t="shared" si="68"/>
        <v>24.878580708092169</v>
      </c>
    </row>
    <row r="593" spans="1:23" x14ac:dyDescent="0.3">
      <c r="A593" s="34" t="s">
        <v>1284</v>
      </c>
      <c r="B593" s="35">
        <v>44984</v>
      </c>
      <c r="C593" s="36">
        <v>44983</v>
      </c>
      <c r="D593" s="37">
        <f>DATEDIF(C593,B593, "MD")</f>
        <v>1</v>
      </c>
      <c r="E593" s="37" t="str">
        <f>TEXT(Data!B593,"MMM-YYYY")</f>
        <v>Feb-2023</v>
      </c>
      <c r="F593" s="37" t="str">
        <f t="shared" si="65"/>
        <v>Q1-2023</v>
      </c>
      <c r="G593" s="32" t="s">
        <v>52</v>
      </c>
      <c r="H593" s="32" t="s">
        <v>122</v>
      </c>
      <c r="I593" s="32" t="s">
        <v>167</v>
      </c>
      <c r="J593" s="32" t="s">
        <v>39</v>
      </c>
      <c r="K593" s="32" t="s">
        <v>28</v>
      </c>
      <c r="L593" s="32" t="s">
        <v>49</v>
      </c>
      <c r="M593" s="32" t="s">
        <v>35</v>
      </c>
      <c r="N593" s="32" t="s">
        <v>1285</v>
      </c>
      <c r="O593" s="37">
        <v>1015.91</v>
      </c>
      <c r="P593" s="38" t="str">
        <f t="shared" si="66"/>
        <v>High</v>
      </c>
      <c r="Q593" s="37">
        <v>2331.48</v>
      </c>
      <c r="R593" s="37">
        <v>0.14599999999999999</v>
      </c>
      <c r="S593" s="37">
        <v>26</v>
      </c>
      <c r="T593" s="37">
        <f t="shared" si="63"/>
        <v>24128.64272</v>
      </c>
      <c r="U593" s="32">
        <f t="shared" si="64"/>
        <v>26413.66</v>
      </c>
      <c r="V593" s="37">
        <f t="shared" si="67"/>
        <v>-2285.01728</v>
      </c>
      <c r="W593" s="39">
        <f t="shared" si="68"/>
        <v>-9.4701442866737429E-2</v>
      </c>
    </row>
    <row r="594" spans="1:23" x14ac:dyDescent="0.3">
      <c r="A594" s="40" t="s">
        <v>1286</v>
      </c>
      <c r="B594" s="41">
        <v>45504</v>
      </c>
      <c r="C594" s="42">
        <v>45519</v>
      </c>
      <c r="D594" s="43">
        <f t="shared" si="69"/>
        <v>15</v>
      </c>
      <c r="E594" s="43" t="str">
        <f>TEXT(Data!B594,"MMM-YYYY")</f>
        <v>Jul-2024</v>
      </c>
      <c r="F594" s="43" t="str">
        <f t="shared" si="65"/>
        <v>Q3-2024</v>
      </c>
      <c r="G594" s="33" t="s">
        <v>45</v>
      </c>
      <c r="H594" s="33" t="s">
        <v>46</v>
      </c>
      <c r="I594" s="33" t="s">
        <v>214</v>
      </c>
      <c r="J594" s="33" t="s">
        <v>19</v>
      </c>
      <c r="K594" s="33" t="s">
        <v>40</v>
      </c>
      <c r="L594" s="33" t="s">
        <v>84</v>
      </c>
      <c r="M594" s="33" t="s">
        <v>64</v>
      </c>
      <c r="N594" s="33" t="s">
        <v>1287</v>
      </c>
      <c r="O594" s="43">
        <v>1252.52</v>
      </c>
      <c r="P594" s="44" t="str">
        <f t="shared" si="66"/>
        <v>High</v>
      </c>
      <c r="Q594" s="43">
        <v>1417.24</v>
      </c>
      <c r="R594" s="43">
        <v>0.192</v>
      </c>
      <c r="S594" s="43">
        <v>5</v>
      </c>
      <c r="T594" s="43">
        <f t="shared" si="63"/>
        <v>4083.4300000000003</v>
      </c>
      <c r="U594" s="33">
        <f t="shared" si="64"/>
        <v>6262.6</v>
      </c>
      <c r="V594" s="43">
        <f t="shared" si="67"/>
        <v>-2179.17</v>
      </c>
      <c r="W594" s="45">
        <f t="shared" si="68"/>
        <v>-0.53366165209150151</v>
      </c>
    </row>
    <row r="595" spans="1:23" x14ac:dyDescent="0.3">
      <c r="A595" s="34" t="s">
        <v>1288</v>
      </c>
      <c r="B595" s="35">
        <v>45823</v>
      </c>
      <c r="C595" s="36">
        <v>45850</v>
      </c>
      <c r="D595" s="37">
        <f t="shared" si="69"/>
        <v>27</v>
      </c>
      <c r="E595" s="37" t="str">
        <f>TEXT(Data!B595,"MMM-YYYY")</f>
        <v>Jun-2025</v>
      </c>
      <c r="F595" s="37" t="str">
        <f t="shared" si="65"/>
        <v>Q2-2025</v>
      </c>
      <c r="G595" s="32" t="s">
        <v>78</v>
      </c>
      <c r="H595" s="32" t="s">
        <v>90</v>
      </c>
      <c r="I595" s="32" t="s">
        <v>91</v>
      </c>
      <c r="J595" s="32" t="s">
        <v>48</v>
      </c>
      <c r="K595" s="32" t="s">
        <v>98</v>
      </c>
      <c r="L595" s="32" t="s">
        <v>21</v>
      </c>
      <c r="M595" s="32" t="s">
        <v>81</v>
      </c>
      <c r="N595" s="32" t="s">
        <v>1289</v>
      </c>
      <c r="O595" s="37">
        <v>318.83</v>
      </c>
      <c r="P595" s="38" t="str">
        <f t="shared" si="66"/>
        <v>High</v>
      </c>
      <c r="Q595" s="37">
        <v>699.5</v>
      </c>
      <c r="R595" s="37">
        <v>0.08</v>
      </c>
      <c r="S595" s="37">
        <v>13</v>
      </c>
      <c r="T595" s="37">
        <f t="shared" si="63"/>
        <v>4921.3008</v>
      </c>
      <c r="U595" s="32">
        <f t="shared" si="64"/>
        <v>4144.79</v>
      </c>
      <c r="V595" s="37">
        <f t="shared" si="67"/>
        <v>776.51080000000002</v>
      </c>
      <c r="W595" s="39">
        <f t="shared" si="68"/>
        <v>0.15778568137919957</v>
      </c>
    </row>
    <row r="596" spans="1:23" x14ac:dyDescent="0.3">
      <c r="A596" s="40" t="s">
        <v>1290</v>
      </c>
      <c r="B596" s="41">
        <v>45473</v>
      </c>
      <c r="C596" s="42">
        <v>45494</v>
      </c>
      <c r="D596" s="43">
        <f t="shared" si="69"/>
        <v>21</v>
      </c>
      <c r="E596" s="43" t="str">
        <f>TEXT(Data!B596,"MMM-YYYY")</f>
        <v>Jun-2024</v>
      </c>
      <c r="F596" s="43" t="str">
        <f t="shared" si="65"/>
        <v>Q2-2024</v>
      </c>
      <c r="G596" s="33" t="s">
        <v>16</v>
      </c>
      <c r="H596" s="33" t="s">
        <v>17</v>
      </c>
      <c r="I596" s="33" t="s">
        <v>18</v>
      </c>
      <c r="J596" s="33" t="s">
        <v>62</v>
      </c>
      <c r="K596" s="33" t="s">
        <v>20</v>
      </c>
      <c r="L596" s="33" t="s">
        <v>95</v>
      </c>
      <c r="M596" s="33" t="s">
        <v>57</v>
      </c>
      <c r="N596" s="33" t="s">
        <v>1291</v>
      </c>
      <c r="O596" s="43">
        <v>753.43</v>
      </c>
      <c r="P596" s="44" t="str">
        <f t="shared" si="66"/>
        <v>High</v>
      </c>
      <c r="Q596" s="43">
        <v>1787.2</v>
      </c>
      <c r="R596" s="43">
        <v>7.2999999999999995E-2</v>
      </c>
      <c r="S596" s="43">
        <v>9</v>
      </c>
      <c r="T596" s="43">
        <f t="shared" si="63"/>
        <v>3448.4956200000001</v>
      </c>
      <c r="U596" s="33">
        <f t="shared" si="64"/>
        <v>6780.87</v>
      </c>
      <c r="V596" s="43">
        <f t="shared" si="67"/>
        <v>-3332.3743799999997</v>
      </c>
      <c r="W596" s="45">
        <f t="shared" si="68"/>
        <v>-0.9663269863744236</v>
      </c>
    </row>
    <row r="597" spans="1:23" x14ac:dyDescent="0.3">
      <c r="A597" s="34" t="s">
        <v>1292</v>
      </c>
      <c r="B597" s="35">
        <v>45705</v>
      </c>
      <c r="C597" s="36">
        <v>45703</v>
      </c>
      <c r="D597" s="37">
        <f>DATEDIF(C597,B597, "MD")</f>
        <v>2</v>
      </c>
      <c r="E597" s="37" t="str">
        <f>TEXT(Data!B597,"MMM-YYYY")</f>
        <v>Feb-2025</v>
      </c>
      <c r="F597" s="37" t="str">
        <f t="shared" si="65"/>
        <v>Q1-2025</v>
      </c>
      <c r="G597" s="32" t="s">
        <v>52</v>
      </c>
      <c r="H597" s="32" t="s">
        <v>53</v>
      </c>
      <c r="I597" s="32" t="s">
        <v>54</v>
      </c>
      <c r="J597" s="32" t="s">
        <v>62</v>
      </c>
      <c r="K597" s="32" t="s">
        <v>20</v>
      </c>
      <c r="L597" s="32" t="s">
        <v>145</v>
      </c>
      <c r="M597" s="32" t="s">
        <v>22</v>
      </c>
      <c r="N597" s="32" t="s">
        <v>1293</v>
      </c>
      <c r="O597" s="37">
        <v>1133.47</v>
      </c>
      <c r="P597" s="38" t="str">
        <f t="shared" si="66"/>
        <v>High</v>
      </c>
      <c r="Q597" s="37">
        <v>1698.75</v>
      </c>
      <c r="R597" s="37">
        <v>4.2999999999999997E-2</v>
      </c>
      <c r="S597" s="37">
        <v>5</v>
      </c>
      <c r="T597" s="37">
        <f t="shared" si="63"/>
        <v>7459.2886500000004</v>
      </c>
      <c r="U597" s="32">
        <f t="shared" si="64"/>
        <v>5667.35</v>
      </c>
      <c r="V597" s="37">
        <f t="shared" si="67"/>
        <v>1791.9386500000001</v>
      </c>
      <c r="W597" s="39">
        <f t="shared" si="68"/>
        <v>0.24022916045754578</v>
      </c>
    </row>
    <row r="598" spans="1:23" x14ac:dyDescent="0.3">
      <c r="A598" s="40" t="s">
        <v>1294</v>
      </c>
      <c r="B598" s="41">
        <v>44933</v>
      </c>
      <c r="C598" s="42">
        <v>44956</v>
      </c>
      <c r="D598" s="43">
        <f t="shared" si="69"/>
        <v>23</v>
      </c>
      <c r="E598" s="43" t="str">
        <f>TEXT(Data!B598,"MMM-YYYY")</f>
        <v>Jan-2023</v>
      </c>
      <c r="F598" s="43" t="str">
        <f t="shared" si="65"/>
        <v>Q1-2023</v>
      </c>
      <c r="G598" s="33" t="s">
        <v>16</v>
      </c>
      <c r="H598" s="33" t="s">
        <v>148</v>
      </c>
      <c r="I598" s="33" t="s">
        <v>258</v>
      </c>
      <c r="J598" s="33" t="s">
        <v>48</v>
      </c>
      <c r="K598" s="33" t="s">
        <v>28</v>
      </c>
      <c r="L598" s="33" t="s">
        <v>75</v>
      </c>
      <c r="M598" s="33" t="s">
        <v>30</v>
      </c>
      <c r="N598" s="33" t="s">
        <v>1295</v>
      </c>
      <c r="O598" s="43">
        <v>299.02</v>
      </c>
      <c r="P598" s="44" t="str">
        <f t="shared" si="66"/>
        <v>High</v>
      </c>
      <c r="Q598" s="43">
        <v>724.7</v>
      </c>
      <c r="R598" s="43">
        <v>0.14000000000000001</v>
      </c>
      <c r="S598" s="43">
        <v>5</v>
      </c>
      <c r="T598" s="43">
        <f t="shared" si="63"/>
        <v>3702.9880000000003</v>
      </c>
      <c r="U598" s="33">
        <f t="shared" si="64"/>
        <v>1495.1</v>
      </c>
      <c r="V598" s="43">
        <f t="shared" si="67"/>
        <v>2207.8880000000004</v>
      </c>
      <c r="W598" s="45">
        <f t="shared" si="68"/>
        <v>0.59624497837962209</v>
      </c>
    </row>
    <row r="599" spans="1:23" x14ac:dyDescent="0.3">
      <c r="A599" s="34" t="s">
        <v>1296</v>
      </c>
      <c r="B599" s="35">
        <v>45726</v>
      </c>
      <c r="C599" s="36">
        <v>45751</v>
      </c>
      <c r="D599" s="37">
        <f t="shared" si="69"/>
        <v>25</v>
      </c>
      <c r="E599" s="37" t="str">
        <f>TEXT(Data!B599,"MMM-YYYY")</f>
        <v>Mar-2025</v>
      </c>
      <c r="F599" s="37" t="str">
        <f t="shared" si="65"/>
        <v>Q1-2025</v>
      </c>
      <c r="G599" s="32" t="s">
        <v>45</v>
      </c>
      <c r="H599" s="32" t="s">
        <v>46</v>
      </c>
      <c r="I599" s="32" t="s">
        <v>47</v>
      </c>
      <c r="J599" s="32" t="s">
        <v>19</v>
      </c>
      <c r="K599" s="32" t="s">
        <v>98</v>
      </c>
      <c r="L599" s="32" t="s">
        <v>92</v>
      </c>
      <c r="M599" s="32" t="s">
        <v>30</v>
      </c>
      <c r="N599" s="32" t="s">
        <v>1297</v>
      </c>
      <c r="O599" s="37">
        <v>783.72</v>
      </c>
      <c r="P599" s="38" t="str">
        <f t="shared" si="66"/>
        <v>High</v>
      </c>
      <c r="Q599" s="37">
        <v>1355.94</v>
      </c>
      <c r="R599" s="37">
        <v>0.187</v>
      </c>
      <c r="S599" s="37">
        <v>4</v>
      </c>
      <c r="T599" s="37">
        <f t="shared" si="63"/>
        <v>7467.4049999999997</v>
      </c>
      <c r="U599" s="32">
        <f t="shared" si="64"/>
        <v>3134.88</v>
      </c>
      <c r="V599" s="37">
        <f t="shared" si="67"/>
        <v>4332.5249999999996</v>
      </c>
      <c r="W599" s="39">
        <f t="shared" si="68"/>
        <v>0.58019151231251009</v>
      </c>
    </row>
    <row r="600" spans="1:23" x14ac:dyDescent="0.3">
      <c r="A600" s="40" t="s">
        <v>1298</v>
      </c>
      <c r="B600" s="41">
        <v>45521</v>
      </c>
      <c r="C600" s="42">
        <v>45519</v>
      </c>
      <c r="D600" s="43">
        <f>DATEDIF(C600,B600, "MD")</f>
        <v>2</v>
      </c>
      <c r="E600" s="43" t="str">
        <f>TEXT(Data!B600,"MMM-YYYY")</f>
        <v>Aug-2024</v>
      </c>
      <c r="F600" s="43" t="str">
        <f t="shared" si="65"/>
        <v>Q3-2024</v>
      </c>
      <c r="G600" s="33" t="s">
        <v>52</v>
      </c>
      <c r="H600" s="33" t="s">
        <v>73</v>
      </c>
      <c r="I600" s="33" t="s">
        <v>225</v>
      </c>
      <c r="J600" s="33" t="s">
        <v>48</v>
      </c>
      <c r="K600" s="33" t="s">
        <v>98</v>
      </c>
      <c r="L600" s="33" t="s">
        <v>110</v>
      </c>
      <c r="M600" s="33" t="s">
        <v>64</v>
      </c>
      <c r="N600" s="33" t="s">
        <v>1299</v>
      </c>
      <c r="O600" s="43">
        <v>165.3</v>
      </c>
      <c r="P600" s="44" t="str">
        <f t="shared" si="66"/>
        <v>High</v>
      </c>
      <c r="Q600" s="43">
        <v>275.07</v>
      </c>
      <c r="R600" s="43">
        <v>0.13300000000000001</v>
      </c>
      <c r="S600" s="43">
        <v>25</v>
      </c>
      <c r="T600" s="43">
        <f t="shared" si="63"/>
        <v>57148.305</v>
      </c>
      <c r="U600" s="33">
        <f t="shared" si="64"/>
        <v>4132.5</v>
      </c>
      <c r="V600" s="43">
        <f t="shared" si="67"/>
        <v>53015.805</v>
      </c>
      <c r="W600" s="45">
        <f t="shared" si="68"/>
        <v>0.92768814403156841</v>
      </c>
    </row>
    <row r="601" spans="1:23" x14ac:dyDescent="0.3">
      <c r="A601" s="34" t="s">
        <v>1300</v>
      </c>
      <c r="B601" s="35">
        <v>45360</v>
      </c>
      <c r="C601" s="36">
        <v>45373</v>
      </c>
      <c r="D601" s="37">
        <f t="shared" si="69"/>
        <v>13</v>
      </c>
      <c r="E601" s="37" t="str">
        <f>TEXT(Data!B601,"MMM-YYYY")</f>
        <v>Mar-2024</v>
      </c>
      <c r="F601" s="37" t="str">
        <f t="shared" si="65"/>
        <v>Q1-2024</v>
      </c>
      <c r="G601" s="32" t="s">
        <v>78</v>
      </c>
      <c r="H601" s="32" t="s">
        <v>108</v>
      </c>
      <c r="I601" s="32" t="s">
        <v>228</v>
      </c>
      <c r="J601" s="32" t="s">
        <v>48</v>
      </c>
      <c r="K601" s="32" t="s">
        <v>28</v>
      </c>
      <c r="L601" s="32" t="s">
        <v>63</v>
      </c>
      <c r="M601" s="32" t="s">
        <v>57</v>
      </c>
      <c r="N601" s="32" t="s">
        <v>1301</v>
      </c>
      <c r="O601" s="37">
        <v>985.45</v>
      </c>
      <c r="P601" s="38" t="str">
        <f t="shared" si="66"/>
        <v>High</v>
      </c>
      <c r="Q601" s="37">
        <v>1802.44</v>
      </c>
      <c r="R601" s="37">
        <v>8.9999999999999993E-3</v>
      </c>
      <c r="S601" s="37">
        <v>19</v>
      </c>
      <c r="T601" s="37">
        <f t="shared" si="63"/>
        <v>18416.456609999997</v>
      </c>
      <c r="U601" s="32">
        <f t="shared" si="64"/>
        <v>18723.55</v>
      </c>
      <c r="V601" s="37">
        <f t="shared" si="67"/>
        <v>-307.09339000000182</v>
      </c>
      <c r="W601" s="39">
        <f t="shared" si="68"/>
        <v>-1.6674944399089911E-2</v>
      </c>
    </row>
    <row r="602" spans="1:23" x14ac:dyDescent="0.3">
      <c r="A602" s="40" t="s">
        <v>1302</v>
      </c>
      <c r="B602" s="41">
        <v>45523</v>
      </c>
      <c r="C602" s="42">
        <v>45537</v>
      </c>
      <c r="D602" s="43">
        <f t="shared" si="69"/>
        <v>14</v>
      </c>
      <c r="E602" s="43" t="str">
        <f>TEXT(Data!B602,"MMM-YYYY")</f>
        <v>Aug-2024</v>
      </c>
      <c r="F602" s="43" t="str">
        <f t="shared" si="65"/>
        <v>Q3-2024</v>
      </c>
      <c r="G602" s="33" t="s">
        <v>52</v>
      </c>
      <c r="H602" s="33" t="s">
        <v>53</v>
      </c>
      <c r="I602" s="33" t="s">
        <v>54</v>
      </c>
      <c r="J602" s="33" t="s">
        <v>48</v>
      </c>
      <c r="K602" s="33" t="s">
        <v>55</v>
      </c>
      <c r="L602" s="33" t="s">
        <v>21</v>
      </c>
      <c r="M602" s="33" t="s">
        <v>30</v>
      </c>
      <c r="N602" s="33" t="s">
        <v>1303</v>
      </c>
      <c r="O602" s="43">
        <v>1337.01</v>
      </c>
      <c r="P602" s="44" t="str">
        <f t="shared" si="66"/>
        <v>High</v>
      </c>
      <c r="Q602" s="43">
        <v>1269.78</v>
      </c>
      <c r="R602" s="43">
        <v>0.16</v>
      </c>
      <c r="S602" s="43">
        <v>7</v>
      </c>
      <c r="T602" s="43">
        <f t="shared" si="63"/>
        <v>3208.8335999999999</v>
      </c>
      <c r="U602" s="33">
        <f t="shared" si="64"/>
        <v>9359.07</v>
      </c>
      <c r="V602" s="43">
        <f t="shared" si="67"/>
        <v>-6150.2363999999998</v>
      </c>
      <c r="W602" s="45">
        <f t="shared" si="68"/>
        <v>-1.916657940754547</v>
      </c>
    </row>
    <row r="603" spans="1:23" x14ac:dyDescent="0.3">
      <c r="A603" s="34" t="s">
        <v>1304</v>
      </c>
      <c r="B603" s="35">
        <v>45880</v>
      </c>
      <c r="C603" s="36">
        <v>45897</v>
      </c>
      <c r="D603" s="37">
        <f t="shared" si="69"/>
        <v>17</v>
      </c>
      <c r="E603" s="37" t="str">
        <f>TEXT(Data!B603,"MMM-YYYY")</f>
        <v>Aug-2025</v>
      </c>
      <c r="F603" s="37" t="str">
        <f t="shared" si="65"/>
        <v>Q3-2025</v>
      </c>
      <c r="G603" s="32" t="s">
        <v>78</v>
      </c>
      <c r="H603" s="32" t="s">
        <v>90</v>
      </c>
      <c r="I603" s="32" t="s">
        <v>217</v>
      </c>
      <c r="J603" s="32" t="s">
        <v>27</v>
      </c>
      <c r="K603" s="32" t="s">
        <v>28</v>
      </c>
      <c r="L603" s="32" t="s">
        <v>84</v>
      </c>
      <c r="M603" s="32" t="s">
        <v>35</v>
      </c>
      <c r="N603" s="32" t="s">
        <v>1305</v>
      </c>
      <c r="O603" s="37">
        <v>416.16</v>
      </c>
      <c r="P603" s="38" t="str">
        <f t="shared" si="66"/>
        <v>High</v>
      </c>
      <c r="Q603" s="37">
        <v>571.9</v>
      </c>
      <c r="R603" s="37">
        <v>7.0999999999999994E-2</v>
      </c>
      <c r="S603" s="37">
        <v>2</v>
      </c>
      <c r="T603" s="37">
        <f t="shared" si="63"/>
        <v>2667.2333200000003</v>
      </c>
      <c r="U603" s="32">
        <f t="shared" si="64"/>
        <v>832.32</v>
      </c>
      <c r="V603" s="37">
        <f t="shared" si="67"/>
        <v>1834.9133200000001</v>
      </c>
      <c r="W603" s="39">
        <f t="shared" si="68"/>
        <v>0.6879463098488886</v>
      </c>
    </row>
    <row r="604" spans="1:23" x14ac:dyDescent="0.3">
      <c r="A604" s="40" t="s">
        <v>1306</v>
      </c>
      <c r="B604" s="41">
        <v>45793</v>
      </c>
      <c r="C604" s="42">
        <v>45795</v>
      </c>
      <c r="D604" s="43">
        <f t="shared" si="69"/>
        <v>2</v>
      </c>
      <c r="E604" s="43" t="str">
        <f>TEXT(Data!B604,"MMM-YYYY")</f>
        <v>May-2025</v>
      </c>
      <c r="F604" s="43" t="str">
        <f t="shared" si="65"/>
        <v>Q2-2025</v>
      </c>
      <c r="G604" s="33" t="s">
        <v>45</v>
      </c>
      <c r="H604" s="33" t="s">
        <v>46</v>
      </c>
      <c r="I604" s="33" t="s">
        <v>214</v>
      </c>
      <c r="J604" s="33" t="s">
        <v>105</v>
      </c>
      <c r="K604" s="33" t="s">
        <v>20</v>
      </c>
      <c r="L604" s="33" t="s">
        <v>29</v>
      </c>
      <c r="M604" s="33" t="s">
        <v>30</v>
      </c>
      <c r="N604" s="33" t="s">
        <v>1307</v>
      </c>
      <c r="O604" s="43">
        <v>1144.3800000000001</v>
      </c>
      <c r="P604" s="44" t="str">
        <f t="shared" si="66"/>
        <v>High</v>
      </c>
      <c r="Q604" s="43">
        <v>2755.04</v>
      </c>
      <c r="R604" s="43">
        <v>0.15</v>
      </c>
      <c r="S604" s="43">
        <v>17</v>
      </c>
      <c r="T604" s="43">
        <f t="shared" si="63"/>
        <v>34640.985000000001</v>
      </c>
      <c r="U604" s="33">
        <f t="shared" si="64"/>
        <v>19454.460000000003</v>
      </c>
      <c r="V604" s="43">
        <f t="shared" si="67"/>
        <v>15186.524999999998</v>
      </c>
      <c r="W604" s="45">
        <f t="shared" si="68"/>
        <v>0.4383976090749151</v>
      </c>
    </row>
    <row r="605" spans="1:23" x14ac:dyDescent="0.3">
      <c r="A605" s="34" t="s">
        <v>1308</v>
      </c>
      <c r="B605" s="35">
        <v>45026</v>
      </c>
      <c r="C605" s="36">
        <v>45041</v>
      </c>
      <c r="D605" s="37">
        <f t="shared" si="69"/>
        <v>15</v>
      </c>
      <c r="E605" s="37" t="str">
        <f>TEXT(Data!B605,"MMM-YYYY")</f>
        <v>Apr-2023</v>
      </c>
      <c r="F605" s="37" t="str">
        <f t="shared" si="65"/>
        <v>Q2-2023</v>
      </c>
      <c r="G605" s="32" t="s">
        <v>78</v>
      </c>
      <c r="H605" s="32" t="s">
        <v>108</v>
      </c>
      <c r="I605" s="32" t="s">
        <v>152</v>
      </c>
      <c r="J605" s="32" t="s">
        <v>62</v>
      </c>
      <c r="K605" s="32" t="s">
        <v>20</v>
      </c>
      <c r="L605" s="32" t="s">
        <v>145</v>
      </c>
      <c r="M605" s="32" t="s">
        <v>30</v>
      </c>
      <c r="N605" s="32" t="s">
        <v>1309</v>
      </c>
      <c r="O605" s="37">
        <v>405.66</v>
      </c>
      <c r="P605" s="38" t="str">
        <f t="shared" si="66"/>
        <v>High</v>
      </c>
      <c r="Q605" s="37">
        <v>962.51</v>
      </c>
      <c r="R605" s="37">
        <v>0.19</v>
      </c>
      <c r="S605" s="37">
        <v>7</v>
      </c>
      <c r="T605" s="37">
        <f t="shared" si="63"/>
        <v>10511.386199999999</v>
      </c>
      <c r="U605" s="32">
        <f t="shared" si="64"/>
        <v>2839.6200000000003</v>
      </c>
      <c r="V605" s="37">
        <f t="shared" si="67"/>
        <v>7671.7661999999982</v>
      </c>
      <c r="W605" s="39">
        <f t="shared" si="68"/>
        <v>0.72985294746377016</v>
      </c>
    </row>
    <row r="606" spans="1:23" x14ac:dyDescent="0.3">
      <c r="A606" s="40" t="s">
        <v>1310</v>
      </c>
      <c r="B606" s="41">
        <v>45186</v>
      </c>
      <c r="C606" s="42">
        <v>45201</v>
      </c>
      <c r="D606" s="43">
        <f t="shared" si="69"/>
        <v>15</v>
      </c>
      <c r="E606" s="43" t="str">
        <f>TEXT(Data!B606,"MMM-YYYY")</f>
        <v>Sep-2023</v>
      </c>
      <c r="F606" s="43" t="str">
        <f t="shared" si="65"/>
        <v>Q3-2023</v>
      </c>
      <c r="G606" s="33" t="s">
        <v>52</v>
      </c>
      <c r="H606" s="33" t="s">
        <v>73</v>
      </c>
      <c r="I606" s="33" t="s">
        <v>225</v>
      </c>
      <c r="J606" s="33" t="s">
        <v>62</v>
      </c>
      <c r="K606" s="33" t="s">
        <v>20</v>
      </c>
      <c r="L606" s="33" t="s">
        <v>56</v>
      </c>
      <c r="M606" s="33" t="s">
        <v>57</v>
      </c>
      <c r="N606" s="33" t="s">
        <v>1311</v>
      </c>
      <c r="O606" s="43">
        <v>689.33</v>
      </c>
      <c r="P606" s="44" t="str">
        <f t="shared" si="66"/>
        <v>High</v>
      </c>
      <c r="Q606" s="43">
        <v>668.27</v>
      </c>
      <c r="R606" s="43">
        <v>0.186</v>
      </c>
      <c r="S606" s="43">
        <v>13</v>
      </c>
      <c r="T606" s="43">
        <f t="shared" si="63"/>
        <v>486.56036000000006</v>
      </c>
      <c r="U606" s="33">
        <f t="shared" si="64"/>
        <v>8961.2900000000009</v>
      </c>
      <c r="V606" s="43">
        <f t="shared" si="67"/>
        <v>-8474.7296400000014</v>
      </c>
      <c r="W606" s="45">
        <f t="shared" si="68"/>
        <v>-17.417632706453933</v>
      </c>
    </row>
    <row r="607" spans="1:23" x14ac:dyDescent="0.3">
      <c r="A607" s="34" t="s">
        <v>1312</v>
      </c>
      <c r="B607" s="35">
        <v>45038</v>
      </c>
      <c r="C607" s="36">
        <v>45060</v>
      </c>
      <c r="D607" s="37">
        <f t="shared" si="69"/>
        <v>22</v>
      </c>
      <c r="E607" s="37" t="str">
        <f>TEXT(Data!B607,"MMM-YYYY")</f>
        <v>Apr-2023</v>
      </c>
      <c r="F607" s="37" t="str">
        <f t="shared" si="65"/>
        <v>Q2-2023</v>
      </c>
      <c r="G607" s="32" t="s">
        <v>45</v>
      </c>
      <c r="H607" s="32" t="s">
        <v>46</v>
      </c>
      <c r="I607" s="32" t="s">
        <v>231</v>
      </c>
      <c r="J607" s="32" t="s">
        <v>105</v>
      </c>
      <c r="K607" s="32" t="s">
        <v>20</v>
      </c>
      <c r="L607" s="32" t="s">
        <v>75</v>
      </c>
      <c r="M607" s="32" t="s">
        <v>81</v>
      </c>
      <c r="N607" s="32" t="s">
        <v>1313</v>
      </c>
      <c r="O607" s="37">
        <v>1209.22</v>
      </c>
      <c r="P607" s="38" t="str">
        <f t="shared" si="66"/>
        <v>High</v>
      </c>
      <c r="Q607" s="37">
        <v>1404.33</v>
      </c>
      <c r="R607" s="37">
        <v>0.10299999999999999</v>
      </c>
      <c r="S607" s="37">
        <v>11</v>
      </c>
      <c r="T607" s="37">
        <f t="shared" si="63"/>
        <v>453.68466000000001</v>
      </c>
      <c r="U607" s="32">
        <f t="shared" si="64"/>
        <v>13301.42</v>
      </c>
      <c r="V607" s="37">
        <f t="shared" si="67"/>
        <v>-12847.735339999999</v>
      </c>
      <c r="W607" s="39">
        <f t="shared" si="68"/>
        <v>-28.318646127466597</v>
      </c>
    </row>
    <row r="608" spans="1:23" x14ac:dyDescent="0.3">
      <c r="A608" s="40" t="s">
        <v>1314</v>
      </c>
      <c r="B608" s="41">
        <v>45827</v>
      </c>
      <c r="C608" s="42">
        <v>45829</v>
      </c>
      <c r="D608" s="43">
        <f t="shared" si="69"/>
        <v>2</v>
      </c>
      <c r="E608" s="43" t="str">
        <f>TEXT(Data!B608,"MMM-YYYY")</f>
        <v>Jun-2025</v>
      </c>
      <c r="F608" s="43" t="str">
        <f t="shared" si="65"/>
        <v>Q2-2025</v>
      </c>
      <c r="G608" s="33" t="s">
        <v>16</v>
      </c>
      <c r="H608" s="33" t="s">
        <v>148</v>
      </c>
      <c r="I608" s="33" t="s">
        <v>149</v>
      </c>
      <c r="J608" s="33" t="s">
        <v>62</v>
      </c>
      <c r="K608" s="33" t="s">
        <v>1364</v>
      </c>
      <c r="L608" s="33" t="s">
        <v>92</v>
      </c>
      <c r="M608" s="33" t="s">
        <v>42</v>
      </c>
      <c r="N608" s="33" t="s">
        <v>1315</v>
      </c>
      <c r="O608" s="43">
        <v>1466.27</v>
      </c>
      <c r="P608" s="44" t="str">
        <f t="shared" si="66"/>
        <v>High</v>
      </c>
      <c r="Q608" s="43">
        <v>3589.89</v>
      </c>
      <c r="R608" s="43">
        <v>9.7000000000000003E-2</v>
      </c>
      <c r="S608" s="43">
        <v>9</v>
      </c>
      <c r="T608" s="43">
        <f t="shared" si="63"/>
        <v>0</v>
      </c>
      <c r="U608" s="33">
        <f t="shared" si="64"/>
        <v>13196.43</v>
      </c>
      <c r="V608" s="43">
        <f t="shared" si="67"/>
        <v>-13196.43</v>
      </c>
      <c r="W608" s="45">
        <f t="shared" si="68"/>
        <v>0</v>
      </c>
    </row>
    <row r="609" spans="1:23" x14ac:dyDescent="0.3">
      <c r="A609" s="34" t="s">
        <v>1316</v>
      </c>
      <c r="B609" s="35">
        <v>45623</v>
      </c>
      <c r="C609" s="36">
        <v>45650</v>
      </c>
      <c r="D609" s="37">
        <f t="shared" si="69"/>
        <v>27</v>
      </c>
      <c r="E609" s="37" t="str">
        <f>TEXT(Data!B609,"MMM-YYYY")</f>
        <v>Nov-2024</v>
      </c>
      <c r="F609" s="37" t="str">
        <f t="shared" si="65"/>
        <v>Q4-2024</v>
      </c>
      <c r="G609" s="32" t="s">
        <v>16</v>
      </c>
      <c r="H609" s="32" t="s">
        <v>17</v>
      </c>
      <c r="I609" s="32" t="s">
        <v>113</v>
      </c>
      <c r="J609" s="32" t="s">
        <v>19</v>
      </c>
      <c r="K609" s="32" t="s">
        <v>55</v>
      </c>
      <c r="L609" s="32" t="s">
        <v>56</v>
      </c>
      <c r="M609" s="32" t="s">
        <v>30</v>
      </c>
      <c r="N609" s="32" t="s">
        <v>1317</v>
      </c>
      <c r="O609" s="37">
        <v>143.33000000000001</v>
      </c>
      <c r="P609" s="38" t="str">
        <f t="shared" si="66"/>
        <v>High</v>
      </c>
      <c r="Q609" s="37">
        <v>233.51</v>
      </c>
      <c r="R609" s="37">
        <v>0.16300000000000001</v>
      </c>
      <c r="S609" s="37">
        <v>14</v>
      </c>
      <c r="T609" s="37">
        <f t="shared" si="63"/>
        <v>0</v>
      </c>
      <c r="U609" s="32">
        <f t="shared" si="64"/>
        <v>2006.6200000000001</v>
      </c>
      <c r="V609" s="37">
        <f t="shared" si="67"/>
        <v>-2006.6200000000001</v>
      </c>
      <c r="W609" s="39">
        <f t="shared" si="68"/>
        <v>0</v>
      </c>
    </row>
    <row r="610" spans="1:23" x14ac:dyDescent="0.3">
      <c r="A610" s="40" t="s">
        <v>1318</v>
      </c>
      <c r="B610" s="41">
        <v>45319</v>
      </c>
      <c r="C610" s="42">
        <v>45318</v>
      </c>
      <c r="D610" s="43">
        <f>DATEDIF(C610,B610, "MD")</f>
        <v>1</v>
      </c>
      <c r="E610" s="43" t="str">
        <f>TEXT(Data!B610,"MMM-YYYY")</f>
        <v>Jan-2024</v>
      </c>
      <c r="F610" s="43" t="str">
        <f t="shared" si="65"/>
        <v>Q1-2024</v>
      </c>
      <c r="G610" s="33" t="s">
        <v>16</v>
      </c>
      <c r="H610" s="33" t="s">
        <v>148</v>
      </c>
      <c r="I610" s="33" t="s">
        <v>258</v>
      </c>
      <c r="J610" s="33" t="s">
        <v>105</v>
      </c>
      <c r="K610" s="33" t="s">
        <v>98</v>
      </c>
      <c r="L610" s="33" t="s">
        <v>68</v>
      </c>
      <c r="M610" s="33" t="s">
        <v>22</v>
      </c>
      <c r="N610" s="33" t="s">
        <v>1319</v>
      </c>
      <c r="O610" s="43">
        <v>109.75</v>
      </c>
      <c r="P610" s="44" t="str">
        <f t="shared" si="66"/>
        <v>Medium</v>
      </c>
      <c r="Q610" s="43">
        <v>124.25</v>
      </c>
      <c r="R610" s="43">
        <v>0.12</v>
      </c>
      <c r="S610" s="43">
        <v>19</v>
      </c>
      <c r="T610" s="43">
        <f t="shared" si="63"/>
        <v>0</v>
      </c>
      <c r="U610" s="33">
        <f t="shared" si="64"/>
        <v>2085.25</v>
      </c>
      <c r="V610" s="43">
        <f t="shared" si="67"/>
        <v>-2085.25</v>
      </c>
      <c r="W610" s="45">
        <f t="shared" si="68"/>
        <v>0</v>
      </c>
    </row>
    <row r="611" spans="1:23" x14ac:dyDescent="0.3">
      <c r="A611" s="34" t="s">
        <v>1320</v>
      </c>
      <c r="B611" s="35">
        <v>45032</v>
      </c>
      <c r="C611" s="36">
        <v>45039</v>
      </c>
      <c r="D611" s="37">
        <f t="shared" si="69"/>
        <v>7</v>
      </c>
      <c r="E611" s="37" t="str">
        <f>TEXT(Data!B611,"MMM-YYYY")</f>
        <v>Apr-2023</v>
      </c>
      <c r="F611" s="37" t="str">
        <f t="shared" si="65"/>
        <v>Q2-2023</v>
      </c>
      <c r="G611" s="32" t="s">
        <v>52</v>
      </c>
      <c r="H611" s="32" t="s">
        <v>122</v>
      </c>
      <c r="I611" s="32" t="s">
        <v>326</v>
      </c>
      <c r="J611" s="32" t="s">
        <v>19</v>
      </c>
      <c r="K611" s="32" t="s">
        <v>55</v>
      </c>
      <c r="L611" s="32" t="s">
        <v>68</v>
      </c>
      <c r="M611" s="32" t="s">
        <v>30</v>
      </c>
      <c r="N611" s="32" t="s">
        <v>1321</v>
      </c>
      <c r="O611" s="37">
        <v>1099.1500000000001</v>
      </c>
      <c r="P611" s="38" t="str">
        <f t="shared" si="66"/>
        <v>High</v>
      </c>
      <c r="Q611" s="37">
        <v>1431.37</v>
      </c>
      <c r="R611" s="37">
        <v>0.104</v>
      </c>
      <c r="S611" s="37">
        <v>8</v>
      </c>
      <c r="T611" s="37">
        <f t="shared" si="63"/>
        <v>0</v>
      </c>
      <c r="U611" s="32">
        <f t="shared" si="64"/>
        <v>8793.2000000000007</v>
      </c>
      <c r="V611" s="37">
        <f t="shared" si="67"/>
        <v>-8793.2000000000007</v>
      </c>
      <c r="W611" s="39">
        <f t="shared" si="68"/>
        <v>0</v>
      </c>
    </row>
    <row r="612" spans="1:23" x14ac:dyDescent="0.3">
      <c r="A612" s="40" t="s">
        <v>1322</v>
      </c>
      <c r="B612" s="41">
        <v>45323</v>
      </c>
      <c r="C612" s="42">
        <v>45323</v>
      </c>
      <c r="D612" s="43">
        <f t="shared" si="69"/>
        <v>0</v>
      </c>
      <c r="E612" s="43" t="str">
        <f>TEXT(Data!B612,"MMM-YYYY")</f>
        <v>Feb-2024</v>
      </c>
      <c r="F612" s="43" t="str">
        <f t="shared" si="65"/>
        <v>Q1-2024</v>
      </c>
      <c r="G612" s="33" t="s">
        <v>52</v>
      </c>
      <c r="H612" s="33" t="s">
        <v>122</v>
      </c>
      <c r="I612" s="33" t="s">
        <v>326</v>
      </c>
      <c r="J612" s="33" t="s">
        <v>48</v>
      </c>
      <c r="K612" s="33" t="s">
        <v>55</v>
      </c>
      <c r="L612" s="33" t="s">
        <v>92</v>
      </c>
      <c r="M612" s="33" t="s">
        <v>30</v>
      </c>
      <c r="N612" s="33" t="s">
        <v>1323</v>
      </c>
      <c r="O612" s="43">
        <v>714.43</v>
      </c>
      <c r="P612" s="44" t="str">
        <f t="shared" si="66"/>
        <v>High</v>
      </c>
      <c r="Q612" s="43">
        <v>1595.52</v>
      </c>
      <c r="R612" s="43">
        <v>0.19400000000000001</v>
      </c>
      <c r="S612" s="43">
        <v>14</v>
      </c>
      <c r="T612" s="43">
        <f t="shared" si="63"/>
        <v>0</v>
      </c>
      <c r="U612" s="33">
        <f t="shared" si="64"/>
        <v>10002.019999999999</v>
      </c>
      <c r="V612" s="43">
        <f t="shared" si="67"/>
        <v>-10002.019999999999</v>
      </c>
      <c r="W612" s="45">
        <f t="shared" si="68"/>
        <v>0</v>
      </c>
    </row>
    <row r="613" spans="1:23" x14ac:dyDescent="0.3">
      <c r="A613" s="34" t="s">
        <v>1324</v>
      </c>
      <c r="B613" s="35">
        <v>45584</v>
      </c>
      <c r="C613" s="36">
        <v>45602</v>
      </c>
      <c r="D613" s="37">
        <f t="shared" si="69"/>
        <v>18</v>
      </c>
      <c r="E613" s="37" t="str">
        <f>TEXT(Data!B613,"MMM-YYYY")</f>
        <v>Oct-2024</v>
      </c>
      <c r="F613" s="37" t="str">
        <f t="shared" si="65"/>
        <v>Q4-2024</v>
      </c>
      <c r="G613" s="32" t="s">
        <v>52</v>
      </c>
      <c r="H613" s="32" t="s">
        <v>122</v>
      </c>
      <c r="I613" s="32" t="s">
        <v>123</v>
      </c>
      <c r="J613" s="32" t="s">
        <v>27</v>
      </c>
      <c r="K613" s="32" t="s">
        <v>1364</v>
      </c>
      <c r="L613" s="32" t="s">
        <v>21</v>
      </c>
      <c r="M613" s="32" t="s">
        <v>64</v>
      </c>
      <c r="N613" s="32" t="s">
        <v>1325</v>
      </c>
      <c r="O613" s="37">
        <v>942.02</v>
      </c>
      <c r="P613" s="38" t="str">
        <f t="shared" si="66"/>
        <v>High</v>
      </c>
      <c r="Q613" s="37">
        <v>1028.46</v>
      </c>
      <c r="R613" s="37">
        <v>0</v>
      </c>
      <c r="S613" s="37">
        <v>9</v>
      </c>
      <c r="T613" s="37">
        <f t="shared" si="63"/>
        <v>0</v>
      </c>
      <c r="U613" s="32">
        <f t="shared" si="64"/>
        <v>8478.18</v>
      </c>
      <c r="V613" s="37">
        <f t="shared" si="67"/>
        <v>-8478.18</v>
      </c>
      <c r="W613" s="39">
        <f t="shared" si="68"/>
        <v>0</v>
      </c>
    </row>
    <row r="614" spans="1:23" x14ac:dyDescent="0.3">
      <c r="A614" s="40" t="s">
        <v>1326</v>
      </c>
      <c r="B614" s="41">
        <v>45468</v>
      </c>
      <c r="C614" s="42">
        <v>45473</v>
      </c>
      <c r="D614" s="43">
        <f t="shared" si="69"/>
        <v>5</v>
      </c>
      <c r="E614" s="43" t="str">
        <f>TEXT(Data!B614,"MMM-YYYY")</f>
        <v>Jun-2024</v>
      </c>
      <c r="F614" s="43" t="str">
        <f t="shared" si="65"/>
        <v>Q2-2024</v>
      </c>
      <c r="G614" s="33" t="s">
        <v>16</v>
      </c>
      <c r="H614" s="33" t="s">
        <v>17</v>
      </c>
      <c r="I614" s="33" t="s">
        <v>18</v>
      </c>
      <c r="J614" s="33" t="s">
        <v>27</v>
      </c>
      <c r="K614" s="33" t="s">
        <v>98</v>
      </c>
      <c r="L614" s="33" t="s">
        <v>110</v>
      </c>
      <c r="M614" s="33" t="s">
        <v>35</v>
      </c>
      <c r="N614" s="33" t="s">
        <v>1327</v>
      </c>
      <c r="O614" s="43">
        <v>1323.55</v>
      </c>
      <c r="P614" s="44" t="str">
        <f t="shared" si="66"/>
        <v>High</v>
      </c>
      <c r="Q614" s="43">
        <v>3230.35</v>
      </c>
      <c r="R614" s="43">
        <v>2.1999999999999999E-2</v>
      </c>
      <c r="S614" s="43">
        <v>26</v>
      </c>
      <c r="T614" s="43">
        <f t="shared" si="63"/>
        <v>0</v>
      </c>
      <c r="U614" s="33">
        <f t="shared" si="64"/>
        <v>34412.299999999996</v>
      </c>
      <c r="V614" s="43">
        <f t="shared" si="67"/>
        <v>-34412.299999999996</v>
      </c>
      <c r="W614" s="45">
        <f t="shared" si="68"/>
        <v>0</v>
      </c>
    </row>
    <row r="615" spans="1:23" x14ac:dyDescent="0.3">
      <c r="A615" s="34" t="s">
        <v>1328</v>
      </c>
      <c r="B615" s="35">
        <v>45137</v>
      </c>
      <c r="C615" s="36">
        <v>45157</v>
      </c>
      <c r="D615" s="37">
        <f t="shared" si="69"/>
        <v>20</v>
      </c>
      <c r="E615" s="37" t="str">
        <f>TEXT(Data!B615,"MMM-YYYY")</f>
        <v>Jul-2023</v>
      </c>
      <c r="F615" s="37" t="str">
        <f t="shared" si="65"/>
        <v>Q3-2023</v>
      </c>
      <c r="G615" s="32" t="s">
        <v>78</v>
      </c>
      <c r="H615" s="32" t="s">
        <v>90</v>
      </c>
      <c r="I615" s="32" t="s">
        <v>217</v>
      </c>
      <c r="J615" s="32" t="s">
        <v>105</v>
      </c>
      <c r="K615" s="32" t="s">
        <v>40</v>
      </c>
      <c r="L615" s="32" t="s">
        <v>41</v>
      </c>
      <c r="M615" s="32" t="s">
        <v>35</v>
      </c>
      <c r="N615" s="32" t="s">
        <v>1329</v>
      </c>
      <c r="O615" s="37">
        <v>1418.51</v>
      </c>
      <c r="P615" s="38" t="str">
        <f t="shared" si="66"/>
        <v>High</v>
      </c>
      <c r="Q615" s="37">
        <v>2789.61</v>
      </c>
      <c r="R615" s="37">
        <v>0.17100000000000001</v>
      </c>
      <c r="S615" s="37">
        <v>8</v>
      </c>
      <c r="T615" s="37">
        <f t="shared" si="63"/>
        <v>0</v>
      </c>
      <c r="U615" s="32">
        <f t="shared" si="64"/>
        <v>11348.08</v>
      </c>
      <c r="V615" s="37">
        <f t="shared" si="67"/>
        <v>-11348.08</v>
      </c>
      <c r="W615" s="39">
        <f t="shared" si="68"/>
        <v>0</v>
      </c>
    </row>
    <row r="616" spans="1:23" x14ac:dyDescent="0.3">
      <c r="A616" s="40" t="s">
        <v>1330</v>
      </c>
      <c r="B616" s="41">
        <v>45727</v>
      </c>
      <c r="C616" s="42">
        <v>45743</v>
      </c>
      <c r="D616" s="43">
        <f t="shared" si="69"/>
        <v>16</v>
      </c>
      <c r="E616" s="43" t="str">
        <f>TEXT(Data!B616,"MMM-YYYY")</f>
        <v>Mar-2025</v>
      </c>
      <c r="F616" s="43" t="str">
        <f t="shared" si="65"/>
        <v>Q1-2025</v>
      </c>
      <c r="G616" s="33" t="s">
        <v>45</v>
      </c>
      <c r="H616" s="33" t="s">
        <v>46</v>
      </c>
      <c r="I616" s="33" t="s">
        <v>214</v>
      </c>
      <c r="J616" s="33" t="s">
        <v>105</v>
      </c>
      <c r="K616" s="33" t="s">
        <v>55</v>
      </c>
      <c r="L616" s="33" t="s">
        <v>56</v>
      </c>
      <c r="M616" s="33" t="s">
        <v>30</v>
      </c>
      <c r="N616" s="33" t="s">
        <v>1331</v>
      </c>
      <c r="O616" s="43">
        <v>1317.58</v>
      </c>
      <c r="P616" s="44" t="str">
        <f t="shared" si="66"/>
        <v>High</v>
      </c>
      <c r="Q616" s="43">
        <v>1897.74</v>
      </c>
      <c r="R616" s="43">
        <v>8.1000000000000003E-2</v>
      </c>
      <c r="S616" s="43">
        <v>6</v>
      </c>
      <c r="T616" s="43">
        <f t="shared" si="63"/>
        <v>0</v>
      </c>
      <c r="U616" s="33">
        <f t="shared" si="64"/>
        <v>7905.48</v>
      </c>
      <c r="V616" s="43">
        <f t="shared" si="67"/>
        <v>-7905.48</v>
      </c>
      <c r="W616" s="45">
        <f t="shared" si="68"/>
        <v>0</v>
      </c>
    </row>
    <row r="617" spans="1:23" x14ac:dyDescent="0.3">
      <c r="A617" s="34" t="s">
        <v>1332</v>
      </c>
      <c r="B617" s="35">
        <v>45208</v>
      </c>
      <c r="C617" s="36">
        <v>45210</v>
      </c>
      <c r="D617" s="37">
        <f t="shared" si="69"/>
        <v>2</v>
      </c>
      <c r="E617" s="37" t="str">
        <f>TEXT(Data!B617,"MMM-YYYY")</f>
        <v>Oct-2023</v>
      </c>
      <c r="F617" s="37" t="str">
        <f t="shared" si="65"/>
        <v>Q4-2023</v>
      </c>
      <c r="G617" s="32" t="s">
        <v>16</v>
      </c>
      <c r="H617" s="32" t="s">
        <v>25</v>
      </c>
      <c r="I617" s="32" t="s">
        <v>26</v>
      </c>
      <c r="J617" s="32" t="s">
        <v>27</v>
      </c>
      <c r="K617" s="32" t="s">
        <v>40</v>
      </c>
      <c r="L617" s="32" t="s">
        <v>95</v>
      </c>
      <c r="M617" s="32" t="s">
        <v>35</v>
      </c>
      <c r="N617" s="32" t="s">
        <v>1333</v>
      </c>
      <c r="O617" s="37">
        <v>391.16</v>
      </c>
      <c r="P617" s="38" t="str">
        <f t="shared" si="66"/>
        <v>High</v>
      </c>
      <c r="Q617" s="37">
        <v>902.47</v>
      </c>
      <c r="R617" s="37">
        <v>4.0000000000000001E-3</v>
      </c>
      <c r="S617" s="37">
        <v>12</v>
      </c>
      <c r="T617" s="37">
        <f t="shared" si="63"/>
        <v>0</v>
      </c>
      <c r="U617" s="32">
        <f t="shared" si="64"/>
        <v>4693.92</v>
      </c>
      <c r="V617" s="37">
        <f t="shared" si="67"/>
        <v>-4693.92</v>
      </c>
      <c r="W617" s="39">
        <f t="shared" si="68"/>
        <v>0</v>
      </c>
    </row>
    <row r="618" spans="1:23" x14ac:dyDescent="0.3">
      <c r="A618" s="40" t="s">
        <v>1334</v>
      </c>
      <c r="B618" s="41">
        <v>45643</v>
      </c>
      <c r="C618" s="42">
        <v>45673</v>
      </c>
      <c r="D618" s="43">
        <f t="shared" si="69"/>
        <v>30</v>
      </c>
      <c r="E618" s="43" t="str">
        <f>TEXT(Data!B618,"MMM-YYYY")</f>
        <v>Dec-2024</v>
      </c>
      <c r="F618" s="43" t="str">
        <f t="shared" si="65"/>
        <v>Q4-2024</v>
      </c>
      <c r="G618" s="33" t="s">
        <v>78</v>
      </c>
      <c r="H618" s="33" t="s">
        <v>108</v>
      </c>
      <c r="I618" s="33" t="s">
        <v>228</v>
      </c>
      <c r="J618" s="33" t="s">
        <v>19</v>
      </c>
      <c r="K618" s="33" t="s">
        <v>20</v>
      </c>
      <c r="L618" s="33" t="s">
        <v>145</v>
      </c>
      <c r="M618" s="33" t="s">
        <v>64</v>
      </c>
      <c r="N618" s="33" t="s">
        <v>1335</v>
      </c>
      <c r="O618" s="43">
        <v>722.87</v>
      </c>
      <c r="P618" s="44" t="str">
        <f t="shared" si="66"/>
        <v>Low</v>
      </c>
      <c r="Q618" s="43">
        <v>-33.659999999999997</v>
      </c>
      <c r="R618" s="43">
        <v>0.10199999999999999</v>
      </c>
      <c r="S618" s="43">
        <v>28</v>
      </c>
      <c r="T618" s="43">
        <f t="shared" si="63"/>
        <v>0</v>
      </c>
      <c r="U618" s="33">
        <f t="shared" si="64"/>
        <v>20240.36</v>
      </c>
      <c r="V618" s="43">
        <f t="shared" si="67"/>
        <v>-20240.36</v>
      </c>
      <c r="W618" s="45">
        <f t="shared" si="68"/>
        <v>0</v>
      </c>
    </row>
    <row r="619" spans="1:23" x14ac:dyDescent="0.3">
      <c r="A619" s="34" t="s">
        <v>1336</v>
      </c>
      <c r="B619" s="35">
        <v>45849</v>
      </c>
      <c r="C619" s="36">
        <v>45854</v>
      </c>
      <c r="D619" s="37">
        <f t="shared" si="69"/>
        <v>5</v>
      </c>
      <c r="E619" s="37" t="str">
        <f>TEXT(Data!B619,"MMM-YYYY")</f>
        <v>Jul-2025</v>
      </c>
      <c r="F619" s="37" t="str">
        <f t="shared" si="65"/>
        <v>Q3-2025</v>
      </c>
      <c r="G619" s="32" t="s">
        <v>78</v>
      </c>
      <c r="H619" s="32" t="s">
        <v>108</v>
      </c>
      <c r="I619" s="32" t="s">
        <v>152</v>
      </c>
      <c r="J619" s="32" t="s">
        <v>105</v>
      </c>
      <c r="K619" s="32" t="s">
        <v>28</v>
      </c>
      <c r="L619" s="32" t="s">
        <v>95</v>
      </c>
      <c r="M619" s="32" t="s">
        <v>30</v>
      </c>
      <c r="N619" s="32" t="s">
        <v>1337</v>
      </c>
      <c r="O619" s="37">
        <v>930.03</v>
      </c>
      <c r="P619" s="38" t="str">
        <f t="shared" si="66"/>
        <v>High</v>
      </c>
      <c r="Q619" s="37">
        <v>1086.68</v>
      </c>
      <c r="R619" s="37">
        <v>0.109</v>
      </c>
      <c r="S619" s="37">
        <v>26</v>
      </c>
      <c r="T619" s="37">
        <f t="shared" si="63"/>
        <v>0</v>
      </c>
      <c r="U619" s="32">
        <f t="shared" si="64"/>
        <v>24180.78</v>
      </c>
      <c r="V619" s="37">
        <f t="shared" si="67"/>
        <v>-24180.78</v>
      </c>
      <c r="W619" s="39">
        <f t="shared" si="68"/>
        <v>0</v>
      </c>
    </row>
    <row r="620" spans="1:23" x14ac:dyDescent="0.3">
      <c r="A620" s="40" t="s">
        <v>1338</v>
      </c>
      <c r="B620" s="41">
        <v>45578</v>
      </c>
      <c r="C620" s="42">
        <v>45589</v>
      </c>
      <c r="D620" s="43">
        <f t="shared" si="69"/>
        <v>11</v>
      </c>
      <c r="E620" s="43" t="str">
        <f>TEXT(Data!B620,"MMM-YYYY")</f>
        <v>Oct-2024</v>
      </c>
      <c r="F620" s="43" t="str">
        <f t="shared" si="65"/>
        <v>Q4-2024</v>
      </c>
      <c r="G620" s="33" t="s">
        <v>78</v>
      </c>
      <c r="H620" s="33" t="s">
        <v>90</v>
      </c>
      <c r="I620" s="33" t="s">
        <v>217</v>
      </c>
      <c r="J620" s="33" t="s">
        <v>27</v>
      </c>
      <c r="K620" s="33" t="s">
        <v>55</v>
      </c>
      <c r="L620" s="33" t="s">
        <v>84</v>
      </c>
      <c r="M620" s="33" t="s">
        <v>22</v>
      </c>
      <c r="N620" s="33" t="s">
        <v>1339</v>
      </c>
      <c r="O620" s="43">
        <v>816.7</v>
      </c>
      <c r="P620" s="44" t="str">
        <f t="shared" si="66"/>
        <v>High</v>
      </c>
      <c r="Q620" s="43">
        <v>1010.75</v>
      </c>
      <c r="R620" s="43">
        <v>4.7E-2</v>
      </c>
      <c r="S620" s="43">
        <v>43</v>
      </c>
      <c r="T620" s="43">
        <f t="shared" si="63"/>
        <v>0</v>
      </c>
      <c r="U620" s="33">
        <f t="shared" si="64"/>
        <v>35118.1</v>
      </c>
      <c r="V620" s="43">
        <f t="shared" si="67"/>
        <v>-35118.1</v>
      </c>
      <c r="W620" s="45">
        <f t="shared" si="68"/>
        <v>0</v>
      </c>
    </row>
    <row r="621" spans="1:23" x14ac:dyDescent="0.3">
      <c r="A621" s="34" t="s">
        <v>1340</v>
      </c>
      <c r="B621" s="35">
        <v>45177</v>
      </c>
      <c r="C621" s="36">
        <v>45183</v>
      </c>
      <c r="D621" s="37">
        <f t="shared" si="69"/>
        <v>6</v>
      </c>
      <c r="E621" s="37" t="str">
        <f>TEXT(Data!B621,"MMM-YYYY")</f>
        <v>Sep-2023</v>
      </c>
      <c r="F621" s="37" t="str">
        <f t="shared" si="65"/>
        <v>Q3-2023</v>
      </c>
      <c r="G621" s="32" t="s">
        <v>16</v>
      </c>
      <c r="H621" s="32" t="s">
        <v>17</v>
      </c>
      <c r="I621" s="32" t="s">
        <v>135</v>
      </c>
      <c r="J621" s="32" t="s">
        <v>27</v>
      </c>
      <c r="K621" s="32" t="s">
        <v>98</v>
      </c>
      <c r="L621" s="32" t="s">
        <v>34</v>
      </c>
      <c r="M621" s="32" t="s">
        <v>81</v>
      </c>
      <c r="N621" s="32" t="s">
        <v>1341</v>
      </c>
      <c r="O621" s="37">
        <v>251.03</v>
      </c>
      <c r="P621" s="38" t="str">
        <f t="shared" si="66"/>
        <v>High</v>
      </c>
      <c r="Q621" s="37">
        <v>411.48</v>
      </c>
      <c r="R621" s="37">
        <v>0.16500000000000001</v>
      </c>
      <c r="S621" s="37">
        <v>3</v>
      </c>
      <c r="T621" s="37">
        <f t="shared" si="63"/>
        <v>0</v>
      </c>
      <c r="U621" s="32">
        <f t="shared" si="64"/>
        <v>753.09</v>
      </c>
      <c r="V621" s="37">
        <f t="shared" si="67"/>
        <v>-753.09</v>
      </c>
      <c r="W621" s="39">
        <f t="shared" si="68"/>
        <v>0</v>
      </c>
    </row>
    <row r="622" spans="1:23" x14ac:dyDescent="0.3">
      <c r="A622" s="40" t="s">
        <v>1342</v>
      </c>
      <c r="B622" s="41">
        <v>45764</v>
      </c>
      <c r="C622" s="42">
        <v>45780</v>
      </c>
      <c r="D622" s="43">
        <f t="shared" si="69"/>
        <v>16</v>
      </c>
      <c r="E622" s="43" t="str">
        <f>TEXT(Data!B622,"MMM-YYYY")</f>
        <v>Apr-2025</v>
      </c>
      <c r="F622" s="43" t="str">
        <f t="shared" si="65"/>
        <v>Q2-2025</v>
      </c>
      <c r="G622" s="33" t="s">
        <v>52</v>
      </c>
      <c r="H622" s="33" t="s">
        <v>73</v>
      </c>
      <c r="I622" s="33" t="s">
        <v>225</v>
      </c>
      <c r="J622" s="33" t="s">
        <v>48</v>
      </c>
      <c r="K622" s="33" t="s">
        <v>40</v>
      </c>
      <c r="L622" s="33" t="s">
        <v>29</v>
      </c>
      <c r="M622" s="33" t="s">
        <v>35</v>
      </c>
      <c r="N622" s="33" t="s">
        <v>1343</v>
      </c>
      <c r="O622" s="43">
        <v>168.68</v>
      </c>
      <c r="P622" s="44" t="str">
        <f t="shared" si="66"/>
        <v>High</v>
      </c>
      <c r="Q622" s="43">
        <v>413.34</v>
      </c>
      <c r="R622" s="43">
        <v>0.186</v>
      </c>
      <c r="S622" s="43">
        <v>7</v>
      </c>
      <c r="T622" s="43">
        <f t="shared" si="63"/>
        <v>0</v>
      </c>
      <c r="U622" s="33">
        <f t="shared" si="64"/>
        <v>1180.76</v>
      </c>
      <c r="V622" s="43">
        <f t="shared" si="67"/>
        <v>-1180.76</v>
      </c>
      <c r="W622" s="45">
        <f t="shared" si="68"/>
        <v>0</v>
      </c>
    </row>
    <row r="623" spans="1:23" x14ac:dyDescent="0.3">
      <c r="A623" s="34" t="s">
        <v>1344</v>
      </c>
      <c r="B623" s="35">
        <v>45501</v>
      </c>
      <c r="C623" s="36">
        <v>45527</v>
      </c>
      <c r="D623" s="37">
        <f t="shared" si="69"/>
        <v>26</v>
      </c>
      <c r="E623" s="37" t="str">
        <f>TEXT(Data!B623,"MMM-YYYY")</f>
        <v>Jul-2024</v>
      </c>
      <c r="F623" s="37" t="str">
        <f t="shared" si="65"/>
        <v>Q3-2024</v>
      </c>
      <c r="G623" s="32" t="s">
        <v>45</v>
      </c>
      <c r="H623" s="32" t="s">
        <v>60</v>
      </c>
      <c r="I623" s="32" t="s">
        <v>281</v>
      </c>
      <c r="J623" s="32" t="s">
        <v>19</v>
      </c>
      <c r="K623" s="32" t="s">
        <v>20</v>
      </c>
      <c r="L623" s="32" t="s">
        <v>29</v>
      </c>
      <c r="M623" s="32" t="s">
        <v>35</v>
      </c>
      <c r="N623" s="32" t="s">
        <v>1345</v>
      </c>
      <c r="O623" s="37">
        <v>1339.24</v>
      </c>
      <c r="P623" s="38" t="str">
        <f t="shared" si="66"/>
        <v>High</v>
      </c>
      <c r="Q623" s="37">
        <v>1558.89</v>
      </c>
      <c r="R623" s="37">
        <v>0.192</v>
      </c>
      <c r="S623" s="37">
        <v>24</v>
      </c>
      <c r="T623" s="37">
        <f t="shared" si="63"/>
        <v>0</v>
      </c>
      <c r="U623" s="32">
        <f t="shared" si="64"/>
        <v>32141.760000000002</v>
      </c>
      <c r="V623" s="37">
        <f t="shared" si="67"/>
        <v>-32141.760000000002</v>
      </c>
      <c r="W623" s="39">
        <f t="shared" si="68"/>
        <v>0</v>
      </c>
    </row>
    <row r="624" spans="1:23" x14ac:dyDescent="0.3">
      <c r="A624" s="40" t="s">
        <v>1346</v>
      </c>
      <c r="B624" s="41">
        <v>45857</v>
      </c>
      <c r="C624" s="42">
        <v>45869</v>
      </c>
      <c r="D624" s="43">
        <f t="shared" si="69"/>
        <v>12</v>
      </c>
      <c r="E624" s="43" t="str">
        <f>TEXT(Data!B624,"MMM-YYYY")</f>
        <v>Jul-2025</v>
      </c>
      <c r="F624" s="43" t="str">
        <f t="shared" si="65"/>
        <v>Q3-2025</v>
      </c>
      <c r="G624" s="33" t="s">
        <v>16</v>
      </c>
      <c r="H624" s="33" t="s">
        <v>17</v>
      </c>
      <c r="I624" s="33" t="s">
        <v>33</v>
      </c>
      <c r="J624" s="33" t="s">
        <v>62</v>
      </c>
      <c r="K624" s="33" t="s">
        <v>40</v>
      </c>
      <c r="L624" s="33" t="s">
        <v>68</v>
      </c>
      <c r="M624" s="33" t="s">
        <v>81</v>
      </c>
      <c r="N624" s="33" t="s">
        <v>1347</v>
      </c>
      <c r="O624" s="43">
        <v>619.64</v>
      </c>
      <c r="P624" s="44" t="str">
        <f t="shared" si="66"/>
        <v>High</v>
      </c>
      <c r="Q624" s="43">
        <v>861.16</v>
      </c>
      <c r="R624" s="43">
        <v>0.113</v>
      </c>
      <c r="S624" s="43">
        <v>14</v>
      </c>
      <c r="T624" s="43">
        <f t="shared" si="63"/>
        <v>0</v>
      </c>
      <c r="U624" s="33">
        <f t="shared" si="64"/>
        <v>8674.9599999999991</v>
      </c>
      <c r="V624" s="43">
        <f t="shared" si="67"/>
        <v>-8674.9599999999991</v>
      </c>
      <c r="W624" s="45">
        <f t="shared" si="68"/>
        <v>0</v>
      </c>
    </row>
    <row r="625" spans="1:23" x14ac:dyDescent="0.3">
      <c r="A625" s="34" t="s">
        <v>1348</v>
      </c>
      <c r="B625" s="35">
        <v>45141</v>
      </c>
      <c r="C625" s="36">
        <v>45140</v>
      </c>
      <c r="D625" s="37">
        <f>DATEDIF(C625,B625, "MD")</f>
        <v>1</v>
      </c>
      <c r="E625" s="37" t="str">
        <f>TEXT(Data!B625,"MMM-YYYY")</f>
        <v>Aug-2023</v>
      </c>
      <c r="F625" s="37" t="str">
        <f t="shared" si="65"/>
        <v>Q3-2023</v>
      </c>
      <c r="G625" s="32" t="s">
        <v>45</v>
      </c>
      <c r="H625" s="32" t="s">
        <v>116</v>
      </c>
      <c r="I625" s="32" t="s">
        <v>162</v>
      </c>
      <c r="J625" s="32" t="s">
        <v>39</v>
      </c>
      <c r="K625" s="32" t="s">
        <v>98</v>
      </c>
      <c r="L625" s="32" t="s">
        <v>29</v>
      </c>
      <c r="M625" s="32" t="s">
        <v>35</v>
      </c>
      <c r="N625" s="32" t="s">
        <v>1349</v>
      </c>
      <c r="O625" s="37">
        <v>1021.97</v>
      </c>
      <c r="P625" s="38" t="str">
        <f t="shared" si="66"/>
        <v>High</v>
      </c>
      <c r="Q625" s="37">
        <v>2296.25</v>
      </c>
      <c r="R625" s="37">
        <v>0.161</v>
      </c>
      <c r="S625" s="37">
        <v>26</v>
      </c>
      <c r="T625" s="37">
        <f t="shared" si="63"/>
        <v>0</v>
      </c>
      <c r="U625" s="32">
        <f t="shared" si="64"/>
        <v>26571.22</v>
      </c>
      <c r="V625" s="37">
        <f t="shared" si="67"/>
        <v>-26571.22</v>
      </c>
      <c r="W625" s="39">
        <f t="shared" si="68"/>
        <v>0</v>
      </c>
    </row>
    <row r="626" spans="1:23" x14ac:dyDescent="0.3">
      <c r="A626" s="40" t="s">
        <v>1350</v>
      </c>
      <c r="B626" s="41">
        <v>45249</v>
      </c>
      <c r="C626" s="42">
        <v>45272</v>
      </c>
      <c r="D626" s="43">
        <f t="shared" si="69"/>
        <v>23</v>
      </c>
      <c r="E626" s="43" t="str">
        <f>TEXT(Data!B626,"MMM-YYYY")</f>
        <v>Nov-2023</v>
      </c>
      <c r="F626" s="43" t="str">
        <f t="shared" si="65"/>
        <v>Q4-2023</v>
      </c>
      <c r="G626" s="33" t="s">
        <v>45</v>
      </c>
      <c r="H626" s="33" t="s">
        <v>60</v>
      </c>
      <c r="I626" s="33" t="s">
        <v>141</v>
      </c>
      <c r="J626" s="33" t="s">
        <v>62</v>
      </c>
      <c r="K626" s="33" t="s">
        <v>98</v>
      </c>
      <c r="L626" s="33" t="s">
        <v>21</v>
      </c>
      <c r="M626" s="33" t="s">
        <v>35</v>
      </c>
      <c r="N626" s="33" t="s">
        <v>1351</v>
      </c>
      <c r="O626" s="43">
        <v>1349.04</v>
      </c>
      <c r="P626" s="44" t="str">
        <f t="shared" si="66"/>
        <v>High</v>
      </c>
      <c r="Q626" s="43">
        <v>2636.6</v>
      </c>
      <c r="R626" s="43">
        <v>0.114</v>
      </c>
      <c r="S626" s="43">
        <v>14</v>
      </c>
      <c r="T626" s="43">
        <f t="shared" si="63"/>
        <v>0</v>
      </c>
      <c r="U626" s="33">
        <f t="shared" si="64"/>
        <v>18886.559999999998</v>
      </c>
      <c r="V626" s="43">
        <f t="shared" si="67"/>
        <v>-18886.559999999998</v>
      </c>
      <c r="W626" s="45">
        <f t="shared" si="68"/>
        <v>0</v>
      </c>
    </row>
    <row r="627" spans="1:23" x14ac:dyDescent="0.3">
      <c r="A627" s="34" t="s">
        <v>1352</v>
      </c>
      <c r="B627" s="35">
        <v>45282</v>
      </c>
      <c r="C627" s="36">
        <v>45307</v>
      </c>
      <c r="D627" s="37">
        <f t="shared" si="69"/>
        <v>25</v>
      </c>
      <c r="E627" s="37" t="str">
        <f>TEXT(Data!B627,"MMM-YYYY")</f>
        <v>Dec-2023</v>
      </c>
      <c r="F627" s="37" t="str">
        <f t="shared" si="65"/>
        <v>Q4-2023</v>
      </c>
      <c r="G627" s="32" t="s">
        <v>45</v>
      </c>
      <c r="H627" s="32" t="s">
        <v>60</v>
      </c>
      <c r="I627" s="32" t="s">
        <v>281</v>
      </c>
      <c r="J627" s="32" t="s">
        <v>62</v>
      </c>
      <c r="K627" s="32" t="s">
        <v>20</v>
      </c>
      <c r="L627" s="32" t="s">
        <v>75</v>
      </c>
      <c r="M627" s="32" t="s">
        <v>22</v>
      </c>
      <c r="N627" s="32" t="s">
        <v>1353</v>
      </c>
      <c r="O627" s="37">
        <v>1346.81</v>
      </c>
      <c r="P627" s="38" t="str">
        <f t="shared" si="66"/>
        <v>High</v>
      </c>
      <c r="Q627" s="37">
        <v>978.09</v>
      </c>
      <c r="R627" s="37">
        <v>0.159</v>
      </c>
      <c r="S627" s="37">
        <v>17</v>
      </c>
      <c r="T627" s="37">
        <f t="shared" si="63"/>
        <v>0</v>
      </c>
      <c r="U627" s="32">
        <f t="shared" si="64"/>
        <v>22895.77</v>
      </c>
      <c r="V627" s="37">
        <f t="shared" si="67"/>
        <v>-22895.77</v>
      </c>
      <c r="W627" s="39">
        <f t="shared" si="68"/>
        <v>0</v>
      </c>
    </row>
    <row r="628" spans="1:23" x14ac:dyDescent="0.3">
      <c r="A628" s="40" t="s">
        <v>1354</v>
      </c>
      <c r="B628" s="41">
        <v>45141</v>
      </c>
      <c r="C628" s="42">
        <v>45168</v>
      </c>
      <c r="D628" s="43">
        <f t="shared" si="69"/>
        <v>27</v>
      </c>
      <c r="E628" s="43" t="str">
        <f>TEXT(Data!B628,"MMM-YYYY")</f>
        <v>Aug-2023</v>
      </c>
      <c r="F628" s="43" t="str">
        <f t="shared" si="65"/>
        <v>Q3-2023</v>
      </c>
      <c r="G628" s="33" t="s">
        <v>45</v>
      </c>
      <c r="H628" s="33" t="s">
        <v>116</v>
      </c>
      <c r="I628" s="33" t="s">
        <v>162</v>
      </c>
      <c r="J628" s="33" t="s">
        <v>48</v>
      </c>
      <c r="K628" s="33" t="s">
        <v>55</v>
      </c>
      <c r="L628" s="33" t="s">
        <v>126</v>
      </c>
      <c r="M628" s="33" t="s">
        <v>64</v>
      </c>
      <c r="N628" s="33" t="s">
        <v>1355</v>
      </c>
      <c r="O628" s="43">
        <v>226.04</v>
      </c>
      <c r="P628" s="44" t="str">
        <f t="shared" si="66"/>
        <v>High</v>
      </c>
      <c r="Q628" s="43">
        <v>545.72</v>
      </c>
      <c r="R628" s="43">
        <v>0.151</v>
      </c>
      <c r="S628" s="43">
        <v>11</v>
      </c>
      <c r="T628" s="43">
        <f t="shared" si="63"/>
        <v>0</v>
      </c>
      <c r="U628" s="33">
        <f t="shared" si="64"/>
        <v>2486.44</v>
      </c>
      <c r="V628" s="43">
        <f t="shared" si="67"/>
        <v>-2486.44</v>
      </c>
      <c r="W628" s="45">
        <f t="shared" si="68"/>
        <v>0</v>
      </c>
    </row>
    <row r="629" spans="1:23" x14ac:dyDescent="0.3">
      <c r="A629" s="34" t="s">
        <v>1356</v>
      </c>
      <c r="B629" s="35">
        <v>45100</v>
      </c>
      <c r="C629" s="36">
        <v>45125</v>
      </c>
      <c r="D629" s="37">
        <f t="shared" si="69"/>
        <v>25</v>
      </c>
      <c r="E629" s="37" t="str">
        <f>TEXT(Data!B629,"MMM-YYYY")</f>
        <v>Jun-2023</v>
      </c>
      <c r="F629" s="37" t="str">
        <f t="shared" si="65"/>
        <v>Q2-2023</v>
      </c>
      <c r="G629" s="32" t="s">
        <v>52</v>
      </c>
      <c r="H629" s="32" t="s">
        <v>53</v>
      </c>
      <c r="I629" s="32" t="s">
        <v>179</v>
      </c>
      <c r="J629" s="32" t="s">
        <v>105</v>
      </c>
      <c r="K629" s="32" t="s">
        <v>28</v>
      </c>
      <c r="L629" s="32" t="s">
        <v>126</v>
      </c>
      <c r="M629" s="32" t="s">
        <v>42</v>
      </c>
      <c r="N629" s="32" t="s">
        <v>1357</v>
      </c>
      <c r="O629" s="37">
        <v>807.02</v>
      </c>
      <c r="P629" s="38" t="str">
        <f t="shared" si="66"/>
        <v>High</v>
      </c>
      <c r="Q629" s="37">
        <v>1435.54</v>
      </c>
      <c r="R629" s="37">
        <v>0</v>
      </c>
      <c r="S629" s="37">
        <v>23</v>
      </c>
      <c r="T629" s="37">
        <f t="shared" si="63"/>
        <v>0</v>
      </c>
      <c r="U629" s="32">
        <f t="shared" si="64"/>
        <v>18561.46</v>
      </c>
      <c r="V629" s="37">
        <f t="shared" si="67"/>
        <v>-18561.46</v>
      </c>
      <c r="W629" s="39">
        <f t="shared" si="68"/>
        <v>0</v>
      </c>
    </row>
    <row r="630" spans="1:23" x14ac:dyDescent="0.3">
      <c r="A630" s="40" t="s">
        <v>1358</v>
      </c>
      <c r="B630" s="41">
        <v>45267</v>
      </c>
      <c r="C630" s="42">
        <v>45293</v>
      </c>
      <c r="D630" s="43">
        <f t="shared" si="69"/>
        <v>26</v>
      </c>
      <c r="E630" s="43" t="str">
        <f>TEXT(Data!B630,"MMM-YYYY")</f>
        <v>Dec-2023</v>
      </c>
      <c r="F630" s="43" t="str">
        <f t="shared" si="65"/>
        <v>Q4-2023</v>
      </c>
      <c r="G630" s="33" t="s">
        <v>78</v>
      </c>
      <c r="H630" s="33" t="s">
        <v>79</v>
      </c>
      <c r="I630" s="33" t="s">
        <v>335</v>
      </c>
      <c r="J630" s="33" t="s">
        <v>105</v>
      </c>
      <c r="K630" s="33" t="s">
        <v>55</v>
      </c>
      <c r="L630" s="33" t="s">
        <v>63</v>
      </c>
      <c r="M630" s="33" t="s">
        <v>22</v>
      </c>
      <c r="N630" s="33" t="s">
        <v>1359</v>
      </c>
      <c r="O630" s="43">
        <v>1071.99</v>
      </c>
      <c r="P630" s="44" t="str">
        <f t="shared" si="66"/>
        <v>High</v>
      </c>
      <c r="Q630" s="43">
        <v>2397.3000000000002</v>
      </c>
      <c r="R630" s="43">
        <v>6.2E-2</v>
      </c>
      <c r="S630" s="43">
        <v>18</v>
      </c>
      <c r="T630" s="43">
        <f t="shared" si="63"/>
        <v>0</v>
      </c>
      <c r="U630" s="33">
        <f t="shared" si="64"/>
        <v>19295.82</v>
      </c>
      <c r="V630" s="43">
        <f t="shared" si="67"/>
        <v>-19295.82</v>
      </c>
      <c r="W630" s="45">
        <f t="shared" si="68"/>
        <v>0</v>
      </c>
    </row>
    <row r="631" spans="1:23" x14ac:dyDescent="0.3">
      <c r="A631" s="34" t="s">
        <v>1360</v>
      </c>
      <c r="B631" s="35">
        <v>45249</v>
      </c>
      <c r="C631" s="36">
        <v>45279</v>
      </c>
      <c r="D631" s="37">
        <f t="shared" si="69"/>
        <v>0</v>
      </c>
      <c r="E631" s="37" t="str">
        <f>TEXT(Data!B631,"MMM-YYYY")</f>
        <v>Nov-2023</v>
      </c>
      <c r="F631" s="37" t="str">
        <f t="shared" si="65"/>
        <v>Q4-2023</v>
      </c>
      <c r="G631" s="32" t="s">
        <v>45</v>
      </c>
      <c r="H631" s="32" t="s">
        <v>46</v>
      </c>
      <c r="I631" s="32" t="s">
        <v>231</v>
      </c>
      <c r="J631" s="32" t="s">
        <v>48</v>
      </c>
      <c r="K631" s="32" t="s">
        <v>20</v>
      </c>
      <c r="L631" s="32" t="s">
        <v>1364</v>
      </c>
      <c r="M631" s="32" t="s">
        <v>42</v>
      </c>
      <c r="N631" s="32" t="s">
        <v>1361</v>
      </c>
      <c r="O631" s="37">
        <v>807.11</v>
      </c>
      <c r="P631" s="38" t="str">
        <f t="shared" si="66"/>
        <v>High</v>
      </c>
      <c r="Q631" s="37">
        <v>1853.86</v>
      </c>
      <c r="R631" s="37">
        <v>0.13900000000000001</v>
      </c>
      <c r="S631" s="37">
        <v>8</v>
      </c>
      <c r="T631" s="37">
        <f t="shared" si="63"/>
        <v>0</v>
      </c>
      <c r="U631" s="32">
        <f t="shared" si="64"/>
        <v>6456.88</v>
      </c>
      <c r="V631" s="37">
        <f t="shared" si="67"/>
        <v>-6456.88</v>
      </c>
      <c r="W631" s="39">
        <f t="shared" si="68"/>
        <v>0</v>
      </c>
    </row>
    <row r="632" spans="1:23" x14ac:dyDescent="0.3">
      <c r="A632" s="40" t="s">
        <v>1362</v>
      </c>
      <c r="B632" s="41">
        <v>45716</v>
      </c>
      <c r="C632" s="42">
        <v>45726</v>
      </c>
      <c r="D632" s="43">
        <f t="shared" si="69"/>
        <v>10</v>
      </c>
      <c r="E632" s="43" t="str">
        <f>TEXT(Data!B632,"MMM-YYYY")</f>
        <v>Feb-2025</v>
      </c>
      <c r="F632" s="43" t="str">
        <f t="shared" si="65"/>
        <v>Q1-2025</v>
      </c>
      <c r="G632" s="33" t="s">
        <v>45</v>
      </c>
      <c r="H632" s="33" t="s">
        <v>46</v>
      </c>
      <c r="I632" s="33" t="s">
        <v>47</v>
      </c>
      <c r="J632" s="33" t="s">
        <v>27</v>
      </c>
      <c r="K632" s="33" t="s">
        <v>55</v>
      </c>
      <c r="L632" s="33" t="s">
        <v>126</v>
      </c>
      <c r="M632" s="33" t="s">
        <v>57</v>
      </c>
      <c r="N632" s="33" t="s">
        <v>1363</v>
      </c>
      <c r="O632" s="43">
        <v>51.86</v>
      </c>
      <c r="P632" s="44" t="str">
        <f t="shared" si="66"/>
        <v>Low</v>
      </c>
      <c r="Q632" s="43">
        <v>45.98</v>
      </c>
      <c r="R632" s="43">
        <v>0.17299999999999999</v>
      </c>
      <c r="S632" s="43">
        <v>7</v>
      </c>
      <c r="T632" s="43">
        <f t="shared" si="63"/>
        <v>0</v>
      </c>
      <c r="U632" s="33">
        <f t="shared" si="64"/>
        <v>363.02</v>
      </c>
      <c r="V632" s="43">
        <f t="shared" si="67"/>
        <v>-363.02</v>
      </c>
      <c r="W632" s="45">
        <f t="shared" si="68"/>
        <v>0</v>
      </c>
    </row>
    <row r="633" spans="1:23" x14ac:dyDescent="0.3">
      <c r="A633" t="s">
        <v>1362</v>
      </c>
      <c r="B633" s="6">
        <v>45716</v>
      </c>
      <c r="C633" s="2">
        <v>45726</v>
      </c>
      <c r="D633" s="4">
        <f t="shared" ref="D633" si="70">DATEDIF(B633,C633, "MD")</f>
        <v>10</v>
      </c>
      <c r="E633" s="4" t="str">
        <f>TEXT(Data!B633,"MMM-YYYY")</f>
        <v>Feb-2025</v>
      </c>
      <c r="F633" s="4" t="str">
        <f t="shared" ref="F633" si="71">"Q"&amp;ROUNDUP(MONTH(B633)/3,0)&amp;"-"&amp;YEAR(B633)</f>
        <v>Q1-2025</v>
      </c>
      <c r="G633" t="s">
        <v>45</v>
      </c>
      <c r="H633" t="s">
        <v>46</v>
      </c>
      <c r="I633" t="s">
        <v>47</v>
      </c>
      <c r="J633" t="s">
        <v>27</v>
      </c>
      <c r="K633" t="s">
        <v>55</v>
      </c>
      <c r="L633" t="s">
        <v>126</v>
      </c>
      <c r="M633" t="s">
        <v>57</v>
      </c>
      <c r="N633" t="s">
        <v>1363</v>
      </c>
      <c r="O633" s="4">
        <v>51.86</v>
      </c>
      <c r="P633" s="7" t="str">
        <f t="shared" ref="P633" si="72">IF(Q633&lt;50, "Low", IF(Q633&lt;200, "Medium", "High"))</f>
        <v>Low</v>
      </c>
      <c r="Q633" s="4">
        <v>45.98</v>
      </c>
      <c r="R633" s="4">
        <v>0.17299999999999999</v>
      </c>
      <c r="S633" s="4">
        <v>7</v>
      </c>
      <c r="T633" s="4">
        <f t="shared" ref="T633" si="73">(Q659*S633)*(1-R633)</f>
        <v>0</v>
      </c>
      <c r="U633">
        <f t="shared" ref="U633" si="74">(O633*S633)</f>
        <v>363.02</v>
      </c>
      <c r="V633" s="4">
        <f t="shared" ref="V633" si="75">(T633-U633)</f>
        <v>-363.02</v>
      </c>
      <c r="W633" s="4">
        <f t="shared" ref="W633" si="76">IF(T633=0, 0, V633/T633)</f>
        <v>0</v>
      </c>
    </row>
  </sheetData>
  <conditionalFormatting sqref="Q1:Q633">
    <cfRule type="cellIs" dxfId="25" priority="1" operator="lessThan">
      <formula>0</formula>
    </cfRule>
  </conditionalFormatting>
  <dataValidations count="1">
    <dataValidation type="date" operator="greaterThanOrEqual" allowBlank="1" showInputMessage="1" showErrorMessage="1" error="Invalid Date ;Required date cannot be before the order date" sqref="C1:C633" xr:uid="{4A66F268-DC74-44B3-A2ED-14BEA1D1A59A}">
      <formula1>B1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1341-A836-486F-B4DF-93A5FB77513F}">
  <dimension ref="A3:J31"/>
  <sheetViews>
    <sheetView workbookViewId="0">
      <selection activeCell="A6" sqref="A6:B6"/>
      <pivotSelection pane="bottomRight" showHeader="1" extendable="1" start="2" max="8" activeRow="5" click="1" r:id="rId1">
        <pivotArea dataOnly="0" fieldPosition="0">
          <references count="1">
            <reference field="12" count="1">
              <x v="3"/>
            </reference>
          </references>
        </pivotArea>
      </pivotSelection>
    </sheetView>
  </sheetViews>
  <sheetFormatPr defaultRowHeight="14.4" x14ac:dyDescent="0.3"/>
  <cols>
    <col min="1" max="1" width="13.33203125" bestFit="1" customWidth="1"/>
    <col min="2" max="2" width="19.6640625" bestFit="1" customWidth="1"/>
    <col min="3" max="3" width="6" customWidth="1"/>
    <col min="4" max="4" width="13.77734375" bestFit="1" customWidth="1"/>
    <col min="5" max="5" width="20" customWidth="1"/>
    <col min="6" max="6" width="26.5546875" customWidth="1"/>
    <col min="7" max="7" width="26.77734375" customWidth="1"/>
    <col min="8" max="8" width="18.77734375" customWidth="1"/>
    <col min="9" max="9" width="14.77734375" customWidth="1"/>
  </cols>
  <sheetData>
    <row r="3" spans="1:10" x14ac:dyDescent="0.3">
      <c r="A3" s="8" t="s">
        <v>1376</v>
      </c>
      <c r="B3" t="s">
        <v>1419</v>
      </c>
      <c r="D3" s="14" t="s">
        <v>1459</v>
      </c>
      <c r="E3" s="14" t="s">
        <v>1366</v>
      </c>
      <c r="F3" s="14" t="s">
        <v>1455</v>
      </c>
      <c r="G3" s="14" t="s">
        <v>1456</v>
      </c>
      <c r="H3" s="14" t="s">
        <v>1457</v>
      </c>
      <c r="I3" s="14" t="s">
        <v>1458</v>
      </c>
    </row>
    <row r="4" spans="1:10" x14ac:dyDescent="0.3">
      <c r="A4" s="9" t="s">
        <v>30</v>
      </c>
      <c r="B4" s="49">
        <v>1926575.4344300001</v>
      </c>
      <c r="D4" s="26" t="s">
        <v>30</v>
      </c>
      <c r="E4" s="27">
        <v>1926575.4344300001</v>
      </c>
      <c r="F4" s="16">
        <f>(GETPIVOTDATA("Gross Revenue",$A$3,"ProductCategory","Printers")/GETPIVOTDATA("Gross Revenue",$A$3))</f>
        <v>0.18398300334905798</v>
      </c>
      <c r="G4" s="4">
        <f>SUM(GETPIVOTDATA("Gross Revenue",$A$3:$A$3,"ProductCategory","Printers"))</f>
        <v>1926575.4344300001</v>
      </c>
      <c r="H4" s="25">
        <f>(G4/GETPIVOTDATA("Gross Revenue",$A$3))</f>
        <v>0.18398300334905798</v>
      </c>
      <c r="I4" t="str">
        <f>IF(H4&lt;=0.8, "A", IF(H4&lt;=0.95, "B", "C"))</f>
        <v>A</v>
      </c>
      <c r="J4" s="16"/>
    </row>
    <row r="5" spans="1:10" x14ac:dyDescent="0.3">
      <c r="A5" s="9" t="s">
        <v>42</v>
      </c>
      <c r="B5" s="49">
        <v>1573214.03728</v>
      </c>
      <c r="D5" s="26" t="s">
        <v>42</v>
      </c>
      <c r="E5" s="27">
        <v>1573214.03728</v>
      </c>
      <c r="F5" s="16">
        <f>(GETPIVOTDATA("Gross Revenue",$A$3,"ProductCategory","Phones")/GETPIVOTDATA("Gross Revenue",$A$3))</f>
        <v>0.150237897938996</v>
      </c>
      <c r="G5" s="4">
        <f>SUM(G4+GETPIVOTDATA("Gross Revenue",$A$3,"ProductCategory","Phones"))</f>
        <v>3499789.4717100002</v>
      </c>
      <c r="H5" s="25">
        <f t="shared" ref="H5:H10" si="0">(G5/GETPIVOTDATA("Gross Revenue",$A$3))</f>
        <v>0.33422090128805398</v>
      </c>
      <c r="I5" t="str">
        <f t="shared" ref="I5:I10" si="1">IF(H5&lt;=0.8, "A", IF(H5&lt;=0.95, "B", "C"))</f>
        <v>A</v>
      </c>
      <c r="J5" s="16"/>
    </row>
    <row r="6" spans="1:10" x14ac:dyDescent="0.3">
      <c r="A6" s="9" t="s">
        <v>64</v>
      </c>
      <c r="B6" s="49">
        <v>1493059.8076100003</v>
      </c>
      <c r="D6" s="26" t="s">
        <v>64</v>
      </c>
      <c r="E6" s="27">
        <v>1493059.8076100003</v>
      </c>
      <c r="F6" s="16">
        <f>(GETPIVOTDATA("Gross Revenue",$A$3,"ProductCategory","Monitors")/GETPIVOTDATA("Gross Revenue",$A$3))</f>
        <v>0.14258337497442816</v>
      </c>
      <c r="G6" s="4">
        <f>SUM(G5+GETPIVOTDATA("Gross Revenue",$A$3,"ProductCategory","Monitors"))</f>
        <v>4992849.2793200007</v>
      </c>
      <c r="H6" s="25">
        <f t="shared" si="0"/>
        <v>0.47680427626248217</v>
      </c>
      <c r="I6" t="str">
        <f t="shared" si="1"/>
        <v>A</v>
      </c>
      <c r="J6" s="16"/>
    </row>
    <row r="7" spans="1:10" x14ac:dyDescent="0.3">
      <c r="A7" s="9" t="s">
        <v>35</v>
      </c>
      <c r="B7" s="49">
        <v>1471202.46594</v>
      </c>
      <c r="D7" s="26" t="s">
        <v>35</v>
      </c>
      <c r="E7" s="27">
        <v>1471202.46594</v>
      </c>
      <c r="F7" s="16">
        <f>(GETPIVOTDATA("Gross Revenue",$A$3,"ProductCategory","Networking")/GETPIVOTDATA("Gross Revenue",$A$3))</f>
        <v>0.14049605501082499</v>
      </c>
      <c r="G7" s="4">
        <f>SUM(G6+GETPIVOTDATA("Gross Revenue",$A$3,"ProductCategory","Networking"))</f>
        <v>6464051.7452600002</v>
      </c>
      <c r="H7" s="25">
        <f t="shared" si="0"/>
        <v>0.61730033127330708</v>
      </c>
      <c r="I7" t="str">
        <f t="shared" si="1"/>
        <v>A</v>
      </c>
      <c r="J7" s="16"/>
    </row>
    <row r="8" spans="1:10" x14ac:dyDescent="0.3">
      <c r="A8" s="9" t="s">
        <v>57</v>
      </c>
      <c r="B8" s="49">
        <v>1405895.7169900001</v>
      </c>
      <c r="D8" s="26" t="s">
        <v>57</v>
      </c>
      <c r="E8" s="27">
        <v>1405895.7169900001</v>
      </c>
      <c r="F8" s="16">
        <f>(GETPIVOTDATA("Gross Revenue",$A$3,"ProductCategory","Laptops")/GETPIVOTDATA("Gross Revenue",$A$3))</f>
        <v>0.13425942830207699</v>
      </c>
      <c r="G8" s="4">
        <f>SUM(G7+GETPIVOTDATA("Gross Revenue",$A$3,"ProductCategory","Laptops"))</f>
        <v>7869947.4622499999</v>
      </c>
      <c r="H8" s="25">
        <f t="shared" si="0"/>
        <v>0.75155975957538412</v>
      </c>
      <c r="I8" t="str">
        <f t="shared" si="1"/>
        <v>A</v>
      </c>
      <c r="J8" s="16"/>
    </row>
    <row r="9" spans="1:10" x14ac:dyDescent="0.3">
      <c r="A9" s="9" t="s">
        <v>81</v>
      </c>
      <c r="B9" s="49">
        <v>1352771.8338100002</v>
      </c>
      <c r="D9" s="26" t="s">
        <v>81</v>
      </c>
      <c r="E9" s="27">
        <v>1352771.8338100002</v>
      </c>
      <c r="F9" s="16">
        <f>(GETPIVOTDATA("Gross Revenue",$A$3,"ProductCategory","Accessories")/GETPIVOTDATA("Gross Revenue",$A$3))</f>
        <v>0.12918623396857165</v>
      </c>
      <c r="G9" s="4">
        <f>SUM(G8+GETPIVOTDATA("Gross Revenue",$A$3,"ProductCategory","Accessories"))</f>
        <v>9222719.2960599996</v>
      </c>
      <c r="H9" s="25">
        <f t="shared" si="0"/>
        <v>0.88074599354395566</v>
      </c>
      <c r="I9" t="str">
        <f t="shared" si="1"/>
        <v>B</v>
      </c>
      <c r="J9" s="16"/>
    </row>
    <row r="10" spans="1:10" x14ac:dyDescent="0.3">
      <c r="A10" s="9" t="s">
        <v>22</v>
      </c>
      <c r="B10" s="49">
        <v>1248766.6529700004</v>
      </c>
      <c r="D10" s="26" t="s">
        <v>22</v>
      </c>
      <c r="E10" s="27">
        <v>1248766.6529700004</v>
      </c>
      <c r="F10" s="16">
        <f>(GETPIVOTDATA("Gross Revenue",$A$3,"ProductCategory","Components")/GETPIVOTDATA("Gross Revenue",$A$3))</f>
        <v>0.11925400645604425</v>
      </c>
      <c r="G10" s="4">
        <f>SUM(G9+GETPIVOTDATA("Gross Revenue",$A$3,"ProductCategory","Components"))</f>
        <v>10471485.949030001</v>
      </c>
      <c r="H10" s="25">
        <f t="shared" si="0"/>
        <v>1</v>
      </c>
      <c r="I10" t="str">
        <f t="shared" si="1"/>
        <v>C</v>
      </c>
      <c r="J10" s="16"/>
    </row>
    <row r="11" spans="1:10" x14ac:dyDescent="0.3">
      <c r="A11" s="9" t="s">
        <v>1523</v>
      </c>
      <c r="B11" s="49"/>
      <c r="E11" s="14">
        <f>SUM(E4:E10)</f>
        <v>10471485.949030001</v>
      </c>
      <c r="F11" s="17">
        <f>SUM(F4:F10)</f>
        <v>0.99999999999999989</v>
      </c>
      <c r="G11" s="28">
        <f>SUM(G4:G10)</f>
        <v>44447418.638060004</v>
      </c>
    </row>
    <row r="12" spans="1:10" x14ac:dyDescent="0.3">
      <c r="A12" s="10" t="s">
        <v>1523</v>
      </c>
      <c r="B12" s="49"/>
    </row>
    <row r="13" spans="1:10" x14ac:dyDescent="0.3">
      <c r="A13" s="9" t="s">
        <v>1377</v>
      </c>
      <c r="B13" s="49">
        <v>10471485.949030001</v>
      </c>
    </row>
    <row r="16" spans="1:10" x14ac:dyDescent="0.3">
      <c r="D16" s="8" t="s">
        <v>1376</v>
      </c>
      <c r="E16" t="s">
        <v>1419</v>
      </c>
    </row>
    <row r="17" spans="4:5" x14ac:dyDescent="0.3">
      <c r="D17" s="9" t="s">
        <v>81</v>
      </c>
      <c r="E17">
        <v>1352771.8338100002</v>
      </c>
    </row>
    <row r="18" spans="4:5" x14ac:dyDescent="0.3">
      <c r="D18" s="10" t="s">
        <v>1460</v>
      </c>
      <c r="E18">
        <v>1352771.8338100002</v>
      </c>
    </row>
    <row r="19" spans="4:5" x14ac:dyDescent="0.3">
      <c r="D19" s="9" t="s">
        <v>22</v>
      </c>
      <c r="E19">
        <v>1248766.6529700004</v>
      </c>
    </row>
    <row r="20" spans="4:5" x14ac:dyDescent="0.3">
      <c r="D20" s="10" t="s">
        <v>1461</v>
      </c>
      <c r="E20">
        <v>1248766.6529700004</v>
      </c>
    </row>
    <row r="21" spans="4:5" x14ac:dyDescent="0.3">
      <c r="D21" s="9" t="s">
        <v>57</v>
      </c>
      <c r="E21">
        <v>1405895.7169900001</v>
      </c>
    </row>
    <row r="22" spans="4:5" x14ac:dyDescent="0.3">
      <c r="D22" s="10" t="s">
        <v>1462</v>
      </c>
      <c r="E22">
        <v>1405895.7169900001</v>
      </c>
    </row>
    <row r="23" spans="4:5" x14ac:dyDescent="0.3">
      <c r="D23" s="9" t="s">
        <v>64</v>
      </c>
      <c r="E23">
        <v>1493059.8076100003</v>
      </c>
    </row>
    <row r="24" spans="4:5" x14ac:dyDescent="0.3">
      <c r="D24" s="10" t="s">
        <v>1462</v>
      </c>
      <c r="E24">
        <v>1493059.8076100003</v>
      </c>
    </row>
    <row r="25" spans="4:5" x14ac:dyDescent="0.3">
      <c r="D25" s="9" t="s">
        <v>35</v>
      </c>
      <c r="E25">
        <v>1471202.46594</v>
      </c>
    </row>
    <row r="26" spans="4:5" x14ac:dyDescent="0.3">
      <c r="D26" s="10" t="s">
        <v>1462</v>
      </c>
      <c r="E26">
        <v>1471202.46594</v>
      </c>
    </row>
    <row r="27" spans="4:5" x14ac:dyDescent="0.3">
      <c r="D27" s="9" t="s">
        <v>42</v>
      </c>
      <c r="E27">
        <v>1573214.03728</v>
      </c>
    </row>
    <row r="28" spans="4:5" x14ac:dyDescent="0.3">
      <c r="D28" s="10" t="s">
        <v>1462</v>
      </c>
      <c r="E28">
        <v>1573214.03728</v>
      </c>
    </row>
    <row r="29" spans="4:5" x14ac:dyDescent="0.3">
      <c r="D29" s="9" t="s">
        <v>30</v>
      </c>
      <c r="E29">
        <v>1926575.4344300001</v>
      </c>
    </row>
    <row r="30" spans="4:5" x14ac:dyDescent="0.3">
      <c r="D30" s="10" t="s">
        <v>1462</v>
      </c>
      <c r="E30">
        <v>1926575.4344300001</v>
      </c>
    </row>
    <row r="31" spans="4:5" x14ac:dyDescent="0.3">
      <c r="D31" s="9" t="s">
        <v>1377</v>
      </c>
      <c r="E31">
        <v>10471485.949030001</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27ED4-39C9-46D9-9A21-331A6CB5AAF4}">
  <dimension ref="A1:R633"/>
  <sheetViews>
    <sheetView topLeftCell="C22" workbookViewId="0">
      <selection activeCell="S2" sqref="S2"/>
    </sheetView>
  </sheetViews>
  <sheetFormatPr defaultRowHeight="14.4" x14ac:dyDescent="0.3"/>
  <cols>
    <col min="1" max="1" width="16.21875" bestFit="1" customWidth="1"/>
    <col min="2" max="2" width="9.77734375" bestFit="1" customWidth="1"/>
    <col min="3" max="3" width="12.44140625" bestFit="1" customWidth="1"/>
    <col min="4" max="4" width="13.21875" bestFit="1" customWidth="1"/>
    <col min="5" max="5" width="9.21875" bestFit="1" customWidth="1"/>
    <col min="6" max="6" width="16.77734375" bestFit="1" customWidth="1"/>
    <col min="7" max="8" width="11.77734375" bestFit="1" customWidth="1"/>
    <col min="9" max="9" width="15.21875" bestFit="1" customWidth="1"/>
    <col min="10" max="10" width="8.21875" bestFit="1" customWidth="1"/>
    <col min="11" max="11" width="9.77734375" bestFit="1" customWidth="1"/>
    <col min="12" max="12" width="8.77734375" bestFit="1" customWidth="1"/>
    <col min="13" max="13" width="11" bestFit="1" customWidth="1"/>
    <col min="14" max="14" width="8.21875" bestFit="1" customWidth="1"/>
    <col min="15" max="15" width="13.44140625" bestFit="1" customWidth="1"/>
    <col min="16" max="16" width="12.77734375" bestFit="1" customWidth="1"/>
    <col min="17" max="17" width="10.77734375" bestFit="1" customWidth="1"/>
    <col min="18" max="18" width="12.21875" customWidth="1"/>
  </cols>
  <sheetData>
    <row r="1" spans="1:18" x14ac:dyDescent="0.3">
      <c r="A1" s="1" t="s">
        <v>0</v>
      </c>
      <c r="B1" s="5" t="s">
        <v>1</v>
      </c>
      <c r="C1" s="1" t="s">
        <v>2</v>
      </c>
      <c r="D1" s="3" t="s">
        <v>1365</v>
      </c>
      <c r="E1" s="3" t="s">
        <v>1371</v>
      </c>
      <c r="F1" s="1" t="s">
        <v>6</v>
      </c>
      <c r="G1" s="1" t="s">
        <v>7</v>
      </c>
      <c r="H1" s="1" t="s">
        <v>8</v>
      </c>
      <c r="I1" s="1" t="s">
        <v>9</v>
      </c>
      <c r="J1" s="3" t="s">
        <v>11</v>
      </c>
      <c r="K1" s="3" t="s">
        <v>1375</v>
      </c>
      <c r="L1" s="3" t="s">
        <v>12</v>
      </c>
      <c r="M1" s="3" t="s">
        <v>13</v>
      </c>
      <c r="N1" s="3" t="s">
        <v>14</v>
      </c>
      <c r="O1" s="3" t="s">
        <v>1366</v>
      </c>
      <c r="P1" s="3" t="s">
        <v>1367</v>
      </c>
      <c r="Q1" s="3" t="s">
        <v>1368</v>
      </c>
      <c r="R1" s="13" t="s">
        <v>1470</v>
      </c>
    </row>
    <row r="2" spans="1:18" x14ac:dyDescent="0.3">
      <c r="A2" t="s">
        <v>15</v>
      </c>
      <c r="B2" s="6">
        <v>45362</v>
      </c>
      <c r="C2" s="2">
        <v>45388</v>
      </c>
      <c r="D2" s="4">
        <f>DATEDIF(B2,C2, "MD")</f>
        <v>26</v>
      </c>
      <c r="E2" s="4" t="str">
        <f>TEXT(Data!B2,"MMM-YYYY")</f>
        <v>Oct-2024</v>
      </c>
      <c r="F2" t="s">
        <v>19</v>
      </c>
      <c r="G2" t="s">
        <v>20</v>
      </c>
      <c r="H2" t="s">
        <v>21</v>
      </c>
      <c r="I2" t="s">
        <v>22</v>
      </c>
      <c r="J2" s="4">
        <v>279.24</v>
      </c>
      <c r="K2" s="7" t="str">
        <f>IF(L2&lt;50, "Low", IF(L2&lt;200, "Medium", "High"))</f>
        <v>High</v>
      </c>
      <c r="L2" s="4">
        <v>608.9</v>
      </c>
      <c r="M2" s="4">
        <v>0.112</v>
      </c>
      <c r="N2" s="4">
        <v>9</v>
      </c>
      <c r="O2" s="4">
        <f t="shared" ref="O2:O65" si="0">(L28*N2)*(1-M2)</f>
        <v>1403.9546399999999</v>
      </c>
      <c r="P2">
        <f t="shared" ref="P2:P65" si="1">(J2*N2)</f>
        <v>2513.16</v>
      </c>
      <c r="Q2" s="4">
        <f>(O2-P2)</f>
        <v>-1109.2053599999999</v>
      </c>
      <c r="R2" s="16">
        <f>(Q2/O2)</f>
        <v>-0.79005783263766982</v>
      </c>
    </row>
    <row r="3" spans="1:18" x14ac:dyDescent="0.3">
      <c r="A3" t="s">
        <v>24</v>
      </c>
      <c r="B3" s="6">
        <v>45588</v>
      </c>
      <c r="C3" s="2">
        <v>45587</v>
      </c>
      <c r="D3" s="4">
        <f>DATEDIF(C3, B3, "MD")</f>
        <v>1</v>
      </c>
      <c r="E3" s="4" t="str">
        <f>TEXT(Data!B3,"MMM-YYYY")</f>
        <v>Feb-2023</v>
      </c>
      <c r="F3" t="s">
        <v>27</v>
      </c>
      <c r="G3" t="s">
        <v>28</v>
      </c>
      <c r="H3" t="s">
        <v>29</v>
      </c>
      <c r="I3" t="s">
        <v>30</v>
      </c>
      <c r="J3" s="4">
        <v>1084.3900000000001</v>
      </c>
      <c r="K3" s="7" t="str">
        <f t="shared" ref="K3:K66" si="2">IF(L3&lt;50, "Low", IF(L3&lt;200, "Medium", "High"))</f>
        <v>High</v>
      </c>
      <c r="L3" s="4">
        <v>759.33</v>
      </c>
      <c r="M3" s="4">
        <v>0.23699999999999999</v>
      </c>
      <c r="N3" s="4">
        <v>31</v>
      </c>
      <c r="O3" s="4">
        <f t="shared" si="0"/>
        <v>17934.41419</v>
      </c>
      <c r="P3">
        <f t="shared" si="1"/>
        <v>33616.090000000004</v>
      </c>
      <c r="Q3" s="4">
        <f t="shared" ref="Q3:Q66" si="3">(O3-P3)</f>
        <v>-15681.675810000004</v>
      </c>
      <c r="R3" s="16">
        <f t="shared" ref="R3:R66" si="4">(Q3/O3)</f>
        <v>-0.87439018882166253</v>
      </c>
    </row>
    <row r="4" spans="1:18" x14ac:dyDescent="0.3">
      <c r="A4" t="s">
        <v>32</v>
      </c>
      <c r="B4" s="6">
        <v>44985</v>
      </c>
      <c r="C4" s="2">
        <v>45010</v>
      </c>
      <c r="D4" s="4">
        <f t="shared" ref="D4:D67" si="5">DATEDIF(B4,C4, "MD")</f>
        <v>25</v>
      </c>
      <c r="E4" s="4" t="str">
        <f>TEXT(Data!B4,"MMM-YYYY")</f>
        <v>Mar-2025</v>
      </c>
      <c r="F4" t="s">
        <v>19</v>
      </c>
      <c r="G4" t="s">
        <v>20</v>
      </c>
      <c r="H4" t="s">
        <v>34</v>
      </c>
      <c r="I4" t="s">
        <v>35</v>
      </c>
      <c r="J4" s="4">
        <v>1460.76</v>
      </c>
      <c r="K4" s="7" t="str">
        <f t="shared" si="2"/>
        <v>Low</v>
      </c>
      <c r="L4" s="4">
        <v>-30.66</v>
      </c>
      <c r="M4" s="4">
        <v>0.13100000000000001</v>
      </c>
      <c r="N4" s="4">
        <v>12</v>
      </c>
      <c r="O4" s="4">
        <f t="shared" si="0"/>
        <v>4534.0944</v>
      </c>
      <c r="P4">
        <f t="shared" si="1"/>
        <v>17529.12</v>
      </c>
      <c r="Q4" s="4">
        <f t="shared" si="3"/>
        <v>-12995.025599999999</v>
      </c>
      <c r="R4" s="16">
        <f t="shared" si="4"/>
        <v>-2.8660686023652264</v>
      </c>
    </row>
    <row r="5" spans="1:18" x14ac:dyDescent="0.3">
      <c r="A5" t="s">
        <v>37</v>
      </c>
      <c r="B5" s="6">
        <v>45745</v>
      </c>
      <c r="C5" s="2">
        <v>45749</v>
      </c>
      <c r="D5" s="4">
        <f t="shared" si="5"/>
        <v>4</v>
      </c>
      <c r="E5" s="4" t="str">
        <f>TEXT(Data!B5,"MMM-YYYY")</f>
        <v>Dec-2023</v>
      </c>
      <c r="F5" t="s">
        <v>39</v>
      </c>
      <c r="G5" t="s">
        <v>40</v>
      </c>
      <c r="H5" t="s">
        <v>41</v>
      </c>
      <c r="I5" t="s">
        <v>42</v>
      </c>
      <c r="J5" s="4">
        <v>259.93</v>
      </c>
      <c r="K5" s="7" t="str">
        <f t="shared" si="2"/>
        <v>High</v>
      </c>
      <c r="L5" s="4">
        <v>255.94</v>
      </c>
      <c r="M5" s="4">
        <v>7.1999999999999995E-2</v>
      </c>
      <c r="N5" s="4">
        <v>22</v>
      </c>
      <c r="O5" s="4">
        <f t="shared" si="0"/>
        <v>34016.730880000003</v>
      </c>
      <c r="P5">
        <f t="shared" si="1"/>
        <v>5718.46</v>
      </c>
      <c r="Q5" s="4">
        <f t="shared" si="3"/>
        <v>28298.270880000004</v>
      </c>
      <c r="R5" s="16">
        <f t="shared" si="4"/>
        <v>0.83189272301994943</v>
      </c>
    </row>
    <row r="6" spans="1:18" x14ac:dyDescent="0.3">
      <c r="A6" t="s">
        <v>44</v>
      </c>
      <c r="B6" s="6">
        <v>45266</v>
      </c>
      <c r="C6" s="2">
        <v>45291</v>
      </c>
      <c r="D6" s="4">
        <f t="shared" si="5"/>
        <v>25</v>
      </c>
      <c r="E6" s="4" t="str">
        <f>TEXT(Data!B6,"MMM-YYYY")</f>
        <v>Jan-2023</v>
      </c>
      <c r="F6" t="s">
        <v>48</v>
      </c>
      <c r="G6" t="s">
        <v>20</v>
      </c>
      <c r="H6" t="s">
        <v>49</v>
      </c>
      <c r="I6" t="s">
        <v>30</v>
      </c>
      <c r="J6" s="4">
        <v>663.03</v>
      </c>
      <c r="K6" s="7" t="str">
        <f t="shared" si="2"/>
        <v>High</v>
      </c>
      <c r="L6" s="4">
        <v>813.51</v>
      </c>
      <c r="M6" s="4">
        <v>0.10199999999999999</v>
      </c>
      <c r="N6" s="4">
        <v>15</v>
      </c>
      <c r="O6" s="4">
        <f t="shared" si="0"/>
        <v>8510.0765999999985</v>
      </c>
      <c r="P6">
        <f t="shared" si="1"/>
        <v>9945.4499999999989</v>
      </c>
      <c r="Q6" s="4">
        <f t="shared" si="3"/>
        <v>-1435.3734000000004</v>
      </c>
      <c r="R6" s="16">
        <f t="shared" si="4"/>
        <v>-0.16866750647109341</v>
      </c>
    </row>
    <row r="7" spans="1:18" x14ac:dyDescent="0.3">
      <c r="A7" t="s">
        <v>51</v>
      </c>
      <c r="B7" s="6">
        <v>44928</v>
      </c>
      <c r="C7" s="2">
        <v>44931</v>
      </c>
      <c r="D7" s="4">
        <f t="shared" si="5"/>
        <v>3</v>
      </c>
      <c r="E7" s="4" t="str">
        <f>TEXT(Data!B7,"MMM-YYYY")</f>
        <v>Dec-2024</v>
      </c>
      <c r="F7" t="s">
        <v>19</v>
      </c>
      <c r="G7" t="s">
        <v>55</v>
      </c>
      <c r="H7" t="s">
        <v>56</v>
      </c>
      <c r="I7" t="s">
        <v>57</v>
      </c>
      <c r="J7" s="4">
        <v>315.87</v>
      </c>
      <c r="K7" s="7" t="str">
        <f t="shared" si="2"/>
        <v>High</v>
      </c>
      <c r="L7" s="4">
        <v>591.67999999999995</v>
      </c>
      <c r="M7" s="4">
        <v>0</v>
      </c>
      <c r="N7" s="4">
        <v>7</v>
      </c>
      <c r="O7" s="4">
        <f t="shared" si="0"/>
        <v>12558.49</v>
      </c>
      <c r="P7">
        <f t="shared" si="1"/>
        <v>2211.09</v>
      </c>
      <c r="Q7" s="4">
        <f t="shared" si="3"/>
        <v>10347.4</v>
      </c>
      <c r="R7" s="16">
        <f t="shared" si="4"/>
        <v>0.82393663569425946</v>
      </c>
    </row>
    <row r="8" spans="1:18" x14ac:dyDescent="0.3">
      <c r="A8" t="s">
        <v>59</v>
      </c>
      <c r="B8" s="6">
        <v>45653</v>
      </c>
      <c r="C8" s="2">
        <v>45671</v>
      </c>
      <c r="D8" s="4">
        <f t="shared" si="5"/>
        <v>18</v>
      </c>
      <c r="E8" s="4" t="str">
        <f>TEXT(Data!B8,"MMM-YYYY")</f>
        <v>Jan-2023</v>
      </c>
      <c r="F8" t="s">
        <v>62</v>
      </c>
      <c r="G8" t="s">
        <v>40</v>
      </c>
      <c r="H8" t="s">
        <v>63</v>
      </c>
      <c r="I8" t="s">
        <v>64</v>
      </c>
      <c r="J8" s="4">
        <v>586.07000000000005</v>
      </c>
      <c r="K8" s="7" t="str">
        <f t="shared" si="2"/>
        <v>High</v>
      </c>
      <c r="L8" s="4">
        <v>845.97</v>
      </c>
      <c r="M8" s="4">
        <v>0.14699999999999999</v>
      </c>
      <c r="N8" s="4">
        <v>4</v>
      </c>
      <c r="O8" s="4">
        <f t="shared" si="0"/>
        <v>8983.864239999999</v>
      </c>
      <c r="P8">
        <f t="shared" si="1"/>
        <v>2344.2800000000002</v>
      </c>
      <c r="Q8" s="4">
        <f t="shared" si="3"/>
        <v>6639.5842399999983</v>
      </c>
      <c r="R8" s="16">
        <f t="shared" si="4"/>
        <v>0.73905660889639613</v>
      </c>
    </row>
    <row r="9" spans="1:18" x14ac:dyDescent="0.3">
      <c r="A9" t="s">
        <v>66</v>
      </c>
      <c r="B9" s="6">
        <v>44941</v>
      </c>
      <c r="C9" s="2">
        <v>44939</v>
      </c>
      <c r="D9" s="4">
        <f>DATEDIF(C9,B9, "MD")</f>
        <v>2</v>
      </c>
      <c r="E9" s="4" t="str">
        <f>TEXT(Data!B9,"MMM-YYYY")</f>
        <v>May-2024</v>
      </c>
      <c r="F9" t="s">
        <v>27</v>
      </c>
      <c r="G9" t="s">
        <v>28</v>
      </c>
      <c r="H9" t="s">
        <v>68</v>
      </c>
      <c r="I9" t="s">
        <v>30</v>
      </c>
      <c r="J9" s="4">
        <v>28.38</v>
      </c>
      <c r="K9" s="7" t="str">
        <f t="shared" si="2"/>
        <v>Low</v>
      </c>
      <c r="L9" s="4">
        <v>47.22</v>
      </c>
      <c r="M9" s="4">
        <v>0.19400000000000001</v>
      </c>
      <c r="N9" s="4">
        <v>18</v>
      </c>
      <c r="O9" s="4">
        <f t="shared" si="0"/>
        <v>19177.399799999999</v>
      </c>
      <c r="P9">
        <f t="shared" si="1"/>
        <v>510.84</v>
      </c>
      <c r="Q9" s="4">
        <f t="shared" si="3"/>
        <v>18666.559799999999</v>
      </c>
      <c r="R9" s="16">
        <f t="shared" si="4"/>
        <v>0.97336239504168864</v>
      </c>
    </row>
    <row r="10" spans="1:18" x14ac:dyDescent="0.3">
      <c r="A10" t="s">
        <v>70</v>
      </c>
      <c r="B10" s="6">
        <v>45416</v>
      </c>
      <c r="C10" s="2">
        <v>45441</v>
      </c>
      <c r="D10" s="4">
        <f t="shared" si="5"/>
        <v>25</v>
      </c>
      <c r="E10" s="4" t="str">
        <f>TEXT(Data!B10,"MMM-YYYY")</f>
        <v>May-2025</v>
      </c>
      <c r="F10" t="s">
        <v>39</v>
      </c>
      <c r="G10" t="s">
        <v>40</v>
      </c>
      <c r="H10" t="s">
        <v>68</v>
      </c>
      <c r="I10" t="s">
        <v>64</v>
      </c>
      <c r="J10" s="4">
        <v>1295.3399999999999</v>
      </c>
      <c r="K10" s="7" t="str">
        <f t="shared" si="2"/>
        <v>High</v>
      </c>
      <c r="L10" s="4">
        <v>2530.81</v>
      </c>
      <c r="M10" s="4">
        <v>3.1E-2</v>
      </c>
      <c r="N10" s="4">
        <v>6</v>
      </c>
      <c r="O10" s="4">
        <f t="shared" si="0"/>
        <v>17656.36218</v>
      </c>
      <c r="P10">
        <f t="shared" si="1"/>
        <v>7772.0399999999991</v>
      </c>
      <c r="Q10" s="4">
        <f t="shared" si="3"/>
        <v>9884.322180000001</v>
      </c>
      <c r="R10" s="16">
        <f t="shared" si="4"/>
        <v>0.55981646044825306</v>
      </c>
    </row>
    <row r="11" spans="1:18" x14ac:dyDescent="0.3">
      <c r="A11" t="s">
        <v>72</v>
      </c>
      <c r="B11" s="6">
        <v>45798</v>
      </c>
      <c r="C11" s="2">
        <v>45817</v>
      </c>
      <c r="D11" s="4">
        <f t="shared" si="5"/>
        <v>19</v>
      </c>
      <c r="E11" s="4" t="str">
        <f>TEXT(Data!B11,"MMM-YYYY")</f>
        <v>Jan-2024</v>
      </c>
      <c r="F11" t="s">
        <v>39</v>
      </c>
      <c r="G11" t="s">
        <v>28</v>
      </c>
      <c r="H11" t="s">
        <v>75</v>
      </c>
      <c r="I11" t="s">
        <v>22</v>
      </c>
      <c r="J11" s="4">
        <v>1331.38</v>
      </c>
      <c r="K11" s="7" t="str">
        <f t="shared" si="2"/>
        <v>High</v>
      </c>
      <c r="L11" s="4">
        <v>2309.56</v>
      </c>
      <c r="M11" s="4">
        <v>0.14899999999999999</v>
      </c>
      <c r="N11" s="4">
        <v>31</v>
      </c>
      <c r="O11" s="4">
        <f t="shared" si="0"/>
        <v>5259.5799699999998</v>
      </c>
      <c r="P11">
        <f t="shared" si="1"/>
        <v>41272.780000000006</v>
      </c>
      <c r="Q11" s="4">
        <f t="shared" si="3"/>
        <v>-36013.200030000007</v>
      </c>
      <c r="R11" s="16">
        <f t="shared" si="4"/>
        <v>-6.8471627459635354</v>
      </c>
    </row>
    <row r="12" spans="1:18" x14ac:dyDescent="0.3">
      <c r="A12" t="s">
        <v>77</v>
      </c>
      <c r="B12" s="6">
        <v>45319</v>
      </c>
      <c r="C12" s="2">
        <v>45331</v>
      </c>
      <c r="D12" s="4">
        <f t="shared" si="5"/>
        <v>12</v>
      </c>
      <c r="E12" s="4" t="str">
        <f>TEXT(Data!B12,"MMM-YYYY")</f>
        <v>Jan-2025</v>
      </c>
      <c r="F12" t="s">
        <v>19</v>
      </c>
      <c r="G12" t="s">
        <v>28</v>
      </c>
      <c r="H12" t="s">
        <v>41</v>
      </c>
      <c r="I12" t="s">
        <v>81</v>
      </c>
      <c r="J12" s="4">
        <v>644.16999999999996</v>
      </c>
      <c r="K12" s="7" t="str">
        <f t="shared" si="2"/>
        <v>High</v>
      </c>
      <c r="L12" s="4">
        <v>700.12</v>
      </c>
      <c r="M12" s="4">
        <v>6.0000000000000001E-3</v>
      </c>
      <c r="N12" s="4">
        <v>23</v>
      </c>
      <c r="O12" s="4">
        <f t="shared" si="0"/>
        <v>21204.733619999999</v>
      </c>
      <c r="P12">
        <f t="shared" si="1"/>
        <v>14815.91</v>
      </c>
      <c r="Q12" s="4">
        <f t="shared" si="3"/>
        <v>6388.8236199999992</v>
      </c>
      <c r="R12" s="16">
        <f t="shared" si="4"/>
        <v>0.30129233097152197</v>
      </c>
    </row>
    <row r="13" spans="1:18" x14ac:dyDescent="0.3">
      <c r="A13" t="s">
        <v>83</v>
      </c>
      <c r="B13" s="6">
        <v>45660</v>
      </c>
      <c r="C13" s="2">
        <v>45680</v>
      </c>
      <c r="D13" s="4">
        <f t="shared" si="5"/>
        <v>20</v>
      </c>
      <c r="E13" s="4" t="str">
        <f>TEXT(Data!B13,"MMM-YYYY")</f>
        <v>Mar-2025</v>
      </c>
      <c r="F13" t="s">
        <v>19</v>
      </c>
      <c r="G13" t="s">
        <v>55</v>
      </c>
      <c r="H13" t="s">
        <v>84</v>
      </c>
      <c r="I13" t="s">
        <v>42</v>
      </c>
      <c r="J13" s="4">
        <v>908.6</v>
      </c>
      <c r="K13" s="7" t="str">
        <f t="shared" si="2"/>
        <v>High</v>
      </c>
      <c r="L13" s="4">
        <v>691.37</v>
      </c>
      <c r="M13" s="4">
        <v>0.25</v>
      </c>
      <c r="N13" s="4">
        <v>20</v>
      </c>
      <c r="O13" s="4">
        <f t="shared" si="0"/>
        <v>26031.15</v>
      </c>
      <c r="P13">
        <f t="shared" si="1"/>
        <v>18172</v>
      </c>
      <c r="Q13" s="4">
        <f t="shared" si="3"/>
        <v>7859.1500000000015</v>
      </c>
      <c r="R13" s="16">
        <f t="shared" si="4"/>
        <v>0.30191328466087747</v>
      </c>
    </row>
    <row r="14" spans="1:18" x14ac:dyDescent="0.3">
      <c r="A14" t="s">
        <v>86</v>
      </c>
      <c r="B14" s="6">
        <v>45722</v>
      </c>
      <c r="C14" s="2">
        <v>45747</v>
      </c>
      <c r="D14" s="4">
        <f t="shared" si="5"/>
        <v>25</v>
      </c>
      <c r="E14" s="4" t="str">
        <f>TEXT(Data!B14,"MMM-YYYY")</f>
        <v>Jan-2024</v>
      </c>
      <c r="F14" t="s">
        <v>39</v>
      </c>
      <c r="G14" t="s">
        <v>28</v>
      </c>
      <c r="H14" t="s">
        <v>29</v>
      </c>
      <c r="I14" t="s">
        <v>22</v>
      </c>
      <c r="J14" s="4">
        <v>331.57</v>
      </c>
      <c r="K14" s="7" t="str">
        <f t="shared" si="2"/>
        <v>High</v>
      </c>
      <c r="L14" s="4">
        <v>548.4</v>
      </c>
      <c r="M14" s="4">
        <v>9.4E-2</v>
      </c>
      <c r="N14" s="4">
        <v>10</v>
      </c>
      <c r="O14" s="4">
        <f t="shared" si="0"/>
        <v>12644.498400000002</v>
      </c>
      <c r="P14">
        <f t="shared" si="1"/>
        <v>3315.7</v>
      </c>
      <c r="Q14" s="4">
        <f t="shared" si="3"/>
        <v>9328.7984000000033</v>
      </c>
      <c r="R14" s="16">
        <f t="shared" si="4"/>
        <v>0.73777528415045723</v>
      </c>
    </row>
    <row r="15" spans="1:18" x14ac:dyDescent="0.3">
      <c r="A15" t="s">
        <v>89</v>
      </c>
      <c r="B15" s="6">
        <v>45311</v>
      </c>
      <c r="C15" s="2">
        <v>45335</v>
      </c>
      <c r="D15" s="4">
        <f t="shared" si="5"/>
        <v>24</v>
      </c>
      <c r="E15" s="4" t="str">
        <f>TEXT(Data!B15,"MMM-YYYY")</f>
        <v>Sep-2025</v>
      </c>
      <c r="F15" t="s">
        <v>19</v>
      </c>
      <c r="G15" t="s">
        <v>20</v>
      </c>
      <c r="H15" t="s">
        <v>92</v>
      </c>
      <c r="I15" t="s">
        <v>30</v>
      </c>
      <c r="J15" s="4">
        <v>643.53</v>
      </c>
      <c r="K15" s="7" t="str">
        <f t="shared" si="2"/>
        <v>High</v>
      </c>
      <c r="L15" s="4">
        <v>1439.01</v>
      </c>
      <c r="M15" s="4">
        <v>0</v>
      </c>
      <c r="N15" s="4">
        <v>15</v>
      </c>
      <c r="O15" s="4">
        <f t="shared" si="0"/>
        <v>6816.3</v>
      </c>
      <c r="P15">
        <f t="shared" si="1"/>
        <v>9652.9499999999989</v>
      </c>
      <c r="Q15" s="4">
        <f t="shared" si="3"/>
        <v>-2836.6499999999987</v>
      </c>
      <c r="R15" s="16">
        <f t="shared" si="4"/>
        <v>-0.4161568592931647</v>
      </c>
    </row>
    <row r="16" spans="1:18" x14ac:dyDescent="0.3">
      <c r="A16" t="s">
        <v>94</v>
      </c>
      <c r="B16" s="6">
        <v>45901</v>
      </c>
      <c r="C16" s="2">
        <v>45930</v>
      </c>
      <c r="D16" s="4">
        <f t="shared" si="5"/>
        <v>29</v>
      </c>
      <c r="E16" s="4" t="str">
        <f>TEXT(Data!B16,"MMM-YYYY")</f>
        <v>Apr-2023</v>
      </c>
      <c r="F16" t="s">
        <v>27</v>
      </c>
      <c r="G16" t="s">
        <v>20</v>
      </c>
      <c r="H16" t="s">
        <v>95</v>
      </c>
      <c r="I16" t="s">
        <v>81</v>
      </c>
      <c r="J16" s="4">
        <v>780.59</v>
      </c>
      <c r="K16" s="7" t="str">
        <f t="shared" si="2"/>
        <v>High</v>
      </c>
      <c r="L16" s="4">
        <v>631.57000000000005</v>
      </c>
      <c r="M16" s="4">
        <v>0</v>
      </c>
      <c r="N16" s="4">
        <v>12</v>
      </c>
      <c r="O16" s="4">
        <f t="shared" si="0"/>
        <v>18971.64</v>
      </c>
      <c r="P16">
        <f t="shared" si="1"/>
        <v>9367.08</v>
      </c>
      <c r="Q16" s="4">
        <f t="shared" si="3"/>
        <v>9604.56</v>
      </c>
      <c r="R16" s="16">
        <f t="shared" si="4"/>
        <v>0.50625881579030596</v>
      </c>
    </row>
    <row r="17" spans="1:18" x14ac:dyDescent="0.3">
      <c r="A17" t="s">
        <v>97</v>
      </c>
      <c r="B17" s="6">
        <v>45039</v>
      </c>
      <c r="C17" s="2">
        <v>45038</v>
      </c>
      <c r="D17" s="4">
        <f>DATEDIF(C17, B17, "MD")</f>
        <v>1</v>
      </c>
      <c r="E17" s="4" t="str">
        <f>TEXT(Data!B17,"MMM-YYYY")</f>
        <v>Dec-2024</v>
      </c>
      <c r="F17" t="s">
        <v>62</v>
      </c>
      <c r="G17" t="s">
        <v>98</v>
      </c>
      <c r="H17" t="s">
        <v>63</v>
      </c>
      <c r="I17" t="s">
        <v>57</v>
      </c>
      <c r="J17" s="4">
        <v>756.51</v>
      </c>
      <c r="K17" s="7" t="str">
        <f t="shared" si="2"/>
        <v>High</v>
      </c>
      <c r="L17" s="4">
        <v>850.8</v>
      </c>
      <c r="M17" s="4">
        <v>7.3999999999999996E-2</v>
      </c>
      <c r="N17" s="4">
        <v>9</v>
      </c>
      <c r="O17" s="4">
        <f t="shared" si="0"/>
        <v>14666.089860000002</v>
      </c>
      <c r="P17">
        <f t="shared" si="1"/>
        <v>6808.59</v>
      </c>
      <c r="Q17" s="4">
        <f t="shared" si="3"/>
        <v>7857.4998600000017</v>
      </c>
      <c r="R17" s="16">
        <f t="shared" si="4"/>
        <v>0.53575969702943038</v>
      </c>
    </row>
    <row r="18" spans="1:18" x14ac:dyDescent="0.3">
      <c r="A18" t="s">
        <v>100</v>
      </c>
      <c r="B18" s="6">
        <v>45636</v>
      </c>
      <c r="C18" s="2">
        <v>45665</v>
      </c>
      <c r="D18" s="4">
        <f t="shared" si="5"/>
        <v>29</v>
      </c>
      <c r="E18" s="4" t="str">
        <f>TEXT(Data!B18,"MMM-YYYY")</f>
        <v>Sep-2025</v>
      </c>
      <c r="F18" t="s">
        <v>62</v>
      </c>
      <c r="G18" t="s">
        <v>20</v>
      </c>
      <c r="H18" t="s">
        <v>95</v>
      </c>
      <c r="I18" t="s">
        <v>30</v>
      </c>
      <c r="J18" s="4">
        <v>891.08</v>
      </c>
      <c r="K18" s="7" t="str">
        <f t="shared" si="2"/>
        <v>High</v>
      </c>
      <c r="L18" s="4">
        <v>1040.0999999999999</v>
      </c>
      <c r="M18" s="4">
        <v>0.109</v>
      </c>
      <c r="N18" s="4">
        <v>28</v>
      </c>
      <c r="O18" s="4">
        <f t="shared" si="0"/>
        <v>79945.865999999995</v>
      </c>
      <c r="P18">
        <f t="shared" si="1"/>
        <v>24950.240000000002</v>
      </c>
      <c r="Q18" s="4">
        <f t="shared" si="3"/>
        <v>54995.625999999989</v>
      </c>
      <c r="R18" s="16">
        <f t="shared" si="4"/>
        <v>0.68791081705212864</v>
      </c>
    </row>
    <row r="19" spans="1:18" x14ac:dyDescent="0.3">
      <c r="A19" t="s">
        <v>102</v>
      </c>
      <c r="B19" s="6">
        <v>45908</v>
      </c>
      <c r="C19" s="2">
        <v>45916</v>
      </c>
      <c r="D19" s="4">
        <f t="shared" si="5"/>
        <v>8</v>
      </c>
      <c r="E19" s="4" t="str">
        <f>TEXT(Data!B19,"MMM-YYYY")</f>
        <v>Jul-2025</v>
      </c>
      <c r="F19" t="s">
        <v>19</v>
      </c>
      <c r="G19" t="s">
        <v>55</v>
      </c>
      <c r="H19" t="s">
        <v>21</v>
      </c>
      <c r="I19" t="s">
        <v>42</v>
      </c>
      <c r="J19" s="4">
        <v>1225.57</v>
      </c>
      <c r="K19" s="7" t="str">
        <f t="shared" si="2"/>
        <v>High</v>
      </c>
      <c r="L19" s="4">
        <v>2705.57</v>
      </c>
      <c r="M19" s="4">
        <v>0.183</v>
      </c>
      <c r="N19" s="4">
        <v>16</v>
      </c>
      <c r="O19" s="4">
        <f t="shared" si="0"/>
        <v>14842.34096</v>
      </c>
      <c r="P19">
        <f t="shared" si="1"/>
        <v>19609.12</v>
      </c>
      <c r="Q19" s="4">
        <f t="shared" si="3"/>
        <v>-4766.7790399999994</v>
      </c>
      <c r="R19" s="16">
        <f t="shared" si="4"/>
        <v>-0.32116086356232038</v>
      </c>
    </row>
    <row r="20" spans="1:18" x14ac:dyDescent="0.3">
      <c r="A20" t="s">
        <v>104</v>
      </c>
      <c r="B20" s="6">
        <v>45858</v>
      </c>
      <c r="C20" s="2">
        <v>45874</v>
      </c>
      <c r="D20" s="4">
        <f t="shared" si="5"/>
        <v>16</v>
      </c>
      <c r="E20" s="4" t="str">
        <f>TEXT(Data!B20,"MMM-YYYY")</f>
        <v>May-2025</v>
      </c>
      <c r="F20" t="s">
        <v>105</v>
      </c>
      <c r="G20" t="s">
        <v>40</v>
      </c>
      <c r="H20" t="s">
        <v>41</v>
      </c>
      <c r="I20" t="s">
        <v>81</v>
      </c>
      <c r="J20" s="4">
        <v>1068.17</v>
      </c>
      <c r="K20" s="7" t="str">
        <f t="shared" si="2"/>
        <v>High</v>
      </c>
      <c r="L20" s="4">
        <v>2375.37</v>
      </c>
      <c r="M20" s="4">
        <v>0.109</v>
      </c>
      <c r="N20" s="4">
        <v>18</v>
      </c>
      <c r="O20" s="4">
        <f t="shared" si="0"/>
        <v>15979.62168</v>
      </c>
      <c r="P20">
        <f t="shared" si="1"/>
        <v>19227.060000000001</v>
      </c>
      <c r="Q20" s="4">
        <f t="shared" si="3"/>
        <v>-3247.4383200000011</v>
      </c>
      <c r="R20" s="16">
        <f t="shared" si="4"/>
        <v>-0.20322372988745258</v>
      </c>
    </row>
    <row r="21" spans="1:18" x14ac:dyDescent="0.3">
      <c r="A21" t="s">
        <v>107</v>
      </c>
      <c r="B21" s="6">
        <v>45798</v>
      </c>
      <c r="C21" s="2">
        <v>45796</v>
      </c>
      <c r="D21" s="4">
        <f>DATEDIF(C21,B21, "MD")</f>
        <v>2</v>
      </c>
      <c r="E21" s="4" t="str">
        <f>TEXT(Data!B21,"MMM-YYYY")</f>
        <v>Jul-2024</v>
      </c>
      <c r="F21" t="s">
        <v>105</v>
      </c>
      <c r="G21" t="s">
        <v>28</v>
      </c>
      <c r="H21" t="s">
        <v>110</v>
      </c>
      <c r="I21" t="s">
        <v>57</v>
      </c>
      <c r="J21" s="4">
        <v>1015.16</v>
      </c>
      <c r="K21" s="7" t="str">
        <f t="shared" si="2"/>
        <v>High</v>
      </c>
      <c r="L21" s="4">
        <v>2148.14</v>
      </c>
      <c r="M21" s="4">
        <v>3.7999999999999999E-2</v>
      </c>
      <c r="N21" s="4">
        <v>19</v>
      </c>
      <c r="O21" s="4">
        <f t="shared" si="0"/>
        <v>25535.279900000001</v>
      </c>
      <c r="P21">
        <f t="shared" si="1"/>
        <v>19288.04</v>
      </c>
      <c r="Q21" s="4">
        <f t="shared" si="3"/>
        <v>6247.2399000000005</v>
      </c>
      <c r="R21" s="16">
        <f t="shared" si="4"/>
        <v>0.24465131866441769</v>
      </c>
    </row>
    <row r="22" spans="1:18" x14ac:dyDescent="0.3">
      <c r="A22" t="s">
        <v>112</v>
      </c>
      <c r="B22" s="6">
        <v>45498</v>
      </c>
      <c r="C22" s="2">
        <v>45497</v>
      </c>
      <c r="D22" s="4">
        <f>DATEDIF(C22,B22, "MD")</f>
        <v>1</v>
      </c>
      <c r="E22" s="4" t="str">
        <f>TEXT(Data!B22,"MMM-YYYY")</f>
        <v>May-2023</v>
      </c>
      <c r="F22" t="s">
        <v>39</v>
      </c>
      <c r="G22" t="s">
        <v>98</v>
      </c>
      <c r="H22" t="s">
        <v>29</v>
      </c>
      <c r="I22" t="s">
        <v>57</v>
      </c>
      <c r="J22" s="4">
        <v>1494.4</v>
      </c>
      <c r="K22" s="7" t="str">
        <f t="shared" si="2"/>
        <v>High</v>
      </c>
      <c r="L22" s="4">
        <v>3661.07</v>
      </c>
      <c r="M22" s="4">
        <v>7.1999999999999995E-2</v>
      </c>
      <c r="N22" s="4">
        <v>7</v>
      </c>
      <c r="O22" s="4">
        <f t="shared" si="0"/>
        <v>3565.5894400000002</v>
      </c>
      <c r="P22">
        <f t="shared" si="1"/>
        <v>10460.800000000001</v>
      </c>
      <c r="Q22" s="4">
        <f t="shared" si="3"/>
        <v>-6895.2105600000014</v>
      </c>
      <c r="R22" s="16">
        <f t="shared" si="4"/>
        <v>-1.9338206700544864</v>
      </c>
    </row>
    <row r="23" spans="1:18" x14ac:dyDescent="0.3">
      <c r="A23" t="s">
        <v>115</v>
      </c>
      <c r="B23" s="6">
        <v>45057</v>
      </c>
      <c r="C23" s="2">
        <v>45074</v>
      </c>
      <c r="D23" s="4">
        <f t="shared" si="5"/>
        <v>17</v>
      </c>
      <c r="E23" s="4" t="str">
        <f>TEXT(Data!B23,"MMM-YYYY")</f>
        <v>Jun-2025</v>
      </c>
      <c r="F23" t="s">
        <v>105</v>
      </c>
      <c r="G23" t="s">
        <v>40</v>
      </c>
      <c r="H23" t="s">
        <v>63</v>
      </c>
      <c r="I23" t="s">
        <v>35</v>
      </c>
      <c r="J23" s="4">
        <v>1331.19</v>
      </c>
      <c r="K23" s="7" t="str">
        <f t="shared" si="2"/>
        <v>High</v>
      </c>
      <c r="L23" s="4">
        <v>2903.09</v>
      </c>
      <c r="M23" s="4">
        <v>0.14299999999999999</v>
      </c>
      <c r="N23" s="4">
        <v>8</v>
      </c>
      <c r="O23" s="4">
        <f t="shared" si="0"/>
        <v>24160.543999999998</v>
      </c>
      <c r="P23">
        <f t="shared" si="1"/>
        <v>10649.52</v>
      </c>
      <c r="Q23" s="4">
        <f t="shared" si="3"/>
        <v>13511.023999999998</v>
      </c>
      <c r="R23" s="16">
        <f t="shared" si="4"/>
        <v>0.55921853415221112</v>
      </c>
    </row>
    <row r="24" spans="1:18" x14ac:dyDescent="0.3">
      <c r="A24" t="s">
        <v>119</v>
      </c>
      <c r="B24" s="6">
        <v>45822</v>
      </c>
      <c r="C24" s="2">
        <v>45837</v>
      </c>
      <c r="D24" s="4">
        <f t="shared" si="5"/>
        <v>15</v>
      </c>
      <c r="E24" s="4" t="str">
        <f>TEXT(Data!B24,"MMM-YYYY")</f>
        <v>May-2024</v>
      </c>
      <c r="F24" t="s">
        <v>48</v>
      </c>
      <c r="G24" t="s">
        <v>40</v>
      </c>
      <c r="H24" t="s">
        <v>110</v>
      </c>
      <c r="I24" t="s">
        <v>81</v>
      </c>
      <c r="J24" s="4">
        <v>730.99</v>
      </c>
      <c r="K24" s="7" t="str">
        <f t="shared" si="2"/>
        <v>High</v>
      </c>
      <c r="L24" s="4">
        <v>1242.8399999999999</v>
      </c>
      <c r="M24" s="4">
        <v>0.12</v>
      </c>
      <c r="N24" s="4">
        <v>10</v>
      </c>
      <c r="O24" s="4">
        <f t="shared" si="0"/>
        <v>16065.367999999999</v>
      </c>
      <c r="P24">
        <f t="shared" si="1"/>
        <v>7309.9</v>
      </c>
      <c r="Q24" s="4">
        <f t="shared" si="3"/>
        <v>8755.4679999999989</v>
      </c>
      <c r="R24" s="16">
        <f t="shared" si="4"/>
        <v>0.54499019256826231</v>
      </c>
    </row>
    <row r="25" spans="1:18" x14ac:dyDescent="0.3">
      <c r="A25" t="s">
        <v>121</v>
      </c>
      <c r="B25" s="6">
        <v>45430</v>
      </c>
      <c r="C25" s="2">
        <v>45435</v>
      </c>
      <c r="D25" s="4">
        <f t="shared" si="5"/>
        <v>5</v>
      </c>
      <c r="E25" s="4" t="str">
        <f>TEXT(Data!B25,"MMM-YYYY")</f>
        <v>Feb-2023</v>
      </c>
      <c r="F25" t="s">
        <v>105</v>
      </c>
      <c r="G25" t="s">
        <v>20</v>
      </c>
      <c r="H25" t="s">
        <v>92</v>
      </c>
      <c r="I25" t="s">
        <v>57</v>
      </c>
      <c r="J25" s="4">
        <v>1274.5899999999999</v>
      </c>
      <c r="K25" s="7" t="str">
        <f t="shared" si="2"/>
        <v>High</v>
      </c>
      <c r="L25" s="4">
        <v>2553.69</v>
      </c>
      <c r="M25" s="4">
        <v>0.01</v>
      </c>
      <c r="N25" s="4">
        <v>8</v>
      </c>
      <c r="O25" s="4">
        <f t="shared" si="0"/>
        <v>14187.650399999999</v>
      </c>
      <c r="P25">
        <f t="shared" si="1"/>
        <v>10196.719999999999</v>
      </c>
      <c r="Q25" s="4">
        <f t="shared" si="3"/>
        <v>3990.9303999999993</v>
      </c>
      <c r="R25" s="16">
        <f t="shared" si="4"/>
        <v>0.28129607704458237</v>
      </c>
    </row>
    <row r="26" spans="1:18" x14ac:dyDescent="0.3">
      <c r="A26" t="s">
        <v>125</v>
      </c>
      <c r="B26" s="6">
        <v>44964</v>
      </c>
      <c r="C26" s="2">
        <v>44969</v>
      </c>
      <c r="D26" s="4">
        <f t="shared" si="5"/>
        <v>5</v>
      </c>
      <c r="E26" s="4" t="str">
        <f>TEXT(Data!B26,"MMM-YYYY")</f>
        <v>Jun-2024</v>
      </c>
      <c r="F26" t="s">
        <v>27</v>
      </c>
      <c r="G26" t="s">
        <v>28</v>
      </c>
      <c r="H26" t="s">
        <v>126</v>
      </c>
      <c r="I26" t="s">
        <v>22</v>
      </c>
      <c r="J26" s="4">
        <v>948.55</v>
      </c>
      <c r="K26" s="7" t="str">
        <f t="shared" si="2"/>
        <v>High</v>
      </c>
      <c r="L26" s="4">
        <v>2089.16</v>
      </c>
      <c r="M26" s="4">
        <v>7.0000000000000001E-3</v>
      </c>
      <c r="N26" s="4">
        <v>12</v>
      </c>
      <c r="O26" s="4">
        <f t="shared" si="0"/>
        <v>31336.100999999999</v>
      </c>
      <c r="P26">
        <f t="shared" si="1"/>
        <v>11382.599999999999</v>
      </c>
      <c r="Q26" s="4">
        <f t="shared" si="3"/>
        <v>19953.501</v>
      </c>
      <c r="R26" s="16">
        <f t="shared" si="4"/>
        <v>0.63675761703729516</v>
      </c>
    </row>
    <row r="27" spans="1:18" x14ac:dyDescent="0.3">
      <c r="A27" t="s">
        <v>128</v>
      </c>
      <c r="B27" s="6">
        <v>45473</v>
      </c>
      <c r="C27" s="2">
        <v>45487</v>
      </c>
      <c r="D27" s="4">
        <f t="shared" si="5"/>
        <v>14</v>
      </c>
      <c r="E27" s="4" t="str">
        <f>TEXT(Data!B27,"MMM-YYYY")</f>
        <v>Nov-2024</v>
      </c>
      <c r="F27" t="s">
        <v>27</v>
      </c>
      <c r="G27" t="s">
        <v>20</v>
      </c>
      <c r="H27" t="s">
        <v>21</v>
      </c>
      <c r="I27" t="s">
        <v>81</v>
      </c>
      <c r="J27" s="4">
        <v>1491.85</v>
      </c>
      <c r="K27" s="7" t="str">
        <f t="shared" si="2"/>
        <v>High</v>
      </c>
      <c r="L27" s="4">
        <v>2583.02</v>
      </c>
      <c r="M27" s="4">
        <v>0.16800000000000001</v>
      </c>
      <c r="N27" s="4">
        <v>4</v>
      </c>
      <c r="O27" s="4">
        <f t="shared" si="0"/>
        <v>353.76639999999998</v>
      </c>
      <c r="P27">
        <f t="shared" si="1"/>
        <v>5967.4</v>
      </c>
      <c r="Q27" s="4">
        <f t="shared" si="3"/>
        <v>-5613.6335999999992</v>
      </c>
      <c r="R27" s="16">
        <f t="shared" si="4"/>
        <v>-15.868193248426079</v>
      </c>
    </row>
    <row r="28" spans="1:18" x14ac:dyDescent="0.3">
      <c r="A28" t="s">
        <v>130</v>
      </c>
      <c r="B28" s="6">
        <v>45626</v>
      </c>
      <c r="C28" s="2">
        <v>45656</v>
      </c>
      <c r="D28" s="4">
        <f t="shared" si="5"/>
        <v>0</v>
      </c>
      <c r="E28" s="4" t="str">
        <f>TEXT(Data!B28,"MMM-YYYY")</f>
        <v>Jul-2024</v>
      </c>
      <c r="F28" t="s">
        <v>48</v>
      </c>
      <c r="G28" t="s">
        <v>40</v>
      </c>
      <c r="H28" t="s">
        <v>84</v>
      </c>
      <c r="I28" t="s">
        <v>30</v>
      </c>
      <c r="J28" s="4">
        <v>117.64</v>
      </c>
      <c r="K28" s="7" t="str">
        <f t="shared" si="2"/>
        <v>Medium</v>
      </c>
      <c r="L28" s="4">
        <v>175.67</v>
      </c>
      <c r="M28" s="4">
        <v>0</v>
      </c>
      <c r="N28" s="4">
        <v>10</v>
      </c>
      <c r="O28" s="4">
        <f t="shared" si="0"/>
        <v>3857.2000000000003</v>
      </c>
      <c r="P28">
        <f t="shared" si="1"/>
        <v>1176.4000000000001</v>
      </c>
      <c r="Q28" s="4">
        <f t="shared" si="3"/>
        <v>2680.8</v>
      </c>
      <c r="R28" s="16">
        <f t="shared" si="4"/>
        <v>0.69501192574924819</v>
      </c>
    </row>
    <row r="29" spans="1:18" x14ac:dyDescent="0.3">
      <c r="A29" t="s">
        <v>132</v>
      </c>
      <c r="B29" s="6">
        <v>45492</v>
      </c>
      <c r="C29" s="2">
        <v>45492</v>
      </c>
      <c r="D29" s="4">
        <f t="shared" si="5"/>
        <v>0</v>
      </c>
      <c r="E29" s="4" t="str">
        <f>TEXT(Data!B29,"MMM-YYYY")</f>
        <v>Apr-2023</v>
      </c>
      <c r="F29" t="s">
        <v>62</v>
      </c>
      <c r="G29" t="s">
        <v>20</v>
      </c>
      <c r="H29" t="s">
        <v>75</v>
      </c>
      <c r="I29" t="s">
        <v>42</v>
      </c>
      <c r="J29" s="4">
        <v>857.24</v>
      </c>
      <c r="K29" s="7" t="str">
        <f t="shared" si="2"/>
        <v>High</v>
      </c>
      <c r="L29" s="4">
        <v>758.23</v>
      </c>
      <c r="M29" s="4">
        <v>0.125</v>
      </c>
      <c r="N29" s="4">
        <v>6</v>
      </c>
      <c r="O29" s="4">
        <f t="shared" si="0"/>
        <v>1243.5675000000001</v>
      </c>
      <c r="P29">
        <f t="shared" si="1"/>
        <v>5143.4400000000005</v>
      </c>
      <c r="Q29" s="4">
        <f t="shared" si="3"/>
        <v>-3899.8725000000004</v>
      </c>
      <c r="R29" s="16">
        <f t="shared" si="4"/>
        <v>-3.1360360414694015</v>
      </c>
    </row>
    <row r="30" spans="1:18" x14ac:dyDescent="0.3">
      <c r="A30" t="s">
        <v>134</v>
      </c>
      <c r="B30" s="6">
        <v>45030</v>
      </c>
      <c r="C30" s="2">
        <v>45060</v>
      </c>
      <c r="D30" s="4">
        <f t="shared" si="5"/>
        <v>0</v>
      </c>
      <c r="E30" s="4" t="str">
        <f>TEXT(Data!B30,"MMM-YYYY")</f>
        <v>Apr-2025</v>
      </c>
      <c r="F30" t="s">
        <v>48</v>
      </c>
      <c r="G30" t="s">
        <v>40</v>
      </c>
      <c r="H30" t="s">
        <v>110</v>
      </c>
      <c r="I30" t="s">
        <v>42</v>
      </c>
      <c r="J30" s="4">
        <v>209.25</v>
      </c>
      <c r="K30" s="7" t="str">
        <f t="shared" si="2"/>
        <v>High</v>
      </c>
      <c r="L30" s="4">
        <v>434.8</v>
      </c>
      <c r="M30" s="4">
        <v>0</v>
      </c>
      <c r="N30" s="4">
        <v>9</v>
      </c>
      <c r="O30" s="4">
        <f t="shared" si="0"/>
        <v>377.09999999999997</v>
      </c>
      <c r="P30">
        <f t="shared" si="1"/>
        <v>1883.25</v>
      </c>
      <c r="Q30" s="4">
        <f t="shared" si="3"/>
        <v>-1506.15</v>
      </c>
      <c r="R30" s="16">
        <f t="shared" si="4"/>
        <v>-3.9940334128878288</v>
      </c>
    </row>
    <row r="31" spans="1:18" x14ac:dyDescent="0.3">
      <c r="A31" t="s">
        <v>137</v>
      </c>
      <c r="B31" s="6">
        <v>45754</v>
      </c>
      <c r="C31" s="2">
        <v>45758</v>
      </c>
      <c r="D31" s="4">
        <f t="shared" si="5"/>
        <v>4</v>
      </c>
      <c r="E31" s="4" t="str">
        <f>TEXT(Data!B31,"MMM-YYYY")</f>
        <v>Dec-2024</v>
      </c>
      <c r="F31" t="s">
        <v>27</v>
      </c>
      <c r="G31" t="s">
        <v>20</v>
      </c>
      <c r="H31" t="s">
        <v>63</v>
      </c>
      <c r="I31" t="s">
        <v>35</v>
      </c>
      <c r="J31" s="4">
        <v>754.77</v>
      </c>
      <c r="K31" s="7" t="str">
        <f t="shared" si="2"/>
        <v>High</v>
      </c>
      <c r="L31" s="4">
        <v>1666.18</v>
      </c>
      <c r="M31" s="4">
        <v>0.13900000000000001</v>
      </c>
      <c r="N31" s="4">
        <v>14</v>
      </c>
      <c r="O31" s="4">
        <f t="shared" si="0"/>
        <v>11781.338519999999</v>
      </c>
      <c r="P31">
        <f t="shared" si="1"/>
        <v>10566.779999999999</v>
      </c>
      <c r="Q31" s="4">
        <f t="shared" si="3"/>
        <v>1214.5585200000005</v>
      </c>
      <c r="R31" s="16">
        <f t="shared" si="4"/>
        <v>0.10309172577786183</v>
      </c>
    </row>
    <row r="32" spans="1:18" x14ac:dyDescent="0.3">
      <c r="A32" t="s">
        <v>140</v>
      </c>
      <c r="B32" s="6">
        <v>45653</v>
      </c>
      <c r="C32" s="2">
        <v>45672</v>
      </c>
      <c r="D32" s="4">
        <f t="shared" si="5"/>
        <v>19</v>
      </c>
      <c r="E32" s="4" t="str">
        <f>TEXT(Data!B32,"MMM-YYYY")</f>
        <v>Feb-2023</v>
      </c>
      <c r="F32" t="s">
        <v>39</v>
      </c>
      <c r="G32" t="s">
        <v>55</v>
      </c>
      <c r="H32" t="s">
        <v>41</v>
      </c>
      <c r="I32" t="s">
        <v>22</v>
      </c>
      <c r="J32" s="4">
        <v>495.59</v>
      </c>
      <c r="K32" s="7" t="str">
        <f t="shared" si="2"/>
        <v>High</v>
      </c>
      <c r="L32" s="4">
        <v>631.78</v>
      </c>
      <c r="M32" s="4">
        <v>8.6999999999999994E-2</v>
      </c>
      <c r="N32" s="4">
        <v>17</v>
      </c>
      <c r="O32" s="4">
        <f t="shared" si="0"/>
        <v>43367.691729999999</v>
      </c>
      <c r="P32">
        <f t="shared" si="1"/>
        <v>8425.0299999999988</v>
      </c>
      <c r="Q32" s="4">
        <f t="shared" si="3"/>
        <v>34942.66173</v>
      </c>
      <c r="R32" s="16">
        <f t="shared" si="4"/>
        <v>0.8057302645376464</v>
      </c>
    </row>
    <row r="33" spans="1:18" x14ac:dyDescent="0.3">
      <c r="A33" t="s">
        <v>143</v>
      </c>
      <c r="B33" s="6">
        <v>44980</v>
      </c>
      <c r="C33" s="2">
        <v>45010</v>
      </c>
      <c r="D33" s="4">
        <f t="shared" si="5"/>
        <v>2</v>
      </c>
      <c r="E33" s="4" t="str">
        <f>TEXT(Data!B33,"MMM-YYYY")</f>
        <v>Jul-2025</v>
      </c>
      <c r="F33" t="s">
        <v>105</v>
      </c>
      <c r="G33" t="s">
        <v>28</v>
      </c>
      <c r="H33" t="s">
        <v>145</v>
      </c>
      <c r="I33" t="s">
        <v>42</v>
      </c>
      <c r="J33" s="4">
        <v>1242.6600000000001</v>
      </c>
      <c r="K33" s="7" t="str">
        <f t="shared" si="2"/>
        <v>High</v>
      </c>
      <c r="L33" s="4">
        <v>1794.07</v>
      </c>
      <c r="M33" s="4">
        <v>8.8999999999999996E-2</v>
      </c>
      <c r="N33" s="4">
        <v>16</v>
      </c>
      <c r="O33" s="4">
        <f t="shared" si="0"/>
        <v>10231.623200000002</v>
      </c>
      <c r="P33">
        <f t="shared" si="1"/>
        <v>19882.560000000001</v>
      </c>
      <c r="Q33" s="4">
        <f t="shared" si="3"/>
        <v>-9650.9367999999995</v>
      </c>
      <c r="R33" s="16">
        <f t="shared" si="4"/>
        <v>-0.94324591624914389</v>
      </c>
    </row>
    <row r="34" spans="1:18" x14ac:dyDescent="0.3">
      <c r="A34" t="s">
        <v>147</v>
      </c>
      <c r="B34" s="6">
        <v>45862</v>
      </c>
      <c r="C34" s="2">
        <v>45875</v>
      </c>
      <c r="D34" s="4">
        <f t="shared" si="5"/>
        <v>13</v>
      </c>
      <c r="E34" s="4" t="str">
        <f>TEXT(Data!B34,"MMM-YYYY")</f>
        <v>Apr-2024</v>
      </c>
      <c r="F34" t="s">
        <v>27</v>
      </c>
      <c r="G34" t="s">
        <v>40</v>
      </c>
      <c r="H34" t="s">
        <v>145</v>
      </c>
      <c r="I34" t="s">
        <v>35</v>
      </c>
      <c r="J34" s="4">
        <v>1463.9</v>
      </c>
      <c r="K34" s="7" t="str">
        <f t="shared" si="2"/>
        <v>High</v>
      </c>
      <c r="L34" s="4">
        <v>2633.02</v>
      </c>
      <c r="M34" s="4">
        <v>8.4000000000000005E-2</v>
      </c>
      <c r="N34" s="4">
        <v>4</v>
      </c>
      <c r="O34" s="4">
        <f t="shared" si="0"/>
        <v>-19.309279999999998</v>
      </c>
      <c r="P34">
        <f t="shared" si="1"/>
        <v>5855.6</v>
      </c>
      <c r="Q34" s="4">
        <f t="shared" si="3"/>
        <v>-5874.9092800000008</v>
      </c>
      <c r="R34" s="16">
        <f t="shared" si="4"/>
        <v>304.25315081660227</v>
      </c>
    </row>
    <row r="35" spans="1:18" x14ac:dyDescent="0.3">
      <c r="A35" t="s">
        <v>151</v>
      </c>
      <c r="B35" s="6">
        <v>45400</v>
      </c>
      <c r="C35" s="2">
        <v>45420</v>
      </c>
      <c r="D35" s="4">
        <f t="shared" si="5"/>
        <v>20</v>
      </c>
      <c r="E35" s="4" t="str">
        <f>TEXT(Data!B35,"MMM-YYYY")</f>
        <v>Aug-2024</v>
      </c>
      <c r="F35" t="s">
        <v>39</v>
      </c>
      <c r="G35" t="s">
        <v>1364</v>
      </c>
      <c r="H35" t="s">
        <v>145</v>
      </c>
      <c r="I35" t="s">
        <v>57</v>
      </c>
      <c r="J35" s="4">
        <v>645.33000000000004</v>
      </c>
      <c r="K35" s="7" t="str">
        <f t="shared" si="2"/>
        <v>High</v>
      </c>
      <c r="L35" s="4">
        <v>1321.85</v>
      </c>
      <c r="M35" s="4">
        <v>0</v>
      </c>
      <c r="N35" s="4">
        <v>10</v>
      </c>
      <c r="O35" s="4">
        <f t="shared" si="0"/>
        <v>14370.599999999999</v>
      </c>
      <c r="P35">
        <f t="shared" si="1"/>
        <v>6453.3</v>
      </c>
      <c r="Q35" s="4">
        <f t="shared" si="3"/>
        <v>7917.2999999999984</v>
      </c>
      <c r="R35" s="16">
        <f t="shared" si="4"/>
        <v>0.55093733038286496</v>
      </c>
    </row>
    <row r="36" spans="1:18" x14ac:dyDescent="0.3">
      <c r="A36" t="s">
        <v>154</v>
      </c>
      <c r="B36" s="6">
        <v>45527</v>
      </c>
      <c r="C36" s="2">
        <v>45525</v>
      </c>
      <c r="D36" s="4">
        <f>DATEDIF(C36,B36, "MD")</f>
        <v>2</v>
      </c>
      <c r="E36" s="4" t="str">
        <f>TEXT(Data!B36,"MMM-YYYY")</f>
        <v>Mar-2023</v>
      </c>
      <c r="F36" t="s">
        <v>27</v>
      </c>
      <c r="G36" t="s">
        <v>20</v>
      </c>
      <c r="H36" t="s">
        <v>63</v>
      </c>
      <c r="I36" t="s">
        <v>22</v>
      </c>
      <c r="J36" s="4">
        <v>1432.52</v>
      </c>
      <c r="K36" s="7" t="str">
        <f t="shared" si="2"/>
        <v>High</v>
      </c>
      <c r="L36" s="4">
        <v>3036.87</v>
      </c>
      <c r="M36" s="4">
        <v>0</v>
      </c>
      <c r="N36" s="4">
        <v>9</v>
      </c>
      <c r="O36" s="4">
        <f t="shared" si="0"/>
        <v>17207.010000000002</v>
      </c>
      <c r="P36">
        <f t="shared" si="1"/>
        <v>12892.68</v>
      </c>
      <c r="Q36" s="4">
        <f t="shared" si="3"/>
        <v>4314.3300000000017</v>
      </c>
      <c r="R36" s="16">
        <f t="shared" si="4"/>
        <v>0.25073095209452434</v>
      </c>
    </row>
    <row r="37" spans="1:18" x14ac:dyDescent="0.3">
      <c r="A37" t="s">
        <v>156</v>
      </c>
      <c r="B37" s="6">
        <v>45012</v>
      </c>
      <c r="C37" s="2">
        <v>45038</v>
      </c>
      <c r="D37" s="4">
        <f t="shared" si="5"/>
        <v>26</v>
      </c>
      <c r="E37" s="4" t="str">
        <f>TEXT(Data!B37,"MMM-YYYY")</f>
        <v>Mar-2024</v>
      </c>
      <c r="F37" t="s">
        <v>39</v>
      </c>
      <c r="G37" t="s">
        <v>40</v>
      </c>
      <c r="H37" t="s">
        <v>29</v>
      </c>
      <c r="I37" t="s">
        <v>30</v>
      </c>
      <c r="J37" s="4">
        <v>178.53</v>
      </c>
      <c r="K37" s="7" t="str">
        <f t="shared" si="2"/>
        <v>Medium</v>
      </c>
      <c r="L37" s="4">
        <v>199.37</v>
      </c>
      <c r="M37" s="4">
        <v>0.10100000000000001</v>
      </c>
      <c r="N37" s="4">
        <v>37</v>
      </c>
      <c r="O37" s="4">
        <f t="shared" si="0"/>
        <v>86276.904139999999</v>
      </c>
      <c r="P37">
        <f t="shared" si="1"/>
        <v>6605.61</v>
      </c>
      <c r="Q37" s="4">
        <f t="shared" si="3"/>
        <v>79671.294139999998</v>
      </c>
      <c r="R37" s="16">
        <f t="shared" si="4"/>
        <v>0.92343709981432354</v>
      </c>
    </row>
    <row r="38" spans="1:18" x14ac:dyDescent="0.3">
      <c r="A38" t="s">
        <v>158</v>
      </c>
      <c r="B38" s="6">
        <v>45358</v>
      </c>
      <c r="C38" s="2">
        <v>45376</v>
      </c>
      <c r="D38" s="4">
        <f t="shared" si="5"/>
        <v>18</v>
      </c>
      <c r="E38" s="4" t="str">
        <f>TEXT(Data!B38,"MMM-YYYY")</f>
        <v>Jun-2025</v>
      </c>
      <c r="F38" t="s">
        <v>19</v>
      </c>
      <c r="G38" t="s">
        <v>28</v>
      </c>
      <c r="H38" t="s">
        <v>56</v>
      </c>
      <c r="I38" t="s">
        <v>22</v>
      </c>
      <c r="J38" s="4">
        <v>712.84</v>
      </c>
      <c r="K38" s="7" t="str">
        <f t="shared" si="2"/>
        <v>High</v>
      </c>
      <c r="L38" s="4">
        <v>927.51</v>
      </c>
      <c r="M38" s="4">
        <v>0.24299999999999999</v>
      </c>
      <c r="N38" s="4">
        <v>27</v>
      </c>
      <c r="O38" s="4">
        <f t="shared" si="0"/>
        <v>25427.751119999997</v>
      </c>
      <c r="P38">
        <f t="shared" si="1"/>
        <v>19246.68</v>
      </c>
      <c r="Q38" s="4">
        <f t="shared" si="3"/>
        <v>6181.0711199999969</v>
      </c>
      <c r="R38" s="16">
        <f t="shared" si="4"/>
        <v>0.24308367227718869</v>
      </c>
    </row>
    <row r="39" spans="1:18" x14ac:dyDescent="0.3">
      <c r="A39" t="s">
        <v>161</v>
      </c>
      <c r="B39" s="6">
        <v>45832</v>
      </c>
      <c r="C39" s="2">
        <v>45848</v>
      </c>
      <c r="D39" s="4">
        <f t="shared" si="5"/>
        <v>16</v>
      </c>
      <c r="E39" s="4" t="str">
        <f>TEXT(Data!B39,"MMM-YYYY")</f>
        <v>Apr-2024</v>
      </c>
      <c r="F39" t="s">
        <v>105</v>
      </c>
      <c r="G39" t="s">
        <v>98</v>
      </c>
      <c r="H39" t="s">
        <v>126</v>
      </c>
      <c r="I39" t="s">
        <v>22</v>
      </c>
      <c r="J39" s="4">
        <v>757.19</v>
      </c>
      <c r="K39" s="7" t="str">
        <f t="shared" si="2"/>
        <v>High</v>
      </c>
      <c r="L39" s="4">
        <v>1735.41</v>
      </c>
      <c r="M39" s="4">
        <v>0.13600000000000001</v>
      </c>
      <c r="N39" s="4">
        <v>8</v>
      </c>
      <c r="O39" s="4">
        <f t="shared" si="0"/>
        <v>13219.269119999999</v>
      </c>
      <c r="P39">
        <f t="shared" si="1"/>
        <v>6057.52</v>
      </c>
      <c r="Q39" s="4">
        <f t="shared" si="3"/>
        <v>7161.7491199999986</v>
      </c>
      <c r="R39" s="16">
        <f t="shared" si="4"/>
        <v>0.54176589151700383</v>
      </c>
    </row>
    <row r="40" spans="1:18" x14ac:dyDescent="0.3">
      <c r="A40" t="s">
        <v>164</v>
      </c>
      <c r="B40" s="6">
        <v>45401</v>
      </c>
      <c r="C40" s="2">
        <v>45418</v>
      </c>
      <c r="D40" s="4">
        <f t="shared" si="5"/>
        <v>17</v>
      </c>
      <c r="E40" s="4" t="str">
        <f>TEXT(Data!B40,"MMM-YYYY")</f>
        <v>Jun-2023</v>
      </c>
      <c r="F40" t="s">
        <v>39</v>
      </c>
      <c r="G40" t="s">
        <v>28</v>
      </c>
      <c r="H40" t="s">
        <v>75</v>
      </c>
      <c r="I40" t="s">
        <v>30</v>
      </c>
      <c r="J40" s="4">
        <v>865.33</v>
      </c>
      <c r="K40" s="7" t="str">
        <f t="shared" si="2"/>
        <v>High</v>
      </c>
      <c r="L40" s="4">
        <v>1395.64</v>
      </c>
      <c r="M40" s="4">
        <v>0.17499999999999999</v>
      </c>
      <c r="N40" s="4">
        <v>13</v>
      </c>
      <c r="O40" s="4">
        <f t="shared" si="0"/>
        <v>8106.7057499999992</v>
      </c>
      <c r="P40">
        <f t="shared" si="1"/>
        <v>11249.29</v>
      </c>
      <c r="Q40" s="4">
        <f t="shared" si="3"/>
        <v>-3142.5842500000017</v>
      </c>
      <c r="R40" s="16">
        <f t="shared" si="4"/>
        <v>-0.38765243822991874</v>
      </c>
    </row>
    <row r="41" spans="1:18" x14ac:dyDescent="0.3">
      <c r="A41" t="s">
        <v>166</v>
      </c>
      <c r="B41" s="6">
        <v>45094</v>
      </c>
      <c r="C41" s="2">
        <v>45101</v>
      </c>
      <c r="D41" s="4">
        <f t="shared" si="5"/>
        <v>7</v>
      </c>
      <c r="E41" s="4" t="str">
        <f>TEXT(Data!B41,"MMM-YYYY")</f>
        <v>Aug-2024</v>
      </c>
      <c r="F41" t="s">
        <v>19</v>
      </c>
      <c r="G41" t="s">
        <v>20</v>
      </c>
      <c r="H41" t="s">
        <v>34</v>
      </c>
      <c r="I41" t="s">
        <v>30</v>
      </c>
      <c r="J41" s="4">
        <v>313.99</v>
      </c>
      <c r="K41" s="7" t="str">
        <f t="shared" si="2"/>
        <v>High</v>
      </c>
      <c r="L41" s="4">
        <v>454.42</v>
      </c>
      <c r="M41" s="4">
        <v>0.129</v>
      </c>
      <c r="N41" s="4">
        <v>9</v>
      </c>
      <c r="O41" s="4">
        <f t="shared" si="0"/>
        <v>8980.9071300000014</v>
      </c>
      <c r="P41">
        <f t="shared" si="1"/>
        <v>2825.91</v>
      </c>
      <c r="Q41" s="4">
        <f t="shared" si="3"/>
        <v>6154.9971300000016</v>
      </c>
      <c r="R41" s="16">
        <f t="shared" si="4"/>
        <v>0.68534247608904963</v>
      </c>
    </row>
    <row r="42" spans="1:18" x14ac:dyDescent="0.3">
      <c r="A42" t="s">
        <v>169</v>
      </c>
      <c r="B42" s="6">
        <v>45531</v>
      </c>
      <c r="C42" s="2">
        <v>45554</v>
      </c>
      <c r="D42" s="4">
        <f t="shared" si="5"/>
        <v>23</v>
      </c>
      <c r="E42" s="4" t="str">
        <f>TEXT(Data!B42,"MMM-YYYY")</f>
        <v>Jan-2024</v>
      </c>
      <c r="F42" t="s">
        <v>62</v>
      </c>
      <c r="G42" t="s">
        <v>98</v>
      </c>
      <c r="H42" t="s">
        <v>145</v>
      </c>
      <c r="I42" t="s">
        <v>64</v>
      </c>
      <c r="J42" s="4">
        <v>1024.01</v>
      </c>
      <c r="K42" s="7" t="str">
        <f t="shared" si="2"/>
        <v>High</v>
      </c>
      <c r="L42" s="4">
        <v>1580.97</v>
      </c>
      <c r="M42" s="4">
        <v>3.6999999999999998E-2</v>
      </c>
      <c r="N42" s="4">
        <v>27</v>
      </c>
      <c r="O42" s="4">
        <f t="shared" si="0"/>
        <v>32087.834099999996</v>
      </c>
      <c r="P42">
        <f t="shared" si="1"/>
        <v>27648.27</v>
      </c>
      <c r="Q42" s="4">
        <f t="shared" si="3"/>
        <v>4439.564099999996</v>
      </c>
      <c r="R42" s="16">
        <f t="shared" si="4"/>
        <v>0.13835661472707492</v>
      </c>
    </row>
    <row r="43" spans="1:18" x14ac:dyDescent="0.3">
      <c r="A43" t="s">
        <v>171</v>
      </c>
      <c r="B43" s="6">
        <v>45302</v>
      </c>
      <c r="C43" s="2">
        <v>45324</v>
      </c>
      <c r="D43" s="4">
        <f t="shared" si="5"/>
        <v>22</v>
      </c>
      <c r="E43" s="4" t="str">
        <f>TEXT(Data!B43,"MMM-YYYY")</f>
        <v>Oct-2024</v>
      </c>
      <c r="F43" t="s">
        <v>48</v>
      </c>
      <c r="G43" t="s">
        <v>28</v>
      </c>
      <c r="H43" t="s">
        <v>95</v>
      </c>
      <c r="I43" t="s">
        <v>35</v>
      </c>
      <c r="J43" s="4">
        <v>1206.2</v>
      </c>
      <c r="K43" s="7" t="str">
        <f t="shared" si="2"/>
        <v>High</v>
      </c>
      <c r="L43" s="4">
        <v>1759.79</v>
      </c>
      <c r="M43" s="4">
        <v>0</v>
      </c>
      <c r="N43" s="4">
        <v>6</v>
      </c>
      <c r="O43" s="4">
        <f t="shared" si="0"/>
        <v>7368.0599999999995</v>
      </c>
      <c r="P43">
        <f t="shared" si="1"/>
        <v>7237.2000000000007</v>
      </c>
      <c r="Q43" s="4">
        <f t="shared" si="3"/>
        <v>130.85999999999876</v>
      </c>
      <c r="R43" s="16">
        <f t="shared" si="4"/>
        <v>1.7760441690214082E-2</v>
      </c>
    </row>
    <row r="44" spans="1:18" x14ac:dyDescent="0.3">
      <c r="A44" t="s">
        <v>174</v>
      </c>
      <c r="B44" s="6">
        <v>45590</v>
      </c>
      <c r="C44" s="2">
        <v>45610</v>
      </c>
      <c r="D44" s="4">
        <f t="shared" si="5"/>
        <v>20</v>
      </c>
      <c r="E44" s="4" t="str">
        <f>TEXT(Data!B44,"MMM-YYYY")</f>
        <v>May-2025</v>
      </c>
      <c r="F44" t="s">
        <v>19</v>
      </c>
      <c r="G44" t="s">
        <v>98</v>
      </c>
      <c r="H44" t="s">
        <v>92</v>
      </c>
      <c r="I44" t="s">
        <v>30</v>
      </c>
      <c r="J44" s="4">
        <v>1396.48</v>
      </c>
      <c r="K44" s="7" t="str">
        <f t="shared" si="2"/>
        <v>High</v>
      </c>
      <c r="L44" s="4">
        <v>3204.5</v>
      </c>
      <c r="M44" s="4">
        <v>0.318</v>
      </c>
      <c r="N44" s="4">
        <v>14</v>
      </c>
      <c r="O44" s="4">
        <f t="shared" si="0"/>
        <v>5778.7360400000007</v>
      </c>
      <c r="P44">
        <f t="shared" si="1"/>
        <v>19550.72</v>
      </c>
      <c r="Q44" s="4">
        <f t="shared" si="3"/>
        <v>-13771.983960000001</v>
      </c>
      <c r="R44" s="16">
        <f t="shared" si="4"/>
        <v>-2.3832173445319715</v>
      </c>
    </row>
    <row r="45" spans="1:18" x14ac:dyDescent="0.3">
      <c r="A45" t="s">
        <v>176</v>
      </c>
      <c r="B45" s="6">
        <v>45806</v>
      </c>
      <c r="C45" s="2">
        <v>45828</v>
      </c>
      <c r="D45" s="4">
        <f t="shared" si="5"/>
        <v>22</v>
      </c>
      <c r="E45" s="4" t="str">
        <f>TEXT(Data!B45,"MMM-YYYY")</f>
        <v>May-2024</v>
      </c>
      <c r="F45" t="s">
        <v>19</v>
      </c>
      <c r="G45" t="s">
        <v>98</v>
      </c>
      <c r="H45" t="s">
        <v>75</v>
      </c>
      <c r="I45" t="s">
        <v>30</v>
      </c>
      <c r="J45" s="4">
        <v>483.47</v>
      </c>
      <c r="K45" s="7" t="str">
        <f t="shared" si="2"/>
        <v>High</v>
      </c>
      <c r="L45" s="4">
        <v>1135.43</v>
      </c>
      <c r="M45" s="4">
        <v>0.14599999999999999</v>
      </c>
      <c r="N45" s="4">
        <v>11</v>
      </c>
      <c r="O45" s="4">
        <f t="shared" si="0"/>
        <v>17662.129100000002</v>
      </c>
      <c r="P45">
        <f t="shared" si="1"/>
        <v>5318.17</v>
      </c>
      <c r="Q45" s="4">
        <f t="shared" si="3"/>
        <v>12343.959100000002</v>
      </c>
      <c r="R45" s="16">
        <f t="shared" si="4"/>
        <v>0.6988941723905755</v>
      </c>
    </row>
    <row r="46" spans="1:18" x14ac:dyDescent="0.3">
      <c r="A46" t="s">
        <v>178</v>
      </c>
      <c r="B46" s="6">
        <v>45432</v>
      </c>
      <c r="C46" s="2">
        <v>45445</v>
      </c>
      <c r="D46" s="4">
        <f t="shared" si="5"/>
        <v>13</v>
      </c>
      <c r="E46" s="4" t="str">
        <f>TEXT(Data!B46,"MMM-YYYY")</f>
        <v>Apr-2023</v>
      </c>
      <c r="F46" t="s">
        <v>105</v>
      </c>
      <c r="G46" t="s">
        <v>40</v>
      </c>
      <c r="H46" t="s">
        <v>95</v>
      </c>
      <c r="I46" t="s">
        <v>22</v>
      </c>
      <c r="J46" s="4">
        <v>675.43</v>
      </c>
      <c r="K46" s="7" t="str">
        <f t="shared" si="2"/>
        <v>High</v>
      </c>
      <c r="L46" s="4">
        <v>996.36</v>
      </c>
      <c r="M46" s="4">
        <v>0.182</v>
      </c>
      <c r="N46" s="4">
        <v>22</v>
      </c>
      <c r="O46" s="4">
        <f t="shared" si="0"/>
        <v>22844.122400000004</v>
      </c>
      <c r="P46">
        <f t="shared" si="1"/>
        <v>14859.46</v>
      </c>
      <c r="Q46" s="4">
        <f t="shared" si="3"/>
        <v>7984.6624000000047</v>
      </c>
      <c r="R46" s="16">
        <f t="shared" si="4"/>
        <v>0.34952808692707771</v>
      </c>
    </row>
    <row r="47" spans="1:18" x14ac:dyDescent="0.3">
      <c r="A47" t="s">
        <v>181</v>
      </c>
      <c r="B47" s="6">
        <v>45035</v>
      </c>
      <c r="C47" s="2">
        <v>45046</v>
      </c>
      <c r="D47" s="4">
        <f t="shared" si="5"/>
        <v>11</v>
      </c>
      <c r="E47" s="4" t="str">
        <f>TEXT(Data!B47,"MMM-YYYY")</f>
        <v>Jun-2023</v>
      </c>
      <c r="F47" t="s">
        <v>62</v>
      </c>
      <c r="G47" t="s">
        <v>20</v>
      </c>
      <c r="H47" t="s">
        <v>75</v>
      </c>
      <c r="I47" t="s">
        <v>35</v>
      </c>
      <c r="J47" s="4">
        <v>826.55</v>
      </c>
      <c r="K47" s="7" t="str">
        <f t="shared" si="2"/>
        <v>High</v>
      </c>
      <c r="L47" s="4">
        <v>1397.05</v>
      </c>
      <c r="M47" s="4">
        <v>0.16900000000000001</v>
      </c>
      <c r="N47" s="4">
        <v>28</v>
      </c>
      <c r="O47" s="4">
        <f t="shared" si="0"/>
        <v>14447.799239999997</v>
      </c>
      <c r="P47">
        <f t="shared" si="1"/>
        <v>23143.399999999998</v>
      </c>
      <c r="Q47" s="4">
        <f t="shared" si="3"/>
        <v>-8695.6007600000012</v>
      </c>
      <c r="R47" s="16">
        <f t="shared" si="4"/>
        <v>-0.6018633437212686</v>
      </c>
    </row>
    <row r="48" spans="1:18" x14ac:dyDescent="0.3">
      <c r="A48" t="s">
        <v>183</v>
      </c>
      <c r="B48" s="6">
        <v>45100</v>
      </c>
      <c r="C48" s="2">
        <v>45110</v>
      </c>
      <c r="D48" s="4">
        <f t="shared" si="5"/>
        <v>10</v>
      </c>
      <c r="E48" s="4" t="str">
        <f>TEXT(Data!B48,"MMM-YYYY")</f>
        <v>May-2024</v>
      </c>
      <c r="F48" t="s">
        <v>48</v>
      </c>
      <c r="G48" t="s">
        <v>28</v>
      </c>
      <c r="H48" t="s">
        <v>29</v>
      </c>
      <c r="I48" t="s">
        <v>30</v>
      </c>
      <c r="J48" s="4">
        <v>337.75</v>
      </c>
      <c r="K48" s="7" t="str">
        <f t="shared" si="2"/>
        <v>High</v>
      </c>
      <c r="L48" s="4">
        <v>548.89</v>
      </c>
      <c r="M48" s="4">
        <v>0</v>
      </c>
      <c r="N48" s="4">
        <v>13</v>
      </c>
      <c r="O48" s="4">
        <f t="shared" si="0"/>
        <v>18926.830000000002</v>
      </c>
      <c r="P48">
        <f t="shared" si="1"/>
        <v>4390.75</v>
      </c>
      <c r="Q48" s="4">
        <f t="shared" si="3"/>
        <v>14536.080000000002</v>
      </c>
      <c r="R48" s="16">
        <f t="shared" si="4"/>
        <v>0.76801450639119173</v>
      </c>
    </row>
    <row r="49" spans="1:18" x14ac:dyDescent="0.3">
      <c r="A49" t="s">
        <v>185</v>
      </c>
      <c r="B49" s="6">
        <v>45426</v>
      </c>
      <c r="C49" s="2">
        <v>45440</v>
      </c>
      <c r="D49" s="4">
        <f t="shared" si="5"/>
        <v>14</v>
      </c>
      <c r="E49" s="4" t="str">
        <f>TEXT(Data!B49,"MMM-YYYY")</f>
        <v>Oct-2024</v>
      </c>
      <c r="F49" t="s">
        <v>48</v>
      </c>
      <c r="G49" t="s">
        <v>20</v>
      </c>
      <c r="H49" t="s">
        <v>56</v>
      </c>
      <c r="I49" t="s">
        <v>35</v>
      </c>
      <c r="J49" s="4">
        <v>1421.14</v>
      </c>
      <c r="K49" s="7" t="str">
        <f t="shared" si="2"/>
        <v>High</v>
      </c>
      <c r="L49" s="4">
        <v>3524</v>
      </c>
      <c r="M49" s="4">
        <v>0</v>
      </c>
      <c r="N49" s="4">
        <v>31</v>
      </c>
      <c r="O49" s="4">
        <f t="shared" si="0"/>
        <v>16939.329999999998</v>
      </c>
      <c r="P49">
        <f t="shared" si="1"/>
        <v>44055.340000000004</v>
      </c>
      <c r="Q49" s="4">
        <f t="shared" si="3"/>
        <v>-27116.010000000006</v>
      </c>
      <c r="R49" s="16">
        <f t="shared" si="4"/>
        <v>-1.6007722855626527</v>
      </c>
    </row>
    <row r="50" spans="1:18" x14ac:dyDescent="0.3">
      <c r="A50" t="s">
        <v>187</v>
      </c>
      <c r="B50" s="6">
        <v>45579</v>
      </c>
      <c r="C50" s="2">
        <v>45604</v>
      </c>
      <c r="D50" s="4">
        <f t="shared" si="5"/>
        <v>25</v>
      </c>
      <c r="E50" s="4" t="str">
        <f>TEXT(Data!B50,"MMM-YYYY")</f>
        <v>Jul-2023</v>
      </c>
      <c r="F50" t="s">
        <v>105</v>
      </c>
      <c r="G50" t="s">
        <v>28</v>
      </c>
      <c r="H50" t="s">
        <v>68</v>
      </c>
      <c r="I50" t="s">
        <v>35</v>
      </c>
      <c r="J50" s="4">
        <v>859.35</v>
      </c>
      <c r="K50" s="7" t="str">
        <f t="shared" si="2"/>
        <v>High</v>
      </c>
      <c r="L50" s="4">
        <v>1825.61</v>
      </c>
      <c r="M50" s="4">
        <v>0.187</v>
      </c>
      <c r="N50" s="4">
        <v>24</v>
      </c>
      <c r="O50" s="4">
        <f t="shared" si="0"/>
        <v>26300.615040000001</v>
      </c>
      <c r="P50">
        <f t="shared" si="1"/>
        <v>20624.400000000001</v>
      </c>
      <c r="Q50" s="4">
        <f t="shared" si="3"/>
        <v>5676.2150399999991</v>
      </c>
      <c r="R50" s="16">
        <f t="shared" si="4"/>
        <v>0.21582061983596865</v>
      </c>
    </row>
    <row r="51" spans="1:18" x14ac:dyDescent="0.3">
      <c r="A51" t="s">
        <v>189</v>
      </c>
      <c r="B51" s="6">
        <v>45117</v>
      </c>
      <c r="C51" s="2">
        <v>45139</v>
      </c>
      <c r="D51" s="4">
        <f t="shared" si="5"/>
        <v>22</v>
      </c>
      <c r="E51" s="4" t="str">
        <f>TEXT(Data!B51,"MMM-YYYY")</f>
        <v>Nov-2024</v>
      </c>
      <c r="F51" t="s">
        <v>48</v>
      </c>
      <c r="G51" t="s">
        <v>40</v>
      </c>
      <c r="H51" t="s">
        <v>56</v>
      </c>
      <c r="I51" t="s">
        <v>30</v>
      </c>
      <c r="J51" s="4">
        <v>1303.56</v>
      </c>
      <c r="K51" s="7" t="str">
        <f t="shared" si="2"/>
        <v>High</v>
      </c>
      <c r="L51" s="4">
        <v>1791.37</v>
      </c>
      <c r="M51" s="4">
        <v>0.126</v>
      </c>
      <c r="N51" s="4">
        <v>22</v>
      </c>
      <c r="O51" s="4">
        <f t="shared" si="0"/>
        <v>21312.892040000002</v>
      </c>
      <c r="P51">
        <f t="shared" si="1"/>
        <v>28678.32</v>
      </c>
      <c r="Q51" s="4">
        <f t="shared" si="3"/>
        <v>-7365.4279599999973</v>
      </c>
      <c r="R51" s="16">
        <f t="shared" si="4"/>
        <v>-0.34558557075110097</v>
      </c>
    </row>
    <row r="52" spans="1:18" x14ac:dyDescent="0.3">
      <c r="A52" t="s">
        <v>191</v>
      </c>
      <c r="B52" s="6">
        <v>45602</v>
      </c>
      <c r="C52" s="2">
        <v>45618</v>
      </c>
      <c r="D52" s="4">
        <f t="shared" si="5"/>
        <v>16</v>
      </c>
      <c r="E52" s="4" t="str">
        <f>TEXT(Data!B52,"MMM-YYYY")</f>
        <v>Oct-2024</v>
      </c>
      <c r="F52" t="s">
        <v>39</v>
      </c>
      <c r="G52" t="s">
        <v>55</v>
      </c>
      <c r="H52" t="s">
        <v>145</v>
      </c>
      <c r="I52" t="s">
        <v>81</v>
      </c>
      <c r="J52" s="4">
        <v>1454.11</v>
      </c>
      <c r="K52" s="7" t="str">
        <f t="shared" si="2"/>
        <v>High</v>
      </c>
      <c r="L52" s="4">
        <v>2629.75</v>
      </c>
      <c r="M52" s="4">
        <v>0.29199999999999998</v>
      </c>
      <c r="N52" s="4">
        <v>8</v>
      </c>
      <c r="O52" s="4">
        <f t="shared" si="0"/>
        <v>17808.182399999998</v>
      </c>
      <c r="P52">
        <f t="shared" si="1"/>
        <v>11632.88</v>
      </c>
      <c r="Q52" s="4">
        <f t="shared" si="3"/>
        <v>6175.3023999999987</v>
      </c>
      <c r="R52" s="16">
        <f t="shared" si="4"/>
        <v>0.34676769707839467</v>
      </c>
    </row>
    <row r="53" spans="1:18" x14ac:dyDescent="0.3">
      <c r="A53" t="s">
        <v>193</v>
      </c>
      <c r="B53" s="6">
        <v>45582</v>
      </c>
      <c r="C53" s="2">
        <v>45602</v>
      </c>
      <c r="D53" s="4">
        <f t="shared" si="5"/>
        <v>20</v>
      </c>
      <c r="E53" s="4" t="str">
        <f>TEXT(Data!B53,"MMM-YYYY")</f>
        <v>Mar-2023</v>
      </c>
      <c r="F53" t="s">
        <v>105</v>
      </c>
      <c r="G53" t="s">
        <v>55</v>
      </c>
      <c r="H53" t="s">
        <v>68</v>
      </c>
      <c r="I53" t="s">
        <v>64</v>
      </c>
      <c r="J53" s="4">
        <v>72.94</v>
      </c>
      <c r="K53" s="7" t="str">
        <f t="shared" si="2"/>
        <v>Medium</v>
      </c>
      <c r="L53" s="4">
        <v>106.3</v>
      </c>
      <c r="M53" s="4">
        <v>0.29499999999999998</v>
      </c>
      <c r="N53" s="4">
        <v>8</v>
      </c>
      <c r="O53" s="4">
        <f t="shared" si="0"/>
        <v>11819.917200000002</v>
      </c>
      <c r="P53">
        <f t="shared" si="1"/>
        <v>583.52</v>
      </c>
      <c r="Q53" s="4">
        <f t="shared" si="3"/>
        <v>11236.397200000001</v>
      </c>
      <c r="R53" s="16">
        <f t="shared" si="4"/>
        <v>0.95063247989588284</v>
      </c>
    </row>
    <row r="54" spans="1:18" x14ac:dyDescent="0.3">
      <c r="A54" t="s">
        <v>195</v>
      </c>
      <c r="B54" s="6">
        <v>45016</v>
      </c>
      <c r="C54" s="2">
        <v>45021</v>
      </c>
      <c r="D54" s="4">
        <f t="shared" si="5"/>
        <v>5</v>
      </c>
      <c r="E54" s="4" t="str">
        <f>TEXT(Data!B54,"MMM-YYYY")</f>
        <v>Jan-2025</v>
      </c>
      <c r="F54" t="s">
        <v>27</v>
      </c>
      <c r="G54" t="s">
        <v>40</v>
      </c>
      <c r="H54" t="s">
        <v>56</v>
      </c>
      <c r="I54" t="s">
        <v>57</v>
      </c>
      <c r="J54" s="4">
        <v>533.26</v>
      </c>
      <c r="K54" s="7" t="str">
        <f t="shared" si="2"/>
        <v>High</v>
      </c>
      <c r="L54" s="4">
        <v>385.72</v>
      </c>
      <c r="M54" s="4">
        <v>0</v>
      </c>
      <c r="N54" s="4">
        <v>15</v>
      </c>
      <c r="O54" s="4">
        <f t="shared" si="0"/>
        <v>10554.3</v>
      </c>
      <c r="P54">
        <f t="shared" si="1"/>
        <v>7998.9</v>
      </c>
      <c r="Q54" s="4">
        <f t="shared" si="3"/>
        <v>2555.3999999999996</v>
      </c>
      <c r="R54" s="16">
        <f t="shared" si="4"/>
        <v>0.24211932577243397</v>
      </c>
    </row>
    <row r="55" spans="1:18" x14ac:dyDescent="0.3">
      <c r="A55" t="s">
        <v>197</v>
      </c>
      <c r="B55" s="6">
        <v>45678</v>
      </c>
      <c r="C55" s="2">
        <v>45704</v>
      </c>
      <c r="D55" s="4">
        <f t="shared" si="5"/>
        <v>26</v>
      </c>
      <c r="E55" s="4" t="str">
        <f>TEXT(Data!B55,"MMM-YYYY")</f>
        <v>Aug-2023</v>
      </c>
      <c r="F55" t="s">
        <v>19</v>
      </c>
      <c r="G55" t="s">
        <v>55</v>
      </c>
      <c r="H55" t="s">
        <v>68</v>
      </c>
      <c r="I55" t="s">
        <v>57</v>
      </c>
      <c r="J55" s="4">
        <v>204.11</v>
      </c>
      <c r="K55" s="7" t="str">
        <f t="shared" si="2"/>
        <v>High</v>
      </c>
      <c r="L55" s="4">
        <v>236.87</v>
      </c>
      <c r="M55" s="4">
        <v>0.182</v>
      </c>
      <c r="N55" s="4">
        <v>13</v>
      </c>
      <c r="O55" s="4">
        <f t="shared" si="0"/>
        <v>21238.118460000002</v>
      </c>
      <c r="P55">
        <f t="shared" si="1"/>
        <v>2653.4300000000003</v>
      </c>
      <c r="Q55" s="4">
        <f t="shared" si="3"/>
        <v>18584.688460000001</v>
      </c>
      <c r="R55" s="16">
        <f t="shared" si="4"/>
        <v>0.87506284961177294</v>
      </c>
    </row>
    <row r="56" spans="1:18" x14ac:dyDescent="0.3">
      <c r="A56" t="s">
        <v>199</v>
      </c>
      <c r="B56" s="6">
        <v>45168</v>
      </c>
      <c r="C56" s="2">
        <v>45170</v>
      </c>
      <c r="D56" s="4">
        <f t="shared" si="5"/>
        <v>2</v>
      </c>
      <c r="E56" s="4" t="str">
        <f>TEXT(Data!B56,"MMM-YYYY")</f>
        <v>Apr-2025</v>
      </c>
      <c r="F56" t="s">
        <v>19</v>
      </c>
      <c r="G56" t="s">
        <v>98</v>
      </c>
      <c r="H56" t="s">
        <v>126</v>
      </c>
      <c r="I56" t="s">
        <v>35</v>
      </c>
      <c r="J56" s="4">
        <v>44.42</v>
      </c>
      <c r="K56" s="7" t="str">
        <f t="shared" si="2"/>
        <v>Low</v>
      </c>
      <c r="L56" s="4">
        <v>41.9</v>
      </c>
      <c r="M56" s="4">
        <v>0.14399999999999999</v>
      </c>
      <c r="N56" s="4">
        <v>6</v>
      </c>
      <c r="O56" s="4">
        <f t="shared" si="0"/>
        <v>14195.647199999998</v>
      </c>
      <c r="P56">
        <f t="shared" si="1"/>
        <v>266.52</v>
      </c>
      <c r="Q56" s="4">
        <f t="shared" si="3"/>
        <v>13929.127199999997</v>
      </c>
      <c r="R56" s="16">
        <f t="shared" si="4"/>
        <v>0.9812252307876459</v>
      </c>
    </row>
    <row r="57" spans="1:18" x14ac:dyDescent="0.3">
      <c r="A57" t="s">
        <v>201</v>
      </c>
      <c r="B57" s="6">
        <v>45753</v>
      </c>
      <c r="C57" s="2">
        <v>45777</v>
      </c>
      <c r="D57" s="4">
        <f t="shared" si="5"/>
        <v>24</v>
      </c>
      <c r="E57" s="4" t="str">
        <f>TEXT(Data!B57,"MMM-YYYY")</f>
        <v>Feb-2025</v>
      </c>
      <c r="F57" t="s">
        <v>27</v>
      </c>
      <c r="G57" t="s">
        <v>28</v>
      </c>
      <c r="H57" t="s">
        <v>95</v>
      </c>
      <c r="I57" t="s">
        <v>64</v>
      </c>
      <c r="J57" s="4">
        <v>855.78</v>
      </c>
      <c r="K57" s="7" t="str">
        <f t="shared" si="2"/>
        <v>High</v>
      </c>
      <c r="L57" s="4">
        <v>977.38</v>
      </c>
      <c r="M57" s="4">
        <v>0.14699999999999999</v>
      </c>
      <c r="N57" s="4">
        <v>38</v>
      </c>
      <c r="O57" s="4">
        <f t="shared" si="0"/>
        <v>48735.421419999999</v>
      </c>
      <c r="P57">
        <f t="shared" si="1"/>
        <v>32519.64</v>
      </c>
      <c r="Q57" s="4">
        <f t="shared" si="3"/>
        <v>16215.781419999999</v>
      </c>
      <c r="R57" s="16">
        <f t="shared" si="4"/>
        <v>0.33273091619036216</v>
      </c>
    </row>
    <row r="58" spans="1:18" x14ac:dyDescent="0.3">
      <c r="A58" t="s">
        <v>203</v>
      </c>
      <c r="B58" s="6">
        <v>45697</v>
      </c>
      <c r="C58" s="2">
        <v>45717</v>
      </c>
      <c r="D58" s="4">
        <f t="shared" si="5"/>
        <v>20</v>
      </c>
      <c r="E58" s="4" t="str">
        <f>TEXT(Data!B58,"MMM-YYYY")</f>
        <v>Dec-2024</v>
      </c>
      <c r="F58" t="s">
        <v>19</v>
      </c>
      <c r="G58" t="s">
        <v>55</v>
      </c>
      <c r="H58" t="s">
        <v>56</v>
      </c>
      <c r="I58" t="s">
        <v>57</v>
      </c>
      <c r="J58" s="4">
        <v>1154.6400000000001</v>
      </c>
      <c r="K58" s="7" t="str">
        <f t="shared" si="2"/>
        <v>High</v>
      </c>
      <c r="L58" s="4">
        <v>2794.13</v>
      </c>
      <c r="M58" s="4">
        <v>3.5000000000000003E-2</v>
      </c>
      <c r="N58" s="4">
        <v>11</v>
      </c>
      <c r="O58" s="4">
        <f t="shared" si="0"/>
        <v>4119.0446000000002</v>
      </c>
      <c r="P58">
        <f t="shared" si="1"/>
        <v>12701.04</v>
      </c>
      <c r="Q58" s="4">
        <f t="shared" si="3"/>
        <v>-8581.9953999999998</v>
      </c>
      <c r="R58" s="16">
        <f t="shared" si="4"/>
        <v>-2.0834917398078185</v>
      </c>
    </row>
    <row r="59" spans="1:18" x14ac:dyDescent="0.3">
      <c r="A59" t="s">
        <v>205</v>
      </c>
      <c r="B59" s="6">
        <v>45643</v>
      </c>
      <c r="C59" s="2">
        <v>45644</v>
      </c>
      <c r="D59" s="4">
        <f t="shared" si="5"/>
        <v>1</v>
      </c>
      <c r="E59" s="4" t="str">
        <f>TEXT(Data!B59,"MMM-YYYY")</f>
        <v>Jun-2025</v>
      </c>
      <c r="F59" t="s">
        <v>27</v>
      </c>
      <c r="G59" t="s">
        <v>20</v>
      </c>
      <c r="H59" t="s">
        <v>49</v>
      </c>
      <c r="I59" t="s">
        <v>81</v>
      </c>
      <c r="J59" s="4">
        <v>346.82</v>
      </c>
      <c r="K59" s="7" t="str">
        <f t="shared" si="2"/>
        <v>High</v>
      </c>
      <c r="L59" s="4">
        <v>701.95</v>
      </c>
      <c r="M59" s="4">
        <v>0.14699999999999999</v>
      </c>
      <c r="N59" s="4">
        <v>8</v>
      </c>
      <c r="O59" s="4">
        <f t="shared" si="0"/>
        <v>304.14567999999997</v>
      </c>
      <c r="P59">
        <f t="shared" si="1"/>
        <v>2774.56</v>
      </c>
      <c r="Q59" s="4">
        <f t="shared" si="3"/>
        <v>-2470.4143199999999</v>
      </c>
      <c r="R59" s="16">
        <f t="shared" si="4"/>
        <v>-8.122470521363315</v>
      </c>
    </row>
    <row r="60" spans="1:18" x14ac:dyDescent="0.3">
      <c r="A60" t="s">
        <v>207</v>
      </c>
      <c r="B60" s="6">
        <v>45817</v>
      </c>
      <c r="C60" s="2">
        <v>45826</v>
      </c>
      <c r="D60" s="4">
        <f t="shared" si="5"/>
        <v>9</v>
      </c>
      <c r="E60" s="4" t="str">
        <f>TEXT(Data!B60,"MMM-YYYY")</f>
        <v>May-2025</v>
      </c>
      <c r="F60" t="s">
        <v>62</v>
      </c>
      <c r="G60" t="s">
        <v>40</v>
      </c>
      <c r="H60" t="s">
        <v>92</v>
      </c>
      <c r="I60" t="s">
        <v>81</v>
      </c>
      <c r="J60" s="4">
        <v>1225.5</v>
      </c>
      <c r="K60" s="7" t="str">
        <f t="shared" si="2"/>
        <v>Low</v>
      </c>
      <c r="L60" s="4">
        <v>-5.27</v>
      </c>
      <c r="M60" s="4">
        <v>7.4999999999999997E-2</v>
      </c>
      <c r="N60" s="4">
        <v>56</v>
      </c>
      <c r="O60" s="4">
        <f t="shared" si="0"/>
        <v>93667.868000000002</v>
      </c>
      <c r="P60">
        <f t="shared" si="1"/>
        <v>68628</v>
      </c>
      <c r="Q60" s="4">
        <f t="shared" si="3"/>
        <v>25039.868000000002</v>
      </c>
      <c r="R60" s="16">
        <f t="shared" si="4"/>
        <v>0.2673261229774121</v>
      </c>
    </row>
    <row r="61" spans="1:18" x14ac:dyDescent="0.3">
      <c r="A61" t="s">
        <v>209</v>
      </c>
      <c r="B61" s="6">
        <v>45779</v>
      </c>
      <c r="C61" s="2">
        <v>45790</v>
      </c>
      <c r="D61" s="4">
        <f t="shared" si="5"/>
        <v>11</v>
      </c>
      <c r="E61" s="4" t="str">
        <f>TEXT(Data!B61,"MMM-YYYY")</f>
        <v>Mar-2024</v>
      </c>
      <c r="F61" t="s">
        <v>62</v>
      </c>
      <c r="G61" t="s">
        <v>28</v>
      </c>
      <c r="H61" t="s">
        <v>75</v>
      </c>
      <c r="I61" t="s">
        <v>81</v>
      </c>
      <c r="J61" s="4">
        <v>1057.5999999999999</v>
      </c>
      <c r="K61" s="7" t="str">
        <f t="shared" si="2"/>
        <v>High</v>
      </c>
      <c r="L61" s="4">
        <v>1437.06</v>
      </c>
      <c r="M61" s="4">
        <v>0.20499999999999999</v>
      </c>
      <c r="N61" s="4">
        <v>4</v>
      </c>
      <c r="O61" s="4">
        <f t="shared" si="0"/>
        <v>4086.5861999999997</v>
      </c>
      <c r="P61">
        <f t="shared" si="1"/>
        <v>4230.3999999999996</v>
      </c>
      <c r="Q61" s="4">
        <f t="shared" si="3"/>
        <v>-143.8137999999999</v>
      </c>
      <c r="R61" s="16">
        <f t="shared" si="4"/>
        <v>-3.5191671718560573E-2</v>
      </c>
    </row>
    <row r="62" spans="1:18" x14ac:dyDescent="0.3">
      <c r="A62" t="s">
        <v>211</v>
      </c>
      <c r="B62" s="6">
        <v>45361</v>
      </c>
      <c r="C62" s="2">
        <v>45391</v>
      </c>
      <c r="D62" s="4">
        <f t="shared" si="5"/>
        <v>30</v>
      </c>
      <c r="E62" s="4" t="str">
        <f>TEXT(Data!B62,"MMM-YYYY")</f>
        <v>Sep-2025</v>
      </c>
      <c r="F62" t="s">
        <v>19</v>
      </c>
      <c r="G62" t="s">
        <v>98</v>
      </c>
      <c r="H62" t="s">
        <v>34</v>
      </c>
      <c r="I62" t="s">
        <v>22</v>
      </c>
      <c r="J62" s="4">
        <v>1176.56</v>
      </c>
      <c r="K62" s="7" t="str">
        <f t="shared" si="2"/>
        <v>High</v>
      </c>
      <c r="L62" s="4">
        <v>1911.89</v>
      </c>
      <c r="M62" s="4">
        <v>0.11899999999999999</v>
      </c>
      <c r="N62" s="4">
        <v>20</v>
      </c>
      <c r="O62" s="4">
        <f t="shared" si="0"/>
        <v>29568.826800000003</v>
      </c>
      <c r="P62">
        <f t="shared" si="1"/>
        <v>23531.199999999997</v>
      </c>
      <c r="Q62" s="4">
        <f t="shared" si="3"/>
        <v>6037.6268000000055</v>
      </c>
      <c r="R62" s="16">
        <f t="shared" si="4"/>
        <v>0.20418891966319086</v>
      </c>
    </row>
    <row r="63" spans="1:18" x14ac:dyDescent="0.3">
      <c r="A63" t="s">
        <v>213</v>
      </c>
      <c r="B63" s="6">
        <v>45910</v>
      </c>
      <c r="C63" s="2">
        <v>45912</v>
      </c>
      <c r="D63" s="4">
        <f t="shared" si="5"/>
        <v>2</v>
      </c>
      <c r="E63" s="4" t="str">
        <f>TEXT(Data!B63,"MMM-YYYY")</f>
        <v>Apr-2025</v>
      </c>
      <c r="F63" t="s">
        <v>48</v>
      </c>
      <c r="G63" t="s">
        <v>28</v>
      </c>
      <c r="H63" t="s">
        <v>68</v>
      </c>
      <c r="I63" t="s">
        <v>22</v>
      </c>
      <c r="J63" s="4">
        <v>1470.15</v>
      </c>
      <c r="K63" s="7" t="str">
        <f t="shared" si="2"/>
        <v>High</v>
      </c>
      <c r="L63" s="4">
        <v>2593.7800000000002</v>
      </c>
      <c r="M63" s="4">
        <v>0.11</v>
      </c>
      <c r="N63" s="4">
        <v>12</v>
      </c>
      <c r="O63" s="4">
        <f t="shared" si="0"/>
        <v>7255.4580000000005</v>
      </c>
      <c r="P63">
        <f t="shared" si="1"/>
        <v>17641.800000000003</v>
      </c>
      <c r="Q63" s="4">
        <f t="shared" si="3"/>
        <v>-10386.342000000002</v>
      </c>
      <c r="R63" s="16">
        <f t="shared" si="4"/>
        <v>-1.4315212078961799</v>
      </c>
    </row>
    <row r="64" spans="1:18" x14ac:dyDescent="0.3">
      <c r="A64" t="s">
        <v>216</v>
      </c>
      <c r="B64" s="6">
        <v>45774</v>
      </c>
      <c r="C64" s="2">
        <v>45802</v>
      </c>
      <c r="D64" s="4">
        <f t="shared" si="5"/>
        <v>28</v>
      </c>
      <c r="E64" s="4" t="str">
        <f>TEXT(Data!B64,"MMM-YYYY")</f>
        <v>Nov-2024</v>
      </c>
      <c r="F64" t="s">
        <v>62</v>
      </c>
      <c r="G64" t="s">
        <v>40</v>
      </c>
      <c r="H64" t="s">
        <v>34</v>
      </c>
      <c r="I64" t="s">
        <v>42</v>
      </c>
      <c r="J64" s="4">
        <v>603.45000000000005</v>
      </c>
      <c r="K64" s="7" t="str">
        <f t="shared" si="2"/>
        <v>High</v>
      </c>
      <c r="L64" s="4">
        <v>1244.08</v>
      </c>
      <c r="M64" s="4">
        <v>0.2</v>
      </c>
      <c r="N64" s="4">
        <v>11</v>
      </c>
      <c r="O64" s="4">
        <f t="shared" si="0"/>
        <v>9767.2960000000003</v>
      </c>
      <c r="P64">
        <f t="shared" si="1"/>
        <v>6637.9500000000007</v>
      </c>
      <c r="Q64" s="4">
        <f t="shared" si="3"/>
        <v>3129.3459999999995</v>
      </c>
      <c r="R64" s="16">
        <f t="shared" si="4"/>
        <v>0.32039020830330106</v>
      </c>
    </row>
    <row r="65" spans="1:18" x14ac:dyDescent="0.3">
      <c r="A65" t="s">
        <v>219</v>
      </c>
      <c r="B65" s="6">
        <v>45598</v>
      </c>
      <c r="C65" s="2">
        <v>45614</v>
      </c>
      <c r="D65" s="4">
        <f t="shared" si="5"/>
        <v>16</v>
      </c>
      <c r="E65" s="4" t="str">
        <f>TEXT(Data!B65,"MMM-YYYY")</f>
        <v>Feb-2023</v>
      </c>
      <c r="F65" t="s">
        <v>62</v>
      </c>
      <c r="G65" t="s">
        <v>55</v>
      </c>
      <c r="H65" t="s">
        <v>68</v>
      </c>
      <c r="I65" t="s">
        <v>64</v>
      </c>
      <c r="J65" s="4">
        <v>1233.58</v>
      </c>
      <c r="K65" s="7" t="str">
        <f t="shared" si="2"/>
        <v>High</v>
      </c>
      <c r="L65" s="4">
        <v>1912.51</v>
      </c>
      <c r="M65" s="4">
        <v>0.255</v>
      </c>
      <c r="N65" s="4">
        <v>51</v>
      </c>
      <c r="O65" s="4">
        <f t="shared" si="0"/>
        <v>3175.2421499999996</v>
      </c>
      <c r="P65">
        <f t="shared" si="1"/>
        <v>62912.579999999994</v>
      </c>
      <c r="Q65" s="4">
        <f t="shared" si="3"/>
        <v>-59737.337849999996</v>
      </c>
      <c r="R65" s="16">
        <f t="shared" si="4"/>
        <v>-18.813474698299782</v>
      </c>
    </row>
    <row r="66" spans="1:18" x14ac:dyDescent="0.3">
      <c r="A66" t="s">
        <v>222</v>
      </c>
      <c r="B66" s="6">
        <v>44972</v>
      </c>
      <c r="C66" s="2">
        <v>44983</v>
      </c>
      <c r="D66" s="4">
        <f t="shared" si="5"/>
        <v>11</v>
      </c>
      <c r="E66" s="4" t="str">
        <f>TEXT(Data!B66,"MMM-YYYY")</f>
        <v>Dec-2023</v>
      </c>
      <c r="F66" t="s">
        <v>39</v>
      </c>
      <c r="G66" t="s">
        <v>20</v>
      </c>
      <c r="H66" t="s">
        <v>95</v>
      </c>
      <c r="I66" t="s">
        <v>57</v>
      </c>
      <c r="J66" s="4">
        <v>498.5</v>
      </c>
      <c r="K66" s="7" t="str">
        <f t="shared" si="2"/>
        <v>High</v>
      </c>
      <c r="L66" s="4">
        <v>755.87</v>
      </c>
      <c r="M66" s="4">
        <v>0.13</v>
      </c>
      <c r="N66" s="4">
        <v>40</v>
      </c>
      <c r="O66" s="4">
        <f t="shared" ref="O66:O129" si="6">(L92*N66)*(1-M66)</f>
        <v>44693.64</v>
      </c>
      <c r="P66">
        <f t="shared" ref="P66:P129" si="7">(J66*N66)</f>
        <v>19940</v>
      </c>
      <c r="Q66" s="4">
        <f t="shared" si="3"/>
        <v>24753.64</v>
      </c>
      <c r="R66" s="16">
        <f t="shared" si="4"/>
        <v>0.55385150996875621</v>
      </c>
    </row>
    <row r="67" spans="1:18" x14ac:dyDescent="0.3">
      <c r="A67" t="s">
        <v>224</v>
      </c>
      <c r="B67" s="6">
        <v>45263</v>
      </c>
      <c r="C67" s="2">
        <v>45286</v>
      </c>
      <c r="D67" s="4">
        <f t="shared" si="5"/>
        <v>23</v>
      </c>
      <c r="E67" s="4" t="str">
        <f>TEXT(Data!B67,"MMM-YYYY")</f>
        <v>Mar-2023</v>
      </c>
      <c r="F67" t="s">
        <v>27</v>
      </c>
      <c r="G67" t="s">
        <v>20</v>
      </c>
      <c r="H67" t="s">
        <v>68</v>
      </c>
      <c r="I67" t="s">
        <v>42</v>
      </c>
      <c r="J67" s="4">
        <v>1303.1099999999999</v>
      </c>
      <c r="K67" s="7" t="str">
        <f t="shared" ref="K67:K130" si="8">IF(L67&lt;50, "Low", IF(L67&lt;200, "Medium", "High"))</f>
        <v>High</v>
      </c>
      <c r="L67" s="4">
        <v>1145.67</v>
      </c>
      <c r="M67" s="4">
        <v>0.184</v>
      </c>
      <c r="N67" s="4">
        <v>13</v>
      </c>
      <c r="O67" s="4">
        <f t="shared" si="6"/>
        <v>9671.5257600000004</v>
      </c>
      <c r="P67">
        <f t="shared" si="7"/>
        <v>16940.43</v>
      </c>
      <c r="Q67" s="4">
        <f t="shared" ref="Q67:Q130" si="9">(O67-P67)</f>
        <v>-7268.9042399999998</v>
      </c>
      <c r="R67" s="16">
        <f t="shared" ref="R67:R130" si="10">(Q67/O67)</f>
        <v>-0.75157781929952694</v>
      </c>
    </row>
    <row r="68" spans="1:18" x14ac:dyDescent="0.3">
      <c r="A68" t="s">
        <v>227</v>
      </c>
      <c r="B68" s="6">
        <v>45004</v>
      </c>
      <c r="C68" s="2">
        <v>45025</v>
      </c>
      <c r="D68" s="4">
        <f t="shared" ref="D68:D131" si="11">DATEDIF(B68,C68, "MD")</f>
        <v>21</v>
      </c>
      <c r="E68" s="4" t="str">
        <f>TEXT(Data!B68,"MMM-YYYY")</f>
        <v>May-2024</v>
      </c>
      <c r="F68" t="s">
        <v>48</v>
      </c>
      <c r="G68" t="s">
        <v>20</v>
      </c>
      <c r="H68" t="s">
        <v>49</v>
      </c>
      <c r="I68" t="s">
        <v>81</v>
      </c>
      <c r="J68" s="4">
        <v>1082.17</v>
      </c>
      <c r="K68" s="7" t="str">
        <f t="shared" si="8"/>
        <v>High</v>
      </c>
      <c r="L68" s="4">
        <v>1234.0999999999999</v>
      </c>
      <c r="M68" s="4">
        <v>0.189</v>
      </c>
      <c r="N68" s="4">
        <v>16</v>
      </c>
      <c r="O68" s="4">
        <f t="shared" si="6"/>
        <v>18232.188319999997</v>
      </c>
      <c r="P68">
        <f t="shared" si="7"/>
        <v>17314.72</v>
      </c>
      <c r="Q68" s="4">
        <f t="shared" si="9"/>
        <v>917.46831999999631</v>
      </c>
      <c r="R68" s="16">
        <f t="shared" si="10"/>
        <v>5.0321349467061474E-2</v>
      </c>
    </row>
    <row r="69" spans="1:18" x14ac:dyDescent="0.3">
      <c r="A69" t="s">
        <v>230</v>
      </c>
      <c r="B69" s="6">
        <v>45434</v>
      </c>
      <c r="C69" s="2">
        <v>45449</v>
      </c>
      <c r="D69" s="4">
        <f t="shared" si="11"/>
        <v>15</v>
      </c>
      <c r="E69" s="4" t="str">
        <f>TEXT(Data!B69,"MMM-YYYY")</f>
        <v>Aug-2023</v>
      </c>
      <c r="F69" t="s">
        <v>19</v>
      </c>
      <c r="G69" t="s">
        <v>55</v>
      </c>
      <c r="H69" t="s">
        <v>21</v>
      </c>
      <c r="I69" t="s">
        <v>64</v>
      </c>
      <c r="J69" s="4">
        <v>673.88</v>
      </c>
      <c r="K69" s="7" t="str">
        <f t="shared" si="8"/>
        <v>High</v>
      </c>
      <c r="L69" s="4">
        <v>1228.01</v>
      </c>
      <c r="M69" s="4">
        <v>0.105</v>
      </c>
      <c r="N69" s="4">
        <v>13</v>
      </c>
      <c r="O69" s="4">
        <f t="shared" si="6"/>
        <v>11273.616900000001</v>
      </c>
      <c r="P69">
        <f t="shared" si="7"/>
        <v>8760.44</v>
      </c>
      <c r="Q69" s="4">
        <f t="shared" si="9"/>
        <v>2513.1769000000004</v>
      </c>
      <c r="R69" s="16">
        <f t="shared" si="10"/>
        <v>0.22292551913840536</v>
      </c>
    </row>
    <row r="70" spans="1:18" x14ac:dyDescent="0.3">
      <c r="A70" t="s">
        <v>233</v>
      </c>
      <c r="B70" s="6">
        <v>45157</v>
      </c>
      <c r="C70" s="2">
        <v>45176</v>
      </c>
      <c r="D70" s="4">
        <f t="shared" si="11"/>
        <v>19</v>
      </c>
      <c r="E70" s="4" t="str">
        <f>TEXT(Data!B70,"MMM-YYYY")</f>
        <v>Apr-2023</v>
      </c>
      <c r="F70" t="s">
        <v>105</v>
      </c>
      <c r="G70" t="s">
        <v>20</v>
      </c>
      <c r="H70" t="s">
        <v>145</v>
      </c>
      <c r="I70" t="s">
        <v>64</v>
      </c>
      <c r="J70" s="4">
        <v>494.61</v>
      </c>
      <c r="K70" s="7" t="str">
        <f t="shared" si="8"/>
        <v>High</v>
      </c>
      <c r="L70" s="4">
        <v>605.23</v>
      </c>
      <c r="M70" s="4">
        <v>0.20399999999999999</v>
      </c>
      <c r="N70" s="4">
        <v>18</v>
      </c>
      <c r="O70" s="4">
        <f t="shared" si="6"/>
        <v>15600.46968</v>
      </c>
      <c r="P70">
        <f t="shared" si="7"/>
        <v>8902.98</v>
      </c>
      <c r="Q70" s="4">
        <f t="shared" si="9"/>
        <v>6697.4896800000006</v>
      </c>
      <c r="R70" s="16">
        <f t="shared" si="10"/>
        <v>0.42931333590464055</v>
      </c>
    </row>
    <row r="71" spans="1:18" x14ac:dyDescent="0.3">
      <c r="A71" t="s">
        <v>235</v>
      </c>
      <c r="B71" s="6">
        <v>45037</v>
      </c>
      <c r="C71" s="2">
        <v>45056</v>
      </c>
      <c r="D71" s="4">
        <f t="shared" si="11"/>
        <v>19</v>
      </c>
      <c r="E71" s="4" t="str">
        <f>TEXT(Data!B71,"MMM-YYYY")</f>
        <v>Mar-2024</v>
      </c>
      <c r="F71" t="s">
        <v>19</v>
      </c>
      <c r="G71" t="s">
        <v>20</v>
      </c>
      <c r="H71" t="s">
        <v>75</v>
      </c>
      <c r="I71" t="s">
        <v>22</v>
      </c>
      <c r="J71" s="4">
        <v>882.33</v>
      </c>
      <c r="K71" s="7" t="str">
        <f t="shared" si="8"/>
        <v>High</v>
      </c>
      <c r="L71" s="4">
        <v>1880.15</v>
      </c>
      <c r="M71" s="4">
        <v>0.05</v>
      </c>
      <c r="N71" s="4">
        <v>5</v>
      </c>
      <c r="O71" s="4">
        <f t="shared" si="6"/>
        <v>11803.702499999998</v>
      </c>
      <c r="P71">
        <f t="shared" si="7"/>
        <v>4411.6500000000005</v>
      </c>
      <c r="Q71" s="4">
        <f t="shared" si="9"/>
        <v>7392.0524999999971</v>
      </c>
      <c r="R71" s="16">
        <f t="shared" si="10"/>
        <v>0.6262486283435218</v>
      </c>
    </row>
    <row r="72" spans="1:18" x14ac:dyDescent="0.3">
      <c r="A72" t="s">
        <v>237</v>
      </c>
      <c r="B72" s="6">
        <v>45369</v>
      </c>
      <c r="C72" s="2">
        <v>45372</v>
      </c>
      <c r="D72" s="4">
        <f t="shared" si="11"/>
        <v>3</v>
      </c>
      <c r="E72" s="4" t="str">
        <f>TEXT(Data!B72,"MMM-YYYY")</f>
        <v>Apr-2025</v>
      </c>
      <c r="F72" t="s">
        <v>62</v>
      </c>
      <c r="G72" t="s">
        <v>28</v>
      </c>
      <c r="H72" t="s">
        <v>110</v>
      </c>
      <c r="I72" t="s">
        <v>81</v>
      </c>
      <c r="J72" s="4">
        <v>910.63</v>
      </c>
      <c r="K72" s="7" t="str">
        <f t="shared" si="8"/>
        <v>High</v>
      </c>
      <c r="L72" s="4">
        <v>1269.4000000000001</v>
      </c>
      <c r="M72" s="4">
        <v>6.8000000000000005E-2</v>
      </c>
      <c r="N72" s="4">
        <v>9</v>
      </c>
      <c r="O72" s="4">
        <f t="shared" si="6"/>
        <v>240.65172000000001</v>
      </c>
      <c r="P72">
        <f t="shared" si="7"/>
        <v>8195.67</v>
      </c>
      <c r="Q72" s="4">
        <f t="shared" si="9"/>
        <v>-7955.0182800000002</v>
      </c>
      <c r="R72" s="16">
        <f t="shared" si="10"/>
        <v>-33.05614553679483</v>
      </c>
    </row>
    <row r="73" spans="1:18" x14ac:dyDescent="0.3">
      <c r="A73" t="s">
        <v>239</v>
      </c>
      <c r="B73" s="6">
        <v>45756</v>
      </c>
      <c r="C73" s="2">
        <v>45783</v>
      </c>
      <c r="D73" s="4">
        <f t="shared" si="11"/>
        <v>27</v>
      </c>
      <c r="E73" s="4" t="str">
        <f>TEXT(Data!B73,"MMM-YYYY")</f>
        <v>Apr-2024</v>
      </c>
      <c r="F73" t="s">
        <v>105</v>
      </c>
      <c r="G73" t="s">
        <v>40</v>
      </c>
      <c r="H73" t="s">
        <v>84</v>
      </c>
      <c r="I73" t="s">
        <v>57</v>
      </c>
      <c r="J73" s="4">
        <v>264.19</v>
      </c>
      <c r="K73" s="7" t="str">
        <f t="shared" si="8"/>
        <v>High</v>
      </c>
      <c r="L73" s="4">
        <v>620.92999999999995</v>
      </c>
      <c r="M73" s="4">
        <v>0.14199999999999999</v>
      </c>
      <c r="N73" s="4">
        <v>12</v>
      </c>
      <c r="O73" s="4">
        <f t="shared" si="6"/>
        <v>19527.59952</v>
      </c>
      <c r="P73">
        <f t="shared" si="7"/>
        <v>3170.2799999999997</v>
      </c>
      <c r="Q73" s="4">
        <f t="shared" si="9"/>
        <v>16357.319520000001</v>
      </c>
      <c r="R73" s="16">
        <f t="shared" si="10"/>
        <v>0.83765132028885447</v>
      </c>
    </row>
    <row r="74" spans="1:18" x14ac:dyDescent="0.3">
      <c r="A74" t="s">
        <v>241</v>
      </c>
      <c r="B74" s="6">
        <v>45394</v>
      </c>
      <c r="C74" s="2">
        <v>45419</v>
      </c>
      <c r="D74" s="4">
        <f t="shared" si="11"/>
        <v>25</v>
      </c>
      <c r="E74" s="4" t="str">
        <f>TEXT(Data!B74,"MMM-YYYY")</f>
        <v>Dec-2024</v>
      </c>
      <c r="F74" t="s">
        <v>27</v>
      </c>
      <c r="G74" t="s">
        <v>55</v>
      </c>
      <c r="H74" t="s">
        <v>75</v>
      </c>
      <c r="I74" t="s">
        <v>57</v>
      </c>
      <c r="J74" s="4">
        <v>1376.51</v>
      </c>
      <c r="K74" s="7" t="str">
        <f t="shared" si="8"/>
        <v>High</v>
      </c>
      <c r="L74" s="4">
        <v>1455.91</v>
      </c>
      <c r="M74" s="4">
        <v>0.185</v>
      </c>
      <c r="N74" s="4">
        <v>17</v>
      </c>
      <c r="O74" s="4">
        <f t="shared" si="6"/>
        <v>5807.6003499999997</v>
      </c>
      <c r="P74">
        <f t="shared" si="7"/>
        <v>23400.67</v>
      </c>
      <c r="Q74" s="4">
        <f t="shared" si="9"/>
        <v>-17593.069649999998</v>
      </c>
      <c r="R74" s="16">
        <f t="shared" si="10"/>
        <v>-3.0293182364037841</v>
      </c>
    </row>
    <row r="75" spans="1:18" x14ac:dyDescent="0.3">
      <c r="A75" t="s">
        <v>243</v>
      </c>
      <c r="B75" s="6">
        <v>45641</v>
      </c>
      <c r="C75" s="2">
        <v>45646</v>
      </c>
      <c r="D75" s="4">
        <f t="shared" si="11"/>
        <v>5</v>
      </c>
      <c r="E75" s="4" t="str">
        <f>TEXT(Data!B75,"MMM-YYYY")</f>
        <v>May-2023</v>
      </c>
      <c r="F75" t="s">
        <v>62</v>
      </c>
      <c r="G75" t="s">
        <v>98</v>
      </c>
      <c r="H75" t="s">
        <v>29</v>
      </c>
      <c r="I75" t="s">
        <v>35</v>
      </c>
      <c r="J75" s="4">
        <v>717.55</v>
      </c>
      <c r="K75" s="7" t="str">
        <f t="shared" si="8"/>
        <v>High</v>
      </c>
      <c r="L75" s="4">
        <v>546.42999999999995</v>
      </c>
      <c r="M75" s="4">
        <v>4.7E-2</v>
      </c>
      <c r="N75" s="4">
        <v>18</v>
      </c>
      <c r="O75" s="4">
        <f t="shared" si="6"/>
        <v>34328.070179999995</v>
      </c>
      <c r="P75">
        <f t="shared" si="7"/>
        <v>12915.9</v>
      </c>
      <c r="Q75" s="4">
        <f t="shared" si="9"/>
        <v>21412.170179999994</v>
      </c>
      <c r="R75" s="16">
        <f t="shared" si="10"/>
        <v>0.62375106050893059</v>
      </c>
    </row>
    <row r="76" spans="1:18" x14ac:dyDescent="0.3">
      <c r="A76" t="s">
        <v>245</v>
      </c>
      <c r="B76" s="6">
        <v>45066</v>
      </c>
      <c r="C76" s="2">
        <v>45064</v>
      </c>
      <c r="D76" s="4">
        <f>DATEDIF(C76,B76, "MD")</f>
        <v>2</v>
      </c>
      <c r="E76" s="4" t="str">
        <f>TEXT(Data!B76,"MMM-YYYY")</f>
        <v>Sep-2023</v>
      </c>
      <c r="F76" t="s">
        <v>19</v>
      </c>
      <c r="G76" t="s">
        <v>55</v>
      </c>
      <c r="H76" t="s">
        <v>75</v>
      </c>
      <c r="I76" t="s">
        <v>22</v>
      </c>
      <c r="J76" s="4">
        <v>917.88</v>
      </c>
      <c r="K76" s="7" t="str">
        <f t="shared" si="8"/>
        <v>High</v>
      </c>
      <c r="L76" s="4">
        <v>1347.92</v>
      </c>
      <c r="M76" s="4">
        <v>0.34300000000000003</v>
      </c>
      <c r="N76" s="4">
        <v>5</v>
      </c>
      <c r="O76" s="4">
        <f t="shared" si="6"/>
        <v>10198.97235</v>
      </c>
      <c r="P76">
        <f t="shared" si="7"/>
        <v>4589.3999999999996</v>
      </c>
      <c r="Q76" s="4">
        <f t="shared" si="9"/>
        <v>5609.5723500000004</v>
      </c>
      <c r="R76" s="16">
        <f t="shared" si="10"/>
        <v>0.55001348738826616</v>
      </c>
    </row>
    <row r="77" spans="1:18" x14ac:dyDescent="0.3">
      <c r="A77" t="s">
        <v>247</v>
      </c>
      <c r="B77" s="6">
        <v>45187</v>
      </c>
      <c r="C77" s="2">
        <v>45207</v>
      </c>
      <c r="D77" s="4">
        <f t="shared" si="11"/>
        <v>20</v>
      </c>
      <c r="E77" s="4" t="str">
        <f>TEXT(Data!B77,"MMM-YYYY")</f>
        <v>Aug-2024</v>
      </c>
      <c r="F77" t="s">
        <v>62</v>
      </c>
      <c r="G77" t="s">
        <v>98</v>
      </c>
      <c r="H77" t="s">
        <v>56</v>
      </c>
      <c r="I77" t="s">
        <v>22</v>
      </c>
      <c r="J77" s="4">
        <v>825.64</v>
      </c>
      <c r="K77" s="7" t="str">
        <f t="shared" si="8"/>
        <v>High</v>
      </c>
      <c r="L77" s="4">
        <v>1108.43</v>
      </c>
      <c r="M77" s="4">
        <v>0.114</v>
      </c>
      <c r="N77" s="4">
        <v>7</v>
      </c>
      <c r="O77" s="4">
        <f t="shared" si="6"/>
        <v>2073.2045600000001</v>
      </c>
      <c r="P77">
        <f t="shared" si="7"/>
        <v>5779.48</v>
      </c>
      <c r="Q77" s="4">
        <f t="shared" si="9"/>
        <v>-3706.2754399999994</v>
      </c>
      <c r="R77" s="16">
        <f t="shared" si="10"/>
        <v>-1.7877036890175464</v>
      </c>
    </row>
    <row r="78" spans="1:18" x14ac:dyDescent="0.3">
      <c r="A78" t="s">
        <v>249</v>
      </c>
      <c r="B78" s="6">
        <v>45532</v>
      </c>
      <c r="C78" s="2">
        <v>45560</v>
      </c>
      <c r="D78" s="4">
        <f t="shared" si="11"/>
        <v>28</v>
      </c>
      <c r="E78" s="4" t="str">
        <f>TEXT(Data!B78,"MMM-YYYY")</f>
        <v>Jun-2024</v>
      </c>
      <c r="F78" t="s">
        <v>39</v>
      </c>
      <c r="G78" t="s">
        <v>28</v>
      </c>
      <c r="H78" t="s">
        <v>1364</v>
      </c>
      <c r="I78" t="s">
        <v>81</v>
      </c>
      <c r="J78" s="4">
        <v>1394.65</v>
      </c>
      <c r="K78" s="7" t="str">
        <f t="shared" si="8"/>
        <v>High</v>
      </c>
      <c r="L78" s="4">
        <v>3144.1</v>
      </c>
      <c r="M78" s="4">
        <v>0.13400000000000001</v>
      </c>
      <c r="N78" s="4">
        <v>13</v>
      </c>
      <c r="O78" s="4">
        <f t="shared" si="6"/>
        <v>21984.960139999999</v>
      </c>
      <c r="P78">
        <f t="shared" si="7"/>
        <v>18130.45</v>
      </c>
      <c r="Q78" s="4">
        <f t="shared" si="9"/>
        <v>3854.5101399999985</v>
      </c>
      <c r="R78" s="16">
        <f t="shared" si="10"/>
        <v>0.17532486370020767</v>
      </c>
    </row>
    <row r="79" spans="1:18" x14ac:dyDescent="0.3">
      <c r="A79" t="s">
        <v>251</v>
      </c>
      <c r="B79" s="6">
        <v>45473</v>
      </c>
      <c r="C79" s="2">
        <v>45471</v>
      </c>
      <c r="D79" s="4">
        <f>DATEDIF(C79,B79, "MD")</f>
        <v>2</v>
      </c>
      <c r="E79" s="4" t="str">
        <f>TEXT(Data!B79,"MMM-YYYY")</f>
        <v>Jun-2023</v>
      </c>
      <c r="F79" t="s">
        <v>62</v>
      </c>
      <c r="G79" t="s">
        <v>98</v>
      </c>
      <c r="H79" t="s">
        <v>49</v>
      </c>
      <c r="I79" t="s">
        <v>81</v>
      </c>
      <c r="J79" s="4">
        <v>1112.98</v>
      </c>
      <c r="K79" s="7" t="str">
        <f t="shared" si="8"/>
        <v>High</v>
      </c>
      <c r="L79" s="4">
        <v>2095.73</v>
      </c>
      <c r="M79" s="4">
        <v>7.1999999999999995E-2</v>
      </c>
      <c r="N79" s="4">
        <v>17</v>
      </c>
      <c r="O79" s="4">
        <f t="shared" si="6"/>
        <v>3822.3670400000005</v>
      </c>
      <c r="P79">
        <f t="shared" si="7"/>
        <v>18920.66</v>
      </c>
      <c r="Q79" s="4">
        <f t="shared" si="9"/>
        <v>-15098.292959999999</v>
      </c>
      <c r="R79" s="16">
        <f t="shared" si="10"/>
        <v>-3.9499851275402365</v>
      </c>
    </row>
    <row r="80" spans="1:18" x14ac:dyDescent="0.3">
      <c r="A80" t="s">
        <v>253</v>
      </c>
      <c r="B80" s="6">
        <v>45091</v>
      </c>
      <c r="C80" s="2">
        <v>45093</v>
      </c>
      <c r="D80" s="4">
        <f t="shared" si="11"/>
        <v>2</v>
      </c>
      <c r="E80" s="4" t="str">
        <f>TEXT(Data!B80,"MMM-YYYY")</f>
        <v>Nov-2024</v>
      </c>
      <c r="F80" t="s">
        <v>39</v>
      </c>
      <c r="G80" t="s">
        <v>98</v>
      </c>
      <c r="H80" t="s">
        <v>95</v>
      </c>
      <c r="I80" t="s">
        <v>22</v>
      </c>
      <c r="J80" s="4">
        <v>357.36</v>
      </c>
      <c r="K80" s="7" t="str">
        <f t="shared" si="8"/>
        <v>High</v>
      </c>
      <c r="L80" s="4">
        <v>703.62</v>
      </c>
      <c r="M80" s="4">
        <v>0.25700000000000001</v>
      </c>
      <c r="N80" s="4">
        <v>20</v>
      </c>
      <c r="O80" s="4">
        <f t="shared" si="6"/>
        <v>44117.408199999998</v>
      </c>
      <c r="P80">
        <f t="shared" si="7"/>
        <v>7147.2000000000007</v>
      </c>
      <c r="Q80" s="4">
        <f t="shared" si="9"/>
        <v>36970.208199999994</v>
      </c>
      <c r="R80" s="16">
        <f t="shared" si="10"/>
        <v>0.83799592288832592</v>
      </c>
    </row>
    <row r="81" spans="1:18" x14ac:dyDescent="0.3">
      <c r="A81" t="s">
        <v>255</v>
      </c>
      <c r="B81" s="6">
        <v>45617</v>
      </c>
      <c r="C81" s="2">
        <v>45647</v>
      </c>
      <c r="D81" s="4">
        <f t="shared" si="11"/>
        <v>0</v>
      </c>
      <c r="E81" s="4" t="str">
        <f>TEXT(Data!B81,"MMM-YYYY")</f>
        <v>Feb-2023</v>
      </c>
      <c r="F81" t="s">
        <v>62</v>
      </c>
      <c r="G81" t="s">
        <v>98</v>
      </c>
      <c r="H81" t="s">
        <v>34</v>
      </c>
      <c r="I81" t="s">
        <v>64</v>
      </c>
      <c r="J81" s="4">
        <v>1122.68</v>
      </c>
      <c r="K81" s="7" t="str">
        <f t="shared" si="8"/>
        <v>High</v>
      </c>
      <c r="L81" s="4">
        <v>1997.19</v>
      </c>
      <c r="M81" s="4">
        <v>0.186</v>
      </c>
      <c r="N81" s="4">
        <v>3</v>
      </c>
      <c r="O81" s="4">
        <f t="shared" si="6"/>
        <v>3404.8806</v>
      </c>
      <c r="P81">
        <f t="shared" si="7"/>
        <v>3368.04</v>
      </c>
      <c r="Q81" s="4">
        <f t="shared" si="9"/>
        <v>36.840599999999995</v>
      </c>
      <c r="R81" s="16">
        <f t="shared" si="10"/>
        <v>1.081993888420052E-2</v>
      </c>
    </row>
    <row r="82" spans="1:18" x14ac:dyDescent="0.3">
      <c r="A82" t="s">
        <v>257</v>
      </c>
      <c r="B82" s="6">
        <v>44965</v>
      </c>
      <c r="C82" s="2">
        <v>44968</v>
      </c>
      <c r="D82" s="4">
        <f t="shared" si="11"/>
        <v>3</v>
      </c>
      <c r="E82" s="4" t="str">
        <f>TEXT(Data!B82,"MMM-YYYY")</f>
        <v>Aug-2023</v>
      </c>
      <c r="F82" t="s">
        <v>19</v>
      </c>
      <c r="G82" t="s">
        <v>98</v>
      </c>
      <c r="H82" t="s">
        <v>110</v>
      </c>
      <c r="I82" t="s">
        <v>35</v>
      </c>
      <c r="J82" s="4">
        <v>1410.05</v>
      </c>
      <c r="K82" s="7" t="str">
        <f t="shared" si="8"/>
        <v>High</v>
      </c>
      <c r="L82" s="4">
        <v>2763.95</v>
      </c>
      <c r="M82" s="4">
        <v>0.161</v>
      </c>
      <c r="N82" s="4">
        <v>26</v>
      </c>
      <c r="O82" s="4">
        <f t="shared" si="6"/>
        <v>336.15374000000003</v>
      </c>
      <c r="P82">
        <f t="shared" si="7"/>
        <v>36661.299999999996</v>
      </c>
      <c r="Q82" s="4">
        <f t="shared" si="9"/>
        <v>-36325.146259999994</v>
      </c>
      <c r="R82" s="16">
        <f t="shared" si="10"/>
        <v>-108.06110995522462</v>
      </c>
    </row>
    <row r="83" spans="1:18" x14ac:dyDescent="0.3">
      <c r="A83" t="s">
        <v>260</v>
      </c>
      <c r="B83" s="6">
        <v>45157</v>
      </c>
      <c r="C83" s="2">
        <v>45181</v>
      </c>
      <c r="D83" s="4">
        <f t="shared" si="11"/>
        <v>24</v>
      </c>
      <c r="E83" s="4" t="str">
        <f>TEXT(Data!B83,"MMM-YYYY")</f>
        <v>May-2025</v>
      </c>
      <c r="F83" t="s">
        <v>105</v>
      </c>
      <c r="G83" t="s">
        <v>20</v>
      </c>
      <c r="H83" t="s">
        <v>34</v>
      </c>
      <c r="I83" t="s">
        <v>30</v>
      </c>
      <c r="J83" s="4">
        <v>1183.95</v>
      </c>
      <c r="K83" s="7" t="str">
        <f t="shared" si="8"/>
        <v>High</v>
      </c>
      <c r="L83" s="4">
        <v>1503.53</v>
      </c>
      <c r="M83" s="4">
        <v>0.24099999999999999</v>
      </c>
      <c r="N83" s="4">
        <v>16</v>
      </c>
      <c r="O83" s="4">
        <f t="shared" si="6"/>
        <v>27333.836640000001</v>
      </c>
      <c r="P83">
        <f t="shared" si="7"/>
        <v>18943.2</v>
      </c>
      <c r="Q83" s="4">
        <f t="shared" si="9"/>
        <v>8390.6366400000006</v>
      </c>
      <c r="R83" s="16">
        <f t="shared" si="10"/>
        <v>0.30696885879976488</v>
      </c>
    </row>
    <row r="84" spans="1:18" x14ac:dyDescent="0.3">
      <c r="A84" t="s">
        <v>262</v>
      </c>
      <c r="B84" s="6">
        <v>45791</v>
      </c>
      <c r="C84" s="2">
        <v>45801</v>
      </c>
      <c r="D84" s="4">
        <f t="shared" si="11"/>
        <v>10</v>
      </c>
      <c r="E84" s="4" t="str">
        <f>TEXT(Data!B84,"MMM-YYYY")</f>
        <v>Apr-2025</v>
      </c>
      <c r="F84" t="s">
        <v>62</v>
      </c>
      <c r="G84" t="s">
        <v>40</v>
      </c>
      <c r="H84" t="s">
        <v>95</v>
      </c>
      <c r="I84" t="s">
        <v>22</v>
      </c>
      <c r="J84" s="4">
        <v>170.39</v>
      </c>
      <c r="K84" s="7" t="str">
        <f t="shared" si="8"/>
        <v>High</v>
      </c>
      <c r="L84" s="4">
        <v>388.04</v>
      </c>
      <c r="M84" s="4">
        <v>8.4000000000000005E-2</v>
      </c>
      <c r="N84" s="4">
        <v>15</v>
      </c>
      <c r="O84" s="4">
        <f t="shared" si="6"/>
        <v>2281.3896</v>
      </c>
      <c r="P84">
        <f t="shared" si="7"/>
        <v>2555.85</v>
      </c>
      <c r="Q84" s="4">
        <f t="shared" si="9"/>
        <v>-274.46039999999994</v>
      </c>
      <c r="R84" s="16">
        <f t="shared" si="10"/>
        <v>-0.12030404627074653</v>
      </c>
    </row>
    <row r="85" spans="1:18" x14ac:dyDescent="0.3">
      <c r="A85" t="s">
        <v>264</v>
      </c>
      <c r="B85" s="6">
        <v>45770</v>
      </c>
      <c r="C85" s="2">
        <v>45769</v>
      </c>
      <c r="D85" s="4">
        <f>DATEDIF(C85,B85, "MD")</f>
        <v>1</v>
      </c>
      <c r="E85" s="4" t="str">
        <f>TEXT(Data!B85,"MMM-YYYY")</f>
        <v>Mar-2025</v>
      </c>
      <c r="F85" t="s">
        <v>39</v>
      </c>
      <c r="G85" t="s">
        <v>55</v>
      </c>
      <c r="H85" t="s">
        <v>145</v>
      </c>
      <c r="I85" t="s">
        <v>64</v>
      </c>
      <c r="J85" s="4">
        <v>23.24</v>
      </c>
      <c r="K85" s="7" t="str">
        <f t="shared" si="8"/>
        <v>Low</v>
      </c>
      <c r="L85" s="4">
        <v>44.57</v>
      </c>
      <c r="M85" s="4">
        <v>0.215</v>
      </c>
      <c r="N85" s="4">
        <v>15</v>
      </c>
      <c r="O85" s="4">
        <f t="shared" si="6"/>
        <v>4198.3762500000003</v>
      </c>
      <c r="P85">
        <f t="shared" si="7"/>
        <v>348.59999999999997</v>
      </c>
      <c r="Q85" s="4">
        <f t="shared" si="9"/>
        <v>3849.7762500000003</v>
      </c>
      <c r="R85" s="16">
        <f t="shared" si="10"/>
        <v>0.91696789919674304</v>
      </c>
    </row>
    <row r="86" spans="1:18" x14ac:dyDescent="0.3">
      <c r="A86" t="s">
        <v>266</v>
      </c>
      <c r="B86" s="6">
        <v>45741</v>
      </c>
      <c r="C86" s="2">
        <v>45764</v>
      </c>
      <c r="D86" s="4">
        <f t="shared" si="11"/>
        <v>23</v>
      </c>
      <c r="E86" s="4" t="str">
        <f>TEXT(Data!B86,"MMM-YYYY")</f>
        <v>Dec-2023</v>
      </c>
      <c r="F86" t="s">
        <v>48</v>
      </c>
      <c r="G86" t="s">
        <v>20</v>
      </c>
      <c r="H86" t="s">
        <v>92</v>
      </c>
      <c r="I86" t="s">
        <v>35</v>
      </c>
      <c r="J86" s="4">
        <v>1421.19</v>
      </c>
      <c r="K86" s="7" t="str">
        <f t="shared" si="8"/>
        <v>High</v>
      </c>
      <c r="L86" s="4">
        <v>1808.26</v>
      </c>
      <c r="M86" s="4">
        <v>0.104</v>
      </c>
      <c r="N86" s="4">
        <v>13</v>
      </c>
      <c r="O86" s="4">
        <f t="shared" si="6"/>
        <v>11939.7824</v>
      </c>
      <c r="P86">
        <f t="shared" si="7"/>
        <v>18475.47</v>
      </c>
      <c r="Q86" s="4">
        <f t="shared" si="9"/>
        <v>-6535.6876000000011</v>
      </c>
      <c r="R86" s="16">
        <f t="shared" si="10"/>
        <v>-0.54738749677716081</v>
      </c>
    </row>
    <row r="87" spans="1:18" x14ac:dyDescent="0.3">
      <c r="A87" t="s">
        <v>268</v>
      </c>
      <c r="B87" s="6">
        <v>45282</v>
      </c>
      <c r="C87" s="2">
        <v>45283</v>
      </c>
      <c r="D87" s="4">
        <f t="shared" si="11"/>
        <v>1</v>
      </c>
      <c r="E87" s="4" t="str">
        <f>TEXT(Data!B87,"MMM-YYYY")</f>
        <v>Apr-2024</v>
      </c>
      <c r="F87" t="s">
        <v>39</v>
      </c>
      <c r="G87" t="s">
        <v>40</v>
      </c>
      <c r="H87" t="s">
        <v>145</v>
      </c>
      <c r="I87" t="s">
        <v>22</v>
      </c>
      <c r="J87" s="4">
        <v>1186.18</v>
      </c>
      <c r="K87" s="7" t="str">
        <f t="shared" si="8"/>
        <v>High</v>
      </c>
      <c r="L87" s="4">
        <v>1285.0899999999999</v>
      </c>
      <c r="M87" s="4">
        <v>7.0000000000000007E-2</v>
      </c>
      <c r="N87" s="4">
        <v>11</v>
      </c>
      <c r="O87" s="4">
        <f t="shared" si="6"/>
        <v>18364.589100000001</v>
      </c>
      <c r="P87">
        <f t="shared" si="7"/>
        <v>13047.980000000001</v>
      </c>
      <c r="Q87" s="4">
        <f t="shared" si="9"/>
        <v>5316.6090999999997</v>
      </c>
      <c r="R87" s="16">
        <f t="shared" si="10"/>
        <v>0.28950329740838032</v>
      </c>
    </row>
    <row r="88" spans="1:18" x14ac:dyDescent="0.3">
      <c r="A88" t="s">
        <v>270</v>
      </c>
      <c r="B88" s="6">
        <v>45388</v>
      </c>
      <c r="C88" s="2">
        <v>45407</v>
      </c>
      <c r="D88" s="4">
        <f t="shared" si="11"/>
        <v>19</v>
      </c>
      <c r="E88" s="4" t="str">
        <f>TEXT(Data!B88,"MMM-YYYY")</f>
        <v>Aug-2025</v>
      </c>
      <c r="F88" t="s">
        <v>19</v>
      </c>
      <c r="G88" t="s">
        <v>20</v>
      </c>
      <c r="H88" t="s">
        <v>95</v>
      </c>
      <c r="I88" t="s">
        <v>22</v>
      </c>
      <c r="J88" s="4">
        <v>1366.48</v>
      </c>
      <c r="K88" s="7" t="str">
        <f t="shared" si="8"/>
        <v>High</v>
      </c>
      <c r="L88" s="4">
        <v>1678.14</v>
      </c>
      <c r="M88" s="4">
        <v>0.154</v>
      </c>
      <c r="N88" s="4">
        <v>10</v>
      </c>
      <c r="O88" s="4">
        <f t="shared" si="6"/>
        <v>36.970199999999998</v>
      </c>
      <c r="P88">
        <f t="shared" si="7"/>
        <v>13664.8</v>
      </c>
      <c r="Q88" s="4">
        <f t="shared" si="9"/>
        <v>-13627.8298</v>
      </c>
      <c r="R88" s="16">
        <f t="shared" si="10"/>
        <v>-368.61661013464897</v>
      </c>
    </row>
    <row r="89" spans="1:18" x14ac:dyDescent="0.3">
      <c r="A89" t="s">
        <v>272</v>
      </c>
      <c r="B89" s="6">
        <v>45876</v>
      </c>
      <c r="C89" s="2">
        <v>45888</v>
      </c>
      <c r="D89" s="4">
        <f t="shared" si="11"/>
        <v>12</v>
      </c>
      <c r="E89" s="4" t="str">
        <f>TEXT(Data!B89,"MMM-YYYY")</f>
        <v>Jan-2024</v>
      </c>
      <c r="F89" t="s">
        <v>19</v>
      </c>
      <c r="G89" t="s">
        <v>1364</v>
      </c>
      <c r="H89" t="s">
        <v>110</v>
      </c>
      <c r="I89" t="s">
        <v>22</v>
      </c>
      <c r="J89" s="4">
        <v>601.51</v>
      </c>
      <c r="K89" s="7" t="str">
        <f t="shared" si="8"/>
        <v>High</v>
      </c>
      <c r="L89" s="4">
        <v>679.35</v>
      </c>
      <c r="M89" s="4">
        <v>0.188</v>
      </c>
      <c r="N89" s="4">
        <v>3</v>
      </c>
      <c r="O89" s="4">
        <f t="shared" si="6"/>
        <v>532.26600000000008</v>
      </c>
      <c r="P89">
        <f t="shared" si="7"/>
        <v>1804.53</v>
      </c>
      <c r="Q89" s="4">
        <f t="shared" si="9"/>
        <v>-1272.2639999999999</v>
      </c>
      <c r="R89" s="16">
        <f t="shared" si="10"/>
        <v>-2.3902785449380568</v>
      </c>
    </row>
    <row r="90" spans="1:18" x14ac:dyDescent="0.3">
      <c r="A90" t="s">
        <v>274</v>
      </c>
      <c r="B90" s="6">
        <v>45312</v>
      </c>
      <c r="C90" s="2">
        <v>45316</v>
      </c>
      <c r="D90" s="4">
        <f t="shared" si="11"/>
        <v>4</v>
      </c>
      <c r="E90" s="4" t="str">
        <f>TEXT(Data!B90,"MMM-YYYY")</f>
        <v>Jun-2023</v>
      </c>
      <c r="F90" t="s">
        <v>48</v>
      </c>
      <c r="G90" t="s">
        <v>98</v>
      </c>
      <c r="H90" t="s">
        <v>21</v>
      </c>
      <c r="I90" t="s">
        <v>64</v>
      </c>
      <c r="J90" s="4">
        <v>523.70000000000005</v>
      </c>
      <c r="K90" s="7" t="str">
        <f t="shared" si="8"/>
        <v>High</v>
      </c>
      <c r="L90" s="4">
        <v>1109.92</v>
      </c>
      <c r="M90" s="4">
        <v>0.03</v>
      </c>
      <c r="N90" s="4">
        <v>11</v>
      </c>
      <c r="O90" s="4">
        <f t="shared" si="6"/>
        <v>2666.1129000000001</v>
      </c>
      <c r="P90">
        <f t="shared" si="7"/>
        <v>5760.7000000000007</v>
      </c>
      <c r="Q90" s="4">
        <f t="shared" si="9"/>
        <v>-3094.5871000000006</v>
      </c>
      <c r="R90" s="16">
        <f t="shared" si="10"/>
        <v>-1.160711198689298</v>
      </c>
    </row>
    <row r="91" spans="1:18" x14ac:dyDescent="0.3">
      <c r="A91" t="s">
        <v>276</v>
      </c>
      <c r="B91" s="6">
        <v>45106</v>
      </c>
      <c r="C91" s="2">
        <v>45109</v>
      </c>
      <c r="D91" s="4">
        <f t="shared" si="11"/>
        <v>3</v>
      </c>
      <c r="E91" s="4" t="str">
        <f>TEXT(Data!B91,"MMM-YYYY")</f>
        <v>Apr-2025</v>
      </c>
      <c r="F91" t="s">
        <v>27</v>
      </c>
      <c r="G91" t="s">
        <v>40</v>
      </c>
      <c r="H91" t="s">
        <v>84</v>
      </c>
      <c r="I91" t="s">
        <v>64</v>
      </c>
      <c r="J91" s="4">
        <v>55.65</v>
      </c>
      <c r="K91" s="7" t="str">
        <f t="shared" si="8"/>
        <v>Medium</v>
      </c>
      <c r="L91" s="4">
        <v>83.57</v>
      </c>
      <c r="M91" s="4">
        <v>6.6000000000000003E-2</v>
      </c>
      <c r="N91" s="4">
        <v>8</v>
      </c>
      <c r="O91" s="4">
        <f t="shared" si="6"/>
        <v>25677.677439999999</v>
      </c>
      <c r="P91">
        <f t="shared" si="7"/>
        <v>445.2</v>
      </c>
      <c r="Q91" s="4">
        <f t="shared" si="9"/>
        <v>25232.477439999999</v>
      </c>
      <c r="R91" s="16">
        <f t="shared" si="10"/>
        <v>0.98266198331059018</v>
      </c>
    </row>
    <row r="92" spans="1:18" x14ac:dyDescent="0.3">
      <c r="A92" t="s">
        <v>278</v>
      </c>
      <c r="B92" s="6">
        <v>45775</v>
      </c>
      <c r="C92" s="2">
        <v>45792</v>
      </c>
      <c r="D92" s="4">
        <f t="shared" si="11"/>
        <v>17</v>
      </c>
      <c r="E92" s="4" t="str">
        <f>TEXT(Data!B92,"MMM-YYYY")</f>
        <v>Jun-2025</v>
      </c>
      <c r="F92" t="s">
        <v>27</v>
      </c>
      <c r="G92" t="s">
        <v>98</v>
      </c>
      <c r="H92" t="s">
        <v>126</v>
      </c>
      <c r="I92" t="s">
        <v>35</v>
      </c>
      <c r="J92" s="4">
        <v>691.19</v>
      </c>
      <c r="K92" s="7" t="str">
        <f t="shared" si="8"/>
        <v>High</v>
      </c>
      <c r="L92" s="4">
        <v>1284.3</v>
      </c>
      <c r="M92" s="4">
        <v>7.3999999999999996E-2</v>
      </c>
      <c r="N92" s="4">
        <v>7</v>
      </c>
      <c r="O92" s="4">
        <f t="shared" si="6"/>
        <v>346.46290000000005</v>
      </c>
      <c r="P92">
        <f t="shared" si="7"/>
        <v>4838.33</v>
      </c>
      <c r="Q92" s="4">
        <f t="shared" si="9"/>
        <v>-4491.8670999999995</v>
      </c>
      <c r="R92" s="16">
        <f t="shared" si="10"/>
        <v>-12.964929578318483</v>
      </c>
    </row>
    <row r="93" spans="1:18" x14ac:dyDescent="0.3">
      <c r="A93" t="s">
        <v>280</v>
      </c>
      <c r="B93" s="6">
        <v>45817</v>
      </c>
      <c r="C93" s="2">
        <v>45833</v>
      </c>
      <c r="D93" s="4">
        <f t="shared" si="11"/>
        <v>16</v>
      </c>
      <c r="E93" s="4" t="str">
        <f>TEXT(Data!B93,"MMM-YYYY")</f>
        <v>Jun-2023</v>
      </c>
      <c r="F93" t="s">
        <v>105</v>
      </c>
      <c r="G93" t="s">
        <v>55</v>
      </c>
      <c r="H93" t="s">
        <v>110</v>
      </c>
      <c r="I93" t="s">
        <v>42</v>
      </c>
      <c r="J93" s="4">
        <v>527.33000000000004</v>
      </c>
      <c r="K93" s="7" t="str">
        <f t="shared" si="8"/>
        <v>High</v>
      </c>
      <c r="L93" s="4">
        <v>911.72</v>
      </c>
      <c r="M93" s="4">
        <v>0.14399999999999999</v>
      </c>
      <c r="N93" s="4">
        <v>25</v>
      </c>
      <c r="O93" s="4">
        <f t="shared" si="6"/>
        <v>74251.58</v>
      </c>
      <c r="P93">
        <f t="shared" si="7"/>
        <v>13183.250000000002</v>
      </c>
      <c r="Q93" s="4">
        <f t="shared" si="9"/>
        <v>61068.33</v>
      </c>
      <c r="R93" s="16">
        <f t="shared" si="10"/>
        <v>0.82245158958233622</v>
      </c>
    </row>
    <row r="94" spans="1:18" x14ac:dyDescent="0.3">
      <c r="A94" t="s">
        <v>283</v>
      </c>
      <c r="B94" s="6">
        <v>45101</v>
      </c>
      <c r="C94" s="2">
        <v>45100</v>
      </c>
      <c r="D94" s="4">
        <f>DATEDIF(C94,B94, "MD")</f>
        <v>1</v>
      </c>
      <c r="E94" s="4" t="str">
        <f>TEXT(Data!B94,"MMM-YYYY")</f>
        <v>Oct-2024</v>
      </c>
      <c r="F94" t="s">
        <v>39</v>
      </c>
      <c r="G94" t="s">
        <v>20</v>
      </c>
      <c r="H94" t="s">
        <v>63</v>
      </c>
      <c r="I94" t="s">
        <v>30</v>
      </c>
      <c r="J94" s="4">
        <v>804.01</v>
      </c>
      <c r="K94" s="7" t="str">
        <f t="shared" si="8"/>
        <v>High</v>
      </c>
      <c r="L94" s="4">
        <v>1405.07</v>
      </c>
      <c r="M94" s="4">
        <v>9.6000000000000002E-2</v>
      </c>
      <c r="N94" s="4">
        <v>8</v>
      </c>
      <c r="O94" s="4">
        <f t="shared" si="6"/>
        <v>4491.2166399999996</v>
      </c>
      <c r="P94">
        <f t="shared" si="7"/>
        <v>6432.08</v>
      </c>
      <c r="Q94" s="4">
        <f t="shared" si="9"/>
        <v>-1940.8633600000003</v>
      </c>
      <c r="R94" s="16">
        <f t="shared" si="10"/>
        <v>-0.43214645731273393</v>
      </c>
    </row>
    <row r="95" spans="1:18" x14ac:dyDescent="0.3">
      <c r="A95" t="s">
        <v>285</v>
      </c>
      <c r="B95" s="6">
        <v>45569</v>
      </c>
      <c r="C95" s="2">
        <v>45598</v>
      </c>
      <c r="D95" s="4">
        <f t="shared" si="11"/>
        <v>29</v>
      </c>
      <c r="E95" s="4" t="str">
        <f>TEXT(Data!B95,"MMM-YYYY")</f>
        <v>Sep-2025</v>
      </c>
      <c r="F95" t="s">
        <v>19</v>
      </c>
      <c r="G95" t="s">
        <v>55</v>
      </c>
      <c r="H95" t="s">
        <v>84</v>
      </c>
      <c r="I95" t="s">
        <v>81</v>
      </c>
      <c r="J95" s="4">
        <v>412.09</v>
      </c>
      <c r="K95" s="7" t="str">
        <f t="shared" si="8"/>
        <v>High</v>
      </c>
      <c r="L95" s="4">
        <v>968.94</v>
      </c>
      <c r="M95" s="4">
        <v>9.9000000000000005E-2</v>
      </c>
      <c r="N95" s="4">
        <v>23</v>
      </c>
      <c r="O95" s="4">
        <f t="shared" si="6"/>
        <v>1834.19273</v>
      </c>
      <c r="P95">
        <f t="shared" si="7"/>
        <v>9478.07</v>
      </c>
      <c r="Q95" s="4">
        <f t="shared" si="9"/>
        <v>-7643.87727</v>
      </c>
      <c r="R95" s="16">
        <f t="shared" si="10"/>
        <v>-4.1674340678473847</v>
      </c>
    </row>
    <row r="96" spans="1:18" x14ac:dyDescent="0.3">
      <c r="A96" t="s">
        <v>287</v>
      </c>
      <c r="B96" s="6">
        <v>45910</v>
      </c>
      <c r="C96" s="2">
        <v>45930</v>
      </c>
      <c r="D96" s="4">
        <f t="shared" si="11"/>
        <v>20</v>
      </c>
      <c r="E96" s="4" t="str">
        <f>TEXT(Data!B96,"MMM-YYYY")</f>
        <v>Apr-2023</v>
      </c>
      <c r="F96" t="s">
        <v>19</v>
      </c>
      <c r="G96" t="s">
        <v>98</v>
      </c>
      <c r="H96" t="s">
        <v>49</v>
      </c>
      <c r="I96" t="s">
        <v>42</v>
      </c>
      <c r="J96" s="4">
        <v>1009.48</v>
      </c>
      <c r="K96" s="7" t="str">
        <f t="shared" si="8"/>
        <v>High</v>
      </c>
      <c r="L96" s="4">
        <v>1088.81</v>
      </c>
      <c r="M96" s="4">
        <v>0.16</v>
      </c>
      <c r="N96" s="4">
        <v>6</v>
      </c>
      <c r="O96" s="4">
        <f t="shared" si="6"/>
        <v>9873.8135999999995</v>
      </c>
      <c r="P96">
        <f t="shared" si="7"/>
        <v>6056.88</v>
      </c>
      <c r="Q96" s="4">
        <f t="shared" si="9"/>
        <v>3816.9335999999994</v>
      </c>
      <c r="R96" s="16">
        <f t="shared" si="10"/>
        <v>0.38657136488782812</v>
      </c>
    </row>
    <row r="97" spans="1:18" x14ac:dyDescent="0.3">
      <c r="A97" t="s">
        <v>289</v>
      </c>
      <c r="B97" s="6">
        <v>45022</v>
      </c>
      <c r="C97" s="2">
        <v>45043</v>
      </c>
      <c r="D97" s="4">
        <f t="shared" si="11"/>
        <v>21</v>
      </c>
      <c r="E97" s="4" t="str">
        <f>TEXT(Data!B97,"MMM-YYYY")</f>
        <v>Aug-2025</v>
      </c>
      <c r="F97" t="s">
        <v>105</v>
      </c>
      <c r="G97" t="s">
        <v>55</v>
      </c>
      <c r="H97" t="s">
        <v>34</v>
      </c>
      <c r="I97" t="s">
        <v>30</v>
      </c>
      <c r="J97" s="4">
        <v>1084.79</v>
      </c>
      <c r="K97" s="7" t="str">
        <f t="shared" si="8"/>
        <v>High</v>
      </c>
      <c r="L97" s="4">
        <v>2484.9899999999998</v>
      </c>
      <c r="M97" s="4">
        <v>3.4000000000000002E-2</v>
      </c>
      <c r="N97" s="4">
        <v>18</v>
      </c>
      <c r="O97" s="4">
        <f t="shared" si="6"/>
        <v>47694.762360000001</v>
      </c>
      <c r="P97">
        <f t="shared" si="7"/>
        <v>19526.22</v>
      </c>
      <c r="Q97" s="4">
        <f t="shared" si="9"/>
        <v>28168.542359999999</v>
      </c>
      <c r="R97" s="16">
        <f t="shared" si="10"/>
        <v>0.59060032939013052</v>
      </c>
    </row>
    <row r="98" spans="1:18" x14ac:dyDescent="0.3">
      <c r="A98" t="s">
        <v>291</v>
      </c>
      <c r="B98" s="6">
        <v>45870</v>
      </c>
      <c r="C98" s="2">
        <v>45885</v>
      </c>
      <c r="D98" s="4">
        <f t="shared" si="11"/>
        <v>15</v>
      </c>
      <c r="E98" s="4" t="str">
        <f>TEXT(Data!B98,"MMM-YYYY")</f>
        <v>May-2024</v>
      </c>
      <c r="F98" t="s">
        <v>105</v>
      </c>
      <c r="G98" t="s">
        <v>98</v>
      </c>
      <c r="H98" t="s">
        <v>68</v>
      </c>
      <c r="I98" t="s">
        <v>64</v>
      </c>
      <c r="J98" s="4">
        <v>24.44</v>
      </c>
      <c r="K98" s="7" t="str">
        <f t="shared" si="8"/>
        <v>Low</v>
      </c>
      <c r="L98" s="4">
        <v>28.69</v>
      </c>
      <c r="M98" s="4">
        <v>0.14599999999999999</v>
      </c>
      <c r="N98" s="4">
        <v>6</v>
      </c>
      <c r="O98" s="4">
        <f t="shared" si="6"/>
        <v>8605.3480799999998</v>
      </c>
      <c r="P98">
        <f t="shared" si="7"/>
        <v>146.64000000000001</v>
      </c>
      <c r="Q98" s="4">
        <f t="shared" si="9"/>
        <v>8458.7080800000003</v>
      </c>
      <c r="R98" s="16">
        <f t="shared" si="10"/>
        <v>0.98295943422197984</v>
      </c>
    </row>
    <row r="99" spans="1:18" x14ac:dyDescent="0.3">
      <c r="A99" t="s">
        <v>293</v>
      </c>
      <c r="B99" s="6">
        <v>45440</v>
      </c>
      <c r="C99" s="2">
        <v>45438</v>
      </c>
      <c r="D99" s="4">
        <f>DATEDIF(C99,B99, "MD")</f>
        <v>2</v>
      </c>
      <c r="E99" s="4" t="str">
        <f>TEXT(Data!B99,"MMM-YYYY")</f>
        <v>Jul-2025</v>
      </c>
      <c r="F99" t="s">
        <v>105</v>
      </c>
      <c r="G99" t="s">
        <v>28</v>
      </c>
      <c r="H99" t="s">
        <v>84</v>
      </c>
      <c r="I99" t="s">
        <v>81</v>
      </c>
      <c r="J99" s="4">
        <v>1227.08</v>
      </c>
      <c r="K99" s="7" t="str">
        <f t="shared" si="8"/>
        <v>High</v>
      </c>
      <c r="L99" s="4">
        <v>1896.62</v>
      </c>
      <c r="M99" s="4">
        <v>0</v>
      </c>
      <c r="N99" s="4">
        <v>18</v>
      </c>
      <c r="O99" s="4">
        <f t="shared" si="6"/>
        <v>25810.2</v>
      </c>
      <c r="P99">
        <f t="shared" si="7"/>
        <v>22087.439999999999</v>
      </c>
      <c r="Q99" s="4">
        <f t="shared" si="9"/>
        <v>3722.760000000002</v>
      </c>
      <c r="R99" s="16">
        <f t="shared" si="10"/>
        <v>0.14423599972104059</v>
      </c>
    </row>
    <row r="100" spans="1:18" x14ac:dyDescent="0.3">
      <c r="A100" t="s">
        <v>295</v>
      </c>
      <c r="B100" s="6">
        <v>45860</v>
      </c>
      <c r="C100" s="2">
        <v>45887</v>
      </c>
      <c r="D100" s="4">
        <f t="shared" si="11"/>
        <v>27</v>
      </c>
      <c r="E100" s="4" t="str">
        <f>TEXT(Data!B100,"MMM-YYYY")</f>
        <v>Feb-2023</v>
      </c>
      <c r="F100" t="s">
        <v>39</v>
      </c>
      <c r="G100" t="s">
        <v>40</v>
      </c>
      <c r="H100" t="s">
        <v>110</v>
      </c>
      <c r="I100" t="s">
        <v>35</v>
      </c>
      <c r="J100" s="4">
        <v>547.32000000000005</v>
      </c>
      <c r="K100" s="7" t="str">
        <f t="shared" si="8"/>
        <v>High</v>
      </c>
      <c r="L100" s="4">
        <v>419.17</v>
      </c>
      <c r="M100" s="4">
        <v>9.1999999999999998E-2</v>
      </c>
      <c r="N100" s="4">
        <v>14</v>
      </c>
      <c r="O100" s="4">
        <f t="shared" si="6"/>
        <v>3615.67416</v>
      </c>
      <c r="P100">
        <f t="shared" si="7"/>
        <v>7662.4800000000005</v>
      </c>
      <c r="Q100" s="4">
        <f t="shared" si="9"/>
        <v>-4046.8058400000004</v>
      </c>
      <c r="R100" s="16">
        <f t="shared" si="10"/>
        <v>-1.1192396385630061</v>
      </c>
    </row>
    <row r="101" spans="1:18" x14ac:dyDescent="0.3">
      <c r="A101" t="s">
        <v>297</v>
      </c>
      <c r="B101" s="6">
        <v>44985</v>
      </c>
      <c r="C101" s="2">
        <v>45005</v>
      </c>
      <c r="D101" s="4">
        <f t="shared" si="11"/>
        <v>20</v>
      </c>
      <c r="E101" s="4" t="str">
        <f>TEXT(Data!B101,"MMM-YYYY")</f>
        <v>Jan-2025</v>
      </c>
      <c r="F101" t="s">
        <v>62</v>
      </c>
      <c r="G101" t="s">
        <v>98</v>
      </c>
      <c r="H101" t="s">
        <v>92</v>
      </c>
      <c r="I101" t="s">
        <v>57</v>
      </c>
      <c r="J101" s="4">
        <v>1200.78</v>
      </c>
      <c r="K101" s="7" t="str">
        <f t="shared" si="8"/>
        <v>High</v>
      </c>
      <c r="L101" s="4">
        <v>2001.17</v>
      </c>
      <c r="M101" s="4">
        <v>0.29199999999999998</v>
      </c>
      <c r="N101" s="4">
        <v>18</v>
      </c>
      <c r="O101" s="4">
        <f t="shared" si="6"/>
        <v>8854.276319999999</v>
      </c>
      <c r="P101">
        <f t="shared" si="7"/>
        <v>21614.04</v>
      </c>
      <c r="Q101" s="4">
        <f t="shared" si="9"/>
        <v>-12759.763680000002</v>
      </c>
      <c r="R101" s="16">
        <f t="shared" si="10"/>
        <v>-1.4410848745682701</v>
      </c>
    </row>
    <row r="102" spans="1:18" x14ac:dyDescent="0.3">
      <c r="A102" t="s">
        <v>299</v>
      </c>
      <c r="B102" s="6">
        <v>45684</v>
      </c>
      <c r="C102" s="2">
        <v>45703</v>
      </c>
      <c r="D102" s="4">
        <f t="shared" si="11"/>
        <v>19</v>
      </c>
      <c r="E102" s="4" t="str">
        <f>TEXT(Data!B102,"MMM-YYYY")</f>
        <v>Jan-2024</v>
      </c>
      <c r="F102" t="s">
        <v>39</v>
      </c>
      <c r="G102" t="s">
        <v>98</v>
      </c>
      <c r="H102" t="s">
        <v>49</v>
      </c>
      <c r="I102" t="s">
        <v>42</v>
      </c>
      <c r="J102" s="4">
        <v>1253.22</v>
      </c>
      <c r="K102" s="7" t="str">
        <f t="shared" si="8"/>
        <v>High</v>
      </c>
      <c r="L102" s="4">
        <v>3104.71</v>
      </c>
      <c r="M102" s="4">
        <v>0</v>
      </c>
      <c r="N102" s="4">
        <v>17</v>
      </c>
      <c r="O102" s="4">
        <f t="shared" si="6"/>
        <v>31422.63</v>
      </c>
      <c r="P102">
        <f t="shared" si="7"/>
        <v>21304.74</v>
      </c>
      <c r="Q102" s="4">
        <f t="shared" si="9"/>
        <v>10117.89</v>
      </c>
      <c r="R102" s="16">
        <f t="shared" si="10"/>
        <v>0.3219937350883742</v>
      </c>
    </row>
    <row r="103" spans="1:18" x14ac:dyDescent="0.3">
      <c r="A103" t="s">
        <v>301</v>
      </c>
      <c r="B103" s="6">
        <v>45304</v>
      </c>
      <c r="C103" s="2">
        <v>45313</v>
      </c>
      <c r="D103" s="4">
        <f t="shared" si="11"/>
        <v>9</v>
      </c>
      <c r="E103" s="4" t="str">
        <f>TEXT(Data!B103,"MMM-YYYY")</f>
        <v>Mar-2025</v>
      </c>
      <c r="F103" t="s">
        <v>105</v>
      </c>
      <c r="G103" t="s">
        <v>40</v>
      </c>
      <c r="H103" t="s">
        <v>29</v>
      </c>
      <c r="I103" t="s">
        <v>22</v>
      </c>
      <c r="J103" s="4">
        <v>313.60000000000002</v>
      </c>
      <c r="K103" s="7" t="str">
        <f t="shared" si="8"/>
        <v>High</v>
      </c>
      <c r="L103" s="4">
        <v>334.28</v>
      </c>
      <c r="M103" s="4">
        <v>0.14000000000000001</v>
      </c>
      <c r="N103" s="4">
        <v>22</v>
      </c>
      <c r="O103" s="4">
        <f t="shared" si="6"/>
        <v>854.99479999999994</v>
      </c>
      <c r="P103">
        <f t="shared" si="7"/>
        <v>6899.2000000000007</v>
      </c>
      <c r="Q103" s="4">
        <f t="shared" si="9"/>
        <v>-6044.2052000000003</v>
      </c>
      <c r="R103" s="16">
        <f t="shared" si="10"/>
        <v>-7.0692888424584579</v>
      </c>
    </row>
    <row r="104" spans="1:18" x14ac:dyDescent="0.3">
      <c r="A104" t="s">
        <v>303</v>
      </c>
      <c r="B104" s="6">
        <v>45747</v>
      </c>
      <c r="C104" s="2">
        <v>45751</v>
      </c>
      <c r="D104" s="4">
        <f t="shared" si="11"/>
        <v>4</v>
      </c>
      <c r="E104" s="4" t="str">
        <f>TEXT(Data!B104,"MMM-YYYY")</f>
        <v>Dec-2024</v>
      </c>
      <c r="F104" t="s">
        <v>19</v>
      </c>
      <c r="G104" t="s">
        <v>98</v>
      </c>
      <c r="H104" t="s">
        <v>21</v>
      </c>
      <c r="I104" t="s">
        <v>57</v>
      </c>
      <c r="J104" s="4">
        <v>862.08</v>
      </c>
      <c r="K104" s="7" t="str">
        <f t="shared" si="8"/>
        <v>High</v>
      </c>
      <c r="L104" s="4">
        <v>1952.83</v>
      </c>
      <c r="M104" s="4">
        <v>0</v>
      </c>
      <c r="N104" s="4">
        <v>7</v>
      </c>
      <c r="O104" s="4">
        <f t="shared" si="6"/>
        <v>2527.7000000000003</v>
      </c>
      <c r="P104">
        <f t="shared" si="7"/>
        <v>6034.56</v>
      </c>
      <c r="Q104" s="4">
        <f t="shared" si="9"/>
        <v>-3506.86</v>
      </c>
      <c r="R104" s="16">
        <f t="shared" si="10"/>
        <v>-1.3873719191359732</v>
      </c>
    </row>
    <row r="105" spans="1:18" x14ac:dyDescent="0.3">
      <c r="A105" t="s">
        <v>305</v>
      </c>
      <c r="B105" s="6">
        <v>45631</v>
      </c>
      <c r="C105" s="2">
        <v>45654</v>
      </c>
      <c r="D105" s="4">
        <f t="shared" si="11"/>
        <v>23</v>
      </c>
      <c r="E105" s="4" t="str">
        <f>TEXT(Data!B105,"MMM-YYYY")</f>
        <v>Sep-2024</v>
      </c>
      <c r="F105" t="s">
        <v>19</v>
      </c>
      <c r="G105" t="s">
        <v>98</v>
      </c>
      <c r="H105" t="s">
        <v>84</v>
      </c>
      <c r="I105" t="s">
        <v>81</v>
      </c>
      <c r="J105" s="4">
        <v>107.03</v>
      </c>
      <c r="K105" s="7" t="str">
        <f t="shared" si="8"/>
        <v>High</v>
      </c>
      <c r="L105" s="4">
        <v>242.29</v>
      </c>
      <c r="M105" s="4">
        <v>0.18</v>
      </c>
      <c r="N105" s="4">
        <v>30</v>
      </c>
      <c r="O105" s="4">
        <f t="shared" si="6"/>
        <v>24706.764000000003</v>
      </c>
      <c r="P105">
        <f t="shared" si="7"/>
        <v>3210.9</v>
      </c>
      <c r="Q105" s="4">
        <f t="shared" si="9"/>
        <v>21495.864000000001</v>
      </c>
      <c r="R105" s="16">
        <f t="shared" si="10"/>
        <v>0.87003963772835646</v>
      </c>
    </row>
    <row r="106" spans="1:18" x14ac:dyDescent="0.3">
      <c r="A106" t="s">
        <v>307</v>
      </c>
      <c r="B106" s="6">
        <v>45549</v>
      </c>
      <c r="C106" s="2">
        <v>45570</v>
      </c>
      <c r="D106" s="4">
        <f t="shared" si="11"/>
        <v>21</v>
      </c>
      <c r="E106" s="4" t="str">
        <f>TEXT(Data!B106,"MMM-YYYY")</f>
        <v>May-2024</v>
      </c>
      <c r="F106" t="s">
        <v>62</v>
      </c>
      <c r="G106" t="s">
        <v>28</v>
      </c>
      <c r="H106" t="s">
        <v>92</v>
      </c>
      <c r="I106" t="s">
        <v>57</v>
      </c>
      <c r="J106" s="4">
        <v>1405.56</v>
      </c>
      <c r="K106" s="7" t="str">
        <f t="shared" si="8"/>
        <v>High</v>
      </c>
      <c r="L106" s="4">
        <v>2968.87</v>
      </c>
      <c r="M106" s="4">
        <v>0.16900000000000001</v>
      </c>
      <c r="N106" s="4">
        <v>5</v>
      </c>
      <c r="O106" s="4">
        <f t="shared" si="6"/>
        <v>4270.2181499999997</v>
      </c>
      <c r="P106">
        <f t="shared" si="7"/>
        <v>7027.7999999999993</v>
      </c>
      <c r="Q106" s="4">
        <f t="shared" si="9"/>
        <v>-2757.5818499999996</v>
      </c>
      <c r="R106" s="16">
        <f t="shared" si="10"/>
        <v>-0.64577072016800818</v>
      </c>
    </row>
    <row r="107" spans="1:18" x14ac:dyDescent="0.3">
      <c r="A107" t="s">
        <v>309</v>
      </c>
      <c r="B107" s="6">
        <v>45433</v>
      </c>
      <c r="C107" s="2">
        <v>45439</v>
      </c>
      <c r="D107" s="4">
        <f t="shared" si="11"/>
        <v>6</v>
      </c>
      <c r="E107" s="4" t="str">
        <f>TEXT(Data!B107,"MMM-YYYY")</f>
        <v>May-2023</v>
      </c>
      <c r="F107" t="s">
        <v>39</v>
      </c>
      <c r="G107" t="s">
        <v>28</v>
      </c>
      <c r="H107" t="s">
        <v>110</v>
      </c>
      <c r="I107" t="s">
        <v>22</v>
      </c>
      <c r="J107" s="4">
        <v>1157.51</v>
      </c>
      <c r="K107" s="7" t="str">
        <f t="shared" si="8"/>
        <v>High</v>
      </c>
      <c r="L107" s="4">
        <v>1394.3</v>
      </c>
      <c r="M107" s="4">
        <v>0.27800000000000002</v>
      </c>
      <c r="N107" s="4">
        <v>12</v>
      </c>
      <c r="O107" s="4">
        <f t="shared" si="6"/>
        <v>4055.5317599999998</v>
      </c>
      <c r="P107">
        <f t="shared" si="7"/>
        <v>13890.119999999999</v>
      </c>
      <c r="Q107" s="4">
        <f t="shared" si="9"/>
        <v>-9834.5882399999991</v>
      </c>
      <c r="R107" s="16">
        <f t="shared" si="10"/>
        <v>-2.4249811916156712</v>
      </c>
    </row>
    <row r="108" spans="1:18" x14ac:dyDescent="0.3">
      <c r="A108" t="s">
        <v>311</v>
      </c>
      <c r="B108" s="6">
        <v>45057</v>
      </c>
      <c r="C108" s="2">
        <v>45084</v>
      </c>
      <c r="D108" s="4">
        <f t="shared" si="11"/>
        <v>27</v>
      </c>
      <c r="E108" s="4" t="str">
        <f>TEXT(Data!B108,"MMM-YYYY")</f>
        <v>Aug-2024</v>
      </c>
      <c r="F108" t="s">
        <v>19</v>
      </c>
      <c r="G108" t="s">
        <v>28</v>
      </c>
      <c r="H108" t="s">
        <v>29</v>
      </c>
      <c r="I108" t="s">
        <v>42</v>
      </c>
      <c r="J108" s="4">
        <v>12.85</v>
      </c>
      <c r="K108" s="7" t="str">
        <f t="shared" si="8"/>
        <v>Low</v>
      </c>
      <c r="L108" s="4">
        <v>15.41</v>
      </c>
      <c r="M108" s="4">
        <v>0.13700000000000001</v>
      </c>
      <c r="N108" s="4">
        <v>39</v>
      </c>
      <c r="O108" s="4">
        <f t="shared" si="6"/>
        <v>22483.549139999999</v>
      </c>
      <c r="P108">
        <f t="shared" si="7"/>
        <v>501.15</v>
      </c>
      <c r="Q108" s="4">
        <f t="shared" si="9"/>
        <v>21982.399139999998</v>
      </c>
      <c r="R108" s="16">
        <f t="shared" si="10"/>
        <v>0.97771036961827273</v>
      </c>
    </row>
    <row r="109" spans="1:18" x14ac:dyDescent="0.3">
      <c r="A109" t="s">
        <v>313</v>
      </c>
      <c r="B109" s="6">
        <v>45518</v>
      </c>
      <c r="C109" s="2">
        <v>45539</v>
      </c>
      <c r="D109" s="4">
        <f t="shared" si="11"/>
        <v>21</v>
      </c>
      <c r="E109" s="4" t="str">
        <f>TEXT(Data!B109,"MMM-YYYY")</f>
        <v>Oct-2024</v>
      </c>
      <c r="F109" t="s">
        <v>39</v>
      </c>
      <c r="G109" t="s">
        <v>28</v>
      </c>
      <c r="H109" t="s">
        <v>29</v>
      </c>
      <c r="I109" t="s">
        <v>42</v>
      </c>
      <c r="J109" s="4">
        <v>1138.8</v>
      </c>
      <c r="K109" s="7" t="str">
        <f t="shared" si="8"/>
        <v>High</v>
      </c>
      <c r="L109" s="4">
        <v>2250.81</v>
      </c>
      <c r="M109" s="4">
        <v>0.123</v>
      </c>
      <c r="N109" s="4">
        <v>12</v>
      </c>
      <c r="O109" s="4">
        <f t="shared" si="6"/>
        <v>5654.22948</v>
      </c>
      <c r="P109">
        <f t="shared" si="7"/>
        <v>13665.599999999999</v>
      </c>
      <c r="Q109" s="4">
        <f t="shared" si="9"/>
        <v>-8011.3705199999986</v>
      </c>
      <c r="R109" s="16">
        <f t="shared" si="10"/>
        <v>-1.4168810353979475</v>
      </c>
    </row>
    <row r="110" spans="1:18" x14ac:dyDescent="0.3">
      <c r="A110" t="s">
        <v>315</v>
      </c>
      <c r="B110" s="6">
        <v>45581</v>
      </c>
      <c r="C110" s="2">
        <v>45604</v>
      </c>
      <c r="D110" s="4">
        <f t="shared" si="11"/>
        <v>23</v>
      </c>
      <c r="E110" s="4" t="str">
        <f>TEXT(Data!B110,"MMM-YYYY")</f>
        <v>Jun-2024</v>
      </c>
      <c r="F110" t="s">
        <v>62</v>
      </c>
      <c r="G110" t="s">
        <v>20</v>
      </c>
      <c r="H110" t="s">
        <v>29</v>
      </c>
      <c r="I110" t="s">
        <v>35</v>
      </c>
      <c r="J110" s="4">
        <v>82.14</v>
      </c>
      <c r="K110" s="7" t="str">
        <f t="shared" si="8"/>
        <v>Medium</v>
      </c>
      <c r="L110" s="4">
        <v>166.04</v>
      </c>
      <c r="M110" s="4">
        <v>0</v>
      </c>
      <c r="N110" s="4">
        <v>10</v>
      </c>
      <c r="O110" s="4">
        <f t="shared" si="6"/>
        <v>5727.1</v>
      </c>
      <c r="P110">
        <f t="shared" si="7"/>
        <v>821.4</v>
      </c>
      <c r="Q110" s="4">
        <f t="shared" si="9"/>
        <v>4905.7000000000007</v>
      </c>
      <c r="R110" s="16">
        <f t="shared" si="10"/>
        <v>0.85657662691414516</v>
      </c>
    </row>
    <row r="111" spans="1:18" x14ac:dyDescent="0.3">
      <c r="A111" t="s">
        <v>317</v>
      </c>
      <c r="B111" s="6">
        <v>45445</v>
      </c>
      <c r="C111" s="2">
        <v>45451</v>
      </c>
      <c r="D111" s="4">
        <f t="shared" si="11"/>
        <v>6</v>
      </c>
      <c r="E111" s="4" t="str">
        <f>TEXT(Data!B111,"MMM-YYYY")</f>
        <v>Jun-2024</v>
      </c>
      <c r="F111" t="s">
        <v>48</v>
      </c>
      <c r="G111" t="s">
        <v>40</v>
      </c>
      <c r="H111" t="s">
        <v>75</v>
      </c>
      <c r="I111" t="s">
        <v>81</v>
      </c>
      <c r="J111" s="4">
        <v>292.94</v>
      </c>
      <c r="K111" s="7" t="str">
        <f t="shared" si="8"/>
        <v>High</v>
      </c>
      <c r="L111" s="4">
        <v>356.55</v>
      </c>
      <c r="M111" s="4">
        <v>0.22900000000000001</v>
      </c>
      <c r="N111" s="4">
        <v>2</v>
      </c>
      <c r="O111" s="4">
        <f t="shared" si="6"/>
        <v>3583.4075399999997</v>
      </c>
      <c r="P111">
        <f t="shared" si="7"/>
        <v>585.88</v>
      </c>
      <c r="Q111" s="4">
        <f t="shared" si="9"/>
        <v>2997.5275399999996</v>
      </c>
      <c r="R111" s="16">
        <f t="shared" si="10"/>
        <v>0.83650199050482543</v>
      </c>
    </row>
    <row r="112" spans="1:18" x14ac:dyDescent="0.3">
      <c r="A112" t="s">
        <v>319</v>
      </c>
      <c r="B112" s="6">
        <v>45452</v>
      </c>
      <c r="C112" s="2">
        <v>45480</v>
      </c>
      <c r="D112" s="4">
        <f t="shared" si="11"/>
        <v>28</v>
      </c>
      <c r="E112" s="4" t="str">
        <f>TEXT(Data!B112,"MMM-YYYY")</f>
        <v>Jun-2024</v>
      </c>
      <c r="F112" t="s">
        <v>19</v>
      </c>
      <c r="G112" t="s">
        <v>28</v>
      </c>
      <c r="H112" t="s">
        <v>29</v>
      </c>
      <c r="I112" t="s">
        <v>22</v>
      </c>
      <c r="J112" s="4">
        <v>550.22</v>
      </c>
      <c r="K112" s="7" t="str">
        <f t="shared" si="8"/>
        <v>High</v>
      </c>
      <c r="L112" s="4">
        <v>1025.05</v>
      </c>
      <c r="M112" s="4">
        <v>0</v>
      </c>
      <c r="N112" s="4">
        <v>27</v>
      </c>
      <c r="O112" s="4">
        <f t="shared" si="6"/>
        <v>44038.080000000002</v>
      </c>
      <c r="P112">
        <f t="shared" si="7"/>
        <v>14855.94</v>
      </c>
      <c r="Q112" s="4">
        <f t="shared" si="9"/>
        <v>29182.14</v>
      </c>
      <c r="R112" s="16">
        <f t="shared" si="10"/>
        <v>0.66265695507161071</v>
      </c>
    </row>
    <row r="113" spans="1:18" x14ac:dyDescent="0.3">
      <c r="A113" t="s">
        <v>321</v>
      </c>
      <c r="B113" s="6">
        <v>45453</v>
      </c>
      <c r="C113" s="2">
        <v>45454</v>
      </c>
      <c r="D113" s="4">
        <f t="shared" si="11"/>
        <v>1</v>
      </c>
      <c r="E113" s="4" t="str">
        <f>TEXT(Data!B113,"MMM-YYYY")</f>
        <v>Jun-2024</v>
      </c>
      <c r="F113" t="s">
        <v>62</v>
      </c>
      <c r="G113" t="s">
        <v>40</v>
      </c>
      <c r="H113" t="s">
        <v>110</v>
      </c>
      <c r="I113" t="s">
        <v>57</v>
      </c>
      <c r="J113" s="4">
        <v>1187.1300000000001</v>
      </c>
      <c r="K113" s="7" t="str">
        <f t="shared" si="8"/>
        <v>High</v>
      </c>
      <c r="L113" s="4">
        <v>1795.17</v>
      </c>
      <c r="M113" s="4">
        <v>1.2E-2</v>
      </c>
      <c r="N113" s="4">
        <v>17</v>
      </c>
      <c r="O113" s="4">
        <f t="shared" si="6"/>
        <v>6606.0347600000005</v>
      </c>
      <c r="P113">
        <f t="shared" si="7"/>
        <v>20181.210000000003</v>
      </c>
      <c r="Q113" s="4">
        <f t="shared" si="9"/>
        <v>-13575.175240000002</v>
      </c>
      <c r="R113" s="16">
        <f t="shared" si="10"/>
        <v>-2.0549657598229172</v>
      </c>
    </row>
    <row r="114" spans="1:18" x14ac:dyDescent="0.3">
      <c r="A114" t="s">
        <v>323</v>
      </c>
      <c r="B114" s="6">
        <v>45472</v>
      </c>
      <c r="C114" s="2">
        <v>45499</v>
      </c>
      <c r="D114" s="4">
        <f t="shared" si="11"/>
        <v>27</v>
      </c>
      <c r="E114" s="4" t="str">
        <f>TEXT(Data!B114,"MMM-YYYY")</f>
        <v>Jan-2025</v>
      </c>
      <c r="F114" t="s">
        <v>105</v>
      </c>
      <c r="G114" t="s">
        <v>55</v>
      </c>
      <c r="H114" t="s">
        <v>56</v>
      </c>
      <c r="I114" t="s">
        <v>35</v>
      </c>
      <c r="J114" s="4">
        <v>5.36</v>
      </c>
      <c r="K114" s="7" t="str">
        <f t="shared" si="8"/>
        <v>Low</v>
      </c>
      <c r="L114" s="4">
        <v>4.37</v>
      </c>
      <c r="M114" s="4">
        <v>0.11799999999999999</v>
      </c>
      <c r="N114" s="4">
        <v>9</v>
      </c>
      <c r="O114" s="4">
        <f t="shared" si="6"/>
        <v>14734.198080000002</v>
      </c>
      <c r="P114">
        <f t="shared" si="7"/>
        <v>48.24</v>
      </c>
      <c r="Q114" s="4">
        <f t="shared" si="9"/>
        <v>14685.958080000002</v>
      </c>
      <c r="R114" s="16">
        <f t="shared" si="10"/>
        <v>0.99672598401771995</v>
      </c>
    </row>
    <row r="115" spans="1:18" x14ac:dyDescent="0.3">
      <c r="A115" t="s">
        <v>325</v>
      </c>
      <c r="B115" s="6">
        <v>45674</v>
      </c>
      <c r="C115" s="2">
        <v>45681</v>
      </c>
      <c r="D115" s="4">
        <f t="shared" si="11"/>
        <v>7</v>
      </c>
      <c r="E115" s="4" t="str">
        <f>TEXT(Data!B115,"MMM-YYYY")</f>
        <v>Nov-2023</v>
      </c>
      <c r="F115" t="s">
        <v>105</v>
      </c>
      <c r="G115" t="s">
        <v>28</v>
      </c>
      <c r="H115" t="s">
        <v>41</v>
      </c>
      <c r="I115" t="s">
        <v>81</v>
      </c>
      <c r="J115" s="4">
        <v>142.09</v>
      </c>
      <c r="K115" s="7" t="str">
        <f t="shared" si="8"/>
        <v>High</v>
      </c>
      <c r="L115" s="4">
        <v>218.5</v>
      </c>
      <c r="M115" s="4">
        <v>0.11899999999999999</v>
      </c>
      <c r="N115" s="4">
        <v>11</v>
      </c>
      <c r="O115" s="4">
        <f t="shared" si="6"/>
        <v>822.7659000000001</v>
      </c>
      <c r="P115">
        <f t="shared" si="7"/>
        <v>1562.99</v>
      </c>
      <c r="Q115" s="4">
        <f t="shared" si="9"/>
        <v>-740.22409999999991</v>
      </c>
      <c r="R115" s="16">
        <f t="shared" si="10"/>
        <v>-0.89967766043779862</v>
      </c>
    </row>
    <row r="116" spans="1:18" x14ac:dyDescent="0.3">
      <c r="A116" t="s">
        <v>328</v>
      </c>
      <c r="B116" s="6">
        <v>45250</v>
      </c>
      <c r="C116" s="2">
        <v>45265</v>
      </c>
      <c r="D116" s="4">
        <f t="shared" si="11"/>
        <v>15</v>
      </c>
      <c r="E116" s="4" t="str">
        <f>TEXT(Data!B116,"MMM-YYYY")</f>
        <v>Mar-2023</v>
      </c>
      <c r="F116" t="s">
        <v>105</v>
      </c>
      <c r="G116" t="s">
        <v>20</v>
      </c>
      <c r="H116" t="s">
        <v>49</v>
      </c>
      <c r="I116" t="s">
        <v>35</v>
      </c>
      <c r="J116" s="4">
        <v>354.24</v>
      </c>
      <c r="K116" s="7" t="str">
        <f t="shared" si="8"/>
        <v>High</v>
      </c>
      <c r="L116" s="4">
        <v>249.87</v>
      </c>
      <c r="M116" s="4">
        <v>0</v>
      </c>
      <c r="N116" s="4">
        <v>6</v>
      </c>
      <c r="O116" s="4">
        <f t="shared" si="6"/>
        <v>13513.439999999999</v>
      </c>
      <c r="P116">
        <f t="shared" si="7"/>
        <v>2125.44</v>
      </c>
      <c r="Q116" s="4">
        <f t="shared" si="9"/>
        <v>11387.999999999998</v>
      </c>
      <c r="R116" s="16">
        <f t="shared" si="10"/>
        <v>0.84271658437821895</v>
      </c>
    </row>
    <row r="117" spans="1:18" x14ac:dyDescent="0.3">
      <c r="A117" t="s">
        <v>330</v>
      </c>
      <c r="B117" s="6">
        <v>44987</v>
      </c>
      <c r="C117" s="2">
        <v>44990</v>
      </c>
      <c r="D117" s="4">
        <f t="shared" si="11"/>
        <v>3</v>
      </c>
      <c r="E117" s="4" t="str">
        <f>TEXT(Data!B117,"MMM-YYYY")</f>
        <v>Jun-2025</v>
      </c>
      <c r="F117" t="s">
        <v>105</v>
      </c>
      <c r="G117" t="s">
        <v>98</v>
      </c>
      <c r="H117" t="s">
        <v>41</v>
      </c>
      <c r="I117" t="s">
        <v>64</v>
      </c>
      <c r="J117" s="4">
        <v>1473.58</v>
      </c>
      <c r="K117" s="7" t="str">
        <f t="shared" si="8"/>
        <v>High</v>
      </c>
      <c r="L117" s="4">
        <v>3436.52</v>
      </c>
      <c r="M117" s="4">
        <v>0.108</v>
      </c>
      <c r="N117" s="4">
        <v>8</v>
      </c>
      <c r="O117" s="4">
        <f t="shared" si="6"/>
        <v>6576.6803200000004</v>
      </c>
      <c r="P117">
        <f t="shared" si="7"/>
        <v>11788.64</v>
      </c>
      <c r="Q117" s="4">
        <f t="shared" si="9"/>
        <v>-5211.959679999999</v>
      </c>
      <c r="R117" s="16">
        <f t="shared" si="10"/>
        <v>-0.79249095689662452</v>
      </c>
    </row>
    <row r="118" spans="1:18" x14ac:dyDescent="0.3">
      <c r="A118" t="s">
        <v>332</v>
      </c>
      <c r="B118" s="6">
        <v>45811</v>
      </c>
      <c r="C118" s="2">
        <v>45818</v>
      </c>
      <c r="D118" s="4">
        <f t="shared" si="11"/>
        <v>7</v>
      </c>
      <c r="E118" s="4" t="str">
        <f>TEXT(Data!B118,"MMM-YYYY")</f>
        <v>Dec-2024</v>
      </c>
      <c r="F118" t="s">
        <v>48</v>
      </c>
      <c r="G118" t="s">
        <v>55</v>
      </c>
      <c r="H118" t="s">
        <v>68</v>
      </c>
      <c r="I118" t="s">
        <v>30</v>
      </c>
      <c r="J118" s="4">
        <v>75.180000000000007</v>
      </c>
      <c r="K118" s="7" t="str">
        <f t="shared" si="8"/>
        <v>Medium</v>
      </c>
      <c r="L118" s="4">
        <v>53.45</v>
      </c>
      <c r="M118" s="4">
        <v>0.157</v>
      </c>
      <c r="N118" s="4">
        <v>17</v>
      </c>
      <c r="O118" s="4">
        <f t="shared" si="6"/>
        <v>23548.41258</v>
      </c>
      <c r="P118">
        <f t="shared" si="7"/>
        <v>1278.0600000000002</v>
      </c>
      <c r="Q118" s="4">
        <f t="shared" si="9"/>
        <v>22270.352579999999</v>
      </c>
      <c r="R118" s="16">
        <f t="shared" si="10"/>
        <v>0.94572627791117114</v>
      </c>
    </row>
    <row r="119" spans="1:18" x14ac:dyDescent="0.3">
      <c r="A119" t="s">
        <v>334</v>
      </c>
      <c r="B119" s="6">
        <v>45653</v>
      </c>
      <c r="C119" s="2">
        <v>45659</v>
      </c>
      <c r="D119" s="4">
        <f t="shared" si="11"/>
        <v>6</v>
      </c>
      <c r="E119" s="4" t="str">
        <f>TEXT(Data!B119,"MMM-YYYY")</f>
        <v>Jun-2023</v>
      </c>
      <c r="F119" t="s">
        <v>27</v>
      </c>
      <c r="G119" t="s">
        <v>98</v>
      </c>
      <c r="H119" t="s">
        <v>84</v>
      </c>
      <c r="I119" t="s">
        <v>57</v>
      </c>
      <c r="J119" s="4">
        <v>1391.99</v>
      </c>
      <c r="K119" s="7" t="str">
        <f t="shared" si="8"/>
        <v>High</v>
      </c>
      <c r="L119" s="4">
        <v>3469.7</v>
      </c>
      <c r="M119" s="4">
        <v>0.184</v>
      </c>
      <c r="N119" s="4">
        <v>23</v>
      </c>
      <c r="O119" s="4">
        <f t="shared" si="6"/>
        <v>27535.846560000005</v>
      </c>
      <c r="P119">
        <f t="shared" si="7"/>
        <v>32015.77</v>
      </c>
      <c r="Q119" s="4">
        <f t="shared" si="9"/>
        <v>-4479.923439999995</v>
      </c>
      <c r="R119" s="16">
        <f t="shared" si="10"/>
        <v>-0.16269423314218215</v>
      </c>
    </row>
    <row r="120" spans="1:18" x14ac:dyDescent="0.3">
      <c r="A120" t="s">
        <v>337</v>
      </c>
      <c r="B120" s="6">
        <v>45086</v>
      </c>
      <c r="C120" s="2">
        <v>45096</v>
      </c>
      <c r="D120" s="4">
        <f t="shared" si="11"/>
        <v>10</v>
      </c>
      <c r="E120" s="4" t="str">
        <f>TEXT(Data!B120,"MMM-YYYY")</f>
        <v>Jul-2025</v>
      </c>
      <c r="F120" t="s">
        <v>105</v>
      </c>
      <c r="G120" t="s">
        <v>20</v>
      </c>
      <c r="H120" t="s">
        <v>84</v>
      </c>
      <c r="I120" t="s">
        <v>64</v>
      </c>
      <c r="J120" s="4">
        <v>339.61</v>
      </c>
      <c r="K120" s="7" t="str">
        <f t="shared" si="8"/>
        <v>High</v>
      </c>
      <c r="L120" s="4">
        <v>621.02</v>
      </c>
      <c r="M120" s="4">
        <v>7.0999999999999994E-2</v>
      </c>
      <c r="N120" s="4">
        <v>10</v>
      </c>
      <c r="O120" s="4">
        <f t="shared" si="6"/>
        <v>9278.4804000000004</v>
      </c>
      <c r="P120">
        <f t="shared" si="7"/>
        <v>3396.1000000000004</v>
      </c>
      <c r="Q120" s="4">
        <f t="shared" si="9"/>
        <v>5882.3804</v>
      </c>
      <c r="R120" s="16">
        <f t="shared" si="10"/>
        <v>0.63398101266668616</v>
      </c>
    </row>
    <row r="121" spans="1:18" x14ac:dyDescent="0.3">
      <c r="A121" t="s">
        <v>340</v>
      </c>
      <c r="B121" s="6">
        <v>45847</v>
      </c>
      <c r="C121" s="2">
        <v>45856</v>
      </c>
      <c r="D121" s="4">
        <f t="shared" si="11"/>
        <v>9</v>
      </c>
      <c r="E121" s="4" t="str">
        <f>TEXT(Data!B121,"MMM-YYYY")</f>
        <v>Jun-2025</v>
      </c>
      <c r="F121" t="s">
        <v>27</v>
      </c>
      <c r="G121" t="s">
        <v>55</v>
      </c>
      <c r="H121" t="s">
        <v>34</v>
      </c>
      <c r="I121" t="s">
        <v>57</v>
      </c>
      <c r="J121" s="4">
        <v>57.96</v>
      </c>
      <c r="K121" s="7" t="str">
        <f t="shared" si="8"/>
        <v>Medium</v>
      </c>
      <c r="L121" s="4">
        <v>88.51</v>
      </c>
      <c r="M121" s="4">
        <v>4.2999999999999997E-2</v>
      </c>
      <c r="N121" s="4">
        <v>7</v>
      </c>
      <c r="O121" s="4">
        <f t="shared" si="6"/>
        <v>4225.1932799999995</v>
      </c>
      <c r="P121">
        <f t="shared" si="7"/>
        <v>405.72</v>
      </c>
      <c r="Q121" s="4">
        <f t="shared" si="9"/>
        <v>3819.4732799999992</v>
      </c>
      <c r="R121" s="16">
        <f t="shared" si="10"/>
        <v>0.90397599041907017</v>
      </c>
    </row>
    <row r="122" spans="1:18" x14ac:dyDescent="0.3">
      <c r="A122" t="s">
        <v>342</v>
      </c>
      <c r="B122" s="6">
        <v>45827</v>
      </c>
      <c r="C122" s="2">
        <v>45850</v>
      </c>
      <c r="D122" s="4">
        <f t="shared" si="11"/>
        <v>23</v>
      </c>
      <c r="E122" s="4" t="str">
        <f>TEXT(Data!B122,"MMM-YYYY")</f>
        <v>Nov-2023</v>
      </c>
      <c r="F122" t="s">
        <v>39</v>
      </c>
      <c r="G122" t="s">
        <v>98</v>
      </c>
      <c r="H122" t="s">
        <v>1364</v>
      </c>
      <c r="I122" t="s">
        <v>35</v>
      </c>
      <c r="J122" s="4">
        <v>801.24</v>
      </c>
      <c r="K122" s="7" t="str">
        <f t="shared" si="8"/>
        <v>High</v>
      </c>
      <c r="L122" s="4">
        <v>1959.09</v>
      </c>
      <c r="M122" s="4">
        <v>0.123</v>
      </c>
      <c r="N122" s="4">
        <v>23</v>
      </c>
      <c r="O122" s="4">
        <f t="shared" si="6"/>
        <v>14696.792309999999</v>
      </c>
      <c r="P122">
        <f t="shared" si="7"/>
        <v>18428.52</v>
      </c>
      <c r="Q122" s="4">
        <f t="shared" si="9"/>
        <v>-3731.7276900000015</v>
      </c>
      <c r="R122" s="16">
        <f t="shared" si="10"/>
        <v>-0.25391443325091134</v>
      </c>
    </row>
    <row r="123" spans="1:18" x14ac:dyDescent="0.3">
      <c r="A123" t="s">
        <v>344</v>
      </c>
      <c r="B123" s="6">
        <v>45249</v>
      </c>
      <c r="C123" s="2">
        <v>45273</v>
      </c>
      <c r="D123" s="4">
        <f t="shared" si="11"/>
        <v>24</v>
      </c>
      <c r="E123" s="4" t="str">
        <f>TEXT(Data!B123,"MMM-YYYY")</f>
        <v>Dec-2023</v>
      </c>
      <c r="F123" t="s">
        <v>39</v>
      </c>
      <c r="G123" t="s">
        <v>98</v>
      </c>
      <c r="H123" t="s">
        <v>92</v>
      </c>
      <c r="I123" t="s">
        <v>64</v>
      </c>
      <c r="J123" s="4">
        <v>1297.42</v>
      </c>
      <c r="K123" s="7" t="str">
        <f t="shared" si="8"/>
        <v>High</v>
      </c>
      <c r="L123" s="4">
        <v>2742.97</v>
      </c>
      <c r="M123" s="4">
        <v>6.9000000000000006E-2</v>
      </c>
      <c r="N123" s="4">
        <v>9</v>
      </c>
      <c r="O123" s="4">
        <f t="shared" si="6"/>
        <v>7972.7022900000002</v>
      </c>
      <c r="P123">
        <f t="shared" si="7"/>
        <v>11676.78</v>
      </c>
      <c r="Q123" s="4">
        <f t="shared" si="9"/>
        <v>-3704.0777100000005</v>
      </c>
      <c r="R123" s="16">
        <f t="shared" si="10"/>
        <v>-0.46459501123551927</v>
      </c>
    </row>
    <row r="124" spans="1:18" x14ac:dyDescent="0.3">
      <c r="A124" t="s">
        <v>346</v>
      </c>
      <c r="B124" s="6">
        <v>45289</v>
      </c>
      <c r="C124" s="2">
        <v>45311</v>
      </c>
      <c r="D124" s="4">
        <f t="shared" si="11"/>
        <v>22</v>
      </c>
      <c r="E124" s="4" t="str">
        <f>TEXT(Data!B124,"MMM-YYYY")</f>
        <v>Nov-2024</v>
      </c>
      <c r="F124" t="s">
        <v>19</v>
      </c>
      <c r="G124" t="s">
        <v>98</v>
      </c>
      <c r="H124" t="s">
        <v>49</v>
      </c>
      <c r="I124" t="s">
        <v>42</v>
      </c>
      <c r="J124" s="4">
        <v>1395.49</v>
      </c>
      <c r="K124" s="7" t="str">
        <f t="shared" si="8"/>
        <v>High</v>
      </c>
      <c r="L124" s="4">
        <v>1679.42</v>
      </c>
      <c r="M124" s="4">
        <v>0.20300000000000001</v>
      </c>
      <c r="N124" s="4">
        <v>12</v>
      </c>
      <c r="O124" s="4">
        <f t="shared" si="6"/>
        <v>7009.2643199999993</v>
      </c>
      <c r="P124">
        <f t="shared" si="7"/>
        <v>16745.88</v>
      </c>
      <c r="Q124" s="4">
        <f t="shared" si="9"/>
        <v>-9736.6156800000026</v>
      </c>
      <c r="R124" s="16">
        <f t="shared" si="10"/>
        <v>-1.3891066502111884</v>
      </c>
    </row>
    <row r="125" spans="1:18" x14ac:dyDescent="0.3">
      <c r="A125" t="s">
        <v>348</v>
      </c>
      <c r="B125" s="6">
        <v>45598</v>
      </c>
      <c r="C125" s="2">
        <v>45625</v>
      </c>
      <c r="D125" s="4">
        <f t="shared" si="11"/>
        <v>27</v>
      </c>
      <c r="E125" s="4" t="str">
        <f>TEXT(Data!B125,"MMM-YYYY")</f>
        <v>Aug-2023</v>
      </c>
      <c r="F125" t="s">
        <v>62</v>
      </c>
      <c r="G125" t="s">
        <v>98</v>
      </c>
      <c r="H125" t="s">
        <v>34</v>
      </c>
      <c r="I125" t="s">
        <v>35</v>
      </c>
      <c r="J125" s="4">
        <v>1363.51</v>
      </c>
      <c r="K125" s="7" t="str">
        <f t="shared" si="8"/>
        <v>High</v>
      </c>
      <c r="L125" s="4">
        <v>1433.9</v>
      </c>
      <c r="M125" s="4">
        <v>5.7000000000000002E-2</v>
      </c>
      <c r="N125" s="4">
        <v>8</v>
      </c>
      <c r="O125" s="4">
        <f t="shared" si="6"/>
        <v>18192.506879999997</v>
      </c>
      <c r="P125">
        <f t="shared" si="7"/>
        <v>10908.08</v>
      </c>
      <c r="Q125" s="4">
        <f t="shared" si="9"/>
        <v>7284.4268799999973</v>
      </c>
      <c r="R125" s="16">
        <f t="shared" si="10"/>
        <v>0.4004080871343883</v>
      </c>
    </row>
    <row r="126" spans="1:18" x14ac:dyDescent="0.3">
      <c r="A126" t="s">
        <v>350</v>
      </c>
      <c r="B126" s="6">
        <v>45159</v>
      </c>
      <c r="C126" s="2">
        <v>45173</v>
      </c>
      <c r="D126" s="4">
        <f t="shared" si="11"/>
        <v>14</v>
      </c>
      <c r="E126" s="4" t="str">
        <f>TEXT(Data!B126,"MMM-YYYY")</f>
        <v>Aug-2023</v>
      </c>
      <c r="F126" t="s">
        <v>27</v>
      </c>
      <c r="G126" t="s">
        <v>55</v>
      </c>
      <c r="H126" t="s">
        <v>84</v>
      </c>
      <c r="I126" t="s">
        <v>22</v>
      </c>
      <c r="J126" s="4">
        <v>178.19</v>
      </c>
      <c r="K126" s="7" t="str">
        <f t="shared" si="8"/>
        <v>High</v>
      </c>
      <c r="L126" s="4">
        <v>284.43</v>
      </c>
      <c r="M126" s="4">
        <v>8.8999999999999996E-2</v>
      </c>
      <c r="N126" s="4">
        <v>8</v>
      </c>
      <c r="O126" s="4">
        <f t="shared" si="6"/>
        <v>4141.6975199999997</v>
      </c>
      <c r="P126">
        <f t="shared" si="7"/>
        <v>1425.52</v>
      </c>
      <c r="Q126" s="4">
        <f t="shared" si="9"/>
        <v>2716.1775199999997</v>
      </c>
      <c r="R126" s="16">
        <f t="shared" si="10"/>
        <v>0.65581262438498888</v>
      </c>
    </row>
    <row r="127" spans="1:18" x14ac:dyDescent="0.3">
      <c r="A127" t="s">
        <v>352</v>
      </c>
      <c r="B127" s="6">
        <v>45150</v>
      </c>
      <c r="C127" s="2">
        <v>45175</v>
      </c>
      <c r="D127" s="4">
        <f t="shared" si="11"/>
        <v>25</v>
      </c>
      <c r="E127" s="4" t="str">
        <f>TEXT(Data!B127,"MMM-YYYY")</f>
        <v>Jun-2024</v>
      </c>
      <c r="F127" t="s">
        <v>62</v>
      </c>
      <c r="G127" t="s">
        <v>20</v>
      </c>
      <c r="H127" t="s">
        <v>56</v>
      </c>
      <c r="I127" t="s">
        <v>22</v>
      </c>
      <c r="J127" s="4">
        <v>950.77</v>
      </c>
      <c r="K127" s="7" t="str">
        <f t="shared" si="8"/>
        <v>High</v>
      </c>
      <c r="L127" s="4">
        <v>694.78</v>
      </c>
      <c r="M127" s="4">
        <v>8.4000000000000005E-2</v>
      </c>
      <c r="N127" s="4">
        <v>14</v>
      </c>
      <c r="O127" s="4">
        <f t="shared" si="6"/>
        <v>16093.478800000001</v>
      </c>
      <c r="P127">
        <f t="shared" si="7"/>
        <v>13310.779999999999</v>
      </c>
      <c r="Q127" s="4">
        <f t="shared" si="9"/>
        <v>2782.6988000000019</v>
      </c>
      <c r="R127" s="16">
        <f t="shared" si="10"/>
        <v>0.17290847023081185</v>
      </c>
    </row>
    <row r="128" spans="1:18" x14ac:dyDescent="0.3">
      <c r="A128" t="s">
        <v>354</v>
      </c>
      <c r="B128" s="6">
        <v>45450</v>
      </c>
      <c r="C128" s="2">
        <v>45469</v>
      </c>
      <c r="D128" s="4">
        <f t="shared" si="11"/>
        <v>19</v>
      </c>
      <c r="E128" s="4" t="str">
        <f>TEXT(Data!B128,"MMM-YYYY")</f>
        <v>Aug-2025</v>
      </c>
      <c r="F128" t="s">
        <v>39</v>
      </c>
      <c r="G128" t="s">
        <v>40</v>
      </c>
      <c r="H128" t="s">
        <v>110</v>
      </c>
      <c r="I128" t="s">
        <v>22</v>
      </c>
      <c r="J128" s="4">
        <v>1064.32</v>
      </c>
      <c r="K128" s="7" t="str">
        <f t="shared" si="8"/>
        <v>High</v>
      </c>
      <c r="L128" s="4">
        <v>1848.39</v>
      </c>
      <c r="M128" s="4">
        <v>7.2999999999999995E-2</v>
      </c>
      <c r="N128" s="4">
        <v>38</v>
      </c>
      <c r="O128" s="4">
        <f t="shared" si="6"/>
        <v>29785.344300000001</v>
      </c>
      <c r="P128">
        <f t="shared" si="7"/>
        <v>40444.159999999996</v>
      </c>
      <c r="Q128" s="4">
        <f t="shared" si="9"/>
        <v>-10658.815699999996</v>
      </c>
      <c r="R128" s="16">
        <f t="shared" si="10"/>
        <v>-0.35785437269563458</v>
      </c>
    </row>
    <row r="129" spans="1:18" x14ac:dyDescent="0.3">
      <c r="A129" t="s">
        <v>356</v>
      </c>
      <c r="B129" s="6">
        <v>45874</v>
      </c>
      <c r="C129" s="2">
        <v>45883</v>
      </c>
      <c r="D129" s="4">
        <f t="shared" si="11"/>
        <v>9</v>
      </c>
      <c r="E129" s="4" t="str">
        <f>TEXT(Data!B129,"MMM-YYYY")</f>
        <v>May-2024</v>
      </c>
      <c r="F129" t="s">
        <v>39</v>
      </c>
      <c r="G129" t="s">
        <v>98</v>
      </c>
      <c r="H129" t="s">
        <v>63</v>
      </c>
      <c r="I129" t="s">
        <v>22</v>
      </c>
      <c r="J129" s="4">
        <v>41.76</v>
      </c>
      <c r="K129" s="7" t="str">
        <f t="shared" si="8"/>
        <v>Low</v>
      </c>
      <c r="L129" s="4">
        <v>45.19</v>
      </c>
      <c r="M129" s="4">
        <v>0.17899999999999999</v>
      </c>
      <c r="N129" s="4">
        <v>23</v>
      </c>
      <c r="O129" s="4">
        <f t="shared" si="6"/>
        <v>40507.245110000003</v>
      </c>
      <c r="P129">
        <f t="shared" si="7"/>
        <v>960.4799999999999</v>
      </c>
      <c r="Q129" s="4">
        <f t="shared" si="9"/>
        <v>39546.76511</v>
      </c>
      <c r="R129" s="16">
        <f t="shared" si="10"/>
        <v>0.97628868619942533</v>
      </c>
    </row>
    <row r="130" spans="1:18" x14ac:dyDescent="0.3">
      <c r="A130" t="s">
        <v>358</v>
      </c>
      <c r="B130" s="6">
        <v>45442</v>
      </c>
      <c r="C130" s="2">
        <v>45456</v>
      </c>
      <c r="D130" s="4">
        <f t="shared" si="11"/>
        <v>14</v>
      </c>
      <c r="E130" s="4" t="str">
        <f>TEXT(Data!B130,"MMM-YYYY")</f>
        <v>Jan-2023</v>
      </c>
      <c r="F130" t="s">
        <v>62</v>
      </c>
      <c r="G130" t="s">
        <v>20</v>
      </c>
      <c r="H130" t="s">
        <v>84</v>
      </c>
      <c r="I130" t="s">
        <v>42</v>
      </c>
      <c r="J130" s="4">
        <v>157.78</v>
      </c>
      <c r="K130" s="7" t="str">
        <f t="shared" si="8"/>
        <v>High</v>
      </c>
      <c r="L130" s="4">
        <v>361.1</v>
      </c>
      <c r="M130" s="4">
        <v>0.187</v>
      </c>
      <c r="N130" s="4">
        <v>9</v>
      </c>
      <c r="O130" s="4">
        <f t="shared" ref="O130:O193" si="12">(L156*N130)*(1-M130)</f>
        <v>9877.5109800000009</v>
      </c>
      <c r="P130">
        <f t="shared" ref="P130:P193" si="13">(J130*N130)</f>
        <v>1420.02</v>
      </c>
      <c r="Q130" s="4">
        <f t="shared" si="9"/>
        <v>8457.4909800000005</v>
      </c>
      <c r="R130" s="16">
        <f t="shared" si="10"/>
        <v>0.85623706185948478</v>
      </c>
    </row>
    <row r="131" spans="1:18" x14ac:dyDescent="0.3">
      <c r="A131" t="s">
        <v>360</v>
      </c>
      <c r="B131" s="6">
        <v>44948</v>
      </c>
      <c r="C131" s="2">
        <v>44956</v>
      </c>
      <c r="D131" s="4">
        <f t="shared" si="11"/>
        <v>8</v>
      </c>
      <c r="E131" s="4" t="str">
        <f>TEXT(Data!B131,"MMM-YYYY")</f>
        <v>Feb-2025</v>
      </c>
      <c r="F131" t="s">
        <v>62</v>
      </c>
      <c r="G131" t="s">
        <v>28</v>
      </c>
      <c r="H131" t="s">
        <v>75</v>
      </c>
      <c r="I131" t="s">
        <v>35</v>
      </c>
      <c r="J131" s="4">
        <v>413.52</v>
      </c>
      <c r="K131" s="7" t="str">
        <f t="shared" ref="K131:K194" si="14">IF(L131&lt;50, "Low", IF(L131&lt;200, "Medium", "High"))</f>
        <v>High</v>
      </c>
      <c r="L131" s="4">
        <v>1004.34</v>
      </c>
      <c r="M131" s="4">
        <v>0.111</v>
      </c>
      <c r="N131" s="4">
        <v>18</v>
      </c>
      <c r="O131" s="4">
        <f t="shared" si="12"/>
        <v>8440.7349599999998</v>
      </c>
      <c r="P131">
        <f t="shared" si="13"/>
        <v>7443.36</v>
      </c>
      <c r="Q131" s="4">
        <f t="shared" ref="Q131:Q194" si="15">(O131-P131)</f>
        <v>997.3749600000001</v>
      </c>
      <c r="R131" s="16">
        <f t="shared" ref="R131:R194" si="16">(Q131/O131)</f>
        <v>0.11816209900281008</v>
      </c>
    </row>
    <row r="132" spans="1:18" x14ac:dyDescent="0.3">
      <c r="A132" t="s">
        <v>362</v>
      </c>
      <c r="B132" s="6">
        <v>45700</v>
      </c>
      <c r="C132" s="2">
        <v>45716</v>
      </c>
      <c r="D132" s="4">
        <f t="shared" ref="D132:D195" si="17">DATEDIF(B132,C132, "MD")</f>
        <v>16</v>
      </c>
      <c r="E132" s="4" t="str">
        <f>TEXT(Data!B132,"MMM-YYYY")</f>
        <v>Mar-2025</v>
      </c>
      <c r="F132" t="s">
        <v>39</v>
      </c>
      <c r="G132" t="s">
        <v>98</v>
      </c>
      <c r="H132" t="s">
        <v>56</v>
      </c>
      <c r="I132" t="s">
        <v>64</v>
      </c>
      <c r="J132" s="4">
        <v>414.95</v>
      </c>
      <c r="K132" s="7" t="str">
        <f t="shared" si="14"/>
        <v>High</v>
      </c>
      <c r="L132" s="4">
        <v>1027.73</v>
      </c>
      <c r="M132" s="4">
        <v>6.3E-2</v>
      </c>
      <c r="N132" s="4">
        <v>8</v>
      </c>
      <c r="O132" s="4">
        <f t="shared" si="12"/>
        <v>10997.906320000002</v>
      </c>
      <c r="P132">
        <f t="shared" si="13"/>
        <v>3319.6</v>
      </c>
      <c r="Q132" s="4">
        <f t="shared" si="15"/>
        <v>7678.3063200000015</v>
      </c>
      <c r="R132" s="16">
        <f t="shared" si="16"/>
        <v>0.69816073137818835</v>
      </c>
    </row>
    <row r="133" spans="1:18" x14ac:dyDescent="0.3">
      <c r="A133" t="s">
        <v>364</v>
      </c>
      <c r="B133" s="6">
        <v>45719</v>
      </c>
      <c r="C133" s="2">
        <v>45740</v>
      </c>
      <c r="D133" s="4">
        <f t="shared" si="17"/>
        <v>21</v>
      </c>
      <c r="E133" s="4" t="str">
        <f>TEXT(Data!B133,"MMM-YYYY")</f>
        <v>Jan-2023</v>
      </c>
      <c r="F133" t="s">
        <v>105</v>
      </c>
      <c r="G133" t="s">
        <v>98</v>
      </c>
      <c r="H133" t="s">
        <v>92</v>
      </c>
      <c r="I133" t="s">
        <v>81</v>
      </c>
      <c r="J133" s="4">
        <v>555.95000000000005</v>
      </c>
      <c r="K133" s="7" t="str">
        <f t="shared" si="14"/>
        <v>High</v>
      </c>
      <c r="L133" s="4">
        <v>468.09</v>
      </c>
      <c r="M133" s="4">
        <v>0.14199999999999999</v>
      </c>
      <c r="N133" s="4">
        <v>11</v>
      </c>
      <c r="O133" s="4">
        <f t="shared" si="12"/>
        <v>15583.45932</v>
      </c>
      <c r="P133">
        <f t="shared" si="13"/>
        <v>6115.4500000000007</v>
      </c>
      <c r="Q133" s="4">
        <f t="shared" si="15"/>
        <v>9468.0093199999992</v>
      </c>
      <c r="R133" s="16">
        <f t="shared" si="16"/>
        <v>0.60756787858063332</v>
      </c>
    </row>
    <row r="134" spans="1:18" x14ac:dyDescent="0.3">
      <c r="A134" t="s">
        <v>366</v>
      </c>
      <c r="B134" s="6">
        <v>44953</v>
      </c>
      <c r="C134" s="2">
        <v>44957</v>
      </c>
      <c r="D134" s="4">
        <f t="shared" si="17"/>
        <v>4</v>
      </c>
      <c r="E134" s="4" t="str">
        <f>TEXT(Data!B134,"MMM-YYYY")</f>
        <v>Jan-2025</v>
      </c>
      <c r="F134" t="s">
        <v>105</v>
      </c>
      <c r="G134" t="s">
        <v>28</v>
      </c>
      <c r="H134" t="s">
        <v>126</v>
      </c>
      <c r="I134" t="s">
        <v>57</v>
      </c>
      <c r="J134" s="4">
        <v>941.2</v>
      </c>
      <c r="K134" s="7" t="str">
        <f t="shared" si="14"/>
        <v>High</v>
      </c>
      <c r="L134" s="4">
        <v>668.02</v>
      </c>
      <c r="M134" s="4">
        <v>0.22</v>
      </c>
      <c r="N134" s="4">
        <v>16</v>
      </c>
      <c r="O134" s="4">
        <f t="shared" si="12"/>
        <v>24737.606400000001</v>
      </c>
      <c r="P134">
        <f t="shared" si="13"/>
        <v>15059.2</v>
      </c>
      <c r="Q134" s="4">
        <f t="shared" si="15"/>
        <v>9678.4063999999998</v>
      </c>
      <c r="R134" s="16">
        <f t="shared" si="16"/>
        <v>0.3912426385763822</v>
      </c>
    </row>
    <row r="135" spans="1:18" x14ac:dyDescent="0.3">
      <c r="A135" t="s">
        <v>368</v>
      </c>
      <c r="B135" s="6">
        <v>45666</v>
      </c>
      <c r="C135" s="2">
        <v>45672</v>
      </c>
      <c r="D135" s="4">
        <f t="shared" si="17"/>
        <v>6</v>
      </c>
      <c r="E135" s="4" t="str">
        <f>TEXT(Data!B135,"MMM-YYYY")</f>
        <v>Dec-2024</v>
      </c>
      <c r="F135" t="s">
        <v>27</v>
      </c>
      <c r="G135" t="s">
        <v>28</v>
      </c>
      <c r="H135" t="s">
        <v>21</v>
      </c>
      <c r="I135" t="s">
        <v>42</v>
      </c>
      <c r="J135" s="4">
        <v>304.77999999999997</v>
      </c>
      <c r="K135" s="7" t="str">
        <f t="shared" si="14"/>
        <v>High</v>
      </c>
      <c r="L135" s="4">
        <v>537.27</v>
      </c>
      <c r="M135" s="4">
        <v>0.187</v>
      </c>
      <c r="N135" s="4">
        <v>8</v>
      </c>
      <c r="O135" s="4">
        <f t="shared" si="12"/>
        <v>16599.638879999999</v>
      </c>
      <c r="P135">
        <f t="shared" si="13"/>
        <v>2438.2399999999998</v>
      </c>
      <c r="Q135" s="4">
        <f t="shared" si="15"/>
        <v>14161.398879999999</v>
      </c>
      <c r="R135" s="16">
        <f t="shared" si="16"/>
        <v>0.85311487691833454</v>
      </c>
    </row>
    <row r="136" spans="1:18" x14ac:dyDescent="0.3">
      <c r="A136" t="s">
        <v>370</v>
      </c>
      <c r="B136" s="6">
        <v>45647</v>
      </c>
      <c r="C136" s="2">
        <v>45652</v>
      </c>
      <c r="D136" s="4">
        <f t="shared" si="17"/>
        <v>5</v>
      </c>
      <c r="E136" s="4" t="str">
        <f>TEXT(Data!B136,"MMM-YYYY")</f>
        <v>Apr-2023</v>
      </c>
      <c r="F136" t="s">
        <v>48</v>
      </c>
      <c r="G136" t="s">
        <v>40</v>
      </c>
      <c r="H136" t="s">
        <v>110</v>
      </c>
      <c r="I136" t="s">
        <v>30</v>
      </c>
      <c r="J136" s="4">
        <v>699.57</v>
      </c>
      <c r="K136" s="7" t="str">
        <f t="shared" si="14"/>
        <v>High</v>
      </c>
      <c r="L136" s="4">
        <v>572.71</v>
      </c>
      <c r="M136" s="4">
        <v>0.192</v>
      </c>
      <c r="N136" s="4">
        <v>26</v>
      </c>
      <c r="O136" s="4">
        <f t="shared" si="12"/>
        <v>10987.39408</v>
      </c>
      <c r="P136">
        <f t="shared" si="13"/>
        <v>18188.82</v>
      </c>
      <c r="Q136" s="4">
        <f t="shared" si="15"/>
        <v>-7201.4259199999997</v>
      </c>
      <c r="R136" s="16">
        <f t="shared" si="16"/>
        <v>-0.65542619729172391</v>
      </c>
    </row>
    <row r="137" spans="1:18" x14ac:dyDescent="0.3">
      <c r="A137" t="s">
        <v>372</v>
      </c>
      <c r="B137" s="6">
        <v>45028</v>
      </c>
      <c r="C137" s="2">
        <v>45033</v>
      </c>
      <c r="D137" s="4">
        <f t="shared" si="17"/>
        <v>5</v>
      </c>
      <c r="E137" s="4" t="str">
        <f>TEXT(Data!B137,"MMM-YYYY")</f>
        <v>Dec-2024</v>
      </c>
      <c r="F137" t="s">
        <v>105</v>
      </c>
      <c r="G137" t="s">
        <v>98</v>
      </c>
      <c r="H137" t="s">
        <v>63</v>
      </c>
      <c r="I137" t="s">
        <v>64</v>
      </c>
      <c r="J137" s="4">
        <v>1087.81</v>
      </c>
      <c r="K137" s="7" t="str">
        <f t="shared" si="14"/>
        <v>High</v>
      </c>
      <c r="L137" s="4">
        <v>2323.87</v>
      </c>
      <c r="M137" s="4">
        <v>9.4E-2</v>
      </c>
      <c r="N137" s="4">
        <v>13</v>
      </c>
      <c r="O137" s="4">
        <f t="shared" si="12"/>
        <v>14342.18838</v>
      </c>
      <c r="P137">
        <f t="shared" si="13"/>
        <v>14141.529999999999</v>
      </c>
      <c r="Q137" s="4">
        <f t="shared" si="15"/>
        <v>200.65838000000076</v>
      </c>
      <c r="R137" s="16">
        <f t="shared" si="16"/>
        <v>1.399077844213902E-2</v>
      </c>
    </row>
    <row r="138" spans="1:18" x14ac:dyDescent="0.3">
      <c r="A138" t="s">
        <v>374</v>
      </c>
      <c r="B138" s="6">
        <v>45640</v>
      </c>
      <c r="C138" s="2">
        <v>45669</v>
      </c>
      <c r="D138" s="4">
        <f t="shared" si="17"/>
        <v>29</v>
      </c>
      <c r="E138" s="4" t="str">
        <f>TEXT(Data!B138,"MMM-YYYY")</f>
        <v>Mar-2023</v>
      </c>
      <c r="F138" t="s">
        <v>27</v>
      </c>
      <c r="G138" t="s">
        <v>28</v>
      </c>
      <c r="H138" t="s">
        <v>29</v>
      </c>
      <c r="I138" t="s">
        <v>22</v>
      </c>
      <c r="J138" s="4">
        <v>1412.15</v>
      </c>
      <c r="K138" s="7" t="str">
        <f t="shared" si="14"/>
        <v>High</v>
      </c>
      <c r="L138" s="4">
        <v>1631.04</v>
      </c>
      <c r="M138" s="4">
        <v>8.9999999999999993E-3</v>
      </c>
      <c r="N138" s="4">
        <v>6</v>
      </c>
      <c r="O138" s="4">
        <f t="shared" si="12"/>
        <v>7989.2834400000002</v>
      </c>
      <c r="P138">
        <f t="shared" si="13"/>
        <v>8472.9000000000015</v>
      </c>
      <c r="Q138" s="4">
        <f t="shared" si="15"/>
        <v>-483.6165600000013</v>
      </c>
      <c r="R138" s="16">
        <f t="shared" si="16"/>
        <v>-6.0533158403002073E-2</v>
      </c>
    </row>
    <row r="139" spans="1:18" x14ac:dyDescent="0.3">
      <c r="A139" t="s">
        <v>376</v>
      </c>
      <c r="B139" s="6">
        <v>45016</v>
      </c>
      <c r="C139" s="2">
        <v>45028</v>
      </c>
      <c r="D139" s="4">
        <f t="shared" si="17"/>
        <v>12</v>
      </c>
      <c r="E139" s="4" t="str">
        <f>TEXT(Data!B139,"MMM-YYYY")</f>
        <v>Nov-2024</v>
      </c>
      <c r="F139" t="s">
        <v>62</v>
      </c>
      <c r="G139" t="s">
        <v>28</v>
      </c>
      <c r="H139" t="s">
        <v>21</v>
      </c>
      <c r="I139" t="s">
        <v>42</v>
      </c>
      <c r="J139" s="4">
        <v>304.22000000000003</v>
      </c>
      <c r="K139" s="7" t="str">
        <f t="shared" si="14"/>
        <v>High</v>
      </c>
      <c r="L139" s="4">
        <v>393.31</v>
      </c>
      <c r="M139" s="4">
        <v>0.26500000000000001</v>
      </c>
      <c r="N139" s="4">
        <v>15</v>
      </c>
      <c r="O139" s="4">
        <f t="shared" si="12"/>
        <v>3326.2424999999998</v>
      </c>
      <c r="P139">
        <f t="shared" si="13"/>
        <v>4563.3</v>
      </c>
      <c r="Q139" s="4">
        <f t="shared" si="15"/>
        <v>-1237.0575000000003</v>
      </c>
      <c r="R139" s="16">
        <f t="shared" si="16"/>
        <v>-0.3719083921271526</v>
      </c>
    </row>
    <row r="140" spans="1:18" x14ac:dyDescent="0.3">
      <c r="A140" t="s">
        <v>378</v>
      </c>
      <c r="B140" s="6">
        <v>45616</v>
      </c>
      <c r="C140" s="2">
        <v>45641</v>
      </c>
      <c r="D140" s="4">
        <f t="shared" si="17"/>
        <v>25</v>
      </c>
      <c r="E140" s="4" t="str">
        <f>TEXT(Data!B140,"MMM-YYYY")</f>
        <v>Feb-2024</v>
      </c>
      <c r="F140" t="s">
        <v>19</v>
      </c>
      <c r="G140" t="s">
        <v>28</v>
      </c>
      <c r="H140" t="s">
        <v>41</v>
      </c>
      <c r="I140" t="s">
        <v>30</v>
      </c>
      <c r="J140" s="4">
        <v>1203.58</v>
      </c>
      <c r="K140" s="7" t="str">
        <f t="shared" si="14"/>
        <v>High</v>
      </c>
      <c r="L140" s="4">
        <v>1856.16</v>
      </c>
      <c r="M140" s="4">
        <v>0.129</v>
      </c>
      <c r="N140" s="4">
        <v>22</v>
      </c>
      <c r="O140" s="4">
        <f t="shared" si="12"/>
        <v>28967.387020000002</v>
      </c>
      <c r="P140">
        <f t="shared" si="13"/>
        <v>26478.76</v>
      </c>
      <c r="Q140" s="4">
        <f t="shared" si="15"/>
        <v>2488.6270200000035</v>
      </c>
      <c r="R140" s="16">
        <f t="shared" si="16"/>
        <v>8.591133947572753E-2</v>
      </c>
    </row>
    <row r="141" spans="1:18" x14ac:dyDescent="0.3">
      <c r="A141" t="s">
        <v>380</v>
      </c>
      <c r="B141" s="6">
        <v>45336</v>
      </c>
      <c r="C141" s="2">
        <v>45336</v>
      </c>
      <c r="D141" s="4">
        <f t="shared" si="17"/>
        <v>0</v>
      </c>
      <c r="E141" s="4" t="str">
        <f>TEXT(Data!B141,"MMM-YYYY")</f>
        <v>May-2023</v>
      </c>
      <c r="F141" t="s">
        <v>19</v>
      </c>
      <c r="G141" t="s">
        <v>55</v>
      </c>
      <c r="H141" t="s">
        <v>49</v>
      </c>
      <c r="I141" t="s">
        <v>81</v>
      </c>
      <c r="J141" s="4">
        <v>65.930000000000007</v>
      </c>
      <c r="K141" s="7" t="str">
        <f t="shared" si="14"/>
        <v>Medium</v>
      </c>
      <c r="L141" s="4">
        <v>84.9</v>
      </c>
      <c r="M141" s="4">
        <v>0.25900000000000001</v>
      </c>
      <c r="N141" s="4">
        <v>23</v>
      </c>
      <c r="O141" s="4">
        <f t="shared" si="12"/>
        <v>35027.455319999994</v>
      </c>
      <c r="P141">
        <f t="shared" si="13"/>
        <v>1516.39</v>
      </c>
      <c r="Q141" s="4">
        <f t="shared" si="15"/>
        <v>33511.065319999994</v>
      </c>
      <c r="R141" s="16">
        <f t="shared" si="16"/>
        <v>0.95670853088964847</v>
      </c>
    </row>
    <row r="142" spans="1:18" x14ac:dyDescent="0.3">
      <c r="A142" t="s">
        <v>382</v>
      </c>
      <c r="B142" s="6">
        <v>45048</v>
      </c>
      <c r="C142" s="2">
        <v>45064</v>
      </c>
      <c r="D142" s="4">
        <f t="shared" si="17"/>
        <v>16</v>
      </c>
      <c r="E142" s="4" t="str">
        <f>TEXT(Data!B142,"MMM-YYYY")</f>
        <v>Dec-2024</v>
      </c>
      <c r="F142" t="s">
        <v>62</v>
      </c>
      <c r="G142" t="s">
        <v>40</v>
      </c>
      <c r="H142" t="s">
        <v>95</v>
      </c>
      <c r="I142" t="s">
        <v>64</v>
      </c>
      <c r="J142" s="4">
        <v>1463.92</v>
      </c>
      <c r="K142" s="7" t="str">
        <f t="shared" si="14"/>
        <v>High</v>
      </c>
      <c r="L142" s="4">
        <v>2252.2399999999998</v>
      </c>
      <c r="M142" s="4">
        <v>0.11799999999999999</v>
      </c>
      <c r="N142" s="4">
        <v>44</v>
      </c>
      <c r="O142" s="4">
        <f t="shared" si="12"/>
        <v>15179.749199999998</v>
      </c>
      <c r="P142">
        <f t="shared" si="13"/>
        <v>64412.480000000003</v>
      </c>
      <c r="Q142" s="4">
        <f t="shared" si="15"/>
        <v>-49232.730800000005</v>
      </c>
      <c r="R142" s="16">
        <f t="shared" si="16"/>
        <v>-3.2433164837795876</v>
      </c>
    </row>
    <row r="143" spans="1:18" x14ac:dyDescent="0.3">
      <c r="A143" t="s">
        <v>384</v>
      </c>
      <c r="B143" s="6">
        <v>45649</v>
      </c>
      <c r="C143" s="2">
        <v>45668</v>
      </c>
      <c r="D143" s="4">
        <f t="shared" si="17"/>
        <v>19</v>
      </c>
      <c r="E143" s="4" t="str">
        <f>TEXT(Data!B143,"MMM-YYYY")</f>
        <v>Jul-2023</v>
      </c>
      <c r="F143" t="s">
        <v>27</v>
      </c>
      <c r="G143" t="s">
        <v>20</v>
      </c>
      <c r="H143" t="s">
        <v>95</v>
      </c>
      <c r="I143" t="s">
        <v>42</v>
      </c>
      <c r="J143" s="4">
        <v>501.81</v>
      </c>
      <c r="K143" s="7" t="str">
        <f t="shared" si="14"/>
        <v>High</v>
      </c>
      <c r="L143" s="4">
        <v>921.62</v>
      </c>
      <c r="M143" s="4">
        <v>0.01</v>
      </c>
      <c r="N143" s="4">
        <v>9</v>
      </c>
      <c r="O143" s="4">
        <f t="shared" si="12"/>
        <v>16474.322700000001</v>
      </c>
      <c r="P143">
        <f t="shared" si="13"/>
        <v>4516.29</v>
      </c>
      <c r="Q143" s="4">
        <f t="shared" si="15"/>
        <v>11958.0327</v>
      </c>
      <c r="R143" s="16">
        <f t="shared" si="16"/>
        <v>0.72585883606614066</v>
      </c>
    </row>
    <row r="144" spans="1:18" x14ac:dyDescent="0.3">
      <c r="A144" t="s">
        <v>386</v>
      </c>
      <c r="B144" s="6">
        <v>45133</v>
      </c>
      <c r="C144" s="2">
        <v>45163</v>
      </c>
      <c r="D144" s="4">
        <f t="shared" si="17"/>
        <v>30</v>
      </c>
      <c r="E144" s="4" t="str">
        <f>TEXT(Data!B144,"MMM-YYYY")</f>
        <v>Jun-2024</v>
      </c>
      <c r="F144" t="s">
        <v>48</v>
      </c>
      <c r="G144" t="s">
        <v>20</v>
      </c>
      <c r="H144" t="s">
        <v>110</v>
      </c>
      <c r="I144" t="s">
        <v>81</v>
      </c>
      <c r="J144" s="4">
        <v>1261.48</v>
      </c>
      <c r="K144" s="7" t="str">
        <f t="shared" si="14"/>
        <v>High</v>
      </c>
      <c r="L144" s="4">
        <v>1643.18</v>
      </c>
      <c r="M144" s="4">
        <v>0.151</v>
      </c>
      <c r="N144" s="4">
        <v>23</v>
      </c>
      <c r="O144" s="4">
        <f t="shared" si="12"/>
        <v>27251.100119999996</v>
      </c>
      <c r="P144">
        <f t="shared" si="13"/>
        <v>29014.04</v>
      </c>
      <c r="Q144" s="4">
        <f t="shared" si="15"/>
        <v>-1762.9398800000054</v>
      </c>
      <c r="R144" s="16">
        <f t="shared" si="16"/>
        <v>-6.4692429745475011E-2</v>
      </c>
    </row>
    <row r="145" spans="1:18" x14ac:dyDescent="0.3">
      <c r="A145" t="s">
        <v>389</v>
      </c>
      <c r="B145" s="6">
        <v>45458</v>
      </c>
      <c r="C145" s="2">
        <v>45479</v>
      </c>
      <c r="D145" s="4">
        <f t="shared" si="17"/>
        <v>21</v>
      </c>
      <c r="E145" s="4" t="str">
        <f>TEXT(Data!B145,"MMM-YYYY")</f>
        <v>Jul-2023</v>
      </c>
      <c r="F145" t="s">
        <v>105</v>
      </c>
      <c r="G145" t="s">
        <v>55</v>
      </c>
      <c r="H145" t="s">
        <v>49</v>
      </c>
      <c r="I145" t="s">
        <v>30</v>
      </c>
      <c r="J145" s="4">
        <v>817.23</v>
      </c>
      <c r="K145" s="7" t="str">
        <f t="shared" si="14"/>
        <v>High</v>
      </c>
      <c r="L145" s="4">
        <v>1467.17</v>
      </c>
      <c r="M145" s="4">
        <v>0.245</v>
      </c>
      <c r="N145" s="4">
        <v>9</v>
      </c>
      <c r="O145" s="4">
        <f t="shared" si="12"/>
        <v>3655.9817999999996</v>
      </c>
      <c r="P145">
        <f t="shared" si="13"/>
        <v>7355.07</v>
      </c>
      <c r="Q145" s="4">
        <f t="shared" si="15"/>
        <v>-3699.0882000000001</v>
      </c>
      <c r="R145" s="16">
        <f t="shared" si="16"/>
        <v>-1.0117906495048745</v>
      </c>
    </row>
    <row r="146" spans="1:18" x14ac:dyDescent="0.3">
      <c r="A146" t="s">
        <v>391</v>
      </c>
      <c r="B146" s="6">
        <v>45112</v>
      </c>
      <c r="C146" s="2">
        <v>45121</v>
      </c>
      <c r="D146" s="4">
        <f t="shared" si="17"/>
        <v>9</v>
      </c>
      <c r="E146" s="4" t="str">
        <f>TEXT(Data!B146,"MMM-YYYY")</f>
        <v>Nov-2023</v>
      </c>
      <c r="F146" t="s">
        <v>105</v>
      </c>
      <c r="G146" t="s">
        <v>98</v>
      </c>
      <c r="H146" t="s">
        <v>56</v>
      </c>
      <c r="I146" t="s">
        <v>35</v>
      </c>
      <c r="J146" s="4">
        <v>578.85</v>
      </c>
      <c r="K146" s="7" t="str">
        <f t="shared" si="14"/>
        <v>High</v>
      </c>
      <c r="L146" s="4">
        <v>998.76</v>
      </c>
      <c r="M146" s="4">
        <v>8.2000000000000003E-2</v>
      </c>
      <c r="N146" s="4">
        <v>28</v>
      </c>
      <c r="O146" s="4">
        <f t="shared" si="12"/>
        <v>31331.119680000003</v>
      </c>
      <c r="P146">
        <f t="shared" si="13"/>
        <v>16207.800000000001</v>
      </c>
      <c r="Q146" s="4">
        <f t="shared" si="15"/>
        <v>15123.319680000002</v>
      </c>
      <c r="R146" s="16">
        <f t="shared" si="16"/>
        <v>0.4826932402819254</v>
      </c>
    </row>
    <row r="147" spans="1:18" x14ac:dyDescent="0.3">
      <c r="A147" t="s">
        <v>393</v>
      </c>
      <c r="B147" s="6">
        <v>45260</v>
      </c>
      <c r="C147" s="2">
        <v>45259</v>
      </c>
      <c r="D147" s="4">
        <f>DATEDIF(C147,B147, "MD")</f>
        <v>1</v>
      </c>
      <c r="E147" s="4" t="str">
        <f>TEXT(Data!B147,"MMM-YYYY")</f>
        <v>Sep-2025</v>
      </c>
      <c r="F147" t="s">
        <v>62</v>
      </c>
      <c r="G147" t="s">
        <v>40</v>
      </c>
      <c r="H147" t="s">
        <v>63</v>
      </c>
      <c r="I147" t="s">
        <v>57</v>
      </c>
      <c r="J147" s="4">
        <v>275.56</v>
      </c>
      <c r="K147" s="7" t="str">
        <f t="shared" si="14"/>
        <v>High</v>
      </c>
      <c r="L147" s="4">
        <v>630.72</v>
      </c>
      <c r="M147" s="4">
        <v>0.107</v>
      </c>
      <c r="N147" s="4">
        <v>23</v>
      </c>
      <c r="O147" s="4">
        <f t="shared" si="12"/>
        <v>42353.882679999995</v>
      </c>
      <c r="P147">
        <f t="shared" si="13"/>
        <v>6337.88</v>
      </c>
      <c r="Q147" s="4">
        <f t="shared" si="15"/>
        <v>36016.002679999998</v>
      </c>
      <c r="R147" s="16">
        <f t="shared" si="16"/>
        <v>0.85035893762361436</v>
      </c>
    </row>
    <row r="148" spans="1:18" x14ac:dyDescent="0.3">
      <c r="A148" t="s">
        <v>395</v>
      </c>
      <c r="B148" s="6">
        <v>45911</v>
      </c>
      <c r="C148" s="2">
        <v>45928</v>
      </c>
      <c r="D148" s="4">
        <f t="shared" si="17"/>
        <v>17</v>
      </c>
      <c r="E148" s="4" t="str">
        <f>TEXT(Data!B148,"MMM-YYYY")</f>
        <v>Apr-2024</v>
      </c>
      <c r="F148" t="s">
        <v>39</v>
      </c>
      <c r="G148" t="s">
        <v>55</v>
      </c>
      <c r="H148" t="s">
        <v>29</v>
      </c>
      <c r="I148" t="s">
        <v>57</v>
      </c>
      <c r="J148" s="4">
        <v>891.46</v>
      </c>
      <c r="K148" s="7" t="str">
        <f t="shared" si="14"/>
        <v>High</v>
      </c>
      <c r="L148" s="4">
        <v>728.61</v>
      </c>
      <c r="M148" s="4">
        <v>0.185</v>
      </c>
      <c r="N148" s="4">
        <v>6</v>
      </c>
      <c r="O148" s="4">
        <f t="shared" si="12"/>
        <v>49.780199999999994</v>
      </c>
      <c r="P148">
        <f t="shared" si="13"/>
        <v>5348.76</v>
      </c>
      <c r="Q148" s="4">
        <f t="shared" si="15"/>
        <v>-5298.9798000000001</v>
      </c>
      <c r="R148" s="16">
        <f t="shared" si="16"/>
        <v>-106.44753938312824</v>
      </c>
    </row>
    <row r="149" spans="1:18" x14ac:dyDescent="0.3">
      <c r="A149" t="s">
        <v>397</v>
      </c>
      <c r="B149" s="6">
        <v>45386</v>
      </c>
      <c r="C149" s="2">
        <v>45406</v>
      </c>
      <c r="D149" s="4">
        <f t="shared" si="17"/>
        <v>20</v>
      </c>
      <c r="E149" s="4" t="str">
        <f>TEXT(Data!B149,"MMM-YYYY")</f>
        <v>Sep-2023</v>
      </c>
      <c r="F149" t="s">
        <v>39</v>
      </c>
      <c r="G149" t="s">
        <v>98</v>
      </c>
      <c r="H149" t="s">
        <v>68</v>
      </c>
      <c r="I149" t="s">
        <v>81</v>
      </c>
      <c r="J149" s="4">
        <v>683.42</v>
      </c>
      <c r="K149" s="7" t="str">
        <f t="shared" si="14"/>
        <v>High</v>
      </c>
      <c r="L149" s="4">
        <v>951.51</v>
      </c>
      <c r="M149" s="4">
        <v>0</v>
      </c>
      <c r="N149" s="4">
        <v>14</v>
      </c>
      <c r="O149" s="4">
        <f t="shared" si="12"/>
        <v>31944.079999999998</v>
      </c>
      <c r="P149">
        <f t="shared" si="13"/>
        <v>9567.8799999999992</v>
      </c>
      <c r="Q149" s="4">
        <f t="shared" si="15"/>
        <v>22376.199999999997</v>
      </c>
      <c r="R149" s="16">
        <f t="shared" si="16"/>
        <v>0.7004803393930894</v>
      </c>
    </row>
    <row r="150" spans="1:18" x14ac:dyDescent="0.3">
      <c r="A150" t="s">
        <v>399</v>
      </c>
      <c r="B150" s="6">
        <v>45183</v>
      </c>
      <c r="C150" s="2">
        <v>45185</v>
      </c>
      <c r="D150" s="4">
        <f t="shared" si="17"/>
        <v>2</v>
      </c>
      <c r="E150" s="4" t="str">
        <f>TEXT(Data!B150,"MMM-YYYY")</f>
        <v>Sep-2024</v>
      </c>
      <c r="F150" t="s">
        <v>39</v>
      </c>
      <c r="G150" t="s">
        <v>98</v>
      </c>
      <c r="H150" t="s">
        <v>56</v>
      </c>
      <c r="I150" t="s">
        <v>30</v>
      </c>
      <c r="J150" s="4">
        <v>376.83</v>
      </c>
      <c r="K150" s="7" t="str">
        <f t="shared" si="14"/>
        <v>High</v>
      </c>
      <c r="L150" s="4">
        <v>732.88</v>
      </c>
      <c r="M150" s="4">
        <v>0.188</v>
      </c>
      <c r="N150" s="4">
        <v>25</v>
      </c>
      <c r="O150" s="4">
        <f t="shared" si="12"/>
        <v>5066.2710000000006</v>
      </c>
      <c r="P150">
        <f t="shared" si="13"/>
        <v>9420.75</v>
      </c>
      <c r="Q150" s="4">
        <f t="shared" si="15"/>
        <v>-4354.4789999999994</v>
      </c>
      <c r="R150" s="16">
        <f t="shared" si="16"/>
        <v>-0.85950376519534755</v>
      </c>
    </row>
    <row r="151" spans="1:18" x14ac:dyDescent="0.3">
      <c r="A151" t="s">
        <v>401</v>
      </c>
      <c r="B151" s="6">
        <v>45558</v>
      </c>
      <c r="C151" s="2">
        <v>45583</v>
      </c>
      <c r="D151" s="4">
        <f t="shared" si="17"/>
        <v>25</v>
      </c>
      <c r="E151" s="4" t="str">
        <f>TEXT(Data!B151,"MMM-YYYY")</f>
        <v>Apr-2025</v>
      </c>
      <c r="F151" t="s">
        <v>62</v>
      </c>
      <c r="G151" t="s">
        <v>28</v>
      </c>
      <c r="H151" t="s">
        <v>126</v>
      </c>
      <c r="I151" t="s">
        <v>42</v>
      </c>
      <c r="J151" s="4">
        <v>1297</v>
      </c>
      <c r="K151" s="7" t="str">
        <f t="shared" si="14"/>
        <v>High</v>
      </c>
      <c r="L151" s="4">
        <v>2411.52</v>
      </c>
      <c r="M151" s="4">
        <v>2.1000000000000001E-2</v>
      </c>
      <c r="N151" s="4">
        <v>18</v>
      </c>
      <c r="O151" s="4">
        <f t="shared" si="12"/>
        <v>57712.049999999996</v>
      </c>
      <c r="P151">
        <f t="shared" si="13"/>
        <v>23346</v>
      </c>
      <c r="Q151" s="4">
        <f t="shared" si="15"/>
        <v>34366.049999999996</v>
      </c>
      <c r="R151" s="16">
        <f t="shared" si="16"/>
        <v>0.59547442865051581</v>
      </c>
    </row>
    <row r="152" spans="1:18" x14ac:dyDescent="0.3">
      <c r="A152" t="s">
        <v>403</v>
      </c>
      <c r="B152" s="6">
        <v>45763</v>
      </c>
      <c r="C152" s="2">
        <v>45793</v>
      </c>
      <c r="D152" s="4">
        <f t="shared" si="17"/>
        <v>0</v>
      </c>
      <c r="E152" s="4" t="str">
        <f>TEXT(Data!B152,"MMM-YYYY")</f>
        <v>Jul-2023</v>
      </c>
      <c r="F152" t="s">
        <v>105</v>
      </c>
      <c r="G152" t="s">
        <v>55</v>
      </c>
      <c r="H152" t="s">
        <v>95</v>
      </c>
      <c r="I152" t="s">
        <v>30</v>
      </c>
      <c r="J152" s="4">
        <v>763.32</v>
      </c>
      <c r="K152" s="7" t="str">
        <f t="shared" si="14"/>
        <v>High</v>
      </c>
      <c r="L152" s="4">
        <v>568.29</v>
      </c>
      <c r="M152" s="4">
        <v>0.13100000000000001</v>
      </c>
      <c r="N152" s="4">
        <v>16</v>
      </c>
      <c r="O152" s="4">
        <f t="shared" si="12"/>
        <v>26608.919040000001</v>
      </c>
      <c r="P152">
        <f t="shared" si="13"/>
        <v>12213.12</v>
      </c>
      <c r="Q152" s="4">
        <f t="shared" si="15"/>
        <v>14395.79904</v>
      </c>
      <c r="R152" s="16">
        <f t="shared" si="16"/>
        <v>0.54101404940048248</v>
      </c>
    </row>
    <row r="153" spans="1:18" x14ac:dyDescent="0.3">
      <c r="A153" t="s">
        <v>405</v>
      </c>
      <c r="B153" s="6">
        <v>45110</v>
      </c>
      <c r="C153" s="2">
        <v>45130</v>
      </c>
      <c r="D153" s="4">
        <f t="shared" si="17"/>
        <v>20</v>
      </c>
      <c r="E153" s="4" t="str">
        <f>TEXT(Data!B153,"MMM-YYYY")</f>
        <v>Dec-2023</v>
      </c>
      <c r="F153" t="s">
        <v>62</v>
      </c>
      <c r="G153" t="s">
        <v>55</v>
      </c>
      <c r="H153" t="s">
        <v>84</v>
      </c>
      <c r="I153" t="s">
        <v>57</v>
      </c>
      <c r="J153" s="4">
        <v>1001.96</v>
      </c>
      <c r="K153" s="7" t="str">
        <f t="shared" si="14"/>
        <v>High</v>
      </c>
      <c r="L153" s="4">
        <v>1254.95</v>
      </c>
      <c r="M153" s="4">
        <v>4.4999999999999998E-2</v>
      </c>
      <c r="N153" s="4">
        <v>18</v>
      </c>
      <c r="O153" s="4">
        <f t="shared" si="12"/>
        <v>517.24709999999993</v>
      </c>
      <c r="P153">
        <f t="shared" si="13"/>
        <v>18035.28</v>
      </c>
      <c r="Q153" s="4">
        <f t="shared" si="15"/>
        <v>-17518.032899999998</v>
      </c>
      <c r="R153" s="16">
        <f t="shared" si="16"/>
        <v>-33.867822361884677</v>
      </c>
    </row>
    <row r="154" spans="1:18" x14ac:dyDescent="0.3">
      <c r="A154" t="s">
        <v>407</v>
      </c>
      <c r="B154" s="6">
        <v>45267</v>
      </c>
      <c r="C154" s="2">
        <v>45265</v>
      </c>
      <c r="D154" s="4">
        <f>DATEDIF(C154,B154, "MD")</f>
        <v>2</v>
      </c>
      <c r="E154" s="4" t="str">
        <f>TEXT(Data!B154,"MMM-YYYY")</f>
        <v>Feb-2024</v>
      </c>
      <c r="F154" t="s">
        <v>39</v>
      </c>
      <c r="G154" t="s">
        <v>40</v>
      </c>
      <c r="H154" t="s">
        <v>92</v>
      </c>
      <c r="I154" t="s">
        <v>30</v>
      </c>
      <c r="J154" s="4">
        <v>1097.5899999999999</v>
      </c>
      <c r="K154" s="7" t="str">
        <f t="shared" si="14"/>
        <v>High</v>
      </c>
      <c r="L154" s="4">
        <v>845.55</v>
      </c>
      <c r="M154" s="4">
        <v>0.184</v>
      </c>
      <c r="N154" s="4">
        <v>6</v>
      </c>
      <c r="O154" s="4">
        <f t="shared" si="12"/>
        <v>2454.4137600000004</v>
      </c>
      <c r="P154">
        <f t="shared" si="13"/>
        <v>6585.5399999999991</v>
      </c>
      <c r="Q154" s="4">
        <f t="shared" si="15"/>
        <v>-4131.1262399999987</v>
      </c>
      <c r="R154" s="16">
        <f t="shared" si="16"/>
        <v>-1.6831417372757875</v>
      </c>
    </row>
    <row r="155" spans="1:18" x14ac:dyDescent="0.3">
      <c r="A155" t="s">
        <v>409</v>
      </c>
      <c r="B155" s="6">
        <v>45340</v>
      </c>
      <c r="C155" s="2">
        <v>45355</v>
      </c>
      <c r="D155" s="4">
        <f t="shared" si="17"/>
        <v>15</v>
      </c>
      <c r="E155" s="4" t="str">
        <f>TEXT(Data!B155,"MMM-YYYY")</f>
        <v>Oct-2023</v>
      </c>
      <c r="F155" t="s">
        <v>27</v>
      </c>
      <c r="G155" t="s">
        <v>98</v>
      </c>
      <c r="H155" t="s">
        <v>95</v>
      </c>
      <c r="I155" t="s">
        <v>30</v>
      </c>
      <c r="J155" s="4">
        <v>928.68</v>
      </c>
      <c r="K155" s="7" t="str">
        <f t="shared" si="14"/>
        <v>High</v>
      </c>
      <c r="L155" s="4">
        <v>2145.17</v>
      </c>
      <c r="M155" s="4">
        <v>0.13600000000000001</v>
      </c>
      <c r="N155" s="4">
        <v>16</v>
      </c>
      <c r="O155" s="4">
        <f t="shared" si="12"/>
        <v>5684.1523200000001</v>
      </c>
      <c r="P155">
        <f t="shared" si="13"/>
        <v>14858.88</v>
      </c>
      <c r="Q155" s="4">
        <f t="shared" si="15"/>
        <v>-9174.72768</v>
      </c>
      <c r="R155" s="16">
        <f t="shared" si="16"/>
        <v>-1.6140889904934848</v>
      </c>
    </row>
    <row r="156" spans="1:18" x14ac:dyDescent="0.3">
      <c r="A156" t="s">
        <v>411</v>
      </c>
      <c r="B156" s="6">
        <v>45230</v>
      </c>
      <c r="C156" s="2">
        <v>45232</v>
      </c>
      <c r="D156" s="4">
        <f t="shared" si="17"/>
        <v>2</v>
      </c>
      <c r="E156" s="4" t="str">
        <f>TEXT(Data!B156,"MMM-YYYY")</f>
        <v>Aug-2024</v>
      </c>
      <c r="F156" t="s">
        <v>27</v>
      </c>
      <c r="G156" t="s">
        <v>20</v>
      </c>
      <c r="H156" t="s">
        <v>68</v>
      </c>
      <c r="I156" t="s">
        <v>81</v>
      </c>
      <c r="J156" s="4">
        <v>867.89</v>
      </c>
      <c r="K156" s="7" t="str">
        <f t="shared" si="14"/>
        <v>High</v>
      </c>
      <c r="L156" s="4">
        <v>1349.94</v>
      </c>
      <c r="M156" s="4">
        <v>0.184</v>
      </c>
      <c r="N156" s="4">
        <v>10</v>
      </c>
      <c r="O156" s="4">
        <f t="shared" si="12"/>
        <v>48.307200000000009</v>
      </c>
      <c r="P156">
        <f t="shared" si="13"/>
        <v>8678.9</v>
      </c>
      <c r="Q156" s="4">
        <f t="shared" si="15"/>
        <v>-8630.5928000000004</v>
      </c>
      <c r="R156" s="16">
        <f t="shared" si="16"/>
        <v>-178.66058889772123</v>
      </c>
    </row>
    <row r="157" spans="1:18" x14ac:dyDescent="0.3">
      <c r="A157" t="s">
        <v>413</v>
      </c>
      <c r="B157" s="6">
        <v>45511</v>
      </c>
      <c r="C157" s="2">
        <v>45521</v>
      </c>
      <c r="D157" s="4">
        <f t="shared" si="17"/>
        <v>10</v>
      </c>
      <c r="E157" s="4" t="str">
        <f>TEXT(Data!B157,"MMM-YYYY")</f>
        <v>Feb-2024</v>
      </c>
      <c r="F157" t="s">
        <v>48</v>
      </c>
      <c r="G157" t="s">
        <v>28</v>
      </c>
      <c r="H157" t="s">
        <v>95</v>
      </c>
      <c r="I157" t="s">
        <v>35</v>
      </c>
      <c r="J157" s="4">
        <v>436.58</v>
      </c>
      <c r="K157" s="7" t="str">
        <f t="shared" si="14"/>
        <v>High</v>
      </c>
      <c r="L157" s="4">
        <v>527.48</v>
      </c>
      <c r="M157" s="4">
        <v>0.111</v>
      </c>
      <c r="N157" s="4">
        <v>19</v>
      </c>
      <c r="O157" s="4">
        <f t="shared" si="12"/>
        <v>37272.187330000001</v>
      </c>
      <c r="P157">
        <f t="shared" si="13"/>
        <v>8295.02</v>
      </c>
      <c r="Q157" s="4">
        <f t="shared" si="15"/>
        <v>28977.16733</v>
      </c>
      <c r="R157" s="16">
        <f t="shared" si="16"/>
        <v>0.77744745897101064</v>
      </c>
    </row>
    <row r="158" spans="1:18" x14ac:dyDescent="0.3">
      <c r="A158" t="s">
        <v>415</v>
      </c>
      <c r="B158" s="6">
        <v>45323</v>
      </c>
      <c r="C158" s="2">
        <v>45343</v>
      </c>
      <c r="D158" s="4">
        <f t="shared" si="17"/>
        <v>20</v>
      </c>
      <c r="E158" s="4" t="str">
        <f>TEXT(Data!B158,"MMM-YYYY")</f>
        <v>Aug-2024</v>
      </c>
      <c r="F158" t="s">
        <v>62</v>
      </c>
      <c r="G158" t="s">
        <v>40</v>
      </c>
      <c r="H158" t="s">
        <v>75</v>
      </c>
      <c r="I158" t="s">
        <v>35</v>
      </c>
      <c r="J158" s="4">
        <v>656.2</v>
      </c>
      <c r="K158" s="7" t="str">
        <f t="shared" si="14"/>
        <v>High</v>
      </c>
      <c r="L158" s="4">
        <v>1467.17</v>
      </c>
      <c r="M158" s="4">
        <v>1.7999999999999999E-2</v>
      </c>
      <c r="N158" s="4">
        <v>5</v>
      </c>
      <c r="O158" s="4">
        <f t="shared" si="12"/>
        <v>9391.848</v>
      </c>
      <c r="P158">
        <f t="shared" si="13"/>
        <v>3281</v>
      </c>
      <c r="Q158" s="4">
        <f t="shared" si="15"/>
        <v>6110.848</v>
      </c>
      <c r="R158" s="16">
        <f t="shared" si="16"/>
        <v>0.65065448248310664</v>
      </c>
    </row>
    <row r="159" spans="1:18" x14ac:dyDescent="0.3">
      <c r="A159" t="s">
        <v>417</v>
      </c>
      <c r="B159" s="6">
        <v>45531</v>
      </c>
      <c r="C159" s="2">
        <v>45553</v>
      </c>
      <c r="D159" s="4">
        <f t="shared" si="17"/>
        <v>22</v>
      </c>
      <c r="E159" s="4" t="str">
        <f>TEXT(Data!B159,"MMM-YYYY")</f>
        <v>Feb-2025</v>
      </c>
      <c r="F159" t="s">
        <v>48</v>
      </c>
      <c r="G159" t="s">
        <v>98</v>
      </c>
      <c r="H159" t="s">
        <v>56</v>
      </c>
      <c r="I159" t="s">
        <v>22</v>
      </c>
      <c r="J159" s="4">
        <v>896.75</v>
      </c>
      <c r="K159" s="7" t="str">
        <f t="shared" si="14"/>
        <v>High</v>
      </c>
      <c r="L159" s="4">
        <v>1651.14</v>
      </c>
      <c r="M159" s="4">
        <v>2.5000000000000001E-2</v>
      </c>
      <c r="N159" s="4">
        <v>15</v>
      </c>
      <c r="O159" s="4">
        <f t="shared" si="12"/>
        <v>20216.283749999999</v>
      </c>
      <c r="P159">
        <f t="shared" si="13"/>
        <v>13451.25</v>
      </c>
      <c r="Q159" s="4">
        <f t="shared" si="15"/>
        <v>6765.0337499999987</v>
      </c>
      <c r="R159" s="16">
        <f t="shared" si="16"/>
        <v>0.3346329045267778</v>
      </c>
    </row>
    <row r="160" spans="1:18" x14ac:dyDescent="0.3">
      <c r="A160" t="s">
        <v>419</v>
      </c>
      <c r="B160" s="6">
        <v>45703</v>
      </c>
      <c r="C160" s="2">
        <v>45703</v>
      </c>
      <c r="D160" s="4">
        <f t="shared" si="17"/>
        <v>0</v>
      </c>
      <c r="E160" s="4" t="str">
        <f>TEXT(Data!B160,"MMM-YYYY")</f>
        <v>Aug-2025</v>
      </c>
      <c r="F160" t="s">
        <v>62</v>
      </c>
      <c r="G160" t="s">
        <v>40</v>
      </c>
      <c r="H160" t="s">
        <v>49</v>
      </c>
      <c r="I160" t="s">
        <v>81</v>
      </c>
      <c r="J160" s="4">
        <v>815.83</v>
      </c>
      <c r="K160" s="7" t="str">
        <f t="shared" si="14"/>
        <v>High</v>
      </c>
      <c r="L160" s="4">
        <v>1982.18</v>
      </c>
      <c r="M160" s="4">
        <v>0.127</v>
      </c>
      <c r="N160" s="4">
        <v>6</v>
      </c>
      <c r="O160" s="4">
        <f t="shared" si="12"/>
        <v>7100.6851799999995</v>
      </c>
      <c r="P160">
        <f t="shared" si="13"/>
        <v>4894.9800000000005</v>
      </c>
      <c r="Q160" s="4">
        <f t="shared" si="15"/>
        <v>2205.705179999999</v>
      </c>
      <c r="R160" s="16">
        <f t="shared" si="16"/>
        <v>0.31063272403804826</v>
      </c>
    </row>
    <row r="161" spans="1:18" x14ac:dyDescent="0.3">
      <c r="A161" t="s">
        <v>421</v>
      </c>
      <c r="B161" s="6">
        <v>45870</v>
      </c>
      <c r="C161" s="2">
        <v>45890</v>
      </c>
      <c r="D161" s="4">
        <f t="shared" si="17"/>
        <v>20</v>
      </c>
      <c r="E161" s="4" t="str">
        <f>TEXT(Data!B161,"MMM-YYYY")</f>
        <v>Feb-2023</v>
      </c>
      <c r="F161" t="s">
        <v>19</v>
      </c>
      <c r="G161" t="s">
        <v>98</v>
      </c>
      <c r="H161" t="s">
        <v>34</v>
      </c>
      <c r="I161" t="s">
        <v>42</v>
      </c>
      <c r="J161" s="4">
        <v>1220.4100000000001</v>
      </c>
      <c r="K161" s="7" t="str">
        <f t="shared" si="14"/>
        <v>High</v>
      </c>
      <c r="L161" s="4">
        <v>2552.2199999999998</v>
      </c>
      <c r="M161" s="4">
        <v>0.18099999999999999</v>
      </c>
      <c r="N161" s="4">
        <v>14</v>
      </c>
      <c r="O161" s="4">
        <f t="shared" si="12"/>
        <v>10180.661399999999</v>
      </c>
      <c r="P161">
        <f t="shared" si="13"/>
        <v>17085.740000000002</v>
      </c>
      <c r="Q161" s="4">
        <f t="shared" si="15"/>
        <v>-6905.0786000000026</v>
      </c>
      <c r="R161" s="16">
        <f t="shared" si="16"/>
        <v>-0.6782544206803699</v>
      </c>
    </row>
    <row r="162" spans="1:18" x14ac:dyDescent="0.3">
      <c r="A162" t="s">
        <v>423</v>
      </c>
      <c r="B162" s="6">
        <v>44977</v>
      </c>
      <c r="C162" s="2">
        <v>44989</v>
      </c>
      <c r="D162" s="4">
        <f t="shared" si="17"/>
        <v>12</v>
      </c>
      <c r="E162" s="4" t="str">
        <f>TEXT(Data!B162,"MMM-YYYY")</f>
        <v>Oct-2024</v>
      </c>
      <c r="F162" t="s">
        <v>48</v>
      </c>
      <c r="G162" t="s">
        <v>55</v>
      </c>
      <c r="H162" t="s">
        <v>110</v>
      </c>
      <c r="I162" t="s">
        <v>64</v>
      </c>
      <c r="J162" s="4">
        <v>299.75</v>
      </c>
      <c r="K162" s="7" t="str">
        <f t="shared" si="14"/>
        <v>High</v>
      </c>
      <c r="L162" s="4">
        <v>523.01</v>
      </c>
      <c r="M162" s="4">
        <v>0.157</v>
      </c>
      <c r="N162" s="4">
        <v>50</v>
      </c>
      <c r="O162" s="4">
        <f t="shared" si="12"/>
        <v>43022.083500000001</v>
      </c>
      <c r="P162">
        <f t="shared" si="13"/>
        <v>14987.5</v>
      </c>
      <c r="Q162" s="4">
        <f t="shared" si="15"/>
        <v>28034.583500000001</v>
      </c>
      <c r="R162" s="16">
        <f t="shared" si="16"/>
        <v>0.65163239943969709</v>
      </c>
    </row>
    <row r="163" spans="1:18" x14ac:dyDescent="0.3">
      <c r="A163" t="s">
        <v>425</v>
      </c>
      <c r="B163" s="6">
        <v>45595</v>
      </c>
      <c r="C163" s="2">
        <v>45620</v>
      </c>
      <c r="D163" s="4">
        <f t="shared" si="17"/>
        <v>25</v>
      </c>
      <c r="E163" s="4" t="str">
        <f>TEXT(Data!B163,"MMM-YYYY")</f>
        <v>Apr-2024</v>
      </c>
      <c r="F163" t="s">
        <v>62</v>
      </c>
      <c r="G163" t="s">
        <v>28</v>
      </c>
      <c r="H163" t="s">
        <v>63</v>
      </c>
      <c r="I163" t="s">
        <v>22</v>
      </c>
      <c r="J163" s="4">
        <v>811.05</v>
      </c>
      <c r="K163" s="7" t="str">
        <f t="shared" si="14"/>
        <v>High</v>
      </c>
      <c r="L163" s="4">
        <v>1217.71</v>
      </c>
      <c r="M163" s="4">
        <v>7.1999999999999995E-2</v>
      </c>
      <c r="N163" s="4">
        <v>5</v>
      </c>
      <c r="O163" s="4">
        <f t="shared" si="12"/>
        <v>6475.2592000000004</v>
      </c>
      <c r="P163">
        <f t="shared" si="13"/>
        <v>4055.25</v>
      </c>
      <c r="Q163" s="4">
        <f t="shared" si="15"/>
        <v>2420.0092000000004</v>
      </c>
      <c r="R163" s="16">
        <f t="shared" si="16"/>
        <v>0.37373163378540897</v>
      </c>
    </row>
    <row r="164" spans="1:18" x14ac:dyDescent="0.3">
      <c r="A164" t="s">
        <v>427</v>
      </c>
      <c r="B164" s="6">
        <v>45385</v>
      </c>
      <c r="C164" s="2">
        <v>45389</v>
      </c>
      <c r="D164" s="4">
        <f t="shared" si="17"/>
        <v>4</v>
      </c>
      <c r="E164" s="4" t="str">
        <f>TEXT(Data!B164,"MMM-YYYY")</f>
        <v>Mar-2023</v>
      </c>
      <c r="F164" t="s">
        <v>39</v>
      </c>
      <c r="G164" t="s">
        <v>98</v>
      </c>
      <c r="H164" t="s">
        <v>126</v>
      </c>
      <c r="I164" t="s">
        <v>42</v>
      </c>
      <c r="J164" s="4">
        <v>1023.27</v>
      </c>
      <c r="K164" s="7" t="str">
        <f t="shared" si="14"/>
        <v>High</v>
      </c>
      <c r="L164" s="4">
        <v>1343.64</v>
      </c>
      <c r="M164" s="4">
        <v>0.13300000000000001</v>
      </c>
      <c r="N164" s="4">
        <v>7</v>
      </c>
      <c r="O164" s="4">
        <f t="shared" si="12"/>
        <v>13797.385980000001</v>
      </c>
      <c r="P164">
        <f t="shared" si="13"/>
        <v>7162.8899999999994</v>
      </c>
      <c r="Q164" s="4">
        <f t="shared" si="15"/>
        <v>6634.4959800000015</v>
      </c>
      <c r="R164" s="16">
        <f t="shared" si="16"/>
        <v>0.48085166201895302</v>
      </c>
    </row>
    <row r="165" spans="1:18" x14ac:dyDescent="0.3">
      <c r="A165" t="s">
        <v>429</v>
      </c>
      <c r="B165" s="6">
        <v>45010</v>
      </c>
      <c r="C165" s="2">
        <v>45011</v>
      </c>
      <c r="D165" s="4">
        <f t="shared" si="17"/>
        <v>1</v>
      </c>
      <c r="E165" s="4" t="str">
        <f>TEXT(Data!B165,"MMM-YYYY")</f>
        <v>Jun-2024</v>
      </c>
      <c r="F165" t="s">
        <v>62</v>
      </c>
      <c r="G165" t="s">
        <v>55</v>
      </c>
      <c r="H165" t="s">
        <v>34</v>
      </c>
      <c r="I165" t="s">
        <v>64</v>
      </c>
      <c r="J165" s="4">
        <v>135.12</v>
      </c>
      <c r="K165" s="7" t="str">
        <f t="shared" si="14"/>
        <v>High</v>
      </c>
      <c r="L165" s="4">
        <v>301.7</v>
      </c>
      <c r="M165" s="4">
        <v>0.14000000000000001</v>
      </c>
      <c r="N165" s="4">
        <v>47</v>
      </c>
      <c r="O165" s="4">
        <f t="shared" si="12"/>
        <v>50207.703000000001</v>
      </c>
      <c r="P165">
        <f t="shared" si="13"/>
        <v>6350.64</v>
      </c>
      <c r="Q165" s="4">
        <f t="shared" si="15"/>
        <v>43857.063000000002</v>
      </c>
      <c r="R165" s="16">
        <f t="shared" si="16"/>
        <v>0.87351263609888707</v>
      </c>
    </row>
    <row r="166" spans="1:18" x14ac:dyDescent="0.3">
      <c r="A166" t="s">
        <v>431</v>
      </c>
      <c r="B166" s="6">
        <v>45447</v>
      </c>
      <c r="C166" s="2">
        <v>45459</v>
      </c>
      <c r="D166" s="4">
        <f t="shared" si="17"/>
        <v>12</v>
      </c>
      <c r="E166" s="4" t="str">
        <f>TEXT(Data!B166,"MMM-YYYY")</f>
        <v>Feb-2023</v>
      </c>
      <c r="F166" t="s">
        <v>19</v>
      </c>
      <c r="G166" t="s">
        <v>20</v>
      </c>
      <c r="H166" t="s">
        <v>29</v>
      </c>
      <c r="I166" t="s">
        <v>30</v>
      </c>
      <c r="J166" s="4">
        <v>918.42</v>
      </c>
      <c r="K166" s="7" t="str">
        <f t="shared" si="14"/>
        <v>High</v>
      </c>
      <c r="L166" s="4">
        <v>1511.71</v>
      </c>
      <c r="M166" s="4">
        <v>0.02</v>
      </c>
      <c r="N166" s="4">
        <v>8</v>
      </c>
      <c r="O166" s="4">
        <f t="shared" si="12"/>
        <v>10272.6736</v>
      </c>
      <c r="P166">
        <f t="shared" si="13"/>
        <v>7347.36</v>
      </c>
      <c r="Q166" s="4">
        <f t="shared" si="15"/>
        <v>2925.3136000000004</v>
      </c>
      <c r="R166" s="16">
        <f t="shared" si="16"/>
        <v>0.28476652855007489</v>
      </c>
    </row>
    <row r="167" spans="1:18" x14ac:dyDescent="0.3">
      <c r="A167" t="s">
        <v>433</v>
      </c>
      <c r="B167" s="6">
        <v>44976</v>
      </c>
      <c r="C167" s="2">
        <v>44997</v>
      </c>
      <c r="D167" s="4">
        <f t="shared" si="17"/>
        <v>21</v>
      </c>
      <c r="E167" s="4" t="str">
        <f>TEXT(Data!B167,"MMM-YYYY")</f>
        <v>Apr-2023</v>
      </c>
      <c r="F167" t="s">
        <v>62</v>
      </c>
      <c r="G167" t="s">
        <v>98</v>
      </c>
      <c r="H167" t="s">
        <v>49</v>
      </c>
      <c r="I167" t="s">
        <v>64</v>
      </c>
      <c r="J167" s="4">
        <v>1234.81</v>
      </c>
      <c r="K167" s="7" t="str">
        <f t="shared" si="14"/>
        <v>High</v>
      </c>
      <c r="L167" s="4">
        <v>2055.2399999999998</v>
      </c>
      <c r="M167" s="4">
        <v>5.2999999999999999E-2</v>
      </c>
      <c r="N167" s="4">
        <v>44</v>
      </c>
      <c r="O167" s="4">
        <f t="shared" si="12"/>
        <v>40303.373</v>
      </c>
      <c r="P167">
        <f t="shared" si="13"/>
        <v>54331.64</v>
      </c>
      <c r="Q167" s="4">
        <f t="shared" si="15"/>
        <v>-14028.267</v>
      </c>
      <c r="R167" s="16">
        <f t="shared" si="16"/>
        <v>-0.34806682309195314</v>
      </c>
    </row>
    <row r="168" spans="1:18" x14ac:dyDescent="0.3">
      <c r="A168" t="s">
        <v>435</v>
      </c>
      <c r="B168" s="6">
        <v>45034</v>
      </c>
      <c r="C168" s="2">
        <v>45064</v>
      </c>
      <c r="D168" s="4">
        <f t="shared" si="17"/>
        <v>0</v>
      </c>
      <c r="E168" s="4" t="str">
        <f>TEXT(Data!B168,"MMM-YYYY")</f>
        <v>May-2024</v>
      </c>
      <c r="F168" t="s">
        <v>39</v>
      </c>
      <c r="G168" t="s">
        <v>20</v>
      </c>
      <c r="H168" t="s">
        <v>92</v>
      </c>
      <c r="I168" t="s">
        <v>57</v>
      </c>
      <c r="J168" s="4">
        <v>329.03</v>
      </c>
      <c r="K168" s="7" t="str">
        <f t="shared" si="14"/>
        <v>High</v>
      </c>
      <c r="L168" s="4">
        <v>391.15</v>
      </c>
      <c r="M168" s="4">
        <v>0.19700000000000001</v>
      </c>
      <c r="N168" s="4">
        <v>46</v>
      </c>
      <c r="O168" s="4">
        <f t="shared" si="12"/>
        <v>32735.194359999998</v>
      </c>
      <c r="P168">
        <f t="shared" si="13"/>
        <v>15135.38</v>
      </c>
      <c r="Q168" s="4">
        <f t="shared" si="15"/>
        <v>17599.814359999997</v>
      </c>
      <c r="R168" s="16">
        <f t="shared" si="16"/>
        <v>0.53764196926552166</v>
      </c>
    </row>
    <row r="169" spans="1:18" x14ac:dyDescent="0.3">
      <c r="A169" t="s">
        <v>437</v>
      </c>
      <c r="B169" s="6">
        <v>45435</v>
      </c>
      <c r="C169" s="2">
        <v>45457</v>
      </c>
      <c r="D169" s="4">
        <f t="shared" si="17"/>
        <v>22</v>
      </c>
      <c r="E169" s="4" t="str">
        <f>TEXT(Data!B169,"MMM-YYYY")</f>
        <v>Oct-2023</v>
      </c>
      <c r="F169" t="s">
        <v>62</v>
      </c>
      <c r="G169" t="s">
        <v>28</v>
      </c>
      <c r="H169" t="s">
        <v>126</v>
      </c>
      <c r="I169" t="s">
        <v>64</v>
      </c>
      <c r="J169" s="4">
        <v>1481.74</v>
      </c>
      <c r="K169" s="7" t="str">
        <f t="shared" si="14"/>
        <v>High</v>
      </c>
      <c r="L169" s="4">
        <v>1848.97</v>
      </c>
      <c r="M169" s="4">
        <v>0.254</v>
      </c>
      <c r="N169" s="4">
        <v>9</v>
      </c>
      <c r="O169" s="4">
        <f t="shared" si="12"/>
        <v>5308.1555399999997</v>
      </c>
      <c r="P169">
        <f t="shared" si="13"/>
        <v>13335.66</v>
      </c>
      <c r="Q169" s="4">
        <f t="shared" si="15"/>
        <v>-8027.5044600000001</v>
      </c>
      <c r="R169" s="16">
        <f t="shared" si="16"/>
        <v>-1.5122963898680333</v>
      </c>
    </row>
    <row r="170" spans="1:18" x14ac:dyDescent="0.3">
      <c r="A170" t="s">
        <v>439</v>
      </c>
      <c r="B170" s="6">
        <v>45206</v>
      </c>
      <c r="C170" s="2">
        <v>45222</v>
      </c>
      <c r="D170" s="4">
        <f t="shared" si="17"/>
        <v>16</v>
      </c>
      <c r="E170" s="4" t="str">
        <f>TEXT(Data!B170,"MMM-YYYY")</f>
        <v>Oct-2024</v>
      </c>
      <c r="F170" t="s">
        <v>48</v>
      </c>
      <c r="G170" t="s">
        <v>20</v>
      </c>
      <c r="H170" t="s">
        <v>41</v>
      </c>
      <c r="I170" t="s">
        <v>64</v>
      </c>
      <c r="J170" s="4">
        <v>906.81</v>
      </c>
      <c r="K170" s="7" t="str">
        <f t="shared" si="14"/>
        <v>High</v>
      </c>
      <c r="L170" s="4">
        <v>1395.56</v>
      </c>
      <c r="M170" s="4">
        <v>0.185</v>
      </c>
      <c r="N170" s="4">
        <v>6</v>
      </c>
      <c r="O170" s="4">
        <f t="shared" si="12"/>
        <v>1766.9036999999998</v>
      </c>
      <c r="P170">
        <f t="shared" si="13"/>
        <v>5440.86</v>
      </c>
      <c r="Q170" s="4">
        <f t="shared" si="15"/>
        <v>-3673.9562999999998</v>
      </c>
      <c r="R170" s="16">
        <f t="shared" si="16"/>
        <v>-2.079318923832691</v>
      </c>
    </row>
    <row r="171" spans="1:18" x14ac:dyDescent="0.3">
      <c r="A171" t="s">
        <v>441</v>
      </c>
      <c r="B171" s="6">
        <v>45574</v>
      </c>
      <c r="C171" s="2">
        <v>45604</v>
      </c>
      <c r="D171" s="4">
        <f t="shared" si="17"/>
        <v>30</v>
      </c>
      <c r="E171" s="4" t="str">
        <f>TEXT(Data!B171,"MMM-YYYY")</f>
        <v>Jul-2024</v>
      </c>
      <c r="F171" t="s">
        <v>62</v>
      </c>
      <c r="G171" t="s">
        <v>55</v>
      </c>
      <c r="H171" t="s">
        <v>29</v>
      </c>
      <c r="I171" t="s">
        <v>22</v>
      </c>
      <c r="J171" s="4">
        <v>343.85</v>
      </c>
      <c r="K171" s="7" t="str">
        <f t="shared" si="14"/>
        <v>High</v>
      </c>
      <c r="L171" s="4">
        <v>538.04</v>
      </c>
      <c r="M171" s="4">
        <v>0.13900000000000001</v>
      </c>
      <c r="N171" s="4">
        <v>5</v>
      </c>
      <c r="O171" s="4">
        <f t="shared" si="12"/>
        <v>8403.5321999999996</v>
      </c>
      <c r="P171">
        <f t="shared" si="13"/>
        <v>1719.25</v>
      </c>
      <c r="Q171" s="4">
        <f t="shared" si="15"/>
        <v>6684.2821999999996</v>
      </c>
      <c r="R171" s="16">
        <f t="shared" si="16"/>
        <v>0.79541340961363838</v>
      </c>
    </row>
    <row r="172" spans="1:18" x14ac:dyDescent="0.3">
      <c r="A172" t="s">
        <v>443</v>
      </c>
      <c r="B172" s="6">
        <v>45488</v>
      </c>
      <c r="C172" s="2">
        <v>45488</v>
      </c>
      <c r="D172" s="4">
        <f t="shared" si="17"/>
        <v>0</v>
      </c>
      <c r="E172" s="4" t="str">
        <f>TEXT(Data!B172,"MMM-YYYY")</f>
        <v>Sep-2023</v>
      </c>
      <c r="F172" t="s">
        <v>62</v>
      </c>
      <c r="G172" t="s">
        <v>40</v>
      </c>
      <c r="H172" t="s">
        <v>41</v>
      </c>
      <c r="I172" t="s">
        <v>81</v>
      </c>
      <c r="J172" s="4">
        <v>801.77</v>
      </c>
      <c r="K172" s="7" t="str">
        <f t="shared" si="14"/>
        <v>High</v>
      </c>
      <c r="L172" s="4">
        <v>1218.92</v>
      </c>
      <c r="M172" s="4">
        <v>0.254</v>
      </c>
      <c r="N172" s="4">
        <v>16</v>
      </c>
      <c r="O172" s="4">
        <f t="shared" si="12"/>
        <v>18676.97536</v>
      </c>
      <c r="P172">
        <f t="shared" si="13"/>
        <v>12828.32</v>
      </c>
      <c r="Q172" s="4">
        <f t="shared" si="15"/>
        <v>5848.6553600000007</v>
      </c>
      <c r="R172" s="16">
        <f t="shared" si="16"/>
        <v>0.31314788648947495</v>
      </c>
    </row>
    <row r="173" spans="1:18" x14ac:dyDescent="0.3">
      <c r="A173" t="s">
        <v>445</v>
      </c>
      <c r="B173" s="6">
        <v>45190</v>
      </c>
      <c r="C173" s="2">
        <v>45209</v>
      </c>
      <c r="D173" s="4">
        <f t="shared" si="17"/>
        <v>19</v>
      </c>
      <c r="E173" s="4" t="str">
        <f>TEXT(Data!B173,"MMM-YYYY")</f>
        <v>Feb-2023</v>
      </c>
      <c r="F173" t="s">
        <v>27</v>
      </c>
      <c r="G173" t="s">
        <v>28</v>
      </c>
      <c r="H173" t="s">
        <v>145</v>
      </c>
      <c r="I173" t="s">
        <v>22</v>
      </c>
      <c r="J173" s="4">
        <v>845.63</v>
      </c>
      <c r="K173" s="7" t="str">
        <f t="shared" si="14"/>
        <v>High</v>
      </c>
      <c r="L173" s="4">
        <v>2062.12</v>
      </c>
      <c r="M173" s="4">
        <v>0.13400000000000001</v>
      </c>
      <c r="N173" s="4">
        <v>5</v>
      </c>
      <c r="O173" s="4">
        <f t="shared" si="12"/>
        <v>3691.4982</v>
      </c>
      <c r="P173">
        <f t="shared" si="13"/>
        <v>4228.1499999999996</v>
      </c>
      <c r="Q173" s="4">
        <f t="shared" si="15"/>
        <v>-536.65179999999964</v>
      </c>
      <c r="R173" s="16">
        <f t="shared" si="16"/>
        <v>-0.1453750674996942</v>
      </c>
    </row>
    <row r="174" spans="1:18" x14ac:dyDescent="0.3">
      <c r="A174" t="s">
        <v>447</v>
      </c>
      <c r="B174" s="6">
        <v>44981</v>
      </c>
      <c r="C174" s="2">
        <v>44994</v>
      </c>
      <c r="D174" s="4">
        <f t="shared" si="17"/>
        <v>13</v>
      </c>
      <c r="E174" s="4" t="str">
        <f>TEXT(Data!B174,"MMM-YYYY")</f>
        <v>May-2025</v>
      </c>
      <c r="F174" t="s">
        <v>105</v>
      </c>
      <c r="G174" t="s">
        <v>28</v>
      </c>
      <c r="H174" t="s">
        <v>110</v>
      </c>
      <c r="I174" t="s">
        <v>22</v>
      </c>
      <c r="J174" s="4">
        <v>6.85</v>
      </c>
      <c r="K174" s="7" t="str">
        <f t="shared" si="14"/>
        <v>Low</v>
      </c>
      <c r="L174" s="4">
        <v>10.18</v>
      </c>
      <c r="M174" s="4">
        <v>4.7E-2</v>
      </c>
      <c r="N174" s="4">
        <v>10</v>
      </c>
      <c r="O174" s="4">
        <f t="shared" si="12"/>
        <v>13964.213699999998</v>
      </c>
      <c r="P174">
        <f t="shared" si="13"/>
        <v>68.5</v>
      </c>
      <c r="Q174" s="4">
        <f t="shared" si="15"/>
        <v>13895.713699999998</v>
      </c>
      <c r="R174" s="16">
        <f t="shared" si="16"/>
        <v>0.99509460385871928</v>
      </c>
    </row>
    <row r="175" spans="1:18" x14ac:dyDescent="0.3">
      <c r="A175" t="s">
        <v>449</v>
      </c>
      <c r="B175" s="6">
        <v>45798</v>
      </c>
      <c r="C175" s="2">
        <v>45796</v>
      </c>
      <c r="D175" s="4">
        <f>DATEDIF(C175,B175, "MD")</f>
        <v>2</v>
      </c>
      <c r="E175" s="4" t="str">
        <f>TEXT(Data!B175,"MMM-YYYY")</f>
        <v>May-2024</v>
      </c>
      <c r="F175" t="s">
        <v>39</v>
      </c>
      <c r="G175" t="s">
        <v>55</v>
      </c>
      <c r="H175" t="s">
        <v>68</v>
      </c>
      <c r="I175" t="s">
        <v>57</v>
      </c>
      <c r="J175" s="4">
        <v>1263.8399999999999</v>
      </c>
      <c r="K175" s="7" t="str">
        <f t="shared" si="14"/>
        <v>High</v>
      </c>
      <c r="L175" s="4">
        <v>2281.7199999999998</v>
      </c>
      <c r="M175" s="4">
        <v>7.8E-2</v>
      </c>
      <c r="N175" s="4">
        <v>15</v>
      </c>
      <c r="O175" s="4">
        <f t="shared" si="12"/>
        <v>36583.530899999998</v>
      </c>
      <c r="P175">
        <f t="shared" si="13"/>
        <v>18957.599999999999</v>
      </c>
      <c r="Q175" s="4">
        <f t="shared" si="15"/>
        <v>17625.930899999999</v>
      </c>
      <c r="R175" s="16">
        <f t="shared" si="16"/>
        <v>0.48179960945213191</v>
      </c>
    </row>
    <row r="176" spans="1:18" x14ac:dyDescent="0.3">
      <c r="A176" t="s">
        <v>451</v>
      </c>
      <c r="B176" s="6">
        <v>45435</v>
      </c>
      <c r="C176" s="2">
        <v>45446</v>
      </c>
      <c r="D176" s="4">
        <f t="shared" si="17"/>
        <v>11</v>
      </c>
      <c r="E176" s="4" t="str">
        <f>TEXT(Data!B176,"MMM-YYYY")</f>
        <v>Apr-2025</v>
      </c>
      <c r="F176" t="s">
        <v>62</v>
      </c>
      <c r="G176" t="s">
        <v>55</v>
      </c>
      <c r="H176" t="s">
        <v>84</v>
      </c>
      <c r="I176" t="s">
        <v>30</v>
      </c>
      <c r="J176" s="4">
        <v>180.89</v>
      </c>
      <c r="K176" s="7" t="str">
        <f t="shared" si="14"/>
        <v>High</v>
      </c>
      <c r="L176" s="4">
        <v>249.57</v>
      </c>
      <c r="M176" s="4">
        <v>2.1999999999999999E-2</v>
      </c>
      <c r="N176" s="4">
        <v>8</v>
      </c>
      <c r="O176" s="4">
        <f t="shared" si="12"/>
        <v>6897.4036800000003</v>
      </c>
      <c r="P176">
        <f t="shared" si="13"/>
        <v>1447.12</v>
      </c>
      <c r="Q176" s="4">
        <f t="shared" si="15"/>
        <v>5450.2836800000005</v>
      </c>
      <c r="R176" s="16">
        <f t="shared" si="16"/>
        <v>0.79019351815000627</v>
      </c>
    </row>
    <row r="177" spans="1:18" x14ac:dyDescent="0.3">
      <c r="A177" t="s">
        <v>453</v>
      </c>
      <c r="B177" s="6">
        <v>45761</v>
      </c>
      <c r="C177" s="2">
        <v>45781</v>
      </c>
      <c r="D177" s="4">
        <f t="shared" si="17"/>
        <v>20</v>
      </c>
      <c r="E177" s="4" t="str">
        <f>TEXT(Data!B177,"MMM-YYYY")</f>
        <v>Aug-2023</v>
      </c>
      <c r="F177" t="s">
        <v>105</v>
      </c>
      <c r="G177" t="s">
        <v>40</v>
      </c>
      <c r="H177" t="s">
        <v>95</v>
      </c>
      <c r="I177" t="s">
        <v>64</v>
      </c>
      <c r="J177" s="4">
        <v>1413.87</v>
      </c>
      <c r="K177" s="7" t="str">
        <f t="shared" si="14"/>
        <v>High</v>
      </c>
      <c r="L177" s="4">
        <v>3275</v>
      </c>
      <c r="M177" s="4">
        <v>0.255</v>
      </c>
      <c r="N177" s="4">
        <v>38</v>
      </c>
      <c r="O177" s="4">
        <f t="shared" si="12"/>
        <v>17694.882399999999</v>
      </c>
      <c r="P177">
        <f t="shared" si="13"/>
        <v>53727.06</v>
      </c>
      <c r="Q177" s="4">
        <f t="shared" si="15"/>
        <v>-36032.177599999995</v>
      </c>
      <c r="R177" s="16">
        <f t="shared" si="16"/>
        <v>-2.0363050053387188</v>
      </c>
    </row>
    <row r="178" spans="1:18" x14ac:dyDescent="0.3">
      <c r="A178" t="s">
        <v>455</v>
      </c>
      <c r="B178" s="6">
        <v>45165</v>
      </c>
      <c r="C178" s="2">
        <v>45180</v>
      </c>
      <c r="D178" s="4">
        <f t="shared" si="17"/>
        <v>15</v>
      </c>
      <c r="E178" s="4" t="str">
        <f>TEXT(Data!B178,"MMM-YYYY")</f>
        <v>Feb-2024</v>
      </c>
      <c r="F178" t="s">
        <v>48</v>
      </c>
      <c r="G178" t="s">
        <v>40</v>
      </c>
      <c r="H178" t="s">
        <v>126</v>
      </c>
      <c r="I178" t="s">
        <v>30</v>
      </c>
      <c r="J178" s="4">
        <v>943.79</v>
      </c>
      <c r="K178" s="7" t="str">
        <f t="shared" si="14"/>
        <v>High</v>
      </c>
      <c r="L178" s="4">
        <v>1913.76</v>
      </c>
      <c r="M178" s="4">
        <v>9.0999999999999998E-2</v>
      </c>
      <c r="N178" s="4">
        <v>9</v>
      </c>
      <c r="O178" s="4">
        <f t="shared" si="12"/>
        <v>7960.4402400000008</v>
      </c>
      <c r="P178">
        <f t="shared" si="13"/>
        <v>8494.11</v>
      </c>
      <c r="Q178" s="4">
        <f t="shared" si="15"/>
        <v>-533.66975999999977</v>
      </c>
      <c r="R178" s="16">
        <f t="shared" si="16"/>
        <v>-6.7040231935715122E-2</v>
      </c>
    </row>
    <row r="179" spans="1:18" x14ac:dyDescent="0.3">
      <c r="A179" t="s">
        <v>457</v>
      </c>
      <c r="B179" s="6">
        <v>45325</v>
      </c>
      <c r="C179" s="2">
        <v>45343</v>
      </c>
      <c r="D179" s="4">
        <f t="shared" si="17"/>
        <v>18</v>
      </c>
      <c r="E179" s="4" t="str">
        <f>TEXT(Data!B179,"MMM-YYYY")</f>
        <v>Apr-2023</v>
      </c>
      <c r="F179" t="s">
        <v>19</v>
      </c>
      <c r="G179" t="s">
        <v>20</v>
      </c>
      <c r="H179" t="s">
        <v>92</v>
      </c>
      <c r="I179" t="s">
        <v>22</v>
      </c>
      <c r="J179" s="4">
        <v>39.229999999999997</v>
      </c>
      <c r="K179" s="7" t="str">
        <f t="shared" si="14"/>
        <v>Low</v>
      </c>
      <c r="L179" s="4">
        <v>30.09</v>
      </c>
      <c r="M179" s="4">
        <v>0.17699999999999999</v>
      </c>
      <c r="N179" s="4">
        <v>13</v>
      </c>
      <c r="O179" s="4">
        <f t="shared" si="12"/>
        <v>16533.592659999998</v>
      </c>
      <c r="P179">
        <f t="shared" si="13"/>
        <v>509.98999999999995</v>
      </c>
      <c r="Q179" s="4">
        <f t="shared" si="15"/>
        <v>16023.602659999999</v>
      </c>
      <c r="R179" s="16">
        <f t="shared" si="16"/>
        <v>0.96915431446222655</v>
      </c>
    </row>
    <row r="180" spans="1:18" x14ac:dyDescent="0.3">
      <c r="A180" t="s">
        <v>459</v>
      </c>
      <c r="B180" s="6">
        <v>45021</v>
      </c>
      <c r="C180" s="2">
        <v>45032</v>
      </c>
      <c r="D180" s="4">
        <f t="shared" si="17"/>
        <v>11</v>
      </c>
      <c r="E180" s="4" t="str">
        <f>TEXT(Data!B180,"MMM-YYYY")</f>
        <v>Aug-2025</v>
      </c>
      <c r="F180" t="s">
        <v>39</v>
      </c>
      <c r="G180" t="s">
        <v>28</v>
      </c>
      <c r="H180" t="s">
        <v>68</v>
      </c>
      <c r="I180" t="s">
        <v>64</v>
      </c>
      <c r="J180" s="4">
        <v>213.1</v>
      </c>
      <c r="K180" s="7" t="str">
        <f t="shared" si="14"/>
        <v>High</v>
      </c>
      <c r="L180" s="4">
        <v>501.31</v>
      </c>
      <c r="M180" s="4">
        <v>5.6000000000000001E-2</v>
      </c>
      <c r="N180" s="4">
        <v>15</v>
      </c>
      <c r="O180" s="4">
        <f t="shared" si="12"/>
        <v>31908.427200000002</v>
      </c>
      <c r="P180">
        <f t="shared" si="13"/>
        <v>3196.5</v>
      </c>
      <c r="Q180" s="4">
        <f t="shared" si="15"/>
        <v>28711.927200000002</v>
      </c>
      <c r="R180" s="16">
        <f t="shared" si="16"/>
        <v>0.89982270263700115</v>
      </c>
    </row>
    <row r="181" spans="1:18" x14ac:dyDescent="0.3">
      <c r="A181" t="s">
        <v>461</v>
      </c>
      <c r="B181" s="6">
        <v>45890</v>
      </c>
      <c r="C181" s="2">
        <v>45912</v>
      </c>
      <c r="D181" s="4">
        <f t="shared" si="17"/>
        <v>22</v>
      </c>
      <c r="E181" s="4" t="str">
        <f>TEXT(Data!B181,"MMM-YYYY")</f>
        <v>Sep-2025</v>
      </c>
      <c r="F181" t="s">
        <v>27</v>
      </c>
      <c r="G181" t="s">
        <v>20</v>
      </c>
      <c r="H181" t="s">
        <v>56</v>
      </c>
      <c r="I181" t="s">
        <v>30</v>
      </c>
      <c r="J181" s="4">
        <v>352.66</v>
      </c>
      <c r="K181" s="7" t="str">
        <f t="shared" si="14"/>
        <v>High</v>
      </c>
      <c r="L181" s="4">
        <v>411.18</v>
      </c>
      <c r="M181" s="4">
        <v>0.17299999999999999</v>
      </c>
      <c r="N181" s="4">
        <v>13</v>
      </c>
      <c r="O181" s="4">
        <f t="shared" si="12"/>
        <v>26302.966559999997</v>
      </c>
      <c r="P181">
        <f t="shared" si="13"/>
        <v>4584.58</v>
      </c>
      <c r="Q181" s="4">
        <f t="shared" si="15"/>
        <v>21718.386559999999</v>
      </c>
      <c r="R181" s="16">
        <f t="shared" si="16"/>
        <v>0.82570102921501043</v>
      </c>
    </row>
    <row r="182" spans="1:18" x14ac:dyDescent="0.3">
      <c r="A182" t="s">
        <v>463</v>
      </c>
      <c r="B182" s="6">
        <v>45915</v>
      </c>
      <c r="C182" s="2">
        <v>45918</v>
      </c>
      <c r="D182" s="4">
        <f t="shared" si="17"/>
        <v>3</v>
      </c>
      <c r="E182" s="4" t="str">
        <f>TEXT(Data!B182,"MMM-YYYY")</f>
        <v>Oct-2024</v>
      </c>
      <c r="F182" t="s">
        <v>39</v>
      </c>
      <c r="G182" t="s">
        <v>98</v>
      </c>
      <c r="H182" t="s">
        <v>49</v>
      </c>
      <c r="I182" t="s">
        <v>81</v>
      </c>
      <c r="J182" s="4">
        <v>5.5</v>
      </c>
      <c r="K182" s="7" t="str">
        <f t="shared" si="14"/>
        <v>Low</v>
      </c>
      <c r="L182" s="4">
        <v>5.92</v>
      </c>
      <c r="M182" s="4">
        <v>0.21199999999999999</v>
      </c>
      <c r="N182" s="4">
        <v>4</v>
      </c>
      <c r="O182" s="4">
        <f t="shared" si="12"/>
        <v>593.52160000000003</v>
      </c>
      <c r="P182">
        <f t="shared" si="13"/>
        <v>22</v>
      </c>
      <c r="Q182" s="4">
        <f t="shared" si="15"/>
        <v>571.52160000000003</v>
      </c>
      <c r="R182" s="16">
        <f t="shared" si="16"/>
        <v>0.96293310976382329</v>
      </c>
    </row>
    <row r="183" spans="1:18" x14ac:dyDescent="0.3">
      <c r="A183" t="s">
        <v>465</v>
      </c>
      <c r="B183" s="6">
        <v>45568</v>
      </c>
      <c r="C183" s="2">
        <v>45576</v>
      </c>
      <c r="D183" s="4">
        <f t="shared" si="17"/>
        <v>8</v>
      </c>
      <c r="E183" s="4" t="str">
        <f>TEXT(Data!B183,"MMM-YYYY")</f>
        <v>Feb-2025</v>
      </c>
      <c r="F183" t="s">
        <v>105</v>
      </c>
      <c r="G183" t="s">
        <v>98</v>
      </c>
      <c r="H183" t="s">
        <v>56</v>
      </c>
      <c r="I183" t="s">
        <v>42</v>
      </c>
      <c r="J183" s="4">
        <v>1132.6099999999999</v>
      </c>
      <c r="K183" s="7" t="str">
        <f t="shared" si="14"/>
        <v>High</v>
      </c>
      <c r="L183" s="4">
        <v>2206.63</v>
      </c>
      <c r="M183" s="4">
        <v>6.3E-2</v>
      </c>
      <c r="N183" s="4">
        <v>20</v>
      </c>
      <c r="O183" s="4">
        <f t="shared" si="12"/>
        <v>48027.621600000006</v>
      </c>
      <c r="P183">
        <f t="shared" si="13"/>
        <v>22652.199999999997</v>
      </c>
      <c r="Q183" s="4">
        <f t="shared" si="15"/>
        <v>25375.421600000009</v>
      </c>
      <c r="R183" s="16">
        <f t="shared" si="16"/>
        <v>0.52835057732694402</v>
      </c>
    </row>
    <row r="184" spans="1:18" x14ac:dyDescent="0.3">
      <c r="A184" t="s">
        <v>467</v>
      </c>
      <c r="B184" s="6">
        <v>45690</v>
      </c>
      <c r="C184" s="2">
        <v>45720</v>
      </c>
      <c r="D184" s="4">
        <f t="shared" si="17"/>
        <v>2</v>
      </c>
      <c r="E184" s="4" t="str">
        <f>TEXT(Data!B184,"MMM-YYYY")</f>
        <v>Aug-2023</v>
      </c>
      <c r="F184" t="s">
        <v>27</v>
      </c>
      <c r="G184" t="s">
        <v>55</v>
      </c>
      <c r="H184" t="s">
        <v>49</v>
      </c>
      <c r="I184" t="s">
        <v>81</v>
      </c>
      <c r="J184" s="4">
        <v>766.59</v>
      </c>
      <c r="K184" s="7" t="str">
        <f t="shared" si="14"/>
        <v>High</v>
      </c>
      <c r="L184" s="4">
        <v>1912.8</v>
      </c>
      <c r="M184" s="4">
        <v>0.19600000000000001</v>
      </c>
      <c r="N184" s="4">
        <v>5</v>
      </c>
      <c r="O184" s="4">
        <f t="shared" si="12"/>
        <v>7256.5421999999999</v>
      </c>
      <c r="P184">
        <f t="shared" si="13"/>
        <v>3832.9500000000003</v>
      </c>
      <c r="Q184" s="4">
        <f t="shared" si="15"/>
        <v>3423.5921999999996</v>
      </c>
      <c r="R184" s="16">
        <f t="shared" si="16"/>
        <v>0.47179388001078526</v>
      </c>
    </row>
    <row r="185" spans="1:18" x14ac:dyDescent="0.3">
      <c r="A185" t="s">
        <v>469</v>
      </c>
      <c r="B185" s="6">
        <v>45157</v>
      </c>
      <c r="C185" s="2">
        <v>45161</v>
      </c>
      <c r="D185" s="4">
        <f t="shared" si="17"/>
        <v>4</v>
      </c>
      <c r="E185" s="4" t="str">
        <f>TEXT(Data!B185,"MMM-YYYY")</f>
        <v>Oct-2024</v>
      </c>
      <c r="F185" t="s">
        <v>62</v>
      </c>
      <c r="G185" t="s">
        <v>28</v>
      </c>
      <c r="H185" t="s">
        <v>29</v>
      </c>
      <c r="I185" t="s">
        <v>64</v>
      </c>
      <c r="J185" s="4">
        <v>790.63</v>
      </c>
      <c r="K185" s="7" t="str">
        <f t="shared" si="14"/>
        <v>High</v>
      </c>
      <c r="L185" s="4">
        <v>1382.31</v>
      </c>
      <c r="M185" s="4">
        <v>0.10100000000000001</v>
      </c>
      <c r="N185" s="4">
        <v>7</v>
      </c>
      <c r="O185" s="4">
        <f t="shared" si="12"/>
        <v>12999.63889</v>
      </c>
      <c r="P185">
        <f t="shared" si="13"/>
        <v>5534.41</v>
      </c>
      <c r="Q185" s="4">
        <f t="shared" si="15"/>
        <v>7465.2288900000003</v>
      </c>
      <c r="R185" s="16">
        <f t="shared" si="16"/>
        <v>0.57426432789164961</v>
      </c>
    </row>
    <row r="186" spans="1:18" x14ac:dyDescent="0.3">
      <c r="A186" t="s">
        <v>471</v>
      </c>
      <c r="B186" s="6">
        <v>45587</v>
      </c>
      <c r="C186" s="2">
        <v>45594</v>
      </c>
      <c r="D186" s="4">
        <f t="shared" si="17"/>
        <v>7</v>
      </c>
      <c r="E186" s="4" t="str">
        <f>TEXT(Data!B186,"MMM-YYYY")</f>
        <v>Jun-2023</v>
      </c>
      <c r="F186" t="s">
        <v>105</v>
      </c>
      <c r="G186" t="s">
        <v>55</v>
      </c>
      <c r="H186" t="s">
        <v>110</v>
      </c>
      <c r="I186" t="s">
        <v>64</v>
      </c>
      <c r="J186" s="4">
        <v>1023.06</v>
      </c>
      <c r="K186" s="7" t="str">
        <f t="shared" si="14"/>
        <v>High</v>
      </c>
      <c r="L186" s="4">
        <v>1355.61</v>
      </c>
      <c r="M186" s="4">
        <v>0.153</v>
      </c>
      <c r="N186" s="4">
        <v>23</v>
      </c>
      <c r="O186" s="4">
        <f t="shared" si="12"/>
        <v>46101.981310000003</v>
      </c>
      <c r="P186">
        <f t="shared" si="13"/>
        <v>23530.379999999997</v>
      </c>
      <c r="Q186" s="4">
        <f t="shared" si="15"/>
        <v>22571.601310000005</v>
      </c>
      <c r="R186" s="16">
        <f t="shared" si="16"/>
        <v>0.4896015457171683</v>
      </c>
    </row>
    <row r="187" spans="1:18" x14ac:dyDescent="0.3">
      <c r="A187" t="s">
        <v>473</v>
      </c>
      <c r="B187" s="6">
        <v>45099</v>
      </c>
      <c r="C187" s="2">
        <v>45128</v>
      </c>
      <c r="D187" s="4">
        <f t="shared" si="17"/>
        <v>29</v>
      </c>
      <c r="E187" s="4" t="str">
        <f>TEXT(Data!B187,"MMM-YYYY")</f>
        <v>Jan-2025</v>
      </c>
      <c r="F187" t="s">
        <v>19</v>
      </c>
      <c r="G187" t="s">
        <v>20</v>
      </c>
      <c r="H187" t="s">
        <v>29</v>
      </c>
      <c r="I187" t="s">
        <v>81</v>
      </c>
      <c r="J187" s="4">
        <v>734.34</v>
      </c>
      <c r="K187" s="7" t="str">
        <f t="shared" si="14"/>
        <v>High</v>
      </c>
      <c r="L187" s="4">
        <v>887.9</v>
      </c>
      <c r="M187" s="4">
        <v>2.5000000000000001E-2</v>
      </c>
      <c r="N187" s="4">
        <v>12</v>
      </c>
      <c r="O187" s="4">
        <f t="shared" si="12"/>
        <v>1541.5919999999999</v>
      </c>
      <c r="P187">
        <f t="shared" si="13"/>
        <v>8812.08</v>
      </c>
      <c r="Q187" s="4">
        <f t="shared" si="15"/>
        <v>-7270.4880000000003</v>
      </c>
      <c r="R187" s="16">
        <f t="shared" si="16"/>
        <v>-4.7162206342534221</v>
      </c>
    </row>
    <row r="188" spans="1:18" x14ac:dyDescent="0.3">
      <c r="A188" t="s">
        <v>475</v>
      </c>
      <c r="B188" s="6">
        <v>45670</v>
      </c>
      <c r="C188" s="2">
        <v>45696</v>
      </c>
      <c r="D188" s="4">
        <f t="shared" si="17"/>
        <v>26</v>
      </c>
      <c r="E188" s="4" t="str">
        <f>TEXT(Data!B188,"MMM-YYYY")</f>
        <v>Jan-2023</v>
      </c>
      <c r="F188" t="s">
        <v>39</v>
      </c>
      <c r="G188" t="s">
        <v>1364</v>
      </c>
      <c r="H188" t="s">
        <v>63</v>
      </c>
      <c r="I188" t="s">
        <v>64</v>
      </c>
      <c r="J188" s="4">
        <v>594.74</v>
      </c>
      <c r="K188" s="7" t="str">
        <f t="shared" si="14"/>
        <v>High</v>
      </c>
      <c r="L188" s="4">
        <v>1020.69</v>
      </c>
      <c r="M188" s="4">
        <v>0.21099999999999999</v>
      </c>
      <c r="N188" s="4">
        <v>6</v>
      </c>
      <c r="O188" s="4">
        <f t="shared" si="12"/>
        <v>6319.9846800000005</v>
      </c>
      <c r="P188">
        <f t="shared" si="13"/>
        <v>3568.44</v>
      </c>
      <c r="Q188" s="4">
        <f t="shared" si="15"/>
        <v>2751.5446800000004</v>
      </c>
      <c r="R188" s="16">
        <f t="shared" si="16"/>
        <v>0.43537204903477711</v>
      </c>
    </row>
    <row r="189" spans="1:18" x14ac:dyDescent="0.3">
      <c r="A189" t="s">
        <v>360</v>
      </c>
      <c r="B189" s="6">
        <v>44955</v>
      </c>
      <c r="C189" s="2">
        <v>44985</v>
      </c>
      <c r="D189" s="4">
        <f t="shared" si="17"/>
        <v>30</v>
      </c>
      <c r="E189" s="4" t="str">
        <f>TEXT(Data!B189,"MMM-YYYY")</f>
        <v>Jul-2023</v>
      </c>
      <c r="F189" t="s">
        <v>39</v>
      </c>
      <c r="G189" t="s">
        <v>20</v>
      </c>
      <c r="H189" t="s">
        <v>56</v>
      </c>
      <c r="I189" t="s">
        <v>81</v>
      </c>
      <c r="J189" s="4">
        <v>1262.0999999999999</v>
      </c>
      <c r="K189" s="7" t="str">
        <f t="shared" si="14"/>
        <v>High</v>
      </c>
      <c r="L189" s="4">
        <v>1395.53</v>
      </c>
      <c r="M189" s="4">
        <v>0.23300000000000001</v>
      </c>
      <c r="N189" s="4">
        <v>25</v>
      </c>
      <c r="O189" s="4">
        <f t="shared" si="12"/>
        <v>51608.553749999999</v>
      </c>
      <c r="P189">
        <f t="shared" si="13"/>
        <v>31552.499999999996</v>
      </c>
      <c r="Q189" s="4">
        <f t="shared" si="15"/>
        <v>20056.053750000003</v>
      </c>
      <c r="R189" s="16">
        <f t="shared" si="16"/>
        <v>0.38861879073679723</v>
      </c>
    </row>
    <row r="190" spans="1:18" x14ac:dyDescent="0.3">
      <c r="A190" t="s">
        <v>478</v>
      </c>
      <c r="B190" s="6">
        <v>45126</v>
      </c>
      <c r="C190" s="2">
        <v>45138</v>
      </c>
      <c r="D190" s="4">
        <f t="shared" si="17"/>
        <v>12</v>
      </c>
      <c r="E190" s="4" t="str">
        <f>TEXT(Data!B190,"MMM-YYYY")</f>
        <v>May-2024</v>
      </c>
      <c r="F190" t="s">
        <v>19</v>
      </c>
      <c r="G190" t="s">
        <v>20</v>
      </c>
      <c r="H190" t="s">
        <v>21</v>
      </c>
      <c r="I190" t="s">
        <v>64</v>
      </c>
      <c r="J190" s="4">
        <v>1334.64</v>
      </c>
      <c r="K190" s="7" t="str">
        <f t="shared" si="14"/>
        <v>High</v>
      </c>
      <c r="L190" s="4">
        <v>2273.42</v>
      </c>
      <c r="M190" s="4">
        <v>0.11799999999999999</v>
      </c>
      <c r="N190" s="4">
        <v>14</v>
      </c>
      <c r="O190" s="4">
        <f t="shared" si="12"/>
        <v>9587.7280800000008</v>
      </c>
      <c r="P190">
        <f t="shared" si="13"/>
        <v>18684.960000000003</v>
      </c>
      <c r="Q190" s="4">
        <f t="shared" si="15"/>
        <v>-9097.231920000002</v>
      </c>
      <c r="R190" s="16">
        <f t="shared" si="16"/>
        <v>-0.94884125249409468</v>
      </c>
    </row>
    <row r="191" spans="1:18" x14ac:dyDescent="0.3">
      <c r="A191" t="s">
        <v>480</v>
      </c>
      <c r="B191" s="6">
        <v>45431</v>
      </c>
      <c r="C191" s="2">
        <v>45451</v>
      </c>
      <c r="D191" s="4">
        <f t="shared" si="17"/>
        <v>20</v>
      </c>
      <c r="E191" s="4" t="str">
        <f>TEXT(Data!B191,"MMM-YYYY")</f>
        <v>Feb-2024</v>
      </c>
      <c r="F191" t="s">
        <v>62</v>
      </c>
      <c r="G191" t="s">
        <v>20</v>
      </c>
      <c r="H191" t="s">
        <v>63</v>
      </c>
      <c r="I191" t="s">
        <v>64</v>
      </c>
      <c r="J191" s="4">
        <v>1075.9000000000001</v>
      </c>
      <c r="K191" s="7" t="str">
        <f t="shared" si="14"/>
        <v>High</v>
      </c>
      <c r="L191" s="4">
        <v>1242.1500000000001</v>
      </c>
      <c r="M191" s="4">
        <v>1.2E-2</v>
      </c>
      <c r="N191" s="4">
        <v>7</v>
      </c>
      <c r="O191" s="4">
        <f t="shared" si="12"/>
        <v>2200.4637200000002</v>
      </c>
      <c r="P191">
        <f t="shared" si="13"/>
        <v>7531.3000000000011</v>
      </c>
      <c r="Q191" s="4">
        <f t="shared" si="15"/>
        <v>-5330.8362800000014</v>
      </c>
      <c r="R191" s="16">
        <f t="shared" si="16"/>
        <v>-2.4225967606500691</v>
      </c>
    </row>
    <row r="192" spans="1:18" x14ac:dyDescent="0.3">
      <c r="A192" t="s">
        <v>482</v>
      </c>
      <c r="B192" s="6">
        <v>45325</v>
      </c>
      <c r="C192" s="2">
        <v>45341</v>
      </c>
      <c r="D192" s="4">
        <f t="shared" si="17"/>
        <v>16</v>
      </c>
      <c r="E192" s="4" t="str">
        <f>TEXT(Data!B192,"MMM-YYYY")</f>
        <v>Aug-2023</v>
      </c>
      <c r="F192" t="s">
        <v>62</v>
      </c>
      <c r="G192" t="s">
        <v>28</v>
      </c>
      <c r="H192" t="s">
        <v>92</v>
      </c>
      <c r="I192" t="s">
        <v>57</v>
      </c>
      <c r="J192" s="4">
        <v>993.75</v>
      </c>
      <c r="K192" s="7" t="str">
        <f t="shared" si="14"/>
        <v>High</v>
      </c>
      <c r="L192" s="4">
        <v>1310.29</v>
      </c>
      <c r="M192" s="4">
        <v>0.215</v>
      </c>
      <c r="N192" s="4">
        <v>19</v>
      </c>
      <c r="O192" s="4">
        <f t="shared" si="12"/>
        <v>18590.205150000002</v>
      </c>
      <c r="P192">
        <f t="shared" si="13"/>
        <v>18881.25</v>
      </c>
      <c r="Q192" s="4">
        <f t="shared" si="15"/>
        <v>-291.04484999999841</v>
      </c>
      <c r="R192" s="16">
        <f t="shared" si="16"/>
        <v>-1.5655817009636301E-2</v>
      </c>
    </row>
    <row r="193" spans="1:18" x14ac:dyDescent="0.3">
      <c r="A193" t="s">
        <v>484</v>
      </c>
      <c r="B193" s="6">
        <v>45146</v>
      </c>
      <c r="C193" s="2">
        <v>45160</v>
      </c>
      <c r="D193" s="4">
        <f t="shared" si="17"/>
        <v>14</v>
      </c>
      <c r="E193" s="4" t="str">
        <f>TEXT(Data!B193,"MMM-YYYY")</f>
        <v>Aug-2024</v>
      </c>
      <c r="F193" t="s">
        <v>39</v>
      </c>
      <c r="G193" t="s">
        <v>98</v>
      </c>
      <c r="H193" t="s">
        <v>126</v>
      </c>
      <c r="I193" t="s">
        <v>64</v>
      </c>
      <c r="J193" s="4">
        <v>446.69</v>
      </c>
      <c r="K193" s="7" t="str">
        <f t="shared" si="14"/>
        <v>High</v>
      </c>
      <c r="L193" s="4">
        <v>967.25</v>
      </c>
      <c r="M193" s="4">
        <v>9.4E-2</v>
      </c>
      <c r="N193" s="4">
        <v>10</v>
      </c>
      <c r="O193" s="4">
        <f t="shared" si="12"/>
        <v>3143.4576000000002</v>
      </c>
      <c r="P193">
        <f t="shared" si="13"/>
        <v>4466.8999999999996</v>
      </c>
      <c r="Q193" s="4">
        <f t="shared" si="15"/>
        <v>-1323.4423999999995</v>
      </c>
      <c r="R193" s="16">
        <f t="shared" si="16"/>
        <v>-0.42101487228585471</v>
      </c>
    </row>
    <row r="194" spans="1:18" x14ac:dyDescent="0.3">
      <c r="A194" t="s">
        <v>486</v>
      </c>
      <c r="B194" s="6">
        <v>45516</v>
      </c>
      <c r="C194" s="2">
        <v>45538</v>
      </c>
      <c r="D194" s="4">
        <f t="shared" si="17"/>
        <v>22</v>
      </c>
      <c r="E194" s="4" t="str">
        <f>TEXT(Data!B194,"MMM-YYYY")</f>
        <v>Oct-2023</v>
      </c>
      <c r="F194" t="s">
        <v>48</v>
      </c>
      <c r="G194" t="s">
        <v>55</v>
      </c>
      <c r="H194" t="s">
        <v>34</v>
      </c>
      <c r="I194" t="s">
        <v>57</v>
      </c>
      <c r="J194" s="4">
        <v>797.8</v>
      </c>
      <c r="K194" s="7" t="str">
        <f t="shared" si="14"/>
        <v>High</v>
      </c>
      <c r="L194" s="4">
        <v>886.22</v>
      </c>
      <c r="M194" s="4">
        <v>0.23599999999999999</v>
      </c>
      <c r="N194" s="4">
        <v>36</v>
      </c>
      <c r="O194" s="4">
        <f t="shared" ref="O194:O257" si="18">(L220*N194)*(1-M194)</f>
        <v>13882.919040000001</v>
      </c>
      <c r="P194">
        <f t="shared" ref="P194:P257" si="19">(J194*N194)</f>
        <v>28720.799999999999</v>
      </c>
      <c r="Q194" s="4">
        <f t="shared" si="15"/>
        <v>-14837.880959999999</v>
      </c>
      <c r="R194" s="16">
        <f t="shared" si="16"/>
        <v>-1.06878682482038</v>
      </c>
    </row>
    <row r="195" spans="1:18" x14ac:dyDescent="0.3">
      <c r="A195" t="s">
        <v>488</v>
      </c>
      <c r="B195" s="6">
        <v>45214</v>
      </c>
      <c r="C195" s="2">
        <v>45243</v>
      </c>
      <c r="D195" s="4">
        <f t="shared" si="17"/>
        <v>29</v>
      </c>
      <c r="E195" s="4" t="str">
        <f>TEXT(Data!B195,"MMM-YYYY")</f>
        <v>May-2023</v>
      </c>
      <c r="F195" t="s">
        <v>39</v>
      </c>
      <c r="G195" t="s">
        <v>55</v>
      </c>
      <c r="H195" t="s">
        <v>29</v>
      </c>
      <c r="I195" t="s">
        <v>30</v>
      </c>
      <c r="J195" s="4">
        <v>986.44</v>
      </c>
      <c r="K195" s="7" t="str">
        <f t="shared" ref="K195:K258" si="20">IF(L195&lt;50, "Low", IF(L195&lt;200, "Medium", "High"))</f>
        <v>High</v>
      </c>
      <c r="L195" s="4">
        <v>790.61</v>
      </c>
      <c r="M195" s="4">
        <v>7.1999999999999995E-2</v>
      </c>
      <c r="N195" s="4">
        <v>6</v>
      </c>
      <c r="O195" s="4">
        <f t="shared" si="18"/>
        <v>5219.7772800000002</v>
      </c>
      <c r="P195">
        <f t="shared" si="19"/>
        <v>5918.64</v>
      </c>
      <c r="Q195" s="4">
        <f t="shared" ref="Q195:Q258" si="21">(O195-P195)</f>
        <v>-698.86272000000008</v>
      </c>
      <c r="R195" s="16">
        <f t="shared" ref="R195:R258" si="22">(Q195/O195)</f>
        <v>-0.13388745965804888</v>
      </c>
    </row>
    <row r="196" spans="1:18" x14ac:dyDescent="0.3">
      <c r="A196" t="s">
        <v>490</v>
      </c>
      <c r="B196" s="6">
        <v>45050</v>
      </c>
      <c r="C196" s="2">
        <v>45072</v>
      </c>
      <c r="D196" s="4">
        <f t="shared" ref="D196:D259" si="23">DATEDIF(B196,C196, "MD")</f>
        <v>22</v>
      </c>
      <c r="E196" s="4" t="str">
        <f>TEXT(Data!B196,"MMM-YYYY")</f>
        <v>Sep-2024</v>
      </c>
      <c r="F196" t="s">
        <v>105</v>
      </c>
      <c r="G196" t="s">
        <v>28</v>
      </c>
      <c r="H196" t="s">
        <v>29</v>
      </c>
      <c r="I196" t="s">
        <v>35</v>
      </c>
      <c r="J196" s="4">
        <v>249.71</v>
      </c>
      <c r="K196" s="7" t="str">
        <f t="shared" si="20"/>
        <v>High</v>
      </c>
      <c r="L196" s="4">
        <v>361.33</v>
      </c>
      <c r="M196" s="4">
        <v>9.4E-2</v>
      </c>
      <c r="N196" s="4">
        <v>12</v>
      </c>
      <c r="O196" s="4">
        <f t="shared" si="18"/>
        <v>14139.90576</v>
      </c>
      <c r="P196">
        <f t="shared" si="19"/>
        <v>2996.52</v>
      </c>
      <c r="Q196" s="4">
        <f t="shared" si="21"/>
        <v>11143.385759999999</v>
      </c>
      <c r="R196" s="16">
        <f t="shared" si="22"/>
        <v>0.7880806243789279</v>
      </c>
    </row>
    <row r="197" spans="1:18" x14ac:dyDescent="0.3">
      <c r="A197" t="s">
        <v>492</v>
      </c>
      <c r="B197" s="6">
        <v>45557</v>
      </c>
      <c r="C197" s="2">
        <v>45566</v>
      </c>
      <c r="D197" s="4">
        <f t="shared" si="23"/>
        <v>9</v>
      </c>
      <c r="E197" s="4" t="str">
        <f>TEXT(Data!B197,"MMM-YYYY")</f>
        <v>Oct-2024</v>
      </c>
      <c r="F197" t="s">
        <v>39</v>
      </c>
      <c r="G197" t="s">
        <v>28</v>
      </c>
      <c r="H197" t="s">
        <v>95</v>
      </c>
      <c r="I197" t="s">
        <v>64</v>
      </c>
      <c r="J197" s="4">
        <v>1378.8</v>
      </c>
      <c r="K197" s="7" t="str">
        <f t="shared" si="20"/>
        <v>High</v>
      </c>
      <c r="L197" s="4">
        <v>1952.04</v>
      </c>
      <c r="M197" s="4">
        <v>0.159</v>
      </c>
      <c r="N197" s="4">
        <v>19</v>
      </c>
      <c r="O197" s="4">
        <f t="shared" si="18"/>
        <v>3645.6088500000001</v>
      </c>
      <c r="P197">
        <f t="shared" si="19"/>
        <v>26197.200000000001</v>
      </c>
      <c r="Q197" s="4">
        <f t="shared" si="21"/>
        <v>-22551.59115</v>
      </c>
      <c r="R197" s="16">
        <f t="shared" si="22"/>
        <v>-6.1859601723317077</v>
      </c>
    </row>
    <row r="198" spans="1:18" x14ac:dyDescent="0.3">
      <c r="A198" t="s">
        <v>494</v>
      </c>
      <c r="B198" s="6">
        <v>45588</v>
      </c>
      <c r="C198" s="2">
        <v>45610</v>
      </c>
      <c r="D198" s="4">
        <f t="shared" si="23"/>
        <v>22</v>
      </c>
      <c r="E198" s="4" t="str">
        <f>TEXT(Data!B198,"MMM-YYYY")</f>
        <v>Feb-2024</v>
      </c>
      <c r="F198" t="s">
        <v>39</v>
      </c>
      <c r="G198" t="s">
        <v>98</v>
      </c>
      <c r="H198" t="s">
        <v>56</v>
      </c>
      <c r="I198" t="s">
        <v>42</v>
      </c>
      <c r="J198" s="4">
        <v>1406.4</v>
      </c>
      <c r="K198" s="7" t="str">
        <f t="shared" si="20"/>
        <v>High</v>
      </c>
      <c r="L198" s="4">
        <v>1564.76</v>
      </c>
      <c r="M198" s="4">
        <v>0.185</v>
      </c>
      <c r="N198" s="4">
        <v>17</v>
      </c>
      <c r="O198" s="4">
        <f t="shared" si="18"/>
        <v>6879.2846</v>
      </c>
      <c r="P198">
        <f t="shared" si="19"/>
        <v>23908.800000000003</v>
      </c>
      <c r="Q198" s="4">
        <f t="shared" si="21"/>
        <v>-17029.515400000004</v>
      </c>
      <c r="R198" s="16">
        <f t="shared" si="22"/>
        <v>-2.4754776681284567</v>
      </c>
    </row>
    <row r="199" spans="1:18" x14ac:dyDescent="0.3">
      <c r="A199" t="s">
        <v>496</v>
      </c>
      <c r="B199" s="6">
        <v>45333</v>
      </c>
      <c r="C199" s="2">
        <v>45354</v>
      </c>
      <c r="D199" s="4">
        <f t="shared" si="23"/>
        <v>21</v>
      </c>
      <c r="E199" s="4" t="str">
        <f>TEXT(Data!B199,"MMM-YYYY")</f>
        <v>Jan-2023</v>
      </c>
      <c r="F199" t="s">
        <v>105</v>
      </c>
      <c r="G199" t="s">
        <v>28</v>
      </c>
      <c r="H199" t="s">
        <v>56</v>
      </c>
      <c r="I199" t="s">
        <v>42</v>
      </c>
      <c r="J199" s="4">
        <v>516.86</v>
      </c>
      <c r="K199" s="7" t="str">
        <f t="shared" si="20"/>
        <v>High</v>
      </c>
      <c r="L199" s="4">
        <v>852.54</v>
      </c>
      <c r="M199" s="4">
        <v>5.0999999999999997E-2</v>
      </c>
      <c r="N199" s="4">
        <v>14</v>
      </c>
      <c r="O199" s="4">
        <f t="shared" si="18"/>
        <v>39076.783199999991</v>
      </c>
      <c r="P199">
        <f t="shared" si="19"/>
        <v>7236.04</v>
      </c>
      <c r="Q199" s="4">
        <f t="shared" si="21"/>
        <v>31840.74319999999</v>
      </c>
      <c r="R199" s="16">
        <f t="shared" si="22"/>
        <v>0.81482508519278518</v>
      </c>
    </row>
    <row r="200" spans="1:18" x14ac:dyDescent="0.3">
      <c r="A200" t="s">
        <v>498</v>
      </c>
      <c r="B200" s="6">
        <v>44956</v>
      </c>
      <c r="C200" s="2">
        <v>44978</v>
      </c>
      <c r="D200" s="4">
        <f t="shared" si="23"/>
        <v>22</v>
      </c>
      <c r="E200" s="4" t="str">
        <f>TEXT(Data!B200,"MMM-YYYY")</f>
        <v>Apr-2023</v>
      </c>
      <c r="F200" t="s">
        <v>62</v>
      </c>
      <c r="G200" t="s">
        <v>40</v>
      </c>
      <c r="H200" t="s">
        <v>41</v>
      </c>
      <c r="I200" t="s">
        <v>35</v>
      </c>
      <c r="J200" s="4">
        <v>1142.8800000000001</v>
      </c>
      <c r="K200" s="7" t="str">
        <f t="shared" si="20"/>
        <v>High</v>
      </c>
      <c r="L200" s="4">
        <v>1465.29</v>
      </c>
      <c r="M200" s="4">
        <v>0.186</v>
      </c>
      <c r="N200" s="4">
        <v>7</v>
      </c>
      <c r="O200" s="4">
        <f t="shared" si="18"/>
        <v>6200.5636000000013</v>
      </c>
      <c r="P200">
        <f t="shared" si="19"/>
        <v>8000.1600000000008</v>
      </c>
      <c r="Q200" s="4">
        <f t="shared" si="21"/>
        <v>-1799.5963999999994</v>
      </c>
      <c r="R200" s="16">
        <f t="shared" si="22"/>
        <v>-0.29023110092766391</v>
      </c>
    </row>
    <row r="201" spans="1:18" x14ac:dyDescent="0.3">
      <c r="A201" t="s">
        <v>500</v>
      </c>
      <c r="B201" s="6">
        <v>45030</v>
      </c>
      <c r="C201" s="2">
        <v>45059</v>
      </c>
      <c r="D201" s="4">
        <f t="shared" si="23"/>
        <v>29</v>
      </c>
      <c r="E201" s="4" t="str">
        <f>TEXT(Data!B201,"MMM-YYYY")</f>
        <v>Jan-2023</v>
      </c>
      <c r="F201" t="s">
        <v>48</v>
      </c>
      <c r="G201" t="s">
        <v>98</v>
      </c>
      <c r="H201" t="s">
        <v>29</v>
      </c>
      <c r="I201" t="s">
        <v>30</v>
      </c>
      <c r="J201" s="4">
        <v>1320.33</v>
      </c>
      <c r="K201" s="7" t="str">
        <f t="shared" si="20"/>
        <v>High</v>
      </c>
      <c r="L201" s="4">
        <v>2645.23</v>
      </c>
      <c r="M201" s="4">
        <v>0.155</v>
      </c>
      <c r="N201" s="4">
        <v>25</v>
      </c>
      <c r="O201" s="4">
        <f t="shared" si="18"/>
        <v>53428.293749999997</v>
      </c>
      <c r="P201">
        <f t="shared" si="19"/>
        <v>33008.25</v>
      </c>
      <c r="Q201" s="4">
        <f t="shared" si="21"/>
        <v>20420.043749999997</v>
      </c>
      <c r="R201" s="16">
        <f t="shared" si="22"/>
        <v>0.38219531856189959</v>
      </c>
    </row>
    <row r="202" spans="1:18" x14ac:dyDescent="0.3">
      <c r="A202" t="s">
        <v>502</v>
      </c>
      <c r="B202" s="6">
        <v>44939</v>
      </c>
      <c r="C202" s="2">
        <v>44945</v>
      </c>
      <c r="D202" s="4">
        <f t="shared" si="23"/>
        <v>6</v>
      </c>
      <c r="E202" s="4" t="str">
        <f>TEXT(Data!B202,"MMM-YYYY")</f>
        <v>Jan-2024</v>
      </c>
      <c r="F202" t="s">
        <v>19</v>
      </c>
      <c r="G202" t="s">
        <v>98</v>
      </c>
      <c r="H202" t="s">
        <v>92</v>
      </c>
      <c r="I202" t="s">
        <v>42</v>
      </c>
      <c r="J202" s="4">
        <v>833.57</v>
      </c>
      <c r="K202" s="7" t="str">
        <f t="shared" si="20"/>
        <v>High</v>
      </c>
      <c r="L202" s="4">
        <v>881.57</v>
      </c>
      <c r="M202" s="4">
        <v>5.7000000000000002E-2</v>
      </c>
      <c r="N202" s="4">
        <v>18</v>
      </c>
      <c r="O202" s="4">
        <f t="shared" si="18"/>
        <v>45796.021740000004</v>
      </c>
      <c r="P202">
        <f t="shared" si="19"/>
        <v>15004.26</v>
      </c>
      <c r="Q202" s="4">
        <f t="shared" si="21"/>
        <v>30791.761740000002</v>
      </c>
      <c r="R202" s="16">
        <f t="shared" si="22"/>
        <v>0.67236761120464961</v>
      </c>
    </row>
    <row r="203" spans="1:18" x14ac:dyDescent="0.3">
      <c r="A203" t="s">
        <v>504</v>
      </c>
      <c r="B203" s="6">
        <v>45303</v>
      </c>
      <c r="C203" s="2">
        <v>45320</v>
      </c>
      <c r="D203" s="4">
        <f t="shared" si="23"/>
        <v>17</v>
      </c>
      <c r="E203" s="4" t="str">
        <f>TEXT(Data!B203,"MMM-YYYY")</f>
        <v>Aug-2023</v>
      </c>
      <c r="F203" t="s">
        <v>27</v>
      </c>
      <c r="G203" t="s">
        <v>55</v>
      </c>
      <c r="H203" t="s">
        <v>75</v>
      </c>
      <c r="I203" t="s">
        <v>30</v>
      </c>
      <c r="J203" s="4">
        <v>493.76</v>
      </c>
      <c r="K203" s="7" t="str">
        <f t="shared" si="20"/>
        <v>High</v>
      </c>
      <c r="L203" s="4">
        <v>625.04</v>
      </c>
      <c r="M203" s="4">
        <v>0.25800000000000001</v>
      </c>
      <c r="N203" s="4">
        <v>10</v>
      </c>
      <c r="O203" s="4">
        <f t="shared" si="18"/>
        <v>11002.004999999999</v>
      </c>
      <c r="P203">
        <f t="shared" si="19"/>
        <v>4937.6000000000004</v>
      </c>
      <c r="Q203" s="4">
        <f t="shared" si="21"/>
        <v>6064.4049999999988</v>
      </c>
      <c r="R203" s="16">
        <f t="shared" si="22"/>
        <v>0.55120907507313432</v>
      </c>
    </row>
    <row r="204" spans="1:18" x14ac:dyDescent="0.3">
      <c r="A204" t="s">
        <v>506</v>
      </c>
      <c r="B204" s="6">
        <v>45153</v>
      </c>
      <c r="C204" s="2">
        <v>45176</v>
      </c>
      <c r="D204" s="4">
        <f t="shared" si="23"/>
        <v>23</v>
      </c>
      <c r="E204" s="4" t="str">
        <f>TEXT(Data!B204,"MMM-YYYY")</f>
        <v>Jan-2023</v>
      </c>
      <c r="F204" t="s">
        <v>105</v>
      </c>
      <c r="G204" t="s">
        <v>28</v>
      </c>
      <c r="H204" t="s">
        <v>95</v>
      </c>
      <c r="I204" t="s">
        <v>42</v>
      </c>
      <c r="J204" s="4">
        <v>590.33000000000004</v>
      </c>
      <c r="K204" s="7" t="str">
        <f t="shared" si="20"/>
        <v>High</v>
      </c>
      <c r="L204" s="4">
        <v>973.04</v>
      </c>
      <c r="M204" s="4">
        <v>0</v>
      </c>
      <c r="N204" s="4">
        <v>26</v>
      </c>
      <c r="O204" s="4">
        <f t="shared" si="18"/>
        <v>37877.06</v>
      </c>
      <c r="P204">
        <f t="shared" si="19"/>
        <v>15348.580000000002</v>
      </c>
      <c r="Q204" s="4">
        <f t="shared" si="21"/>
        <v>22528.479999999996</v>
      </c>
      <c r="R204" s="16">
        <f t="shared" si="22"/>
        <v>0.59477900343902079</v>
      </c>
    </row>
    <row r="205" spans="1:18" x14ac:dyDescent="0.3">
      <c r="A205" t="s">
        <v>508</v>
      </c>
      <c r="B205" s="6">
        <v>44946</v>
      </c>
      <c r="C205" s="2">
        <v>44960</v>
      </c>
      <c r="D205" s="4">
        <f t="shared" si="23"/>
        <v>14</v>
      </c>
      <c r="E205" s="4" t="str">
        <f>TEXT(Data!B205,"MMM-YYYY")</f>
        <v>Feb-2025</v>
      </c>
      <c r="F205" t="s">
        <v>19</v>
      </c>
      <c r="G205" t="s">
        <v>20</v>
      </c>
      <c r="H205" t="s">
        <v>110</v>
      </c>
      <c r="I205" t="s">
        <v>35</v>
      </c>
      <c r="J205" s="4">
        <v>884.36</v>
      </c>
      <c r="K205" s="7" t="str">
        <f t="shared" si="20"/>
        <v>High</v>
      </c>
      <c r="L205" s="4">
        <v>1545.34</v>
      </c>
      <c r="M205" s="4">
        <v>0.24299999999999999</v>
      </c>
      <c r="N205" s="4">
        <v>41</v>
      </c>
      <c r="O205" s="4">
        <f t="shared" si="18"/>
        <v>28497.86303</v>
      </c>
      <c r="P205">
        <f t="shared" si="19"/>
        <v>36258.76</v>
      </c>
      <c r="Q205" s="4">
        <f t="shared" si="21"/>
        <v>-7760.8969700000016</v>
      </c>
      <c r="R205" s="16">
        <f t="shared" si="22"/>
        <v>-0.27233259426610423</v>
      </c>
    </row>
    <row r="206" spans="1:18" x14ac:dyDescent="0.3">
      <c r="A206" t="s">
        <v>510</v>
      </c>
      <c r="B206" s="6">
        <v>45692</v>
      </c>
      <c r="C206" s="2">
        <v>45713</v>
      </c>
      <c r="D206" s="4">
        <f t="shared" si="23"/>
        <v>21</v>
      </c>
      <c r="E206" s="4" t="str">
        <f>TEXT(Data!B206,"MMM-YYYY")</f>
        <v>Apr-2023</v>
      </c>
      <c r="F206" t="s">
        <v>19</v>
      </c>
      <c r="G206" t="s">
        <v>40</v>
      </c>
      <c r="H206" t="s">
        <v>145</v>
      </c>
      <c r="I206" t="s">
        <v>64</v>
      </c>
      <c r="J206" s="4">
        <v>1016.32</v>
      </c>
      <c r="K206" s="7" t="str">
        <f t="shared" si="20"/>
        <v>High</v>
      </c>
      <c r="L206" s="4">
        <v>2253.42</v>
      </c>
      <c r="M206" s="4">
        <v>5.5E-2</v>
      </c>
      <c r="N206" s="4">
        <v>12</v>
      </c>
      <c r="O206" s="4">
        <f t="shared" si="18"/>
        <v>554.97959999999989</v>
      </c>
      <c r="P206">
        <f t="shared" si="19"/>
        <v>12195.84</v>
      </c>
      <c r="Q206" s="4">
        <f t="shared" si="21"/>
        <v>-11640.8604</v>
      </c>
      <c r="R206" s="16">
        <f t="shared" si="22"/>
        <v>-20.97529422703105</v>
      </c>
    </row>
    <row r="207" spans="1:18" x14ac:dyDescent="0.3">
      <c r="A207" t="s">
        <v>512</v>
      </c>
      <c r="B207" s="6">
        <v>45035</v>
      </c>
      <c r="C207" s="2">
        <v>45044</v>
      </c>
      <c r="D207" s="4">
        <f t="shared" si="23"/>
        <v>9</v>
      </c>
      <c r="E207" s="4" t="str">
        <f>TEXT(Data!B207,"MMM-YYYY")</f>
        <v>Jul-2023</v>
      </c>
      <c r="F207" t="s">
        <v>27</v>
      </c>
      <c r="G207" t="s">
        <v>28</v>
      </c>
      <c r="H207" t="s">
        <v>63</v>
      </c>
      <c r="I207" t="s">
        <v>64</v>
      </c>
      <c r="J207" s="4">
        <v>1178.42</v>
      </c>
      <c r="K207" s="7" t="str">
        <f t="shared" si="20"/>
        <v>High</v>
      </c>
      <c r="L207" s="4">
        <v>2446.56</v>
      </c>
      <c r="M207" s="4">
        <v>2.9000000000000001E-2</v>
      </c>
      <c r="N207" s="4">
        <v>11</v>
      </c>
      <c r="O207" s="4">
        <f t="shared" si="18"/>
        <v>9957.7894899999992</v>
      </c>
      <c r="P207">
        <f t="shared" si="19"/>
        <v>12962.62</v>
      </c>
      <c r="Q207" s="4">
        <f t="shared" si="21"/>
        <v>-3004.8305100000016</v>
      </c>
      <c r="R207" s="16">
        <f t="shared" si="22"/>
        <v>-0.30175678176542792</v>
      </c>
    </row>
    <row r="208" spans="1:18" x14ac:dyDescent="0.3">
      <c r="A208" t="s">
        <v>514</v>
      </c>
      <c r="B208" s="6">
        <v>45109</v>
      </c>
      <c r="C208" s="2">
        <v>45139</v>
      </c>
      <c r="D208" s="4">
        <f t="shared" si="23"/>
        <v>30</v>
      </c>
      <c r="E208" s="4" t="str">
        <f>TEXT(Data!B208,"MMM-YYYY")</f>
        <v>Jan-2025</v>
      </c>
      <c r="F208" t="s">
        <v>62</v>
      </c>
      <c r="G208" t="s">
        <v>20</v>
      </c>
      <c r="H208" t="s">
        <v>56</v>
      </c>
      <c r="I208" t="s">
        <v>22</v>
      </c>
      <c r="J208" s="4">
        <v>137.46</v>
      </c>
      <c r="K208" s="7" t="str">
        <f t="shared" si="20"/>
        <v>Medium</v>
      </c>
      <c r="L208" s="4">
        <v>188.3</v>
      </c>
      <c r="M208" s="4">
        <v>3.7999999999999999E-2</v>
      </c>
      <c r="N208" s="4">
        <v>37</v>
      </c>
      <c r="O208" s="4">
        <f t="shared" si="18"/>
        <v>11596.169260000001</v>
      </c>
      <c r="P208">
        <f t="shared" si="19"/>
        <v>5086.0200000000004</v>
      </c>
      <c r="Q208" s="4">
        <f t="shared" si="21"/>
        <v>6510.1492600000001</v>
      </c>
      <c r="R208" s="16">
        <f t="shared" si="22"/>
        <v>0.56140516010370822</v>
      </c>
    </row>
    <row r="209" spans="1:18" x14ac:dyDescent="0.3">
      <c r="A209" t="s">
        <v>516</v>
      </c>
      <c r="B209" s="6">
        <v>45678</v>
      </c>
      <c r="C209" s="2">
        <v>45702</v>
      </c>
      <c r="D209" s="4">
        <f t="shared" si="23"/>
        <v>24</v>
      </c>
      <c r="E209" s="4" t="str">
        <f>TEXT(Data!B209,"MMM-YYYY")</f>
        <v>Sep-2024</v>
      </c>
      <c r="F209" t="s">
        <v>62</v>
      </c>
      <c r="G209" t="s">
        <v>20</v>
      </c>
      <c r="H209" t="s">
        <v>29</v>
      </c>
      <c r="I209" t="s">
        <v>81</v>
      </c>
      <c r="J209" s="4">
        <v>1030.44</v>
      </c>
      <c r="K209" s="7" t="str">
        <f t="shared" si="20"/>
        <v>High</v>
      </c>
      <c r="L209" s="4">
        <v>2562.84</v>
      </c>
      <c r="M209" s="4">
        <v>0.14799999999999999</v>
      </c>
      <c r="N209" s="4">
        <v>13</v>
      </c>
      <c r="O209" s="4">
        <f t="shared" si="18"/>
        <v>4496.5237200000001</v>
      </c>
      <c r="P209">
        <f t="shared" si="19"/>
        <v>13395.720000000001</v>
      </c>
      <c r="Q209" s="4">
        <f t="shared" si="21"/>
        <v>-8899.1962800000001</v>
      </c>
      <c r="R209" s="16">
        <f t="shared" si="22"/>
        <v>-1.9791280629561541</v>
      </c>
    </row>
    <row r="210" spans="1:18" x14ac:dyDescent="0.3">
      <c r="A210" t="s">
        <v>518</v>
      </c>
      <c r="B210" s="6">
        <v>45545</v>
      </c>
      <c r="C210" s="2">
        <v>45572</v>
      </c>
      <c r="D210" s="4">
        <f t="shared" si="23"/>
        <v>27</v>
      </c>
      <c r="E210" s="4" t="str">
        <f>TEXT(Data!B210,"MMM-YYYY")</f>
        <v>Jul-2025</v>
      </c>
      <c r="F210" t="s">
        <v>48</v>
      </c>
      <c r="G210" t="s">
        <v>20</v>
      </c>
      <c r="H210" t="s">
        <v>49</v>
      </c>
      <c r="I210" t="s">
        <v>30</v>
      </c>
      <c r="J210" s="4">
        <v>1248.3900000000001</v>
      </c>
      <c r="K210" s="7" t="str">
        <f t="shared" si="20"/>
        <v>High</v>
      </c>
      <c r="L210" s="4">
        <v>1805.11</v>
      </c>
      <c r="M210" s="4">
        <v>0.20300000000000001</v>
      </c>
      <c r="N210" s="4">
        <v>11</v>
      </c>
      <c r="O210" s="4">
        <f t="shared" si="18"/>
        <v>13931.376689999999</v>
      </c>
      <c r="P210">
        <f t="shared" si="19"/>
        <v>13732.29</v>
      </c>
      <c r="Q210" s="4">
        <f t="shared" si="21"/>
        <v>199.08668999999827</v>
      </c>
      <c r="R210" s="16">
        <f t="shared" si="22"/>
        <v>1.4290525224467122E-2</v>
      </c>
    </row>
    <row r="211" spans="1:18" x14ac:dyDescent="0.3">
      <c r="A211" t="s">
        <v>520</v>
      </c>
      <c r="B211" s="6">
        <v>45859</v>
      </c>
      <c r="C211" s="2">
        <v>45876</v>
      </c>
      <c r="D211" s="4">
        <f t="shared" si="23"/>
        <v>17</v>
      </c>
      <c r="E211" s="4" t="str">
        <f>TEXT(Data!B211,"MMM-YYYY")</f>
        <v>Oct-2024</v>
      </c>
      <c r="F211" t="s">
        <v>105</v>
      </c>
      <c r="G211" t="s">
        <v>98</v>
      </c>
      <c r="H211" t="s">
        <v>110</v>
      </c>
      <c r="I211" t="s">
        <v>81</v>
      </c>
      <c r="J211" s="4">
        <v>1204.95</v>
      </c>
      <c r="K211" s="7" t="str">
        <f t="shared" si="20"/>
        <v>High</v>
      </c>
      <c r="L211" s="4">
        <v>2065.73</v>
      </c>
      <c r="M211" s="4">
        <v>0.13600000000000001</v>
      </c>
      <c r="N211" s="4">
        <v>10</v>
      </c>
      <c r="O211" s="4">
        <f t="shared" si="18"/>
        <v>12379.392</v>
      </c>
      <c r="P211">
        <f t="shared" si="19"/>
        <v>12049.5</v>
      </c>
      <c r="Q211" s="4">
        <f t="shared" si="21"/>
        <v>329.89199999999983</v>
      </c>
      <c r="R211" s="16">
        <f t="shared" si="22"/>
        <v>2.6648481605558643E-2</v>
      </c>
    </row>
    <row r="212" spans="1:18" x14ac:dyDescent="0.3">
      <c r="A212" t="s">
        <v>522</v>
      </c>
      <c r="B212" s="6">
        <v>45567</v>
      </c>
      <c r="C212" s="2">
        <v>45588</v>
      </c>
      <c r="D212" s="4">
        <f t="shared" si="23"/>
        <v>21</v>
      </c>
      <c r="E212" s="4" t="str">
        <f>TEXT(Data!B212,"MMM-YYYY")</f>
        <v>Jul-2025</v>
      </c>
      <c r="F212" t="s">
        <v>19</v>
      </c>
      <c r="G212" t="s">
        <v>40</v>
      </c>
      <c r="H212" t="s">
        <v>75</v>
      </c>
      <c r="I212" t="s">
        <v>22</v>
      </c>
      <c r="J212" s="4">
        <v>1095.6099999999999</v>
      </c>
      <c r="K212" s="7" t="str">
        <f t="shared" si="20"/>
        <v>High</v>
      </c>
      <c r="L212" s="4">
        <v>2366.5100000000002</v>
      </c>
      <c r="M212" s="4">
        <v>0.152</v>
      </c>
      <c r="N212" s="4">
        <v>9</v>
      </c>
      <c r="O212" s="4">
        <f t="shared" si="18"/>
        <v>13476.28032</v>
      </c>
      <c r="P212">
        <f t="shared" si="19"/>
        <v>9860.49</v>
      </c>
      <c r="Q212" s="4">
        <f t="shared" si="21"/>
        <v>3615.7903200000001</v>
      </c>
      <c r="R212" s="16">
        <f t="shared" si="22"/>
        <v>0.26830774027710341</v>
      </c>
    </row>
    <row r="213" spans="1:18" x14ac:dyDescent="0.3">
      <c r="A213" t="s">
        <v>524</v>
      </c>
      <c r="B213" s="6">
        <v>45852</v>
      </c>
      <c r="C213" s="2">
        <v>45873</v>
      </c>
      <c r="D213" s="4">
        <f t="shared" si="23"/>
        <v>21</v>
      </c>
      <c r="E213" s="4" t="str">
        <f>TEXT(Data!B213,"MMM-YYYY")</f>
        <v>Sep-2024</v>
      </c>
      <c r="F213" t="s">
        <v>48</v>
      </c>
      <c r="G213" t="s">
        <v>28</v>
      </c>
      <c r="H213" t="s">
        <v>92</v>
      </c>
      <c r="I213" t="s">
        <v>64</v>
      </c>
      <c r="J213" s="4">
        <v>90.3</v>
      </c>
      <c r="K213" s="7" t="str">
        <f t="shared" si="20"/>
        <v>Medium</v>
      </c>
      <c r="L213" s="4">
        <v>131.76</v>
      </c>
      <c r="M213" s="4">
        <v>0.10199999999999999</v>
      </c>
      <c r="N213" s="4">
        <v>15</v>
      </c>
      <c r="O213" s="4">
        <f t="shared" si="18"/>
        <v>37144.063799999996</v>
      </c>
      <c r="P213">
        <f t="shared" si="19"/>
        <v>1354.5</v>
      </c>
      <c r="Q213" s="4">
        <f t="shared" si="21"/>
        <v>35789.563799999996</v>
      </c>
      <c r="R213" s="16">
        <f t="shared" si="22"/>
        <v>0.96353387697982573</v>
      </c>
    </row>
    <row r="214" spans="1:18" x14ac:dyDescent="0.3">
      <c r="A214" t="s">
        <v>526</v>
      </c>
      <c r="B214" s="6">
        <v>45544</v>
      </c>
      <c r="C214" s="2">
        <v>45566</v>
      </c>
      <c r="D214" s="4">
        <f t="shared" si="23"/>
        <v>22</v>
      </c>
      <c r="E214" s="4" t="str">
        <f>TEXT(Data!B214,"MMM-YYYY")</f>
        <v>Jan-2025</v>
      </c>
      <c r="F214" t="s">
        <v>48</v>
      </c>
      <c r="G214" t="s">
        <v>98</v>
      </c>
      <c r="H214" t="s">
        <v>49</v>
      </c>
      <c r="I214" t="s">
        <v>30</v>
      </c>
      <c r="J214" s="4">
        <v>1166.18</v>
      </c>
      <c r="K214" s="7" t="str">
        <f t="shared" si="20"/>
        <v>High</v>
      </c>
      <c r="L214" s="4">
        <v>1335.02</v>
      </c>
      <c r="M214" s="4">
        <v>0.128</v>
      </c>
      <c r="N214" s="4">
        <v>6</v>
      </c>
      <c r="O214" s="4">
        <f t="shared" si="18"/>
        <v>4571.46</v>
      </c>
      <c r="P214">
        <f t="shared" si="19"/>
        <v>6997.08</v>
      </c>
      <c r="Q214" s="4">
        <f t="shared" si="21"/>
        <v>-2425.62</v>
      </c>
      <c r="R214" s="16">
        <f t="shared" si="22"/>
        <v>-0.53060072712000106</v>
      </c>
    </row>
    <row r="215" spans="1:18" x14ac:dyDescent="0.3">
      <c r="A215" t="s">
        <v>528</v>
      </c>
      <c r="B215" s="6">
        <v>45686</v>
      </c>
      <c r="C215" s="2">
        <v>45694</v>
      </c>
      <c r="D215" s="4">
        <f t="shared" si="23"/>
        <v>8</v>
      </c>
      <c r="E215" s="4" t="str">
        <f>TEXT(Data!B215,"MMM-YYYY")</f>
        <v>Nov-2023</v>
      </c>
      <c r="F215" t="s">
        <v>27</v>
      </c>
      <c r="G215" t="s">
        <v>20</v>
      </c>
      <c r="H215" t="s">
        <v>56</v>
      </c>
      <c r="I215" t="s">
        <v>42</v>
      </c>
      <c r="J215" s="4">
        <v>1445.27</v>
      </c>
      <c r="K215" s="7" t="str">
        <f t="shared" si="20"/>
        <v>High</v>
      </c>
      <c r="L215" s="4">
        <v>2691.45</v>
      </c>
      <c r="M215" s="4">
        <v>0</v>
      </c>
      <c r="N215" s="4">
        <v>9</v>
      </c>
      <c r="O215" s="4">
        <f t="shared" si="18"/>
        <v>2326.6799999999998</v>
      </c>
      <c r="P215">
        <f t="shared" si="19"/>
        <v>13007.43</v>
      </c>
      <c r="Q215" s="4">
        <f t="shared" si="21"/>
        <v>-10680.75</v>
      </c>
      <c r="R215" s="16">
        <f t="shared" si="22"/>
        <v>-4.5905539223270928</v>
      </c>
    </row>
    <row r="216" spans="1:18" x14ac:dyDescent="0.3">
      <c r="A216" t="s">
        <v>530</v>
      </c>
      <c r="B216" s="6">
        <v>45240</v>
      </c>
      <c r="C216" s="2">
        <v>45258</v>
      </c>
      <c r="D216" s="4">
        <f t="shared" si="23"/>
        <v>18</v>
      </c>
      <c r="E216" s="4" t="str">
        <f>TEXT(Data!B216,"MMM-YYYY")</f>
        <v>Feb-2024</v>
      </c>
      <c r="F216" t="s">
        <v>27</v>
      </c>
      <c r="G216" t="s">
        <v>40</v>
      </c>
      <c r="H216" t="s">
        <v>49</v>
      </c>
      <c r="I216" t="s">
        <v>81</v>
      </c>
      <c r="J216" s="4">
        <v>388.51</v>
      </c>
      <c r="K216" s="7" t="str">
        <f t="shared" si="20"/>
        <v>High</v>
      </c>
      <c r="L216" s="4">
        <v>776.46</v>
      </c>
      <c r="M216" s="4">
        <v>0.157</v>
      </c>
      <c r="N216" s="4">
        <v>12</v>
      </c>
      <c r="O216" s="4">
        <f t="shared" si="18"/>
        <v>6137.98416</v>
      </c>
      <c r="P216">
        <f t="shared" si="19"/>
        <v>4662.12</v>
      </c>
      <c r="Q216" s="4">
        <f t="shared" si="21"/>
        <v>1475.8641600000001</v>
      </c>
      <c r="R216" s="16">
        <f t="shared" si="22"/>
        <v>0.24044769773403912</v>
      </c>
    </row>
    <row r="217" spans="1:18" x14ac:dyDescent="0.3">
      <c r="A217" t="s">
        <v>532</v>
      </c>
      <c r="B217" s="6">
        <v>45351</v>
      </c>
      <c r="C217" s="2">
        <v>45381</v>
      </c>
      <c r="D217" s="4">
        <f t="shared" si="23"/>
        <v>1</v>
      </c>
      <c r="E217" s="4" t="str">
        <f>TEXT(Data!B217,"MMM-YYYY")</f>
        <v>Dec-2023</v>
      </c>
      <c r="F217" t="s">
        <v>62</v>
      </c>
      <c r="G217" t="s">
        <v>98</v>
      </c>
      <c r="H217" t="s">
        <v>34</v>
      </c>
      <c r="I217" t="s">
        <v>35</v>
      </c>
      <c r="J217" s="4">
        <v>231.11</v>
      </c>
      <c r="K217" s="7" t="str">
        <f t="shared" si="20"/>
        <v>High</v>
      </c>
      <c r="L217" s="4">
        <v>318.17</v>
      </c>
      <c r="M217" s="4">
        <v>0.20100000000000001</v>
      </c>
      <c r="N217" s="4">
        <v>60</v>
      </c>
      <c r="O217" s="4">
        <f t="shared" si="18"/>
        <v>64128.8586</v>
      </c>
      <c r="P217">
        <f t="shared" si="19"/>
        <v>13866.6</v>
      </c>
      <c r="Q217" s="4">
        <f t="shared" si="21"/>
        <v>50262.258600000001</v>
      </c>
      <c r="R217" s="16">
        <f t="shared" si="22"/>
        <v>0.7837697363913475</v>
      </c>
    </row>
    <row r="218" spans="1:18" x14ac:dyDescent="0.3">
      <c r="A218" t="s">
        <v>534</v>
      </c>
      <c r="B218" s="6">
        <v>45280</v>
      </c>
      <c r="C218" s="2">
        <v>45305</v>
      </c>
      <c r="D218" s="4">
        <f t="shared" si="23"/>
        <v>25</v>
      </c>
      <c r="E218" s="4" t="str">
        <f>TEXT(Data!B218,"MMM-YYYY")</f>
        <v>Jan-2023</v>
      </c>
      <c r="F218" t="s">
        <v>39</v>
      </c>
      <c r="G218" t="s">
        <v>40</v>
      </c>
      <c r="H218" t="s">
        <v>49</v>
      </c>
      <c r="I218" t="s">
        <v>64</v>
      </c>
      <c r="J218" s="4">
        <v>1085.6099999999999</v>
      </c>
      <c r="K218" s="7" t="str">
        <f t="shared" si="20"/>
        <v>High</v>
      </c>
      <c r="L218" s="4">
        <v>1246.4100000000001</v>
      </c>
      <c r="M218" s="4">
        <v>0.113</v>
      </c>
      <c r="N218" s="4">
        <v>7</v>
      </c>
      <c r="O218" s="4">
        <f t="shared" si="18"/>
        <v>11133.23372</v>
      </c>
      <c r="P218">
        <f t="shared" si="19"/>
        <v>7599.2699999999995</v>
      </c>
      <c r="Q218" s="4">
        <f t="shared" si="21"/>
        <v>3533.9637200000006</v>
      </c>
      <c r="R218" s="16">
        <f t="shared" si="22"/>
        <v>0.31742473111397151</v>
      </c>
    </row>
    <row r="219" spans="1:18" x14ac:dyDescent="0.3">
      <c r="A219" t="s">
        <v>536</v>
      </c>
      <c r="B219" s="6">
        <v>44948</v>
      </c>
      <c r="C219" s="2">
        <v>44947</v>
      </c>
      <c r="D219" s="4">
        <f>DATEDIF(C219,B219, "MD")</f>
        <v>1</v>
      </c>
      <c r="E219" s="4" t="str">
        <f>TEXT(Data!B219,"MMM-YYYY")</f>
        <v>Oct-2024</v>
      </c>
      <c r="F219" t="s">
        <v>19</v>
      </c>
      <c r="G219" t="s">
        <v>98</v>
      </c>
      <c r="H219" t="s">
        <v>84</v>
      </c>
      <c r="I219" t="s">
        <v>64</v>
      </c>
      <c r="J219" s="4">
        <v>150.86000000000001</v>
      </c>
      <c r="K219" s="7" t="str">
        <f t="shared" si="20"/>
        <v>High</v>
      </c>
      <c r="L219" s="4">
        <v>346.96</v>
      </c>
      <c r="M219" s="4">
        <v>0.19600000000000001</v>
      </c>
      <c r="N219" s="4">
        <v>8</v>
      </c>
      <c r="O219" s="4">
        <f t="shared" si="18"/>
        <v>789.46368000000007</v>
      </c>
      <c r="P219">
        <f t="shared" si="19"/>
        <v>1206.8800000000001</v>
      </c>
      <c r="Q219" s="4">
        <f t="shared" si="21"/>
        <v>-417.41632000000004</v>
      </c>
      <c r="R219" s="16">
        <f t="shared" si="22"/>
        <v>-0.52873403878440617</v>
      </c>
    </row>
    <row r="220" spans="1:18" x14ac:dyDescent="0.3">
      <c r="A220" t="s">
        <v>538</v>
      </c>
      <c r="B220" s="6">
        <v>45576</v>
      </c>
      <c r="C220" s="2">
        <v>45605</v>
      </c>
      <c r="D220" s="4">
        <f t="shared" si="23"/>
        <v>29</v>
      </c>
      <c r="E220" s="4" t="str">
        <f>TEXT(Data!B220,"MMM-YYYY")</f>
        <v>Sep-2024</v>
      </c>
      <c r="F220" t="s">
        <v>39</v>
      </c>
      <c r="G220" t="s">
        <v>28</v>
      </c>
      <c r="H220" t="s">
        <v>84</v>
      </c>
      <c r="I220" t="s">
        <v>30</v>
      </c>
      <c r="J220" s="4">
        <v>391.64</v>
      </c>
      <c r="K220" s="7" t="str">
        <f t="shared" si="20"/>
        <v>High</v>
      </c>
      <c r="L220" s="4">
        <v>504.76</v>
      </c>
      <c r="M220" s="4">
        <v>4.0000000000000001E-3</v>
      </c>
      <c r="N220" s="4">
        <v>13</v>
      </c>
      <c r="O220" s="4">
        <f t="shared" si="18"/>
        <v>12014.83764</v>
      </c>
      <c r="P220">
        <f t="shared" si="19"/>
        <v>5091.32</v>
      </c>
      <c r="Q220" s="4">
        <f t="shared" si="21"/>
        <v>6923.51764</v>
      </c>
      <c r="R220" s="16">
        <f t="shared" si="22"/>
        <v>0.57624729084562143</v>
      </c>
    </row>
    <row r="221" spans="1:18" x14ac:dyDescent="0.3">
      <c r="A221" t="s">
        <v>540</v>
      </c>
      <c r="B221" s="6">
        <v>45554</v>
      </c>
      <c r="C221" s="2">
        <v>45579</v>
      </c>
      <c r="D221" s="4">
        <f t="shared" si="23"/>
        <v>25</v>
      </c>
      <c r="E221" s="4" t="str">
        <f>TEXT(Data!B221,"MMM-YYYY")</f>
        <v>Aug-2025</v>
      </c>
      <c r="F221" t="s">
        <v>62</v>
      </c>
      <c r="G221" t="s">
        <v>20</v>
      </c>
      <c r="H221" t="s">
        <v>95</v>
      </c>
      <c r="I221" t="s">
        <v>30</v>
      </c>
      <c r="J221" s="4">
        <v>386.96</v>
      </c>
      <c r="K221" s="7" t="str">
        <f t="shared" si="20"/>
        <v>High</v>
      </c>
      <c r="L221" s="4">
        <v>937.46</v>
      </c>
      <c r="M221" s="4">
        <v>0.26600000000000001</v>
      </c>
      <c r="N221" s="4">
        <v>41</v>
      </c>
      <c r="O221" s="4">
        <f t="shared" si="18"/>
        <v>4570.6767199999995</v>
      </c>
      <c r="P221">
        <f t="shared" si="19"/>
        <v>15865.359999999999</v>
      </c>
      <c r="Q221" s="4">
        <f t="shared" si="21"/>
        <v>-11294.683279999999</v>
      </c>
      <c r="R221" s="16">
        <f t="shared" si="22"/>
        <v>-2.4711183861631763</v>
      </c>
    </row>
    <row r="222" spans="1:18" x14ac:dyDescent="0.3">
      <c r="A222" t="s">
        <v>542</v>
      </c>
      <c r="B222" s="6">
        <v>45894</v>
      </c>
      <c r="C222" s="2">
        <v>45924</v>
      </c>
      <c r="D222" s="4">
        <f t="shared" si="23"/>
        <v>30</v>
      </c>
      <c r="E222" s="4" t="str">
        <f>TEXT(Data!B222,"MMM-YYYY")</f>
        <v>Sep-2023</v>
      </c>
      <c r="F222" t="s">
        <v>48</v>
      </c>
      <c r="G222" t="s">
        <v>98</v>
      </c>
      <c r="H222" t="s">
        <v>56</v>
      </c>
      <c r="I222" t="s">
        <v>22</v>
      </c>
      <c r="J222" s="4">
        <v>589.14</v>
      </c>
      <c r="K222" s="7" t="str">
        <f t="shared" si="20"/>
        <v>High</v>
      </c>
      <c r="L222" s="4">
        <v>1300.58</v>
      </c>
      <c r="M222" s="4">
        <v>5.5E-2</v>
      </c>
      <c r="N222" s="4">
        <v>11</v>
      </c>
      <c r="O222" s="4">
        <f t="shared" si="18"/>
        <v>22977.108</v>
      </c>
      <c r="P222">
        <f t="shared" si="19"/>
        <v>6480.54</v>
      </c>
      <c r="Q222" s="4">
        <f t="shared" si="21"/>
        <v>16496.567999999999</v>
      </c>
      <c r="R222" s="16">
        <f t="shared" si="22"/>
        <v>0.71795667235406646</v>
      </c>
    </row>
    <row r="223" spans="1:18" x14ac:dyDescent="0.3">
      <c r="A223" t="s">
        <v>544</v>
      </c>
      <c r="B223" s="6">
        <v>45194</v>
      </c>
      <c r="C223" s="2">
        <v>45201</v>
      </c>
      <c r="D223" s="4">
        <f t="shared" si="23"/>
        <v>7</v>
      </c>
      <c r="E223" s="4" t="str">
        <f>TEXT(Data!B223,"MMM-YYYY")</f>
        <v>Aug-2023</v>
      </c>
      <c r="F223" t="s">
        <v>27</v>
      </c>
      <c r="G223" t="s">
        <v>40</v>
      </c>
      <c r="H223" t="s">
        <v>34</v>
      </c>
      <c r="I223" t="s">
        <v>81</v>
      </c>
      <c r="J223" s="4">
        <v>145.58000000000001</v>
      </c>
      <c r="K223" s="7" t="str">
        <f t="shared" si="20"/>
        <v>High</v>
      </c>
      <c r="L223" s="4">
        <v>228.15</v>
      </c>
      <c r="M223" s="4">
        <v>0.20399999999999999</v>
      </c>
      <c r="N223" s="4">
        <v>5</v>
      </c>
      <c r="O223" s="4">
        <f t="shared" si="18"/>
        <v>158.16520000000003</v>
      </c>
      <c r="P223">
        <f t="shared" si="19"/>
        <v>727.90000000000009</v>
      </c>
      <c r="Q223" s="4">
        <f t="shared" si="21"/>
        <v>-569.73480000000006</v>
      </c>
      <c r="R223" s="16">
        <f t="shared" si="22"/>
        <v>-3.602150156924532</v>
      </c>
    </row>
    <row r="224" spans="1:18" x14ac:dyDescent="0.3">
      <c r="A224" t="s">
        <v>546</v>
      </c>
      <c r="B224" s="6">
        <v>45164</v>
      </c>
      <c r="C224" s="2">
        <v>45179</v>
      </c>
      <c r="D224" s="4">
        <f t="shared" si="23"/>
        <v>15</v>
      </c>
      <c r="E224" s="4" t="str">
        <f>TEXT(Data!B224,"MMM-YYYY")</f>
        <v>Jul-2025</v>
      </c>
      <c r="F224" t="s">
        <v>39</v>
      </c>
      <c r="G224" t="s">
        <v>98</v>
      </c>
      <c r="H224" t="s">
        <v>126</v>
      </c>
      <c r="I224" t="s">
        <v>22</v>
      </c>
      <c r="J224" s="4">
        <v>241.14</v>
      </c>
      <c r="K224" s="7" t="str">
        <f t="shared" si="20"/>
        <v>High</v>
      </c>
      <c r="L224" s="4">
        <v>496.52</v>
      </c>
      <c r="M224" s="4">
        <v>9.2999999999999999E-2</v>
      </c>
      <c r="N224" s="4">
        <v>10</v>
      </c>
      <c r="O224" s="4">
        <f t="shared" si="18"/>
        <v>9151.630000000001</v>
      </c>
      <c r="P224">
        <f t="shared" si="19"/>
        <v>2411.3999999999996</v>
      </c>
      <c r="Q224" s="4">
        <f t="shared" si="21"/>
        <v>6740.2300000000014</v>
      </c>
      <c r="R224" s="16">
        <f t="shared" si="22"/>
        <v>0.73650595576962796</v>
      </c>
    </row>
    <row r="225" spans="1:18" x14ac:dyDescent="0.3">
      <c r="A225" t="s">
        <v>548</v>
      </c>
      <c r="B225" s="6">
        <v>45854</v>
      </c>
      <c r="C225" s="2">
        <v>45855</v>
      </c>
      <c r="D225" s="4">
        <f t="shared" si="23"/>
        <v>1</v>
      </c>
      <c r="E225" s="4" t="str">
        <f>TEXT(Data!B225,"MMM-YYYY")</f>
        <v>Apr-2023</v>
      </c>
      <c r="F225" t="s">
        <v>62</v>
      </c>
      <c r="G225" t="s">
        <v>55</v>
      </c>
      <c r="H225" t="s">
        <v>56</v>
      </c>
      <c r="I225" t="s">
        <v>35</v>
      </c>
      <c r="J225" s="4">
        <v>1198.9000000000001</v>
      </c>
      <c r="K225" s="7" t="str">
        <f t="shared" si="20"/>
        <v>High</v>
      </c>
      <c r="L225" s="4">
        <v>2941.2</v>
      </c>
      <c r="M225" s="4">
        <v>5.0999999999999997E-2</v>
      </c>
      <c r="N225" s="4">
        <v>24</v>
      </c>
      <c r="O225" s="4">
        <f t="shared" si="18"/>
        <v>37663.304640000002</v>
      </c>
      <c r="P225">
        <f t="shared" si="19"/>
        <v>28773.600000000002</v>
      </c>
      <c r="Q225" s="4">
        <f t="shared" si="21"/>
        <v>8889.7046399999999</v>
      </c>
      <c r="R225" s="16">
        <f t="shared" si="22"/>
        <v>0.23603092519286697</v>
      </c>
    </row>
    <row r="226" spans="1:18" x14ac:dyDescent="0.3">
      <c r="A226" t="s">
        <v>550</v>
      </c>
      <c r="B226" s="6">
        <v>45035</v>
      </c>
      <c r="C226" s="2">
        <v>45053</v>
      </c>
      <c r="D226" s="4">
        <f t="shared" si="23"/>
        <v>18</v>
      </c>
      <c r="E226" s="4" t="str">
        <f>TEXT(Data!B226,"MMM-YYYY")</f>
        <v>Dec-2023</v>
      </c>
      <c r="F226" t="s">
        <v>105</v>
      </c>
      <c r="G226" t="s">
        <v>20</v>
      </c>
      <c r="H226" t="s">
        <v>126</v>
      </c>
      <c r="I226" t="s">
        <v>57</v>
      </c>
      <c r="J226" s="4">
        <v>1089.1500000000001</v>
      </c>
      <c r="K226" s="7" t="str">
        <f t="shared" si="20"/>
        <v>High</v>
      </c>
      <c r="L226" s="4">
        <v>1088.2</v>
      </c>
      <c r="M226" s="4">
        <v>5.0999999999999997E-2</v>
      </c>
      <c r="N226" s="4">
        <v>15</v>
      </c>
      <c r="O226" s="4">
        <f t="shared" si="18"/>
        <v>14458.4895</v>
      </c>
      <c r="P226">
        <f t="shared" si="19"/>
        <v>16337.250000000002</v>
      </c>
      <c r="Q226" s="4">
        <f t="shared" si="21"/>
        <v>-1878.7605000000021</v>
      </c>
      <c r="R226" s="16">
        <f t="shared" si="22"/>
        <v>-0.12994168581718044</v>
      </c>
    </row>
    <row r="227" spans="1:18" x14ac:dyDescent="0.3">
      <c r="A227" t="s">
        <v>552</v>
      </c>
      <c r="B227" s="6">
        <v>45279</v>
      </c>
      <c r="C227" s="2">
        <v>45280</v>
      </c>
      <c r="D227" s="4">
        <f t="shared" si="23"/>
        <v>1</v>
      </c>
      <c r="E227" s="4" t="str">
        <f>TEXT(Data!B227,"MMM-YYYY")</f>
        <v>Jul-2023</v>
      </c>
      <c r="F227" t="s">
        <v>48</v>
      </c>
      <c r="G227" t="s">
        <v>55</v>
      </c>
      <c r="H227" t="s">
        <v>29</v>
      </c>
      <c r="I227" t="s">
        <v>42</v>
      </c>
      <c r="J227" s="4">
        <v>1080.43</v>
      </c>
      <c r="K227" s="7" t="str">
        <f t="shared" si="20"/>
        <v>High</v>
      </c>
      <c r="L227" s="4">
        <v>2529.15</v>
      </c>
      <c r="M227" s="4">
        <v>0.14699999999999999</v>
      </c>
      <c r="N227" s="4">
        <v>10</v>
      </c>
      <c r="O227" s="4">
        <f t="shared" si="18"/>
        <v>7783.1984999999995</v>
      </c>
      <c r="P227">
        <f t="shared" si="19"/>
        <v>10804.300000000001</v>
      </c>
      <c r="Q227" s="4">
        <f t="shared" si="21"/>
        <v>-3021.1015000000016</v>
      </c>
      <c r="R227" s="16">
        <f t="shared" si="22"/>
        <v>-0.38815680982567796</v>
      </c>
    </row>
    <row r="228" spans="1:18" x14ac:dyDescent="0.3">
      <c r="A228" t="s">
        <v>554</v>
      </c>
      <c r="B228" s="6">
        <v>45137</v>
      </c>
      <c r="C228" s="2">
        <v>45145</v>
      </c>
      <c r="D228" s="4">
        <f t="shared" si="23"/>
        <v>8</v>
      </c>
      <c r="E228" s="4" t="str">
        <f>TEXT(Data!B228,"MMM-YYYY")</f>
        <v>Oct-2023</v>
      </c>
      <c r="F228" t="s">
        <v>27</v>
      </c>
      <c r="G228" t="s">
        <v>40</v>
      </c>
      <c r="H228" t="s">
        <v>75</v>
      </c>
      <c r="I228" t="s">
        <v>35</v>
      </c>
      <c r="J228" s="4">
        <v>1352.44</v>
      </c>
      <c r="K228" s="7" t="str">
        <f t="shared" si="20"/>
        <v>High</v>
      </c>
      <c r="L228" s="4">
        <v>2698.01</v>
      </c>
      <c r="M228" s="4">
        <v>0.13100000000000001</v>
      </c>
      <c r="N228" s="4">
        <v>13</v>
      </c>
      <c r="O228" s="4">
        <f t="shared" si="18"/>
        <v>9209.201430000001</v>
      </c>
      <c r="P228">
        <f t="shared" si="19"/>
        <v>17581.72</v>
      </c>
      <c r="Q228" s="4">
        <f t="shared" si="21"/>
        <v>-8372.5185700000002</v>
      </c>
      <c r="R228" s="16">
        <f t="shared" si="22"/>
        <v>-0.90914707791335603</v>
      </c>
    </row>
    <row r="229" spans="1:18" x14ac:dyDescent="0.3">
      <c r="A229" t="s">
        <v>556</v>
      </c>
      <c r="B229" s="6">
        <v>45203</v>
      </c>
      <c r="C229" s="2">
        <v>45228</v>
      </c>
      <c r="D229" s="4">
        <f t="shared" si="23"/>
        <v>25</v>
      </c>
      <c r="E229" s="4" t="str">
        <f>TEXT(Data!B229,"MMM-YYYY")</f>
        <v>Aug-2025</v>
      </c>
      <c r="F229" t="s">
        <v>62</v>
      </c>
      <c r="G229" t="s">
        <v>55</v>
      </c>
      <c r="H229" t="s">
        <v>68</v>
      </c>
      <c r="I229" t="s">
        <v>81</v>
      </c>
      <c r="J229" s="4">
        <v>1239.8399999999999</v>
      </c>
      <c r="K229" s="7" t="str">
        <f t="shared" si="20"/>
        <v>High</v>
      </c>
      <c r="L229" s="4">
        <v>1482.75</v>
      </c>
      <c r="M229" s="4">
        <v>6.7000000000000004E-2</v>
      </c>
      <c r="N229" s="4">
        <v>4</v>
      </c>
      <c r="O229" s="4">
        <f t="shared" si="18"/>
        <v>6770.0719200000003</v>
      </c>
      <c r="P229">
        <f t="shared" si="19"/>
        <v>4959.3599999999997</v>
      </c>
      <c r="Q229" s="4">
        <f t="shared" si="21"/>
        <v>1810.7119200000006</v>
      </c>
      <c r="R229" s="16">
        <f t="shared" si="22"/>
        <v>0.26745829902498297</v>
      </c>
    </row>
    <row r="230" spans="1:18" x14ac:dyDescent="0.3">
      <c r="A230" t="s">
        <v>558</v>
      </c>
      <c r="B230" s="6">
        <v>45879</v>
      </c>
      <c r="C230" s="2">
        <v>45899</v>
      </c>
      <c r="D230" s="4">
        <f t="shared" si="23"/>
        <v>20</v>
      </c>
      <c r="E230" s="4" t="str">
        <f>TEXT(Data!B230,"MMM-YYYY")</f>
        <v>Mar-2023</v>
      </c>
      <c r="F230" t="s">
        <v>19</v>
      </c>
      <c r="G230" t="s">
        <v>40</v>
      </c>
      <c r="H230" t="s">
        <v>95</v>
      </c>
      <c r="I230" t="s">
        <v>30</v>
      </c>
      <c r="J230" s="4">
        <v>933.29</v>
      </c>
      <c r="K230" s="7" t="str">
        <f t="shared" si="20"/>
        <v>High</v>
      </c>
      <c r="L230" s="4">
        <v>1456.81</v>
      </c>
      <c r="M230" s="4">
        <v>0.123</v>
      </c>
      <c r="N230" s="4">
        <v>13</v>
      </c>
      <c r="O230" s="4">
        <f t="shared" si="18"/>
        <v>8652.4469199999985</v>
      </c>
      <c r="P230">
        <f t="shared" si="19"/>
        <v>12132.77</v>
      </c>
      <c r="Q230" s="4">
        <f t="shared" si="21"/>
        <v>-3480.3230800000019</v>
      </c>
      <c r="R230" s="16">
        <f t="shared" si="22"/>
        <v>-0.4022357042093247</v>
      </c>
    </row>
    <row r="231" spans="1:18" x14ac:dyDescent="0.3">
      <c r="A231" t="s">
        <v>560</v>
      </c>
      <c r="B231" s="6">
        <v>44992</v>
      </c>
      <c r="C231" s="2">
        <v>45017</v>
      </c>
      <c r="D231" s="4">
        <f t="shared" si="23"/>
        <v>25</v>
      </c>
      <c r="E231" s="4" t="str">
        <f>TEXT(Data!B231,"MMM-YYYY")</f>
        <v>May-2023</v>
      </c>
      <c r="F231" t="s">
        <v>48</v>
      </c>
      <c r="G231" t="s">
        <v>40</v>
      </c>
      <c r="H231" t="s">
        <v>145</v>
      </c>
      <c r="I231" t="s">
        <v>30</v>
      </c>
      <c r="J231" s="4">
        <v>1024.0999999999999</v>
      </c>
      <c r="K231" s="7" t="str">
        <f t="shared" si="20"/>
        <v>High</v>
      </c>
      <c r="L231" s="4">
        <v>918.19</v>
      </c>
      <c r="M231" s="4">
        <v>0.189</v>
      </c>
      <c r="N231" s="4">
        <v>10</v>
      </c>
      <c r="O231" s="4">
        <f t="shared" si="18"/>
        <v>13522.938400000001</v>
      </c>
      <c r="P231">
        <f t="shared" si="19"/>
        <v>10241</v>
      </c>
      <c r="Q231" s="4">
        <f t="shared" si="21"/>
        <v>3281.9384000000009</v>
      </c>
      <c r="R231" s="16">
        <f t="shared" si="22"/>
        <v>0.24269417658517181</v>
      </c>
    </row>
    <row r="232" spans="1:18" x14ac:dyDescent="0.3">
      <c r="A232" t="s">
        <v>562</v>
      </c>
      <c r="B232" s="6">
        <v>45069</v>
      </c>
      <c r="C232" s="2">
        <v>45087</v>
      </c>
      <c r="D232" s="4">
        <f t="shared" si="23"/>
        <v>18</v>
      </c>
      <c r="E232" s="4" t="str">
        <f>TEXT(Data!B232,"MMM-YYYY")</f>
        <v>Apr-2025</v>
      </c>
      <c r="F232" t="s">
        <v>19</v>
      </c>
      <c r="G232" t="s">
        <v>55</v>
      </c>
      <c r="H232" t="s">
        <v>63</v>
      </c>
      <c r="I232" t="s">
        <v>22</v>
      </c>
      <c r="J232" s="4">
        <v>54.62</v>
      </c>
      <c r="K232" s="7" t="str">
        <f t="shared" si="20"/>
        <v>Low</v>
      </c>
      <c r="L232" s="4">
        <v>48.94</v>
      </c>
      <c r="M232" s="4">
        <v>0.14799999999999999</v>
      </c>
      <c r="N232" s="4">
        <v>16</v>
      </c>
      <c r="O232" s="4">
        <f t="shared" si="18"/>
        <v>34932.681600000004</v>
      </c>
      <c r="P232">
        <f t="shared" si="19"/>
        <v>873.92</v>
      </c>
      <c r="Q232" s="4">
        <f t="shared" si="21"/>
        <v>34058.761600000005</v>
      </c>
      <c r="R232" s="16">
        <f t="shared" si="22"/>
        <v>0.9749827393726338</v>
      </c>
    </row>
    <row r="233" spans="1:18" x14ac:dyDescent="0.3">
      <c r="A233" t="s">
        <v>564</v>
      </c>
      <c r="B233" s="6">
        <v>45771</v>
      </c>
      <c r="C233" s="2">
        <v>45783</v>
      </c>
      <c r="D233" s="4">
        <f t="shared" si="23"/>
        <v>12</v>
      </c>
      <c r="E233" s="4" t="str">
        <f>TEXT(Data!B233,"MMM-YYYY")</f>
        <v>Sep-2024</v>
      </c>
      <c r="F233" t="s">
        <v>48</v>
      </c>
      <c r="G233" t="s">
        <v>28</v>
      </c>
      <c r="H233" t="s">
        <v>21</v>
      </c>
      <c r="I233" t="s">
        <v>42</v>
      </c>
      <c r="J233" s="4">
        <v>394.13</v>
      </c>
      <c r="K233" s="7" t="str">
        <f t="shared" si="20"/>
        <v>High</v>
      </c>
      <c r="L233" s="4">
        <v>932.29</v>
      </c>
      <c r="M233" s="4">
        <v>0.109</v>
      </c>
      <c r="N233" s="4">
        <v>7</v>
      </c>
      <c r="O233" s="4">
        <f t="shared" si="18"/>
        <v>4648.9350599999998</v>
      </c>
      <c r="P233">
        <f t="shared" si="19"/>
        <v>2758.91</v>
      </c>
      <c r="Q233" s="4">
        <f t="shared" si="21"/>
        <v>1890.0250599999999</v>
      </c>
      <c r="R233" s="16">
        <f t="shared" si="22"/>
        <v>0.40655010999443819</v>
      </c>
    </row>
    <row r="234" spans="1:18" x14ac:dyDescent="0.3">
      <c r="A234" t="s">
        <v>566</v>
      </c>
      <c r="B234" s="6">
        <v>45538</v>
      </c>
      <c r="C234" s="2">
        <v>45543</v>
      </c>
      <c r="D234" s="4">
        <f t="shared" si="23"/>
        <v>5</v>
      </c>
      <c r="E234" s="4" t="str">
        <f>TEXT(Data!B234,"MMM-YYYY")</f>
        <v>Sep-2024</v>
      </c>
      <c r="F234" t="s">
        <v>62</v>
      </c>
      <c r="G234" t="s">
        <v>98</v>
      </c>
      <c r="H234" t="s">
        <v>95</v>
      </c>
      <c r="I234" t="s">
        <v>30</v>
      </c>
      <c r="J234" s="4">
        <v>197.63</v>
      </c>
      <c r="K234" s="7" t="str">
        <f t="shared" si="20"/>
        <v>High</v>
      </c>
      <c r="L234" s="4">
        <v>325.79000000000002</v>
      </c>
      <c r="M234" s="4">
        <v>0.11600000000000001</v>
      </c>
      <c r="N234" s="4">
        <v>10</v>
      </c>
      <c r="O234" s="4">
        <f t="shared" si="18"/>
        <v>6081.4780000000001</v>
      </c>
      <c r="P234">
        <f t="shared" si="19"/>
        <v>1976.3</v>
      </c>
      <c r="Q234" s="4">
        <f t="shared" si="21"/>
        <v>4105.1779999999999</v>
      </c>
      <c r="R234" s="16">
        <f t="shared" si="22"/>
        <v>0.67502965561990025</v>
      </c>
    </row>
    <row r="235" spans="1:18" x14ac:dyDescent="0.3">
      <c r="A235" t="s">
        <v>568</v>
      </c>
      <c r="B235" s="6">
        <v>45540</v>
      </c>
      <c r="C235" s="2">
        <v>45560</v>
      </c>
      <c r="D235" s="4">
        <f t="shared" si="23"/>
        <v>20</v>
      </c>
      <c r="E235" s="4" t="str">
        <f>TEXT(Data!B235,"MMM-YYYY")</f>
        <v>Mar-2023</v>
      </c>
      <c r="F235" t="s">
        <v>105</v>
      </c>
      <c r="G235" t="s">
        <v>55</v>
      </c>
      <c r="H235" t="s">
        <v>145</v>
      </c>
      <c r="I235" t="s">
        <v>64</v>
      </c>
      <c r="J235" s="4">
        <v>195.54</v>
      </c>
      <c r="K235" s="7" t="str">
        <f t="shared" si="20"/>
        <v>High</v>
      </c>
      <c r="L235" s="4">
        <v>405.97</v>
      </c>
      <c r="M235" s="4">
        <v>0.187</v>
      </c>
      <c r="N235" s="4">
        <v>16</v>
      </c>
      <c r="O235" s="4">
        <f t="shared" si="18"/>
        <v>7155.3105599999999</v>
      </c>
      <c r="P235">
        <f t="shared" si="19"/>
        <v>3128.64</v>
      </c>
      <c r="Q235" s="4">
        <f t="shared" si="21"/>
        <v>4026.67056</v>
      </c>
      <c r="R235" s="16">
        <f t="shared" si="22"/>
        <v>0.56275273116866642</v>
      </c>
    </row>
    <row r="236" spans="1:18" x14ac:dyDescent="0.3">
      <c r="A236" t="s">
        <v>570</v>
      </c>
      <c r="B236" s="6">
        <v>44999</v>
      </c>
      <c r="C236" s="2">
        <v>45015</v>
      </c>
      <c r="D236" s="4">
        <f t="shared" si="23"/>
        <v>16</v>
      </c>
      <c r="E236" s="4" t="str">
        <f>TEXT(Data!B236,"MMM-YYYY")</f>
        <v>Jan-2024</v>
      </c>
      <c r="F236" t="s">
        <v>48</v>
      </c>
      <c r="G236" t="s">
        <v>55</v>
      </c>
      <c r="H236" t="s">
        <v>95</v>
      </c>
      <c r="I236" t="s">
        <v>22</v>
      </c>
      <c r="J236" s="4">
        <v>1309.77</v>
      </c>
      <c r="K236" s="7" t="str">
        <f t="shared" si="20"/>
        <v>High</v>
      </c>
      <c r="L236" s="4">
        <v>1589.07</v>
      </c>
      <c r="M236" s="4">
        <v>0.10199999999999999</v>
      </c>
      <c r="N236" s="4">
        <v>10</v>
      </c>
      <c r="O236" s="4">
        <f t="shared" si="18"/>
        <v>18572.525799999999</v>
      </c>
      <c r="P236">
        <f t="shared" si="19"/>
        <v>13097.7</v>
      </c>
      <c r="Q236" s="4">
        <f t="shared" si="21"/>
        <v>5474.8257999999987</v>
      </c>
      <c r="R236" s="16">
        <f t="shared" si="22"/>
        <v>0.29478089619883574</v>
      </c>
    </row>
    <row r="237" spans="1:18" x14ac:dyDescent="0.3">
      <c r="A237" t="s">
        <v>572</v>
      </c>
      <c r="B237" s="6">
        <v>45302</v>
      </c>
      <c r="C237" s="2">
        <v>45324</v>
      </c>
      <c r="D237" s="4">
        <f t="shared" si="23"/>
        <v>22</v>
      </c>
      <c r="E237" s="4" t="str">
        <f>TEXT(Data!B237,"MMM-YYYY")</f>
        <v>Sep-2024</v>
      </c>
      <c r="F237" t="s">
        <v>62</v>
      </c>
      <c r="G237" t="s">
        <v>28</v>
      </c>
      <c r="H237" t="s">
        <v>1364</v>
      </c>
      <c r="I237" t="s">
        <v>30</v>
      </c>
      <c r="J237" s="4">
        <v>1237.68</v>
      </c>
      <c r="K237" s="7" t="str">
        <f t="shared" si="20"/>
        <v>High</v>
      </c>
      <c r="L237" s="4">
        <v>1432.8</v>
      </c>
      <c r="M237" s="4">
        <v>6.8000000000000005E-2</v>
      </c>
      <c r="N237" s="4">
        <v>13</v>
      </c>
      <c r="O237" s="4">
        <f t="shared" si="18"/>
        <v>31218.691400000003</v>
      </c>
      <c r="P237">
        <f t="shared" si="19"/>
        <v>16089.84</v>
      </c>
      <c r="Q237" s="4">
        <f t="shared" si="21"/>
        <v>15128.851400000003</v>
      </c>
      <c r="R237" s="16">
        <f t="shared" si="22"/>
        <v>0.48460876230065175</v>
      </c>
    </row>
    <row r="238" spans="1:18" x14ac:dyDescent="0.3">
      <c r="A238" t="s">
        <v>574</v>
      </c>
      <c r="B238" s="6">
        <v>45548</v>
      </c>
      <c r="C238" s="2">
        <v>45567</v>
      </c>
      <c r="D238" s="4">
        <f t="shared" si="23"/>
        <v>19</v>
      </c>
      <c r="E238" s="4" t="str">
        <f>TEXT(Data!B238,"MMM-YYYY")</f>
        <v>Jul-2025</v>
      </c>
      <c r="F238" t="s">
        <v>62</v>
      </c>
      <c r="G238" t="s">
        <v>20</v>
      </c>
      <c r="H238" t="s">
        <v>110</v>
      </c>
      <c r="I238" t="s">
        <v>42</v>
      </c>
      <c r="J238" s="4">
        <v>1338.99</v>
      </c>
      <c r="K238" s="7" t="str">
        <f t="shared" si="20"/>
        <v>High</v>
      </c>
      <c r="L238" s="4">
        <v>1765.76</v>
      </c>
      <c r="M238" s="4">
        <v>0.126</v>
      </c>
      <c r="N238" s="4">
        <v>24</v>
      </c>
      <c r="O238" s="4">
        <f t="shared" si="18"/>
        <v>21901.880639999999</v>
      </c>
      <c r="P238">
        <f t="shared" si="19"/>
        <v>32135.760000000002</v>
      </c>
      <c r="Q238" s="4">
        <f t="shared" si="21"/>
        <v>-10233.879360000003</v>
      </c>
      <c r="R238" s="16">
        <f t="shared" si="22"/>
        <v>-0.46726030189889678</v>
      </c>
    </row>
    <row r="239" spans="1:18" x14ac:dyDescent="0.3">
      <c r="A239" t="s">
        <v>576</v>
      </c>
      <c r="B239" s="6">
        <v>45855</v>
      </c>
      <c r="C239" s="2">
        <v>45861</v>
      </c>
      <c r="D239" s="4">
        <f t="shared" si="23"/>
        <v>6</v>
      </c>
      <c r="E239" s="4" t="str">
        <f>TEXT(Data!B239,"MMM-YYYY")</f>
        <v>Nov-2023</v>
      </c>
      <c r="F239" t="s">
        <v>48</v>
      </c>
      <c r="G239" t="s">
        <v>28</v>
      </c>
      <c r="H239" t="s">
        <v>92</v>
      </c>
      <c r="I239" t="s">
        <v>22</v>
      </c>
      <c r="J239" s="4">
        <v>1364.89</v>
      </c>
      <c r="K239" s="7" t="str">
        <f t="shared" si="20"/>
        <v>High</v>
      </c>
      <c r="L239" s="4">
        <v>2757.54</v>
      </c>
      <c r="M239" s="4">
        <v>0.17199999999999999</v>
      </c>
      <c r="N239" s="4">
        <v>61</v>
      </c>
      <c r="O239" s="4">
        <f t="shared" si="18"/>
        <v>5002.3123200000009</v>
      </c>
      <c r="P239">
        <f t="shared" si="19"/>
        <v>83258.290000000008</v>
      </c>
      <c r="Q239" s="4">
        <f t="shared" si="21"/>
        <v>-78255.977680000011</v>
      </c>
      <c r="R239" s="16">
        <f t="shared" si="22"/>
        <v>-15.643960767327698</v>
      </c>
    </row>
    <row r="240" spans="1:18" x14ac:dyDescent="0.3">
      <c r="A240" t="s">
        <v>578</v>
      </c>
      <c r="B240" s="6">
        <v>45258</v>
      </c>
      <c r="C240" s="2">
        <v>45267</v>
      </c>
      <c r="D240" s="4">
        <f t="shared" si="23"/>
        <v>9</v>
      </c>
      <c r="E240" s="4" t="str">
        <f>TEXT(Data!B240,"MMM-YYYY")</f>
        <v>Mar-2024</v>
      </c>
      <c r="F240" t="s">
        <v>105</v>
      </c>
      <c r="G240" t="s">
        <v>40</v>
      </c>
      <c r="H240" t="s">
        <v>49</v>
      </c>
      <c r="I240" t="s">
        <v>42</v>
      </c>
      <c r="J240" s="4">
        <v>699.33</v>
      </c>
      <c r="K240" s="7" t="str">
        <f t="shared" si="20"/>
        <v>High</v>
      </c>
      <c r="L240" s="4">
        <v>873.75</v>
      </c>
      <c r="M240" s="4">
        <v>0.23499999999999999</v>
      </c>
      <c r="N240" s="4">
        <v>10</v>
      </c>
      <c r="O240" s="4">
        <f t="shared" si="18"/>
        <v>15275.5965</v>
      </c>
      <c r="P240">
        <f t="shared" si="19"/>
        <v>6993.3</v>
      </c>
      <c r="Q240" s="4">
        <f t="shared" si="21"/>
        <v>8282.2965000000004</v>
      </c>
      <c r="R240" s="16">
        <f t="shared" si="22"/>
        <v>0.5421913638527962</v>
      </c>
    </row>
    <row r="241" spans="1:18" x14ac:dyDescent="0.3">
      <c r="A241" t="s">
        <v>580</v>
      </c>
      <c r="B241" s="6">
        <v>45381</v>
      </c>
      <c r="C241" s="2">
        <v>45406</v>
      </c>
      <c r="D241" s="4">
        <f t="shared" si="23"/>
        <v>25</v>
      </c>
      <c r="E241" s="4" t="str">
        <f>TEXT(Data!B241,"MMM-YYYY")</f>
        <v>Sep-2023</v>
      </c>
      <c r="F241" t="s">
        <v>39</v>
      </c>
      <c r="G241" t="s">
        <v>28</v>
      </c>
      <c r="H241" t="s">
        <v>41</v>
      </c>
      <c r="I241" t="s">
        <v>57</v>
      </c>
      <c r="J241" s="4">
        <v>160.82</v>
      </c>
      <c r="K241" s="7" t="str">
        <f t="shared" si="20"/>
        <v>High</v>
      </c>
      <c r="L241" s="4">
        <v>258.52</v>
      </c>
      <c r="M241" s="4">
        <v>0.13</v>
      </c>
      <c r="N241" s="4">
        <v>17</v>
      </c>
      <c r="O241" s="4">
        <f t="shared" si="18"/>
        <v>13631.647199999999</v>
      </c>
      <c r="P241">
        <f t="shared" si="19"/>
        <v>2733.94</v>
      </c>
      <c r="Q241" s="4">
        <f t="shared" si="21"/>
        <v>10897.707199999999</v>
      </c>
      <c r="R241" s="16">
        <f t="shared" si="22"/>
        <v>0.79944169916604058</v>
      </c>
    </row>
    <row r="242" spans="1:18" x14ac:dyDescent="0.3">
      <c r="A242" t="s">
        <v>582</v>
      </c>
      <c r="B242" s="6">
        <v>45188</v>
      </c>
      <c r="C242" s="2">
        <v>45207</v>
      </c>
      <c r="D242" s="4">
        <f t="shared" si="23"/>
        <v>19</v>
      </c>
      <c r="E242" s="4" t="str">
        <f>TEXT(Data!B242,"MMM-YYYY")</f>
        <v>May-2025</v>
      </c>
      <c r="F242" t="s">
        <v>27</v>
      </c>
      <c r="G242" t="s">
        <v>98</v>
      </c>
      <c r="H242" t="s">
        <v>29</v>
      </c>
      <c r="I242" t="s">
        <v>30</v>
      </c>
      <c r="J242" s="4">
        <v>385.32</v>
      </c>
      <c r="K242" s="7" t="str">
        <f t="shared" si="20"/>
        <v>High</v>
      </c>
      <c r="L242" s="4">
        <v>606.76</v>
      </c>
      <c r="M242" s="4">
        <v>8.5999999999999993E-2</v>
      </c>
      <c r="N242" s="4">
        <v>8</v>
      </c>
      <c r="O242" s="4">
        <f t="shared" si="18"/>
        <v>18307.712480000002</v>
      </c>
      <c r="P242">
        <f t="shared" si="19"/>
        <v>3082.56</v>
      </c>
      <c r="Q242" s="4">
        <f t="shared" si="21"/>
        <v>15225.152480000002</v>
      </c>
      <c r="R242" s="16">
        <f t="shared" si="22"/>
        <v>0.8316250594732959</v>
      </c>
    </row>
    <row r="243" spans="1:18" x14ac:dyDescent="0.3">
      <c r="A243" t="s">
        <v>584</v>
      </c>
      <c r="B243" s="6">
        <v>45793</v>
      </c>
      <c r="C243" s="2">
        <v>45804</v>
      </c>
      <c r="D243" s="4">
        <f t="shared" si="23"/>
        <v>11</v>
      </c>
      <c r="E243" s="4" t="str">
        <f>TEXT(Data!B243,"MMM-YYYY")</f>
        <v>Aug-2025</v>
      </c>
      <c r="F243" t="s">
        <v>105</v>
      </c>
      <c r="G243" t="s">
        <v>28</v>
      </c>
      <c r="H243" t="s">
        <v>84</v>
      </c>
      <c r="I243" t="s">
        <v>42</v>
      </c>
      <c r="J243" s="4">
        <v>918.12</v>
      </c>
      <c r="K243" s="7" t="str">
        <f t="shared" si="20"/>
        <v>High</v>
      </c>
      <c r="L243" s="4">
        <v>1337.69</v>
      </c>
      <c r="M243" s="4">
        <v>9.5000000000000001E-2</v>
      </c>
      <c r="N243" s="4">
        <v>8</v>
      </c>
      <c r="O243" s="4">
        <f t="shared" si="18"/>
        <v>17830.4548</v>
      </c>
      <c r="P243">
        <f t="shared" si="19"/>
        <v>7344.96</v>
      </c>
      <c r="Q243" s="4">
        <f t="shared" si="21"/>
        <v>10485.4948</v>
      </c>
      <c r="R243" s="16">
        <f t="shared" si="22"/>
        <v>0.58806659267042372</v>
      </c>
    </row>
    <row r="244" spans="1:18" x14ac:dyDescent="0.3">
      <c r="A244" t="s">
        <v>586</v>
      </c>
      <c r="B244" s="6">
        <v>45871</v>
      </c>
      <c r="C244" s="2">
        <v>45877</v>
      </c>
      <c r="D244" s="4">
        <f t="shared" si="23"/>
        <v>6</v>
      </c>
      <c r="E244" s="4" t="str">
        <f>TEXT(Data!B244,"MMM-YYYY")</f>
        <v>Dec-2024</v>
      </c>
      <c r="F244" t="s">
        <v>48</v>
      </c>
      <c r="G244" t="s">
        <v>98</v>
      </c>
      <c r="H244" t="s">
        <v>126</v>
      </c>
      <c r="I244" t="s">
        <v>57</v>
      </c>
      <c r="J244" s="4">
        <v>1225.94</v>
      </c>
      <c r="K244" s="7" t="str">
        <f t="shared" si="20"/>
        <v>High</v>
      </c>
      <c r="L244" s="4">
        <v>1793.08</v>
      </c>
      <c r="M244" s="4">
        <v>0.13600000000000001</v>
      </c>
      <c r="N244" s="4">
        <v>22</v>
      </c>
      <c r="O244" s="4">
        <f t="shared" si="18"/>
        <v>9431.7695999999996</v>
      </c>
      <c r="P244">
        <f t="shared" si="19"/>
        <v>26970.68</v>
      </c>
      <c r="Q244" s="4">
        <f t="shared" si="21"/>
        <v>-17538.910400000001</v>
      </c>
      <c r="R244" s="16">
        <f t="shared" si="22"/>
        <v>-1.8595567050323198</v>
      </c>
    </row>
    <row r="245" spans="1:18" x14ac:dyDescent="0.3">
      <c r="A245" t="s">
        <v>588</v>
      </c>
      <c r="B245" s="6">
        <v>45630</v>
      </c>
      <c r="C245" s="2">
        <v>45638</v>
      </c>
      <c r="D245" s="4">
        <f t="shared" si="23"/>
        <v>8</v>
      </c>
      <c r="E245" s="4" t="str">
        <f>TEXT(Data!B245,"MMM-YYYY")</f>
        <v>Apr-2023</v>
      </c>
      <c r="F245" t="s">
        <v>105</v>
      </c>
      <c r="G245" t="s">
        <v>40</v>
      </c>
      <c r="H245" t="s">
        <v>56</v>
      </c>
      <c r="I245" t="s">
        <v>30</v>
      </c>
      <c r="J245" s="4">
        <v>72.06</v>
      </c>
      <c r="K245" s="7" t="str">
        <f t="shared" si="20"/>
        <v>Medium</v>
      </c>
      <c r="L245" s="4">
        <v>122.74</v>
      </c>
      <c r="M245" s="4">
        <v>0.23799999999999999</v>
      </c>
      <c r="N245" s="4">
        <v>8</v>
      </c>
      <c r="O245" s="4">
        <f t="shared" si="18"/>
        <v>5532.6686399999999</v>
      </c>
      <c r="P245">
        <f t="shared" si="19"/>
        <v>576.48</v>
      </c>
      <c r="Q245" s="4">
        <f t="shared" si="21"/>
        <v>4956.1886400000003</v>
      </c>
      <c r="R245" s="16">
        <f t="shared" si="22"/>
        <v>0.89580435093615152</v>
      </c>
    </row>
    <row r="246" spans="1:18" x14ac:dyDescent="0.3">
      <c r="A246" t="s">
        <v>590</v>
      </c>
      <c r="B246" s="6">
        <v>45035</v>
      </c>
      <c r="C246" s="2">
        <v>45044</v>
      </c>
      <c r="D246" s="4">
        <f t="shared" si="23"/>
        <v>9</v>
      </c>
      <c r="E246" s="4" t="str">
        <f>TEXT(Data!B246,"MMM-YYYY")</f>
        <v>Mar-2024</v>
      </c>
      <c r="F246" t="s">
        <v>19</v>
      </c>
      <c r="G246" t="s">
        <v>55</v>
      </c>
      <c r="H246" t="s">
        <v>110</v>
      </c>
      <c r="I246" t="s">
        <v>42</v>
      </c>
      <c r="J246" s="4">
        <v>1013.54</v>
      </c>
      <c r="K246" s="7" t="str">
        <f t="shared" si="20"/>
        <v>High</v>
      </c>
      <c r="L246" s="4">
        <v>927.93</v>
      </c>
      <c r="M246" s="4">
        <v>0.17499999999999999</v>
      </c>
      <c r="N246" s="4">
        <v>16</v>
      </c>
      <c r="O246" s="4">
        <f t="shared" si="18"/>
        <v>4411.308</v>
      </c>
      <c r="P246">
        <f t="shared" si="19"/>
        <v>16216.64</v>
      </c>
      <c r="Q246" s="4">
        <f t="shared" si="21"/>
        <v>-11805.331999999999</v>
      </c>
      <c r="R246" s="16">
        <f t="shared" si="22"/>
        <v>-2.6761522886182507</v>
      </c>
    </row>
    <row r="247" spans="1:18" x14ac:dyDescent="0.3">
      <c r="A247" t="s">
        <v>592</v>
      </c>
      <c r="B247" s="6">
        <v>45357</v>
      </c>
      <c r="C247" s="2">
        <v>45377</v>
      </c>
      <c r="D247" s="4">
        <f t="shared" si="23"/>
        <v>20</v>
      </c>
      <c r="E247" s="4" t="str">
        <f>TEXT(Data!B247,"MMM-YYYY")</f>
        <v>Feb-2024</v>
      </c>
      <c r="F247" t="s">
        <v>48</v>
      </c>
      <c r="G247" t="s">
        <v>40</v>
      </c>
      <c r="H247" t="s">
        <v>34</v>
      </c>
      <c r="I247" t="s">
        <v>42</v>
      </c>
      <c r="J247" s="4">
        <v>65.64</v>
      </c>
      <c r="K247" s="7" t="str">
        <f t="shared" si="20"/>
        <v>Medium</v>
      </c>
      <c r="L247" s="4">
        <v>151.88</v>
      </c>
      <c r="M247" s="4">
        <v>0.16700000000000001</v>
      </c>
      <c r="N247" s="4">
        <v>23</v>
      </c>
      <c r="O247" s="4">
        <f t="shared" si="18"/>
        <v>10322.677609999999</v>
      </c>
      <c r="P247">
        <f t="shared" si="19"/>
        <v>1509.72</v>
      </c>
      <c r="Q247" s="4">
        <f t="shared" si="21"/>
        <v>8812.9576099999995</v>
      </c>
      <c r="R247" s="16">
        <f t="shared" si="22"/>
        <v>0.8537472488206479</v>
      </c>
    </row>
    <row r="248" spans="1:18" x14ac:dyDescent="0.3">
      <c r="A248" t="s">
        <v>594</v>
      </c>
      <c r="B248" s="6">
        <v>45338</v>
      </c>
      <c r="C248" s="2">
        <v>45355</v>
      </c>
      <c r="D248" s="4">
        <f t="shared" si="23"/>
        <v>17</v>
      </c>
      <c r="E248" s="4" t="str">
        <f>TEXT(Data!B248,"MMM-YYYY")</f>
        <v>Apr-2025</v>
      </c>
      <c r="F248" t="s">
        <v>39</v>
      </c>
      <c r="G248" t="s">
        <v>20</v>
      </c>
      <c r="H248" t="s">
        <v>145</v>
      </c>
      <c r="I248" t="s">
        <v>57</v>
      </c>
      <c r="J248" s="4">
        <v>1350.98</v>
      </c>
      <c r="K248" s="7" t="str">
        <f t="shared" si="20"/>
        <v>High</v>
      </c>
      <c r="L248" s="4">
        <v>2210.4</v>
      </c>
      <c r="M248" s="4">
        <v>0.26300000000000001</v>
      </c>
      <c r="N248" s="4">
        <v>6</v>
      </c>
      <c r="O248" s="4">
        <f t="shared" si="18"/>
        <v>6352.3798799999995</v>
      </c>
      <c r="P248">
        <f t="shared" si="19"/>
        <v>8105.88</v>
      </c>
      <c r="Q248" s="4">
        <f t="shared" si="21"/>
        <v>-1753.5001200000006</v>
      </c>
      <c r="R248" s="16">
        <f t="shared" si="22"/>
        <v>-0.27603829637468102</v>
      </c>
    </row>
    <row r="249" spans="1:18" x14ac:dyDescent="0.3">
      <c r="A249" t="s">
        <v>596</v>
      </c>
      <c r="B249" s="6">
        <v>45769</v>
      </c>
      <c r="C249" s="2">
        <v>45779</v>
      </c>
      <c r="D249" s="4">
        <f t="shared" si="23"/>
        <v>10</v>
      </c>
      <c r="E249" s="4" t="str">
        <f>TEXT(Data!B249,"MMM-YYYY")</f>
        <v>Nov-2024</v>
      </c>
      <c r="F249" t="s">
        <v>19</v>
      </c>
      <c r="G249" t="s">
        <v>40</v>
      </c>
      <c r="H249" t="s">
        <v>21</v>
      </c>
      <c r="I249" t="s">
        <v>64</v>
      </c>
      <c r="J249" s="4">
        <v>20.149999999999999</v>
      </c>
      <c r="K249" s="7" t="str">
        <f t="shared" si="20"/>
        <v>Low</v>
      </c>
      <c r="L249" s="4">
        <v>39.74</v>
      </c>
      <c r="M249" s="4">
        <v>0.151</v>
      </c>
      <c r="N249" s="4">
        <v>18</v>
      </c>
      <c r="O249" s="4">
        <f t="shared" si="18"/>
        <v>26996.417099999999</v>
      </c>
      <c r="P249">
        <f t="shared" si="19"/>
        <v>362.7</v>
      </c>
      <c r="Q249" s="4">
        <f t="shared" si="21"/>
        <v>26633.717099999998</v>
      </c>
      <c r="R249" s="16">
        <f t="shared" si="22"/>
        <v>0.98656488382675045</v>
      </c>
    </row>
    <row r="250" spans="1:18" x14ac:dyDescent="0.3">
      <c r="A250" t="s">
        <v>598</v>
      </c>
      <c r="B250" s="6">
        <v>45604</v>
      </c>
      <c r="C250" s="2">
        <v>45604</v>
      </c>
      <c r="D250" s="4">
        <f t="shared" si="23"/>
        <v>0</v>
      </c>
      <c r="E250" s="4" t="str">
        <f>TEXT(Data!B250,"MMM-YYYY")</f>
        <v>Sep-2025</v>
      </c>
      <c r="F250" t="s">
        <v>105</v>
      </c>
      <c r="G250" t="s">
        <v>40</v>
      </c>
      <c r="H250" t="s">
        <v>110</v>
      </c>
      <c r="I250" t="s">
        <v>35</v>
      </c>
      <c r="J250" s="4">
        <v>803.28</v>
      </c>
      <c r="K250" s="7" t="str">
        <f t="shared" si="20"/>
        <v>High</v>
      </c>
      <c r="L250" s="4">
        <v>1009</v>
      </c>
      <c r="M250" s="4">
        <v>0.11</v>
      </c>
      <c r="N250" s="4">
        <v>4</v>
      </c>
      <c r="O250" s="4">
        <f t="shared" si="18"/>
        <v>2237.6023999999998</v>
      </c>
      <c r="P250">
        <f t="shared" si="19"/>
        <v>3213.12</v>
      </c>
      <c r="Q250" s="4">
        <f t="shared" si="21"/>
        <v>-975.51760000000013</v>
      </c>
      <c r="R250" s="16">
        <f t="shared" si="22"/>
        <v>-0.43596556743056775</v>
      </c>
    </row>
    <row r="251" spans="1:18" x14ac:dyDescent="0.3">
      <c r="A251" t="s">
        <v>600</v>
      </c>
      <c r="B251" s="6">
        <v>45912</v>
      </c>
      <c r="C251" s="2">
        <v>45930</v>
      </c>
      <c r="D251" s="4">
        <f t="shared" si="23"/>
        <v>18</v>
      </c>
      <c r="E251" s="4" t="str">
        <f>TEXT(Data!B251,"MMM-YYYY")</f>
        <v>Sep-2024</v>
      </c>
      <c r="F251" t="s">
        <v>39</v>
      </c>
      <c r="G251" t="s">
        <v>40</v>
      </c>
      <c r="H251" t="s">
        <v>84</v>
      </c>
      <c r="I251" t="s">
        <v>64</v>
      </c>
      <c r="J251" s="4">
        <v>1212.99</v>
      </c>
      <c r="K251" s="7" t="str">
        <f t="shared" si="20"/>
        <v>High</v>
      </c>
      <c r="L251" s="4">
        <v>1653.64</v>
      </c>
      <c r="M251" s="4">
        <v>0.107</v>
      </c>
      <c r="N251" s="4">
        <v>8</v>
      </c>
      <c r="O251" s="4">
        <f t="shared" si="18"/>
        <v>11792.958000000001</v>
      </c>
      <c r="P251">
        <f t="shared" si="19"/>
        <v>9703.92</v>
      </c>
      <c r="Q251" s="4">
        <f t="shared" si="21"/>
        <v>2089.0380000000005</v>
      </c>
      <c r="R251" s="16">
        <f t="shared" si="22"/>
        <v>0.17714283388442495</v>
      </c>
    </row>
    <row r="252" spans="1:18" x14ac:dyDescent="0.3">
      <c r="A252" t="s">
        <v>602</v>
      </c>
      <c r="B252" s="6">
        <v>45537</v>
      </c>
      <c r="C252" s="2">
        <v>45543</v>
      </c>
      <c r="D252" s="4">
        <f t="shared" si="23"/>
        <v>6</v>
      </c>
      <c r="E252" s="4" t="str">
        <f>TEXT(Data!B252,"MMM-YYYY")</f>
        <v>Mar-2023</v>
      </c>
      <c r="F252" t="s">
        <v>48</v>
      </c>
      <c r="G252" t="s">
        <v>98</v>
      </c>
      <c r="H252" t="s">
        <v>92</v>
      </c>
      <c r="I252" t="s">
        <v>22</v>
      </c>
      <c r="J252" s="4">
        <v>462.94</v>
      </c>
      <c r="K252" s="7" t="str">
        <f t="shared" si="20"/>
        <v>High</v>
      </c>
      <c r="L252" s="4">
        <v>1015.7</v>
      </c>
      <c r="M252" s="4">
        <v>0.14299999999999999</v>
      </c>
      <c r="N252" s="4">
        <v>14</v>
      </c>
      <c r="O252" s="4">
        <f t="shared" si="18"/>
        <v>26961.185719999998</v>
      </c>
      <c r="P252">
        <f t="shared" si="19"/>
        <v>6481.16</v>
      </c>
      <c r="Q252" s="4">
        <f t="shared" si="21"/>
        <v>20480.025719999998</v>
      </c>
      <c r="R252" s="16">
        <f t="shared" si="22"/>
        <v>0.75961146266678359</v>
      </c>
    </row>
    <row r="253" spans="1:18" x14ac:dyDescent="0.3">
      <c r="A253" t="s">
        <v>604</v>
      </c>
      <c r="B253" s="6">
        <v>44989</v>
      </c>
      <c r="C253" s="2">
        <v>45009</v>
      </c>
      <c r="D253" s="4">
        <f t="shared" si="23"/>
        <v>20</v>
      </c>
      <c r="E253" s="4" t="str">
        <f>TEXT(Data!B253,"MMM-YYYY")</f>
        <v>Mar-2024</v>
      </c>
      <c r="F253" t="s">
        <v>48</v>
      </c>
      <c r="G253" t="s">
        <v>55</v>
      </c>
      <c r="H253" t="s">
        <v>34</v>
      </c>
      <c r="I253" t="s">
        <v>57</v>
      </c>
      <c r="J253" s="4">
        <v>481.71</v>
      </c>
      <c r="K253" s="7" t="str">
        <f t="shared" si="20"/>
        <v>High</v>
      </c>
      <c r="L253" s="4">
        <v>912.45</v>
      </c>
      <c r="M253" s="4">
        <v>0.20300000000000001</v>
      </c>
      <c r="N253" s="4">
        <v>24</v>
      </c>
      <c r="O253" s="4">
        <f t="shared" si="18"/>
        <v>17084.938320000001</v>
      </c>
      <c r="P253">
        <f t="shared" si="19"/>
        <v>11561.039999999999</v>
      </c>
      <c r="Q253" s="4">
        <f t="shared" si="21"/>
        <v>5523.8983200000021</v>
      </c>
      <c r="R253" s="16">
        <f t="shared" si="22"/>
        <v>0.3233197695266834</v>
      </c>
    </row>
    <row r="254" spans="1:18" x14ac:dyDescent="0.3">
      <c r="A254" t="s">
        <v>606</v>
      </c>
      <c r="B254" s="6">
        <v>45366</v>
      </c>
      <c r="C254" s="2">
        <v>45391</v>
      </c>
      <c r="D254" s="4">
        <f t="shared" si="23"/>
        <v>25</v>
      </c>
      <c r="E254" s="4" t="str">
        <f>TEXT(Data!B254,"MMM-YYYY")</f>
        <v>Jul-2024</v>
      </c>
      <c r="F254" t="s">
        <v>48</v>
      </c>
      <c r="G254" t="s">
        <v>28</v>
      </c>
      <c r="H254" t="s">
        <v>84</v>
      </c>
      <c r="I254" t="s">
        <v>64</v>
      </c>
      <c r="J254" s="4">
        <v>648.64</v>
      </c>
      <c r="K254" s="7" t="str">
        <f t="shared" si="20"/>
        <v>High</v>
      </c>
      <c r="L254" s="4">
        <v>815.19</v>
      </c>
      <c r="M254" s="4">
        <v>0.22500000000000001</v>
      </c>
      <c r="N254" s="4">
        <v>28</v>
      </c>
      <c r="O254" s="4">
        <f t="shared" si="18"/>
        <v>50537.130000000005</v>
      </c>
      <c r="P254">
        <f t="shared" si="19"/>
        <v>18161.919999999998</v>
      </c>
      <c r="Q254" s="4">
        <f t="shared" si="21"/>
        <v>32375.210000000006</v>
      </c>
      <c r="R254" s="16">
        <f t="shared" si="22"/>
        <v>0.64062225140208795</v>
      </c>
    </row>
    <row r="255" spans="1:18" x14ac:dyDescent="0.3">
      <c r="A255" t="s">
        <v>608</v>
      </c>
      <c r="B255" s="6">
        <v>45502</v>
      </c>
      <c r="C255" s="2">
        <v>45504</v>
      </c>
      <c r="D255" s="4">
        <f t="shared" si="23"/>
        <v>2</v>
      </c>
      <c r="E255" s="4" t="str">
        <f>TEXT(Data!B255,"MMM-YYYY")</f>
        <v>Oct-2024</v>
      </c>
      <c r="F255" t="s">
        <v>27</v>
      </c>
      <c r="G255" t="s">
        <v>40</v>
      </c>
      <c r="H255" t="s">
        <v>34</v>
      </c>
      <c r="I255" t="s">
        <v>30</v>
      </c>
      <c r="J255" s="4">
        <v>798.97</v>
      </c>
      <c r="K255" s="7" t="str">
        <f t="shared" si="20"/>
        <v>High</v>
      </c>
      <c r="L255" s="4">
        <v>1814.06</v>
      </c>
      <c r="M255" s="4">
        <v>0.122</v>
      </c>
      <c r="N255" s="4">
        <v>16</v>
      </c>
      <c r="O255" s="4">
        <f t="shared" si="18"/>
        <v>29033.704000000002</v>
      </c>
      <c r="P255">
        <f t="shared" si="19"/>
        <v>12783.52</v>
      </c>
      <c r="Q255" s="4">
        <f t="shared" si="21"/>
        <v>16250.184000000001</v>
      </c>
      <c r="R255" s="16">
        <f t="shared" si="22"/>
        <v>0.55970068441835741</v>
      </c>
    </row>
    <row r="256" spans="1:18" x14ac:dyDescent="0.3">
      <c r="A256" t="s">
        <v>610</v>
      </c>
      <c r="B256" s="6">
        <v>45592</v>
      </c>
      <c r="C256" s="2">
        <v>45616</v>
      </c>
      <c r="D256" s="4">
        <f t="shared" si="23"/>
        <v>24</v>
      </c>
      <c r="E256" s="4" t="str">
        <f>TEXT(Data!B256,"MMM-YYYY")</f>
        <v>Apr-2024</v>
      </c>
      <c r="F256" t="s">
        <v>39</v>
      </c>
      <c r="G256" t="s">
        <v>28</v>
      </c>
      <c r="H256" t="s">
        <v>92</v>
      </c>
      <c r="I256" t="s">
        <v>64</v>
      </c>
      <c r="J256" s="4">
        <v>317.25</v>
      </c>
      <c r="K256" s="7" t="str">
        <f t="shared" si="20"/>
        <v>High</v>
      </c>
      <c r="L256" s="4">
        <v>758.92</v>
      </c>
      <c r="M256" s="4">
        <v>5.2999999999999999E-2</v>
      </c>
      <c r="N256" s="4">
        <v>9</v>
      </c>
      <c r="O256" s="4">
        <f t="shared" si="18"/>
        <v>18599.828130000002</v>
      </c>
      <c r="P256">
        <f t="shared" si="19"/>
        <v>2855.25</v>
      </c>
      <c r="Q256" s="4">
        <f t="shared" si="21"/>
        <v>15744.578130000002</v>
      </c>
      <c r="R256" s="16">
        <f t="shared" si="22"/>
        <v>0.84649051700672895</v>
      </c>
    </row>
    <row r="257" spans="1:18" x14ac:dyDescent="0.3">
      <c r="A257" t="s">
        <v>612</v>
      </c>
      <c r="B257" s="6">
        <v>45411</v>
      </c>
      <c r="C257" s="2">
        <v>45431</v>
      </c>
      <c r="D257" s="4">
        <f t="shared" si="23"/>
        <v>20</v>
      </c>
      <c r="E257" s="4" t="str">
        <f>TEXT(Data!B257,"MMM-YYYY")</f>
        <v>Oct-2023</v>
      </c>
      <c r="F257" t="s">
        <v>105</v>
      </c>
      <c r="G257" t="s">
        <v>40</v>
      </c>
      <c r="H257" t="s">
        <v>21</v>
      </c>
      <c r="I257" t="s">
        <v>57</v>
      </c>
      <c r="J257" s="4">
        <v>668.97</v>
      </c>
      <c r="K257" s="7" t="str">
        <f t="shared" si="20"/>
        <v>High</v>
      </c>
      <c r="L257" s="4">
        <v>1667.44</v>
      </c>
      <c r="M257" s="4">
        <v>3.4000000000000002E-2</v>
      </c>
      <c r="N257" s="4">
        <v>15</v>
      </c>
      <c r="O257" s="4">
        <f t="shared" si="18"/>
        <v>39508.723799999992</v>
      </c>
      <c r="P257">
        <f t="shared" si="19"/>
        <v>10034.550000000001</v>
      </c>
      <c r="Q257" s="4">
        <f t="shared" si="21"/>
        <v>29474.17379999999</v>
      </c>
      <c r="R257" s="16">
        <f t="shared" si="22"/>
        <v>0.74601685311839905</v>
      </c>
    </row>
    <row r="258" spans="1:18" x14ac:dyDescent="0.3">
      <c r="A258" t="s">
        <v>614</v>
      </c>
      <c r="B258" s="6">
        <v>45204</v>
      </c>
      <c r="C258" s="2">
        <v>45205</v>
      </c>
      <c r="D258" s="4">
        <f t="shared" si="23"/>
        <v>1</v>
      </c>
      <c r="E258" s="4" t="str">
        <f>TEXT(Data!B258,"MMM-YYYY")</f>
        <v>Apr-2023</v>
      </c>
      <c r="F258" t="s">
        <v>39</v>
      </c>
      <c r="G258" t="s">
        <v>28</v>
      </c>
      <c r="H258" t="s">
        <v>34</v>
      </c>
      <c r="I258" t="s">
        <v>22</v>
      </c>
      <c r="J258" s="4">
        <v>1470.26</v>
      </c>
      <c r="K258" s="7" t="str">
        <f t="shared" si="20"/>
        <v>High</v>
      </c>
      <c r="L258" s="4">
        <v>2562.5500000000002</v>
      </c>
      <c r="M258" s="4">
        <v>0.17299999999999999</v>
      </c>
      <c r="N258" s="4">
        <v>9</v>
      </c>
      <c r="O258" s="4">
        <f t="shared" ref="O258:O321" si="24">(L284*N258)*(1-M258)</f>
        <v>828.33146999999997</v>
      </c>
      <c r="P258">
        <f t="shared" ref="P258:P321" si="25">(J258*N258)</f>
        <v>13232.34</v>
      </c>
      <c r="Q258" s="4">
        <f t="shared" si="21"/>
        <v>-12404.008530000001</v>
      </c>
      <c r="R258" s="16">
        <f t="shared" si="22"/>
        <v>-14.974691870634834</v>
      </c>
    </row>
    <row r="259" spans="1:18" x14ac:dyDescent="0.3">
      <c r="A259" t="s">
        <v>616</v>
      </c>
      <c r="B259" s="6">
        <v>45035</v>
      </c>
      <c r="C259" s="2">
        <v>45053</v>
      </c>
      <c r="D259" s="4">
        <f t="shared" si="23"/>
        <v>18</v>
      </c>
      <c r="E259" s="4" t="str">
        <f>TEXT(Data!B259,"MMM-YYYY")</f>
        <v>Jun-2025</v>
      </c>
      <c r="F259" t="s">
        <v>39</v>
      </c>
      <c r="G259" t="s">
        <v>98</v>
      </c>
      <c r="H259" t="s">
        <v>92</v>
      </c>
      <c r="I259" t="s">
        <v>35</v>
      </c>
      <c r="J259" s="4">
        <v>516.96</v>
      </c>
      <c r="K259" s="7" t="str">
        <f t="shared" ref="K259:K322" si="26">IF(L259&lt;50, "Low", IF(L259&lt;200, "Medium", "High"))</f>
        <v>High</v>
      </c>
      <c r="L259" s="4">
        <v>745.38</v>
      </c>
      <c r="M259" s="4">
        <v>0.19700000000000001</v>
      </c>
      <c r="N259" s="4">
        <v>4</v>
      </c>
      <c r="O259" s="4">
        <f t="shared" si="24"/>
        <v>3533.4890799999994</v>
      </c>
      <c r="P259">
        <f t="shared" si="25"/>
        <v>2067.84</v>
      </c>
      <c r="Q259" s="4">
        <f t="shared" ref="Q259:Q322" si="27">(O259-P259)</f>
        <v>1465.6490799999992</v>
      </c>
      <c r="R259" s="16">
        <f t="shared" ref="R259:R322" si="28">(Q259/O259)</f>
        <v>0.41478805985159561</v>
      </c>
    </row>
    <row r="260" spans="1:18" x14ac:dyDescent="0.3">
      <c r="A260" t="s">
        <v>618</v>
      </c>
      <c r="B260" s="6">
        <v>45835</v>
      </c>
      <c r="C260" s="2">
        <v>45843</v>
      </c>
      <c r="D260" s="4">
        <f t="shared" ref="D260:D322" si="29">DATEDIF(B260,C260, "MD")</f>
        <v>8</v>
      </c>
      <c r="E260" s="4" t="str">
        <f>TEXT(Data!B260,"MMM-YYYY")</f>
        <v>Oct-2023</v>
      </c>
      <c r="F260" t="s">
        <v>62</v>
      </c>
      <c r="G260" t="s">
        <v>98</v>
      </c>
      <c r="H260" t="s">
        <v>41</v>
      </c>
      <c r="I260" t="s">
        <v>64</v>
      </c>
      <c r="J260" s="4">
        <v>314.93</v>
      </c>
      <c r="K260" s="7" t="str">
        <f t="shared" si="26"/>
        <v>High</v>
      </c>
      <c r="L260" s="4">
        <v>687.95</v>
      </c>
      <c r="M260" s="4">
        <v>0.20499999999999999</v>
      </c>
      <c r="N260" s="4">
        <v>8</v>
      </c>
      <c r="O260" s="4">
        <f t="shared" si="24"/>
        <v>9725.3304000000007</v>
      </c>
      <c r="P260">
        <f t="shared" si="25"/>
        <v>2519.44</v>
      </c>
      <c r="Q260" s="4">
        <f t="shared" si="27"/>
        <v>7205.8904000000002</v>
      </c>
      <c r="R260" s="16">
        <f t="shared" si="28"/>
        <v>0.74094042090333501</v>
      </c>
    </row>
    <row r="261" spans="1:18" x14ac:dyDescent="0.3">
      <c r="A261" t="s">
        <v>620</v>
      </c>
      <c r="B261" s="6">
        <v>45210</v>
      </c>
      <c r="C261" s="2">
        <v>45212</v>
      </c>
      <c r="D261" s="4">
        <f t="shared" si="29"/>
        <v>2</v>
      </c>
      <c r="E261" s="4" t="str">
        <f>TEXT(Data!B261,"MMM-YYYY")</f>
        <v>May-2023</v>
      </c>
      <c r="F261" t="s">
        <v>48</v>
      </c>
      <c r="G261" t="s">
        <v>55</v>
      </c>
      <c r="H261" t="s">
        <v>1364</v>
      </c>
      <c r="I261" t="s">
        <v>81</v>
      </c>
      <c r="J261" s="4">
        <v>715.94</v>
      </c>
      <c r="K261" s="7" t="str">
        <f t="shared" si="26"/>
        <v>High</v>
      </c>
      <c r="L261" s="4">
        <v>550.07000000000005</v>
      </c>
      <c r="M261" s="4">
        <v>0.14000000000000001</v>
      </c>
      <c r="N261" s="4">
        <v>16</v>
      </c>
      <c r="O261" s="4">
        <f t="shared" si="24"/>
        <v>10026.7744</v>
      </c>
      <c r="P261">
        <f t="shared" si="25"/>
        <v>11455.04</v>
      </c>
      <c r="Q261" s="4">
        <f t="shared" si="27"/>
        <v>-1428.2656000000006</v>
      </c>
      <c r="R261" s="16">
        <f t="shared" si="28"/>
        <v>-0.14244517159975201</v>
      </c>
    </row>
    <row r="262" spans="1:18" x14ac:dyDescent="0.3">
      <c r="A262" t="s">
        <v>622</v>
      </c>
      <c r="B262" s="6">
        <v>45066</v>
      </c>
      <c r="C262" s="2">
        <v>45084</v>
      </c>
      <c r="D262" s="4">
        <f t="shared" si="29"/>
        <v>18</v>
      </c>
      <c r="E262" s="4" t="str">
        <f>TEXT(Data!B262,"MMM-YYYY")</f>
        <v>May-2023</v>
      </c>
      <c r="F262" t="s">
        <v>105</v>
      </c>
      <c r="G262" t="s">
        <v>55</v>
      </c>
      <c r="H262" t="s">
        <v>63</v>
      </c>
      <c r="I262" t="s">
        <v>22</v>
      </c>
      <c r="J262" s="4">
        <v>1120.06</v>
      </c>
      <c r="K262" s="7" t="str">
        <f t="shared" si="26"/>
        <v>High</v>
      </c>
      <c r="L262" s="4">
        <v>2068.21</v>
      </c>
      <c r="M262" s="4">
        <v>7.8E-2</v>
      </c>
      <c r="N262" s="4">
        <v>12</v>
      </c>
      <c r="O262" s="4">
        <f t="shared" si="24"/>
        <v>69.481920000000002</v>
      </c>
      <c r="P262">
        <f t="shared" si="25"/>
        <v>13440.72</v>
      </c>
      <c r="Q262" s="4">
        <f t="shared" si="27"/>
        <v>-13371.238079999999</v>
      </c>
      <c r="R262" s="16">
        <f t="shared" si="28"/>
        <v>-192.44197742376721</v>
      </c>
    </row>
    <row r="263" spans="1:18" x14ac:dyDescent="0.3">
      <c r="A263" t="s">
        <v>624</v>
      </c>
      <c r="B263" s="6">
        <v>45073</v>
      </c>
      <c r="C263" s="2">
        <v>45096</v>
      </c>
      <c r="D263" s="4">
        <f t="shared" si="29"/>
        <v>23</v>
      </c>
      <c r="E263" s="4" t="str">
        <f>TEXT(Data!B263,"MMM-YYYY")</f>
        <v>Aug-2023</v>
      </c>
      <c r="F263" t="s">
        <v>27</v>
      </c>
      <c r="G263" t="s">
        <v>20</v>
      </c>
      <c r="H263" t="s">
        <v>68</v>
      </c>
      <c r="I263" t="s">
        <v>81</v>
      </c>
      <c r="J263" s="4">
        <v>1471.58</v>
      </c>
      <c r="K263" s="7" t="str">
        <f t="shared" si="26"/>
        <v>High</v>
      </c>
      <c r="L263" s="4">
        <v>2576.65</v>
      </c>
      <c r="M263" s="4">
        <v>4.0000000000000001E-3</v>
      </c>
      <c r="N263" s="4">
        <v>7</v>
      </c>
      <c r="O263" s="4">
        <f t="shared" si="24"/>
        <v>17916.436439999998</v>
      </c>
      <c r="P263">
        <f t="shared" si="25"/>
        <v>10301.06</v>
      </c>
      <c r="Q263" s="4">
        <f t="shared" si="27"/>
        <v>7615.3764399999982</v>
      </c>
      <c r="R263" s="16">
        <f t="shared" si="28"/>
        <v>0.42504972824830334</v>
      </c>
    </row>
    <row r="264" spans="1:18" x14ac:dyDescent="0.3">
      <c r="A264" t="s">
        <v>626</v>
      </c>
      <c r="B264" s="6">
        <v>45142</v>
      </c>
      <c r="C264" s="2">
        <v>45162</v>
      </c>
      <c r="D264" s="4">
        <f t="shared" si="29"/>
        <v>20</v>
      </c>
      <c r="E264" s="4" t="str">
        <f>TEXT(Data!B264,"MMM-YYYY")</f>
        <v>Jun-2025</v>
      </c>
      <c r="F264" t="s">
        <v>39</v>
      </c>
      <c r="G264" t="s">
        <v>98</v>
      </c>
      <c r="H264" t="s">
        <v>1364</v>
      </c>
      <c r="I264" t="s">
        <v>35</v>
      </c>
      <c r="J264" s="4">
        <v>582.88</v>
      </c>
      <c r="K264" s="7" t="str">
        <f t="shared" si="26"/>
        <v>High</v>
      </c>
      <c r="L264" s="4">
        <v>1044.1400000000001</v>
      </c>
      <c r="M264" s="4">
        <v>0.216</v>
      </c>
      <c r="N264" s="4">
        <v>10</v>
      </c>
      <c r="O264" s="4">
        <f t="shared" si="24"/>
        <v>12481.436800000001</v>
      </c>
      <c r="P264">
        <f t="shared" si="25"/>
        <v>5828.8</v>
      </c>
      <c r="Q264" s="4">
        <f t="shared" si="27"/>
        <v>6652.6368000000011</v>
      </c>
      <c r="R264" s="16">
        <f t="shared" si="28"/>
        <v>0.53300248253470306</v>
      </c>
    </row>
    <row r="265" spans="1:18" x14ac:dyDescent="0.3">
      <c r="A265" t="s">
        <v>628</v>
      </c>
      <c r="B265" s="6">
        <v>45829</v>
      </c>
      <c r="C265" s="2">
        <v>45835</v>
      </c>
      <c r="D265" s="4">
        <f t="shared" si="29"/>
        <v>6</v>
      </c>
      <c r="E265" s="4" t="str">
        <f>TEXT(Data!B265,"MMM-YYYY")</f>
        <v>Apr-2025</v>
      </c>
      <c r="F265" t="s">
        <v>105</v>
      </c>
      <c r="G265" t="s">
        <v>55</v>
      </c>
      <c r="H265" t="s">
        <v>126</v>
      </c>
      <c r="I265" t="s">
        <v>42</v>
      </c>
      <c r="J265" s="4">
        <v>93.91</v>
      </c>
      <c r="K265" s="7" t="str">
        <f t="shared" si="26"/>
        <v>Medium</v>
      </c>
      <c r="L265" s="4">
        <v>99.04</v>
      </c>
      <c r="M265" s="4">
        <v>5.7000000000000002E-2</v>
      </c>
      <c r="N265" s="4">
        <v>6</v>
      </c>
      <c r="O265" s="4">
        <f t="shared" si="24"/>
        <v>5632.3692599999995</v>
      </c>
      <c r="P265">
        <f t="shared" si="25"/>
        <v>563.46</v>
      </c>
      <c r="Q265" s="4">
        <f t="shared" si="27"/>
        <v>5068.9092599999994</v>
      </c>
      <c r="R265" s="16">
        <f t="shared" si="28"/>
        <v>0.89996039428707486</v>
      </c>
    </row>
    <row r="266" spans="1:18" x14ac:dyDescent="0.3">
      <c r="A266" t="s">
        <v>630</v>
      </c>
      <c r="B266" s="6">
        <v>45763</v>
      </c>
      <c r="C266" s="2">
        <v>45773</v>
      </c>
      <c r="D266" s="4">
        <f t="shared" si="29"/>
        <v>10</v>
      </c>
      <c r="E266" s="4" t="str">
        <f>TEXT(Data!B266,"MMM-YYYY")</f>
        <v>Sep-2025</v>
      </c>
      <c r="F266" t="s">
        <v>105</v>
      </c>
      <c r="G266" t="s">
        <v>40</v>
      </c>
      <c r="H266" t="s">
        <v>84</v>
      </c>
      <c r="I266" t="s">
        <v>57</v>
      </c>
      <c r="J266" s="4">
        <v>1457.44</v>
      </c>
      <c r="K266" s="7" t="str">
        <f t="shared" si="26"/>
        <v>High</v>
      </c>
      <c r="L266" s="4">
        <v>1996.81</v>
      </c>
      <c r="M266" s="4">
        <v>0.126</v>
      </c>
      <c r="N266" s="4">
        <v>23</v>
      </c>
      <c r="O266" s="4">
        <f t="shared" si="24"/>
        <v>24932.711619999998</v>
      </c>
      <c r="P266">
        <f t="shared" si="25"/>
        <v>33521.120000000003</v>
      </c>
      <c r="Q266" s="4">
        <f t="shared" si="27"/>
        <v>-8588.4083800000044</v>
      </c>
      <c r="R266" s="16">
        <f t="shared" si="28"/>
        <v>-0.3444634707566559</v>
      </c>
    </row>
    <row r="267" spans="1:18" x14ac:dyDescent="0.3">
      <c r="A267" t="s">
        <v>632</v>
      </c>
      <c r="B267" s="6">
        <v>45902</v>
      </c>
      <c r="C267" s="2">
        <v>45911</v>
      </c>
      <c r="D267" s="4">
        <f t="shared" si="29"/>
        <v>9</v>
      </c>
      <c r="E267" s="4" t="str">
        <f>TEXT(Data!B267,"MMM-YYYY")</f>
        <v>Oct-2024</v>
      </c>
      <c r="F267" t="s">
        <v>19</v>
      </c>
      <c r="G267" t="s">
        <v>55</v>
      </c>
      <c r="H267" t="s">
        <v>110</v>
      </c>
      <c r="I267" t="s">
        <v>30</v>
      </c>
      <c r="J267" s="4">
        <v>1207.6300000000001</v>
      </c>
      <c r="K267" s="7" t="str">
        <f t="shared" si="26"/>
        <v>High</v>
      </c>
      <c r="L267" s="4">
        <v>921.68</v>
      </c>
      <c r="M267" s="4">
        <v>0.19600000000000001</v>
      </c>
      <c r="N267" s="4">
        <v>17</v>
      </c>
      <c r="O267" s="4">
        <f t="shared" si="24"/>
        <v>1617.8811600000001</v>
      </c>
      <c r="P267">
        <f t="shared" si="25"/>
        <v>20529.710000000003</v>
      </c>
      <c r="Q267" s="4">
        <f t="shared" si="27"/>
        <v>-18911.828840000002</v>
      </c>
      <c r="R267" s="16">
        <f t="shared" si="28"/>
        <v>-11.689257102171831</v>
      </c>
    </row>
    <row r="268" spans="1:18" x14ac:dyDescent="0.3">
      <c r="A268" t="s">
        <v>634</v>
      </c>
      <c r="B268" s="6">
        <v>45573</v>
      </c>
      <c r="C268" s="2">
        <v>45573</v>
      </c>
      <c r="D268" s="4">
        <f t="shared" si="29"/>
        <v>0</v>
      </c>
      <c r="E268" s="4" t="str">
        <f>TEXT(Data!B268,"MMM-YYYY")</f>
        <v>May-2023</v>
      </c>
      <c r="F268" t="s">
        <v>19</v>
      </c>
      <c r="G268" t="s">
        <v>28</v>
      </c>
      <c r="H268" t="s">
        <v>63</v>
      </c>
      <c r="I268" t="s">
        <v>64</v>
      </c>
      <c r="J268" s="4">
        <v>1108.1099999999999</v>
      </c>
      <c r="K268" s="7" t="str">
        <f t="shared" si="26"/>
        <v>High</v>
      </c>
      <c r="L268" s="4">
        <v>2503.79</v>
      </c>
      <c r="M268" s="4">
        <v>0.184</v>
      </c>
      <c r="N268" s="4">
        <v>19</v>
      </c>
      <c r="O268" s="4">
        <f t="shared" si="24"/>
        <v>32644.137120000007</v>
      </c>
      <c r="P268">
        <f t="shared" si="25"/>
        <v>21054.089999999997</v>
      </c>
      <c r="Q268" s="4">
        <f t="shared" si="27"/>
        <v>11590.04712000001</v>
      </c>
      <c r="R268" s="16">
        <f t="shared" si="28"/>
        <v>0.35504222633898824</v>
      </c>
    </row>
    <row r="269" spans="1:18" x14ac:dyDescent="0.3">
      <c r="A269" t="s">
        <v>636</v>
      </c>
      <c r="B269" s="6">
        <v>45053</v>
      </c>
      <c r="C269" s="2">
        <v>45051</v>
      </c>
      <c r="D269" s="4">
        <f>DATEDIF(C269,B269, "MD")</f>
        <v>2</v>
      </c>
      <c r="E269" s="4" t="str">
        <f>TEXT(Data!B269,"MMM-YYYY")</f>
        <v>Dec-2023</v>
      </c>
      <c r="F269" t="s">
        <v>39</v>
      </c>
      <c r="G269" t="s">
        <v>40</v>
      </c>
      <c r="H269" t="s">
        <v>75</v>
      </c>
      <c r="I269" t="s">
        <v>22</v>
      </c>
      <c r="J269" s="4">
        <v>1269.6500000000001</v>
      </c>
      <c r="K269" s="7" t="str">
        <f t="shared" si="26"/>
        <v>High</v>
      </c>
      <c r="L269" s="4">
        <v>2462.77</v>
      </c>
      <c r="M269" s="4">
        <v>0.107</v>
      </c>
      <c r="N269" s="4">
        <v>8</v>
      </c>
      <c r="O269" s="4">
        <f t="shared" si="24"/>
        <v>3736.3119999999999</v>
      </c>
      <c r="P269">
        <f t="shared" si="25"/>
        <v>10157.200000000001</v>
      </c>
      <c r="Q269" s="4">
        <f t="shared" si="27"/>
        <v>-6420.8880000000008</v>
      </c>
      <c r="R269" s="16">
        <f t="shared" si="28"/>
        <v>-1.7185095891349547</v>
      </c>
    </row>
    <row r="270" spans="1:18" x14ac:dyDescent="0.3">
      <c r="A270" t="s">
        <v>638</v>
      </c>
      <c r="B270" s="6">
        <v>45284</v>
      </c>
      <c r="C270" s="2">
        <v>45292</v>
      </c>
      <c r="D270" s="4">
        <f t="shared" si="29"/>
        <v>8</v>
      </c>
      <c r="E270" s="4" t="str">
        <f>TEXT(Data!B270,"MMM-YYYY")</f>
        <v>Jan-2024</v>
      </c>
      <c r="F270" t="s">
        <v>27</v>
      </c>
      <c r="G270" t="s">
        <v>98</v>
      </c>
      <c r="H270" t="s">
        <v>21</v>
      </c>
      <c r="I270" t="s">
        <v>42</v>
      </c>
      <c r="J270" s="4">
        <v>526.49</v>
      </c>
      <c r="K270" s="7" t="str">
        <f t="shared" si="26"/>
        <v>High</v>
      </c>
      <c r="L270" s="4">
        <v>496.2</v>
      </c>
      <c r="M270" s="4">
        <v>0</v>
      </c>
      <c r="N270" s="4">
        <v>14</v>
      </c>
      <c r="O270" s="4">
        <f t="shared" si="24"/>
        <v>15054.199999999999</v>
      </c>
      <c r="P270">
        <f t="shared" si="25"/>
        <v>7370.8600000000006</v>
      </c>
      <c r="Q270" s="4">
        <f t="shared" si="27"/>
        <v>7683.3399999999983</v>
      </c>
      <c r="R270" s="16">
        <f t="shared" si="28"/>
        <v>0.51037849902352828</v>
      </c>
    </row>
    <row r="271" spans="1:18" x14ac:dyDescent="0.3">
      <c r="A271" t="s">
        <v>640</v>
      </c>
      <c r="B271" s="6">
        <v>45301</v>
      </c>
      <c r="C271" s="2">
        <v>45314</v>
      </c>
      <c r="D271" s="4">
        <f t="shared" si="29"/>
        <v>13</v>
      </c>
      <c r="E271" s="4" t="str">
        <f>TEXT(Data!B271,"MMM-YYYY")</f>
        <v>Aug-2023</v>
      </c>
      <c r="F271" t="s">
        <v>19</v>
      </c>
      <c r="G271" t="s">
        <v>98</v>
      </c>
      <c r="H271" t="s">
        <v>75</v>
      </c>
      <c r="I271" t="s">
        <v>30</v>
      </c>
      <c r="J271" s="4">
        <v>720</v>
      </c>
      <c r="K271" s="7" t="str">
        <f t="shared" si="26"/>
        <v>High</v>
      </c>
      <c r="L271" s="4">
        <v>907.59</v>
      </c>
      <c r="M271" s="4">
        <v>0.154</v>
      </c>
      <c r="N271" s="4">
        <v>10</v>
      </c>
      <c r="O271" s="4">
        <f t="shared" si="24"/>
        <v>27872.062200000004</v>
      </c>
      <c r="P271">
        <f t="shared" si="25"/>
        <v>7200</v>
      </c>
      <c r="Q271" s="4">
        <f t="shared" si="27"/>
        <v>20672.062200000004</v>
      </c>
      <c r="R271" s="16">
        <f t="shared" si="28"/>
        <v>0.7416768106954067</v>
      </c>
    </row>
    <row r="272" spans="1:18" x14ac:dyDescent="0.3">
      <c r="A272" t="s">
        <v>642</v>
      </c>
      <c r="B272" s="6">
        <v>45141</v>
      </c>
      <c r="C272" s="2">
        <v>45152</v>
      </c>
      <c r="D272" s="4">
        <f t="shared" si="29"/>
        <v>11</v>
      </c>
      <c r="E272" s="4" t="str">
        <f>TEXT(Data!B272,"MMM-YYYY")</f>
        <v>Feb-2025</v>
      </c>
      <c r="F272" t="s">
        <v>19</v>
      </c>
      <c r="G272" t="s">
        <v>98</v>
      </c>
      <c r="H272" t="s">
        <v>29</v>
      </c>
      <c r="I272" t="s">
        <v>81</v>
      </c>
      <c r="J272" s="4">
        <v>232.73</v>
      </c>
      <c r="K272" s="7" t="str">
        <f t="shared" si="26"/>
        <v>High</v>
      </c>
      <c r="L272" s="4">
        <v>334.19</v>
      </c>
      <c r="M272" s="4">
        <v>0.13400000000000001</v>
      </c>
      <c r="N272" s="4">
        <v>25</v>
      </c>
      <c r="O272" s="4">
        <f t="shared" si="24"/>
        <v>10046.682500000001</v>
      </c>
      <c r="P272">
        <f t="shared" si="25"/>
        <v>5818.25</v>
      </c>
      <c r="Q272" s="4">
        <f t="shared" si="27"/>
        <v>4228.4325000000008</v>
      </c>
      <c r="R272" s="16">
        <f t="shared" si="28"/>
        <v>0.42087848401698774</v>
      </c>
    </row>
    <row r="273" spans="1:18" x14ac:dyDescent="0.3">
      <c r="A273" t="s">
        <v>644</v>
      </c>
      <c r="B273" s="6">
        <v>45707</v>
      </c>
      <c r="C273" s="2">
        <v>45725</v>
      </c>
      <c r="D273" s="4">
        <f t="shared" si="29"/>
        <v>18</v>
      </c>
      <c r="E273" s="4" t="str">
        <f>TEXT(Data!B273,"MMM-YYYY")</f>
        <v>Mar-2024</v>
      </c>
      <c r="F273" t="s">
        <v>62</v>
      </c>
      <c r="G273" t="s">
        <v>98</v>
      </c>
      <c r="H273" t="s">
        <v>68</v>
      </c>
      <c r="I273" t="s">
        <v>64</v>
      </c>
      <c r="J273" s="4">
        <v>325.87</v>
      </c>
      <c r="K273" s="7" t="str">
        <f t="shared" si="26"/>
        <v>High</v>
      </c>
      <c r="L273" s="4">
        <v>538.79</v>
      </c>
      <c r="M273" s="4">
        <v>0.17399999999999999</v>
      </c>
      <c r="N273" s="4">
        <v>16</v>
      </c>
      <c r="O273" s="4">
        <f t="shared" si="24"/>
        <v>6753.7724800000005</v>
      </c>
      <c r="P273">
        <f t="shared" si="25"/>
        <v>5213.92</v>
      </c>
      <c r="Q273" s="4">
        <f t="shared" si="27"/>
        <v>1539.8524800000005</v>
      </c>
      <c r="R273" s="16">
        <f t="shared" si="28"/>
        <v>0.22799886797489516</v>
      </c>
    </row>
    <row r="274" spans="1:18" x14ac:dyDescent="0.3">
      <c r="A274" t="s">
        <v>646</v>
      </c>
      <c r="B274" s="6">
        <v>45382</v>
      </c>
      <c r="C274" s="2">
        <v>45399</v>
      </c>
      <c r="D274" s="4">
        <f t="shared" si="29"/>
        <v>17</v>
      </c>
      <c r="E274" s="4" t="str">
        <f>TEXT(Data!B274,"MMM-YYYY")</f>
        <v>Jul-2023</v>
      </c>
      <c r="F274" t="s">
        <v>27</v>
      </c>
      <c r="G274" t="s">
        <v>98</v>
      </c>
      <c r="H274" t="s">
        <v>92</v>
      </c>
      <c r="I274" t="s">
        <v>64</v>
      </c>
      <c r="J274" s="4">
        <v>1025.51</v>
      </c>
      <c r="K274" s="7" t="str">
        <f t="shared" si="26"/>
        <v>High</v>
      </c>
      <c r="L274" s="4">
        <v>1436.54</v>
      </c>
      <c r="M274" s="4">
        <v>0.13900000000000001</v>
      </c>
      <c r="N274" s="4">
        <v>28</v>
      </c>
      <c r="O274" s="4">
        <f t="shared" si="24"/>
        <v>101.73576</v>
      </c>
      <c r="P274">
        <f t="shared" si="25"/>
        <v>28714.28</v>
      </c>
      <c r="Q274" s="4">
        <f t="shared" si="27"/>
        <v>-28612.544239999999</v>
      </c>
      <c r="R274" s="16">
        <f t="shared" si="28"/>
        <v>-281.24372629643699</v>
      </c>
    </row>
    <row r="275" spans="1:18" x14ac:dyDescent="0.3">
      <c r="A275" t="s">
        <v>648</v>
      </c>
      <c r="B275" s="6">
        <v>45131</v>
      </c>
      <c r="C275" s="2">
        <v>45151</v>
      </c>
      <c r="D275" s="4">
        <f t="shared" si="29"/>
        <v>20</v>
      </c>
      <c r="E275" s="4" t="str">
        <f>TEXT(Data!B275,"MMM-YYYY")</f>
        <v>Mar-2024</v>
      </c>
      <c r="F275" t="s">
        <v>27</v>
      </c>
      <c r="G275" t="s">
        <v>98</v>
      </c>
      <c r="H275" t="s">
        <v>21</v>
      </c>
      <c r="I275" t="s">
        <v>64</v>
      </c>
      <c r="J275" s="4">
        <v>1082.3800000000001</v>
      </c>
      <c r="K275" s="7" t="str">
        <f t="shared" si="26"/>
        <v>High</v>
      </c>
      <c r="L275" s="4">
        <v>1766.55</v>
      </c>
      <c r="M275" s="4">
        <v>0.16400000000000001</v>
      </c>
      <c r="N275" s="4">
        <v>20</v>
      </c>
      <c r="O275" s="4">
        <f t="shared" si="24"/>
        <v>9651.4527999999991</v>
      </c>
      <c r="P275">
        <f t="shared" si="25"/>
        <v>21647.600000000002</v>
      </c>
      <c r="Q275" s="4">
        <f t="shared" si="27"/>
        <v>-11996.147200000003</v>
      </c>
      <c r="R275" s="16">
        <f t="shared" si="28"/>
        <v>-1.242936938986015</v>
      </c>
    </row>
    <row r="276" spans="1:18" x14ac:dyDescent="0.3">
      <c r="A276" t="s">
        <v>650</v>
      </c>
      <c r="B276" s="6">
        <v>45367</v>
      </c>
      <c r="C276" s="2">
        <v>45395</v>
      </c>
      <c r="D276" s="4">
        <f t="shared" si="29"/>
        <v>28</v>
      </c>
      <c r="E276" s="4" t="str">
        <f>TEXT(Data!B276,"MMM-YYYY")</f>
        <v>Jan-2024</v>
      </c>
      <c r="F276" t="s">
        <v>62</v>
      </c>
      <c r="G276" t="s">
        <v>28</v>
      </c>
      <c r="H276" t="s">
        <v>95</v>
      </c>
      <c r="I276" t="s">
        <v>30</v>
      </c>
      <c r="J276" s="4">
        <v>287.61</v>
      </c>
      <c r="K276" s="7" t="str">
        <f t="shared" si="26"/>
        <v>High</v>
      </c>
      <c r="L276" s="4">
        <v>628.54</v>
      </c>
      <c r="M276" s="4">
        <v>0.13500000000000001</v>
      </c>
      <c r="N276" s="4">
        <v>21</v>
      </c>
      <c r="O276" s="4">
        <f t="shared" si="24"/>
        <v>25903.83495</v>
      </c>
      <c r="P276">
        <f t="shared" si="25"/>
        <v>6039.81</v>
      </c>
      <c r="Q276" s="4">
        <f t="shared" si="27"/>
        <v>19864.024949999999</v>
      </c>
      <c r="R276" s="16">
        <f t="shared" si="28"/>
        <v>0.76683722654741504</v>
      </c>
    </row>
    <row r="277" spans="1:18" x14ac:dyDescent="0.3">
      <c r="A277" t="s">
        <v>652</v>
      </c>
      <c r="B277" s="6">
        <v>45316</v>
      </c>
      <c r="C277" s="2">
        <v>45318</v>
      </c>
      <c r="D277" s="4">
        <f t="shared" si="29"/>
        <v>2</v>
      </c>
      <c r="E277" s="4" t="str">
        <f>TEXT(Data!B277,"MMM-YYYY")</f>
        <v>Mar-2024</v>
      </c>
      <c r="F277" t="s">
        <v>39</v>
      </c>
      <c r="G277" t="s">
        <v>40</v>
      </c>
      <c r="H277" t="s">
        <v>126</v>
      </c>
      <c r="I277" t="s">
        <v>57</v>
      </c>
      <c r="J277" s="4">
        <v>1410.97</v>
      </c>
      <c r="K277" s="7" t="str">
        <f t="shared" si="26"/>
        <v>High</v>
      </c>
      <c r="L277" s="4">
        <v>1650.75</v>
      </c>
      <c r="M277" s="4">
        <v>0.13500000000000001</v>
      </c>
      <c r="N277" s="4">
        <v>6</v>
      </c>
      <c r="O277" s="4">
        <f t="shared" si="24"/>
        <v>7059.0227999999997</v>
      </c>
      <c r="P277">
        <f t="shared" si="25"/>
        <v>8465.82</v>
      </c>
      <c r="Q277" s="4">
        <f t="shared" si="27"/>
        <v>-1406.7972</v>
      </c>
      <c r="R277" s="16">
        <f t="shared" si="28"/>
        <v>-0.19929064402511917</v>
      </c>
    </row>
    <row r="278" spans="1:18" x14ac:dyDescent="0.3">
      <c r="A278" t="s">
        <v>654</v>
      </c>
      <c r="B278" s="6">
        <v>45378</v>
      </c>
      <c r="C278" s="2">
        <v>45393</v>
      </c>
      <c r="D278" s="4">
        <f t="shared" si="29"/>
        <v>15</v>
      </c>
      <c r="E278" s="4" t="str">
        <f>TEXT(Data!B278,"MMM-YYYY")</f>
        <v>Jun-2025</v>
      </c>
      <c r="F278" t="s">
        <v>62</v>
      </c>
      <c r="G278" t="s">
        <v>98</v>
      </c>
      <c r="H278" t="s">
        <v>68</v>
      </c>
      <c r="I278" t="s">
        <v>35</v>
      </c>
      <c r="J278" s="4">
        <v>1338.35</v>
      </c>
      <c r="K278" s="7" t="str">
        <f t="shared" si="26"/>
        <v>High</v>
      </c>
      <c r="L278" s="4">
        <v>2247.14</v>
      </c>
      <c r="M278" s="4">
        <v>0.115</v>
      </c>
      <c r="N278" s="4">
        <v>40</v>
      </c>
      <c r="O278" s="4">
        <f t="shared" si="24"/>
        <v>73316.94</v>
      </c>
      <c r="P278">
        <f t="shared" si="25"/>
        <v>53534</v>
      </c>
      <c r="Q278" s="4">
        <f t="shared" si="27"/>
        <v>19782.940000000002</v>
      </c>
      <c r="R278" s="16">
        <f t="shared" si="28"/>
        <v>0.26982768238827209</v>
      </c>
    </row>
    <row r="279" spans="1:18" x14ac:dyDescent="0.3">
      <c r="A279" t="s">
        <v>656</v>
      </c>
      <c r="B279" s="6">
        <v>45832</v>
      </c>
      <c r="C279" s="2">
        <v>45852</v>
      </c>
      <c r="D279" s="4">
        <f t="shared" si="29"/>
        <v>20</v>
      </c>
      <c r="E279" s="4" t="str">
        <f>TEXT(Data!B279,"MMM-YYYY")</f>
        <v>Jun-2024</v>
      </c>
      <c r="F279" t="s">
        <v>19</v>
      </c>
      <c r="G279" t="s">
        <v>98</v>
      </c>
      <c r="H279" t="s">
        <v>68</v>
      </c>
      <c r="I279" t="s">
        <v>81</v>
      </c>
      <c r="J279" s="4">
        <v>385.08</v>
      </c>
      <c r="K279" s="7" t="str">
        <f t="shared" si="26"/>
        <v>High</v>
      </c>
      <c r="L279" s="4">
        <v>893.19</v>
      </c>
      <c r="M279" s="4">
        <v>0.151</v>
      </c>
      <c r="N279" s="4">
        <v>8</v>
      </c>
      <c r="O279" s="4">
        <f t="shared" si="24"/>
        <v>6655.0732799999996</v>
      </c>
      <c r="P279">
        <f t="shared" si="25"/>
        <v>3080.64</v>
      </c>
      <c r="Q279" s="4">
        <f t="shared" si="27"/>
        <v>3574.4332799999997</v>
      </c>
      <c r="R279" s="16">
        <f t="shared" si="28"/>
        <v>0.53709901147775185</v>
      </c>
    </row>
    <row r="280" spans="1:18" x14ac:dyDescent="0.3">
      <c r="A280" t="s">
        <v>658</v>
      </c>
      <c r="B280" s="6">
        <v>45459</v>
      </c>
      <c r="C280" s="2">
        <v>45476</v>
      </c>
      <c r="D280" s="4">
        <f t="shared" si="29"/>
        <v>17</v>
      </c>
      <c r="E280" s="4" t="str">
        <f>TEXT(Data!B280,"MMM-YYYY")</f>
        <v>Oct-2023</v>
      </c>
      <c r="F280" t="s">
        <v>105</v>
      </c>
      <c r="G280" t="s">
        <v>40</v>
      </c>
      <c r="H280" t="s">
        <v>84</v>
      </c>
      <c r="I280" t="s">
        <v>42</v>
      </c>
      <c r="J280" s="4">
        <v>1173.83</v>
      </c>
      <c r="K280" s="7" t="str">
        <f t="shared" si="26"/>
        <v>High</v>
      </c>
      <c r="L280" s="4">
        <v>2328.9</v>
      </c>
      <c r="M280" s="4">
        <v>0.12</v>
      </c>
      <c r="N280" s="4">
        <v>17</v>
      </c>
      <c r="O280" s="4">
        <f t="shared" si="24"/>
        <v>8039.3543999999993</v>
      </c>
      <c r="P280">
        <f t="shared" si="25"/>
        <v>19955.11</v>
      </c>
      <c r="Q280" s="4">
        <f t="shared" si="27"/>
        <v>-11915.7556</v>
      </c>
      <c r="R280" s="16">
        <f t="shared" si="28"/>
        <v>-1.4821781709237749</v>
      </c>
    </row>
    <row r="281" spans="1:18" x14ac:dyDescent="0.3">
      <c r="A281" t="s">
        <v>660</v>
      </c>
      <c r="B281" s="6">
        <v>45229</v>
      </c>
      <c r="C281" s="2">
        <v>45244</v>
      </c>
      <c r="D281" s="4">
        <f t="shared" si="29"/>
        <v>15</v>
      </c>
      <c r="E281" s="4" t="str">
        <f>TEXT(Data!B281,"MMM-YYYY")</f>
        <v>Jun-2023</v>
      </c>
      <c r="F281" t="s">
        <v>19</v>
      </c>
      <c r="G281" t="s">
        <v>28</v>
      </c>
      <c r="H281" t="s">
        <v>84</v>
      </c>
      <c r="I281" t="s">
        <v>57</v>
      </c>
      <c r="J281" s="4">
        <v>953.46</v>
      </c>
      <c r="K281" s="7" t="str">
        <f t="shared" si="26"/>
        <v>High</v>
      </c>
      <c r="L281" s="4">
        <v>2066.75</v>
      </c>
      <c r="M281" s="4">
        <v>0.13800000000000001</v>
      </c>
      <c r="N281" s="4">
        <v>5</v>
      </c>
      <c r="O281" s="4">
        <f t="shared" si="24"/>
        <v>919.40919999999994</v>
      </c>
      <c r="P281">
        <f t="shared" si="25"/>
        <v>4767.3</v>
      </c>
      <c r="Q281" s="4">
        <f t="shared" si="27"/>
        <v>-3847.8908000000001</v>
      </c>
      <c r="R281" s="16">
        <f t="shared" si="28"/>
        <v>-4.1851776118838062</v>
      </c>
    </row>
    <row r="282" spans="1:18" x14ac:dyDescent="0.3">
      <c r="A282" t="s">
        <v>662</v>
      </c>
      <c r="B282" s="6">
        <v>45092</v>
      </c>
      <c r="C282" s="2">
        <v>45100</v>
      </c>
      <c r="D282" s="4">
        <f t="shared" si="29"/>
        <v>8</v>
      </c>
      <c r="E282" s="4" t="str">
        <f>TEXT(Data!B282,"MMM-YYYY")</f>
        <v>Mar-2025</v>
      </c>
      <c r="F282" t="s">
        <v>48</v>
      </c>
      <c r="G282" t="s">
        <v>55</v>
      </c>
      <c r="H282" t="s">
        <v>68</v>
      </c>
      <c r="I282" t="s">
        <v>64</v>
      </c>
      <c r="J282" s="4">
        <v>1097.0899999999999</v>
      </c>
      <c r="K282" s="7" t="str">
        <f t="shared" si="26"/>
        <v>High</v>
      </c>
      <c r="L282" s="4">
        <v>2182.31</v>
      </c>
      <c r="M282" s="4">
        <v>0.112</v>
      </c>
      <c r="N282" s="4">
        <v>9</v>
      </c>
      <c r="O282" s="4">
        <f t="shared" si="24"/>
        <v>15941.402639999998</v>
      </c>
      <c r="P282">
        <f t="shared" si="25"/>
        <v>9873.81</v>
      </c>
      <c r="Q282" s="4">
        <f t="shared" si="27"/>
        <v>6067.5926399999989</v>
      </c>
      <c r="R282" s="16">
        <f t="shared" si="28"/>
        <v>0.38061849242646062</v>
      </c>
    </row>
    <row r="283" spans="1:18" x14ac:dyDescent="0.3">
      <c r="A283" t="s">
        <v>664</v>
      </c>
      <c r="B283" s="6">
        <v>45730</v>
      </c>
      <c r="C283" s="2">
        <v>45745</v>
      </c>
      <c r="D283" s="4">
        <f t="shared" si="29"/>
        <v>15</v>
      </c>
      <c r="E283" s="4" t="str">
        <f>TEXT(Data!B283,"MMM-YYYY")</f>
        <v>Aug-2023</v>
      </c>
      <c r="F283" t="s">
        <v>39</v>
      </c>
      <c r="G283" t="s">
        <v>98</v>
      </c>
      <c r="H283" t="s">
        <v>92</v>
      </c>
      <c r="I283" t="s">
        <v>35</v>
      </c>
      <c r="J283" s="4">
        <v>1106.96</v>
      </c>
      <c r="K283" s="7" t="str">
        <f t="shared" si="26"/>
        <v>High</v>
      </c>
      <c r="L283" s="4">
        <v>2726.62</v>
      </c>
      <c r="M283" s="4">
        <v>0.317</v>
      </c>
      <c r="N283" s="4">
        <v>7</v>
      </c>
      <c r="O283" s="4">
        <f t="shared" si="24"/>
        <v>2643.1280400000001</v>
      </c>
      <c r="P283">
        <f t="shared" si="25"/>
        <v>7748.72</v>
      </c>
      <c r="Q283" s="4">
        <f t="shared" si="27"/>
        <v>-5105.5919599999997</v>
      </c>
      <c r="R283" s="16">
        <f t="shared" si="28"/>
        <v>-1.9316476094741137</v>
      </c>
    </row>
    <row r="284" spans="1:18" x14ac:dyDescent="0.3">
      <c r="A284" t="s">
        <v>666</v>
      </c>
      <c r="B284" s="6">
        <v>45153</v>
      </c>
      <c r="C284" s="2">
        <v>45163</v>
      </c>
      <c r="D284" s="4">
        <f t="shared" si="29"/>
        <v>10</v>
      </c>
      <c r="E284" s="4" t="str">
        <f>TEXT(Data!B284,"MMM-YYYY")</f>
        <v>May-2025</v>
      </c>
      <c r="F284" t="s">
        <v>62</v>
      </c>
      <c r="G284" t="s">
        <v>20</v>
      </c>
      <c r="H284" t="s">
        <v>126</v>
      </c>
      <c r="I284" t="s">
        <v>42</v>
      </c>
      <c r="J284" s="4">
        <v>91.85</v>
      </c>
      <c r="K284" s="7" t="str">
        <f t="shared" si="26"/>
        <v>Medium</v>
      </c>
      <c r="L284" s="4">
        <v>111.29</v>
      </c>
      <c r="M284" s="4">
        <v>0</v>
      </c>
      <c r="N284" s="4">
        <v>6</v>
      </c>
      <c r="O284" s="4">
        <f t="shared" si="24"/>
        <v>1349.6999999999998</v>
      </c>
      <c r="P284">
        <f t="shared" si="25"/>
        <v>551.09999999999991</v>
      </c>
      <c r="Q284" s="4">
        <f t="shared" si="27"/>
        <v>798.59999999999991</v>
      </c>
      <c r="R284" s="16">
        <f t="shared" si="28"/>
        <v>0.59168704156479224</v>
      </c>
    </row>
    <row r="285" spans="1:18" x14ac:dyDescent="0.3">
      <c r="A285" t="s">
        <v>668</v>
      </c>
      <c r="B285" s="6">
        <v>45794</v>
      </c>
      <c r="C285" s="2">
        <v>45805</v>
      </c>
      <c r="D285" s="4">
        <f t="shared" si="29"/>
        <v>11</v>
      </c>
      <c r="E285" s="4" t="str">
        <f>TEXT(Data!B285,"MMM-YYYY")</f>
        <v>Jan-2024</v>
      </c>
      <c r="F285" t="s">
        <v>19</v>
      </c>
      <c r="G285" t="s">
        <v>55</v>
      </c>
      <c r="H285" t="s">
        <v>56</v>
      </c>
      <c r="I285" t="s">
        <v>57</v>
      </c>
      <c r="J285" s="4">
        <v>623.4</v>
      </c>
      <c r="K285" s="7" t="str">
        <f t="shared" si="26"/>
        <v>High</v>
      </c>
      <c r="L285" s="4">
        <v>1100.0899999999999</v>
      </c>
      <c r="M285" s="4">
        <v>0.114</v>
      </c>
      <c r="N285" s="4">
        <v>12</v>
      </c>
      <c r="O285" s="4">
        <f t="shared" si="24"/>
        <v>8208.8608800000002</v>
      </c>
      <c r="P285">
        <f t="shared" si="25"/>
        <v>7480.7999999999993</v>
      </c>
      <c r="Q285" s="4">
        <f t="shared" si="27"/>
        <v>728.06088000000091</v>
      </c>
      <c r="R285" s="16">
        <f t="shared" si="28"/>
        <v>8.8692071974790357E-2</v>
      </c>
    </row>
    <row r="286" spans="1:18" x14ac:dyDescent="0.3">
      <c r="A286" t="s">
        <v>670</v>
      </c>
      <c r="B286" s="6">
        <v>45304</v>
      </c>
      <c r="C286" s="2">
        <v>45327</v>
      </c>
      <c r="D286" s="4">
        <f t="shared" si="29"/>
        <v>23</v>
      </c>
      <c r="E286" s="4" t="str">
        <f>TEXT(Data!B286,"MMM-YYYY")</f>
        <v>Jun-2023</v>
      </c>
      <c r="F286" t="s">
        <v>27</v>
      </c>
      <c r="G286" t="s">
        <v>98</v>
      </c>
      <c r="H286" t="s">
        <v>56</v>
      </c>
      <c r="I286" t="s">
        <v>57</v>
      </c>
      <c r="J286" s="4">
        <v>1017.93</v>
      </c>
      <c r="K286" s="7" t="str">
        <f t="shared" si="26"/>
        <v>High</v>
      </c>
      <c r="L286" s="4">
        <v>1529.14</v>
      </c>
      <c r="M286" s="4">
        <v>0.155</v>
      </c>
      <c r="N286" s="4">
        <v>12</v>
      </c>
      <c r="O286" s="4">
        <f t="shared" si="24"/>
        <v>31932.989400000002</v>
      </c>
      <c r="P286">
        <f t="shared" si="25"/>
        <v>12215.16</v>
      </c>
      <c r="Q286" s="4">
        <f t="shared" si="27"/>
        <v>19717.829400000002</v>
      </c>
      <c r="R286" s="16">
        <f t="shared" si="28"/>
        <v>0.61747521201381794</v>
      </c>
    </row>
    <row r="287" spans="1:18" x14ac:dyDescent="0.3">
      <c r="A287" t="s">
        <v>672</v>
      </c>
      <c r="B287" s="6">
        <v>45101</v>
      </c>
      <c r="C287" s="2">
        <v>45128</v>
      </c>
      <c r="D287" s="4">
        <f t="shared" si="29"/>
        <v>27</v>
      </c>
      <c r="E287" s="4" t="str">
        <f>TEXT(Data!B287,"MMM-YYYY")</f>
        <v>Apr-2025</v>
      </c>
      <c r="F287" t="s">
        <v>48</v>
      </c>
      <c r="G287" t="s">
        <v>40</v>
      </c>
      <c r="H287" t="s">
        <v>29</v>
      </c>
      <c r="I287" t="s">
        <v>42</v>
      </c>
      <c r="J287" s="4">
        <v>554.76</v>
      </c>
      <c r="K287" s="7" t="str">
        <f t="shared" si="26"/>
        <v>High</v>
      </c>
      <c r="L287" s="4">
        <v>728.69</v>
      </c>
      <c r="M287" s="4">
        <v>0.22</v>
      </c>
      <c r="N287" s="4">
        <v>7</v>
      </c>
      <c r="O287" s="4">
        <f t="shared" si="24"/>
        <v>314.11380000000003</v>
      </c>
      <c r="P287">
        <f t="shared" si="25"/>
        <v>3883.3199999999997</v>
      </c>
      <c r="Q287" s="4">
        <f t="shared" si="27"/>
        <v>-3569.2061999999996</v>
      </c>
      <c r="R287" s="16">
        <f t="shared" si="28"/>
        <v>-11.362780622818862</v>
      </c>
    </row>
    <row r="288" spans="1:18" x14ac:dyDescent="0.3">
      <c r="A288" t="s">
        <v>674</v>
      </c>
      <c r="B288" s="6">
        <v>45751</v>
      </c>
      <c r="C288" s="2">
        <v>45760</v>
      </c>
      <c r="D288" s="4">
        <f t="shared" si="29"/>
        <v>9</v>
      </c>
      <c r="E288" s="4" t="str">
        <f>TEXT(Data!B288,"MMM-YYYY")</f>
        <v>Sep-2024</v>
      </c>
      <c r="F288" t="s">
        <v>48</v>
      </c>
      <c r="G288" t="s">
        <v>40</v>
      </c>
      <c r="H288" t="s">
        <v>84</v>
      </c>
      <c r="I288" t="s">
        <v>42</v>
      </c>
      <c r="J288" s="4">
        <v>7.02</v>
      </c>
      <c r="K288" s="7" t="str">
        <f t="shared" si="26"/>
        <v>Low</v>
      </c>
      <c r="L288" s="4">
        <v>6.28</v>
      </c>
      <c r="M288" s="4">
        <v>0.13400000000000001</v>
      </c>
      <c r="N288" s="4">
        <v>14</v>
      </c>
      <c r="O288" s="4">
        <f t="shared" si="24"/>
        <v>9999.9964400000008</v>
      </c>
      <c r="P288">
        <f t="shared" si="25"/>
        <v>98.28</v>
      </c>
      <c r="Q288" s="4">
        <f t="shared" si="27"/>
        <v>9901.7164400000001</v>
      </c>
      <c r="R288" s="16">
        <f t="shared" si="28"/>
        <v>0.99017199650123067</v>
      </c>
    </row>
    <row r="289" spans="1:18" x14ac:dyDescent="0.3">
      <c r="A289" t="s">
        <v>676</v>
      </c>
      <c r="B289" s="6">
        <v>45542</v>
      </c>
      <c r="C289" s="2">
        <v>45542</v>
      </c>
      <c r="D289" s="4">
        <f t="shared" si="29"/>
        <v>0</v>
      </c>
      <c r="E289" s="4" t="str">
        <f>TEXT(Data!B289,"MMM-YYYY")</f>
        <v>Jan-2024</v>
      </c>
      <c r="F289" t="s">
        <v>27</v>
      </c>
      <c r="G289" t="s">
        <v>55</v>
      </c>
      <c r="H289" t="s">
        <v>56</v>
      </c>
      <c r="I289" t="s">
        <v>35</v>
      </c>
      <c r="J289" s="4">
        <v>1066.6500000000001</v>
      </c>
      <c r="K289" s="7" t="str">
        <f t="shared" si="26"/>
        <v>High</v>
      </c>
      <c r="L289" s="4">
        <v>2569.77</v>
      </c>
      <c r="M289" s="4">
        <v>0.13400000000000001</v>
      </c>
      <c r="N289" s="4">
        <v>9</v>
      </c>
      <c r="O289" s="4">
        <f t="shared" si="24"/>
        <v>11640.572819999999</v>
      </c>
      <c r="P289">
        <f t="shared" si="25"/>
        <v>9599.85</v>
      </c>
      <c r="Q289" s="4">
        <f t="shared" si="27"/>
        <v>2040.722819999999</v>
      </c>
      <c r="R289" s="16">
        <f t="shared" si="28"/>
        <v>0.17531120259767416</v>
      </c>
    </row>
    <row r="290" spans="1:18" x14ac:dyDescent="0.3">
      <c r="A290" t="s">
        <v>678</v>
      </c>
      <c r="B290" s="6">
        <v>45319</v>
      </c>
      <c r="C290" s="2">
        <v>45321</v>
      </c>
      <c r="D290" s="4">
        <f t="shared" si="29"/>
        <v>2</v>
      </c>
      <c r="E290" s="4" t="str">
        <f>TEXT(Data!B290,"MMM-YYYY")</f>
        <v>Jul-2023</v>
      </c>
      <c r="F290" t="s">
        <v>48</v>
      </c>
      <c r="G290" t="s">
        <v>98</v>
      </c>
      <c r="H290" t="s">
        <v>84</v>
      </c>
      <c r="I290" t="s">
        <v>81</v>
      </c>
      <c r="J290" s="4">
        <v>798.45</v>
      </c>
      <c r="K290" s="7" t="str">
        <f t="shared" si="26"/>
        <v>High</v>
      </c>
      <c r="L290" s="4">
        <v>1592.02</v>
      </c>
      <c r="M290" s="4">
        <v>6.6000000000000003E-2</v>
      </c>
      <c r="N290" s="4">
        <v>18</v>
      </c>
      <c r="O290" s="4">
        <f t="shared" si="24"/>
        <v>12473.159039999999</v>
      </c>
      <c r="P290">
        <f t="shared" si="25"/>
        <v>14372.1</v>
      </c>
      <c r="Q290" s="4">
        <f t="shared" si="27"/>
        <v>-1898.9409600000017</v>
      </c>
      <c r="R290" s="16">
        <f t="shared" si="28"/>
        <v>-0.15224218290733843</v>
      </c>
    </row>
    <row r="291" spans="1:18" x14ac:dyDescent="0.3">
      <c r="A291" t="s">
        <v>680</v>
      </c>
      <c r="B291" s="6">
        <v>45125</v>
      </c>
      <c r="C291" s="2">
        <v>45148</v>
      </c>
      <c r="D291" s="4">
        <f t="shared" si="29"/>
        <v>23</v>
      </c>
      <c r="E291" s="4" t="str">
        <f>TEXT(Data!B291,"MMM-YYYY")</f>
        <v>Aug-2025</v>
      </c>
      <c r="F291" t="s">
        <v>62</v>
      </c>
      <c r="G291" t="s">
        <v>20</v>
      </c>
      <c r="H291" t="s">
        <v>49</v>
      </c>
      <c r="I291" t="s">
        <v>22</v>
      </c>
      <c r="J291" s="4">
        <v>1271.56</v>
      </c>
      <c r="K291" s="7" t="str">
        <f t="shared" si="26"/>
        <v>High</v>
      </c>
      <c r="L291" s="4">
        <v>995.47</v>
      </c>
      <c r="M291" s="4">
        <v>0.192</v>
      </c>
      <c r="N291" s="4">
        <v>13</v>
      </c>
      <c r="O291" s="4">
        <f t="shared" si="24"/>
        <v>7796.3839200000002</v>
      </c>
      <c r="P291">
        <f t="shared" si="25"/>
        <v>16530.28</v>
      </c>
      <c r="Q291" s="4">
        <f t="shared" si="27"/>
        <v>-8733.8960799999986</v>
      </c>
      <c r="R291" s="16">
        <f t="shared" si="28"/>
        <v>-1.1202496143878966</v>
      </c>
    </row>
    <row r="292" spans="1:18" x14ac:dyDescent="0.3">
      <c r="A292" t="s">
        <v>682</v>
      </c>
      <c r="B292" s="6">
        <v>45897</v>
      </c>
      <c r="C292" s="2">
        <v>45895</v>
      </c>
      <c r="D292" s="4">
        <f>DATEDIF(C292,B292, "MD")</f>
        <v>2</v>
      </c>
      <c r="E292" s="4" t="str">
        <f>TEXT(Data!B292,"MMM-YYYY")</f>
        <v>Mar-2025</v>
      </c>
      <c r="F292" t="s">
        <v>62</v>
      </c>
      <c r="G292" t="s">
        <v>20</v>
      </c>
      <c r="H292" t="s">
        <v>75</v>
      </c>
      <c r="I292" t="s">
        <v>81</v>
      </c>
      <c r="J292" s="4">
        <v>521.05999999999995</v>
      </c>
      <c r="K292" s="7" t="str">
        <f t="shared" si="26"/>
        <v>High</v>
      </c>
      <c r="L292" s="4">
        <v>1240.31</v>
      </c>
      <c r="M292" s="4">
        <v>0.14599999999999999</v>
      </c>
      <c r="N292" s="4">
        <v>18</v>
      </c>
      <c r="O292" s="4">
        <f t="shared" si="24"/>
        <v>7371.4888800000008</v>
      </c>
      <c r="P292">
        <f t="shared" si="25"/>
        <v>9379.0799999999981</v>
      </c>
      <c r="Q292" s="4">
        <f t="shared" si="27"/>
        <v>-2007.5911199999973</v>
      </c>
      <c r="R292" s="16">
        <f t="shared" si="28"/>
        <v>-0.27234540439271437</v>
      </c>
    </row>
    <row r="293" spans="1:18" x14ac:dyDescent="0.3">
      <c r="A293" t="s">
        <v>684</v>
      </c>
      <c r="B293" s="6">
        <v>45746</v>
      </c>
      <c r="C293" s="2">
        <v>45754</v>
      </c>
      <c r="D293" s="4">
        <f t="shared" si="29"/>
        <v>8</v>
      </c>
      <c r="E293" s="4" t="str">
        <f>TEXT(Data!B293,"MMM-YYYY")</f>
        <v>Oct-2023</v>
      </c>
      <c r="F293" t="s">
        <v>39</v>
      </c>
      <c r="G293" t="s">
        <v>98</v>
      </c>
      <c r="H293" t="s">
        <v>49</v>
      </c>
      <c r="I293" t="s">
        <v>30</v>
      </c>
      <c r="J293" s="4">
        <v>71.62</v>
      </c>
      <c r="K293" s="7" t="str">
        <f t="shared" si="26"/>
        <v>Medium</v>
      </c>
      <c r="L293" s="4">
        <v>118.37</v>
      </c>
      <c r="M293" s="4">
        <v>0.156</v>
      </c>
      <c r="N293" s="4">
        <v>11</v>
      </c>
      <c r="O293" s="4">
        <f t="shared" si="24"/>
        <v>10911.020999999999</v>
      </c>
      <c r="P293">
        <f t="shared" si="25"/>
        <v>787.82</v>
      </c>
      <c r="Q293" s="4">
        <f t="shared" si="27"/>
        <v>10123.200999999999</v>
      </c>
      <c r="R293" s="16">
        <f t="shared" si="28"/>
        <v>0.92779594136973986</v>
      </c>
    </row>
    <row r="294" spans="1:18" x14ac:dyDescent="0.3">
      <c r="A294" t="s">
        <v>686</v>
      </c>
      <c r="B294" s="6">
        <v>45220</v>
      </c>
      <c r="C294" s="2">
        <v>45239</v>
      </c>
      <c r="D294" s="4">
        <f t="shared" si="29"/>
        <v>19</v>
      </c>
      <c r="E294" s="4" t="str">
        <f>TEXT(Data!B294,"MMM-YYYY")</f>
        <v>Aug-2023</v>
      </c>
      <c r="F294" t="s">
        <v>39</v>
      </c>
      <c r="G294" t="s">
        <v>98</v>
      </c>
      <c r="H294" t="s">
        <v>75</v>
      </c>
      <c r="I294" t="s">
        <v>81</v>
      </c>
      <c r="J294" s="4">
        <v>1142.48</v>
      </c>
      <c r="K294" s="7" t="str">
        <f t="shared" si="26"/>
        <v>High</v>
      </c>
      <c r="L294" s="4">
        <v>2105.5300000000002</v>
      </c>
      <c r="M294" s="4">
        <v>0.20699999999999999</v>
      </c>
      <c r="N294" s="4">
        <v>14</v>
      </c>
      <c r="O294" s="4">
        <f t="shared" si="24"/>
        <v>2525.1498999999999</v>
      </c>
      <c r="P294">
        <f t="shared" si="25"/>
        <v>15994.720000000001</v>
      </c>
      <c r="Q294" s="4">
        <f t="shared" si="27"/>
        <v>-13469.570100000001</v>
      </c>
      <c r="R294" s="16">
        <f t="shared" si="28"/>
        <v>-5.3341665379944381</v>
      </c>
    </row>
    <row r="295" spans="1:18" x14ac:dyDescent="0.3">
      <c r="A295" t="s">
        <v>688</v>
      </c>
      <c r="B295" s="6">
        <v>45161</v>
      </c>
      <c r="C295" s="2">
        <v>45191</v>
      </c>
      <c r="D295" s="4">
        <f t="shared" si="29"/>
        <v>30</v>
      </c>
      <c r="E295" s="4" t="str">
        <f>TEXT(Data!B295,"MMM-YYYY")</f>
        <v>Apr-2025</v>
      </c>
      <c r="F295" t="s">
        <v>48</v>
      </c>
      <c r="G295" t="s">
        <v>55</v>
      </c>
      <c r="H295" t="s">
        <v>68</v>
      </c>
      <c r="I295" t="s">
        <v>81</v>
      </c>
      <c r="J295" s="4">
        <v>209.81</v>
      </c>
      <c r="K295" s="7" t="str">
        <f t="shared" si="26"/>
        <v>High</v>
      </c>
      <c r="L295" s="4">
        <v>523</v>
      </c>
      <c r="M295" s="4">
        <v>5.8999999999999997E-2</v>
      </c>
      <c r="N295" s="4">
        <v>15</v>
      </c>
      <c r="O295" s="4">
        <f t="shared" si="24"/>
        <v>16636.221300000001</v>
      </c>
      <c r="P295">
        <f t="shared" si="25"/>
        <v>3147.15</v>
      </c>
      <c r="Q295" s="4">
        <f t="shared" si="27"/>
        <v>13489.071300000001</v>
      </c>
      <c r="R295" s="16">
        <f t="shared" si="28"/>
        <v>0.81082543065233215</v>
      </c>
    </row>
    <row r="296" spans="1:18" x14ac:dyDescent="0.3">
      <c r="A296" t="s">
        <v>690</v>
      </c>
      <c r="B296" s="6">
        <v>45758</v>
      </c>
      <c r="C296" s="2">
        <v>45781</v>
      </c>
      <c r="D296" s="4">
        <f t="shared" si="29"/>
        <v>23</v>
      </c>
      <c r="E296" s="4" t="str">
        <f>TEXT(Data!B296,"MMM-YYYY")</f>
        <v>Jun-2025</v>
      </c>
      <c r="F296" t="s">
        <v>62</v>
      </c>
      <c r="G296" t="s">
        <v>28</v>
      </c>
      <c r="H296" t="s">
        <v>110</v>
      </c>
      <c r="I296" t="s">
        <v>22</v>
      </c>
      <c r="J296" s="4">
        <v>786.2</v>
      </c>
      <c r="K296" s="7" t="str">
        <f t="shared" si="26"/>
        <v>High</v>
      </c>
      <c r="L296" s="4">
        <v>1075.3</v>
      </c>
      <c r="M296" s="4">
        <v>0.08</v>
      </c>
      <c r="N296" s="4">
        <v>9</v>
      </c>
      <c r="O296" s="4">
        <f t="shared" si="24"/>
        <v>20054.987999999998</v>
      </c>
      <c r="P296">
        <f t="shared" si="25"/>
        <v>7075.8</v>
      </c>
      <c r="Q296" s="4">
        <f t="shared" si="27"/>
        <v>12979.187999999998</v>
      </c>
      <c r="R296" s="16">
        <f t="shared" si="28"/>
        <v>0.64718004318925548</v>
      </c>
    </row>
    <row r="297" spans="1:18" x14ac:dyDescent="0.3">
      <c r="A297" t="s">
        <v>692</v>
      </c>
      <c r="B297" s="6">
        <v>45809</v>
      </c>
      <c r="C297" s="2">
        <v>45835</v>
      </c>
      <c r="D297" s="4">
        <f t="shared" si="29"/>
        <v>26</v>
      </c>
      <c r="E297" s="4" t="str">
        <f>TEXT(Data!B297,"MMM-YYYY")</f>
        <v>Mar-2024</v>
      </c>
      <c r="F297" t="s">
        <v>48</v>
      </c>
      <c r="G297" t="s">
        <v>55</v>
      </c>
      <c r="H297" t="s">
        <v>63</v>
      </c>
      <c r="I297" t="s">
        <v>57</v>
      </c>
      <c r="J297" s="4">
        <v>1362.31</v>
      </c>
      <c r="K297" s="7" t="str">
        <f t="shared" si="26"/>
        <v>High</v>
      </c>
      <c r="L297" s="4">
        <v>3294.57</v>
      </c>
      <c r="M297" s="4">
        <v>0.113</v>
      </c>
      <c r="N297" s="4">
        <v>7</v>
      </c>
      <c r="O297" s="4">
        <f t="shared" si="24"/>
        <v>2693.96092</v>
      </c>
      <c r="P297">
        <f t="shared" si="25"/>
        <v>9536.17</v>
      </c>
      <c r="Q297" s="4">
        <f t="shared" si="27"/>
        <v>-6842.2090800000005</v>
      </c>
      <c r="R297" s="16">
        <f t="shared" si="28"/>
        <v>-2.5398323447097373</v>
      </c>
    </row>
    <row r="298" spans="1:18" x14ac:dyDescent="0.3">
      <c r="A298" t="s">
        <v>694</v>
      </c>
      <c r="B298" s="6">
        <v>45353</v>
      </c>
      <c r="C298" s="2">
        <v>45367</v>
      </c>
      <c r="D298" s="4">
        <f t="shared" si="29"/>
        <v>14</v>
      </c>
      <c r="E298" s="4" t="str">
        <f>TEXT(Data!B298,"MMM-YYYY")</f>
        <v>Jun-2023</v>
      </c>
      <c r="F298" t="s">
        <v>39</v>
      </c>
      <c r="G298" t="s">
        <v>98</v>
      </c>
      <c r="H298" t="s">
        <v>68</v>
      </c>
      <c r="I298" t="s">
        <v>30</v>
      </c>
      <c r="J298" s="4">
        <v>248.24</v>
      </c>
      <c r="K298" s="7" t="str">
        <f t="shared" si="26"/>
        <v>High</v>
      </c>
      <c r="L298" s="4">
        <v>464.05</v>
      </c>
      <c r="M298" s="4">
        <v>0.16900000000000001</v>
      </c>
      <c r="N298" s="4">
        <v>11</v>
      </c>
      <c r="O298" s="4">
        <f t="shared" si="24"/>
        <v>28786.197329999999</v>
      </c>
      <c r="P298">
        <f t="shared" si="25"/>
        <v>2730.6400000000003</v>
      </c>
      <c r="Q298" s="4">
        <f t="shared" si="27"/>
        <v>26055.55733</v>
      </c>
      <c r="R298" s="16">
        <f t="shared" si="28"/>
        <v>0.90514064887777934</v>
      </c>
    </row>
    <row r="299" spans="1:18" x14ac:dyDescent="0.3">
      <c r="A299" t="s">
        <v>696</v>
      </c>
      <c r="B299" s="6">
        <v>45097</v>
      </c>
      <c r="C299" s="2">
        <v>45115</v>
      </c>
      <c r="D299" s="4">
        <f t="shared" si="29"/>
        <v>18</v>
      </c>
      <c r="E299" s="4" t="str">
        <f>TEXT(Data!B299,"MMM-YYYY")</f>
        <v>Mar-2024</v>
      </c>
      <c r="F299" t="s">
        <v>39</v>
      </c>
      <c r="G299" t="s">
        <v>98</v>
      </c>
      <c r="H299" t="s">
        <v>84</v>
      </c>
      <c r="I299" t="s">
        <v>64</v>
      </c>
      <c r="J299" s="4">
        <v>337</v>
      </c>
      <c r="K299" s="7" t="str">
        <f t="shared" si="26"/>
        <v>High</v>
      </c>
      <c r="L299" s="4">
        <v>511.03</v>
      </c>
      <c r="M299" s="4">
        <v>0.108</v>
      </c>
      <c r="N299" s="4">
        <v>7</v>
      </c>
      <c r="O299" s="4">
        <f t="shared" si="24"/>
        <v>409.91860000000008</v>
      </c>
      <c r="P299">
        <f t="shared" si="25"/>
        <v>2359</v>
      </c>
      <c r="Q299" s="4">
        <f t="shared" si="27"/>
        <v>-1949.0814</v>
      </c>
      <c r="R299" s="16">
        <f t="shared" si="28"/>
        <v>-4.7548010751402829</v>
      </c>
    </row>
    <row r="300" spans="1:18" x14ac:dyDescent="0.3">
      <c r="A300" t="s">
        <v>698</v>
      </c>
      <c r="B300" s="6">
        <v>45377</v>
      </c>
      <c r="C300" s="2">
        <v>45387</v>
      </c>
      <c r="D300" s="4">
        <f t="shared" si="29"/>
        <v>10</v>
      </c>
      <c r="E300" s="4" t="str">
        <f>TEXT(Data!B300,"MMM-YYYY")</f>
        <v>Jan-2025</v>
      </c>
      <c r="F300" t="s">
        <v>48</v>
      </c>
      <c r="G300" t="s">
        <v>98</v>
      </c>
      <c r="H300" t="s">
        <v>29</v>
      </c>
      <c r="I300" t="s">
        <v>64</v>
      </c>
      <c r="J300" s="4">
        <v>5.66</v>
      </c>
      <c r="K300" s="7" t="str">
        <f t="shared" si="26"/>
        <v>Low</v>
      </c>
      <c r="L300" s="4">
        <v>4.22</v>
      </c>
      <c r="M300" s="4">
        <v>0.11899999999999999</v>
      </c>
      <c r="N300" s="4">
        <v>18</v>
      </c>
      <c r="O300" s="4">
        <f t="shared" si="24"/>
        <v>39520.356119999997</v>
      </c>
      <c r="P300">
        <f t="shared" si="25"/>
        <v>101.88</v>
      </c>
      <c r="Q300" s="4">
        <f t="shared" si="27"/>
        <v>39418.476119999999</v>
      </c>
      <c r="R300" s="16">
        <f t="shared" si="28"/>
        <v>0.99742208800723742</v>
      </c>
    </row>
    <row r="301" spans="1:18" x14ac:dyDescent="0.3">
      <c r="A301" t="s">
        <v>700</v>
      </c>
      <c r="B301" s="6">
        <v>45679</v>
      </c>
      <c r="C301" s="2">
        <v>45679</v>
      </c>
      <c r="D301" s="4">
        <f t="shared" si="29"/>
        <v>0</v>
      </c>
      <c r="E301" s="4" t="str">
        <f>TEXT(Data!B301,"MMM-YYYY")</f>
        <v>May-2025</v>
      </c>
      <c r="F301" t="s">
        <v>62</v>
      </c>
      <c r="G301" t="s">
        <v>28</v>
      </c>
      <c r="H301" t="s">
        <v>56</v>
      </c>
      <c r="I301" t="s">
        <v>81</v>
      </c>
      <c r="J301" s="4">
        <v>591.72</v>
      </c>
      <c r="K301" s="7" t="str">
        <f t="shared" si="26"/>
        <v>High</v>
      </c>
      <c r="L301" s="4">
        <v>577.24</v>
      </c>
      <c r="M301" s="4">
        <v>0</v>
      </c>
      <c r="N301" s="4">
        <v>22</v>
      </c>
      <c r="O301" s="4">
        <f t="shared" si="24"/>
        <v>20500.48</v>
      </c>
      <c r="P301">
        <f t="shared" si="25"/>
        <v>13017.84</v>
      </c>
      <c r="Q301" s="4">
        <f t="shared" si="27"/>
        <v>7482.6399999999994</v>
      </c>
      <c r="R301" s="16">
        <f t="shared" si="28"/>
        <v>0.36499828296703296</v>
      </c>
    </row>
    <row r="302" spans="1:18" x14ac:dyDescent="0.3">
      <c r="A302" t="s">
        <v>702</v>
      </c>
      <c r="B302" s="6">
        <v>45787</v>
      </c>
      <c r="C302" s="2">
        <v>45804</v>
      </c>
      <c r="D302" s="4">
        <f t="shared" si="29"/>
        <v>17</v>
      </c>
      <c r="E302" s="4" t="str">
        <f>TEXT(Data!B302,"MMM-YYYY")</f>
        <v>Oct-2023</v>
      </c>
      <c r="F302" t="s">
        <v>27</v>
      </c>
      <c r="G302" t="s">
        <v>98</v>
      </c>
      <c r="H302" t="s">
        <v>21</v>
      </c>
      <c r="I302" t="s">
        <v>22</v>
      </c>
      <c r="J302" s="4">
        <v>862.89</v>
      </c>
      <c r="K302" s="7" t="str">
        <f t="shared" si="26"/>
        <v>High</v>
      </c>
      <c r="L302" s="4">
        <v>1426.03</v>
      </c>
      <c r="M302" s="4">
        <v>5.6000000000000001E-2</v>
      </c>
      <c r="N302" s="4">
        <v>19</v>
      </c>
      <c r="O302" s="4">
        <f t="shared" si="24"/>
        <v>11111.531359999999</v>
      </c>
      <c r="P302">
        <f t="shared" si="25"/>
        <v>16394.91</v>
      </c>
      <c r="Q302" s="4">
        <f t="shared" si="27"/>
        <v>-5283.3786400000008</v>
      </c>
      <c r="R302" s="16">
        <f t="shared" si="28"/>
        <v>-0.4754860935747745</v>
      </c>
    </row>
    <row r="303" spans="1:18" x14ac:dyDescent="0.3">
      <c r="A303" t="s">
        <v>704</v>
      </c>
      <c r="B303" s="6">
        <v>45204</v>
      </c>
      <c r="C303" s="2">
        <v>45230</v>
      </c>
      <c r="D303" s="4">
        <f t="shared" si="29"/>
        <v>26</v>
      </c>
      <c r="E303" s="4" t="str">
        <f>TEXT(Data!B303,"MMM-YYYY")</f>
        <v>Jul-2023</v>
      </c>
      <c r="F303" t="s">
        <v>48</v>
      </c>
      <c r="G303" t="s">
        <v>1364</v>
      </c>
      <c r="H303" t="s">
        <v>29</v>
      </c>
      <c r="I303" t="s">
        <v>30</v>
      </c>
      <c r="J303" s="4">
        <v>649.91</v>
      </c>
      <c r="K303" s="7" t="str">
        <f t="shared" si="26"/>
        <v>High</v>
      </c>
      <c r="L303" s="4">
        <v>1360.12</v>
      </c>
      <c r="M303" s="4">
        <v>0.19400000000000001</v>
      </c>
      <c r="N303" s="4">
        <v>9</v>
      </c>
      <c r="O303" s="4">
        <f t="shared" si="24"/>
        <v>10311.923699999999</v>
      </c>
      <c r="P303">
        <f t="shared" si="25"/>
        <v>5849.19</v>
      </c>
      <c r="Q303" s="4">
        <f t="shared" si="27"/>
        <v>4462.7336999999998</v>
      </c>
      <c r="R303" s="16">
        <f t="shared" si="28"/>
        <v>0.43277411953697836</v>
      </c>
    </row>
    <row r="304" spans="1:18" x14ac:dyDescent="0.3">
      <c r="A304" t="s">
        <v>706</v>
      </c>
      <c r="B304" s="6">
        <v>45125</v>
      </c>
      <c r="C304" s="2">
        <v>45129</v>
      </c>
      <c r="D304" s="4">
        <f t="shared" si="29"/>
        <v>4</v>
      </c>
      <c r="E304" s="4" t="str">
        <f>TEXT(Data!B304,"MMM-YYYY")</f>
        <v>Jun-2025</v>
      </c>
      <c r="F304" t="s">
        <v>48</v>
      </c>
      <c r="G304" t="s">
        <v>98</v>
      </c>
      <c r="H304" t="s">
        <v>84</v>
      </c>
      <c r="I304" t="s">
        <v>35</v>
      </c>
      <c r="J304" s="4">
        <v>1269.55</v>
      </c>
      <c r="K304" s="7" t="str">
        <f t="shared" si="26"/>
        <v>High</v>
      </c>
      <c r="L304" s="4">
        <v>2071.1</v>
      </c>
      <c r="M304" s="4">
        <v>0.129</v>
      </c>
      <c r="N304" s="4">
        <v>22</v>
      </c>
      <c r="O304" s="4">
        <f t="shared" si="24"/>
        <v>18252.954719999998</v>
      </c>
      <c r="P304">
        <f t="shared" si="25"/>
        <v>27930.1</v>
      </c>
      <c r="Q304" s="4">
        <f t="shared" si="27"/>
        <v>-9677.1452800000006</v>
      </c>
      <c r="R304" s="16">
        <f t="shared" si="28"/>
        <v>-0.53016870027057195</v>
      </c>
    </row>
    <row r="305" spans="1:18" x14ac:dyDescent="0.3">
      <c r="A305" t="s">
        <v>708</v>
      </c>
      <c r="B305" s="6">
        <v>45830</v>
      </c>
      <c r="C305" s="2">
        <v>45846</v>
      </c>
      <c r="D305" s="4">
        <f t="shared" si="29"/>
        <v>16</v>
      </c>
      <c r="E305" s="4" t="str">
        <f>TEXT(Data!B305,"MMM-YYYY")</f>
        <v>Jun-2024</v>
      </c>
      <c r="F305" t="s">
        <v>27</v>
      </c>
      <c r="G305" t="s">
        <v>98</v>
      </c>
      <c r="H305" t="s">
        <v>75</v>
      </c>
      <c r="I305" t="s">
        <v>42</v>
      </c>
      <c r="J305" s="4">
        <v>892.73</v>
      </c>
      <c r="K305" s="7" t="str">
        <f t="shared" si="26"/>
        <v>High</v>
      </c>
      <c r="L305" s="4">
        <v>979.84</v>
      </c>
      <c r="M305" s="4">
        <v>0.17399999999999999</v>
      </c>
      <c r="N305" s="4">
        <v>10</v>
      </c>
      <c r="O305" s="4">
        <f t="shared" si="24"/>
        <v>26053.196400000001</v>
      </c>
      <c r="P305">
        <f t="shared" si="25"/>
        <v>8927.2999999999993</v>
      </c>
      <c r="Q305" s="4">
        <f t="shared" si="27"/>
        <v>17125.896400000001</v>
      </c>
      <c r="R305" s="16">
        <f t="shared" si="28"/>
        <v>0.65734338839129935</v>
      </c>
    </row>
    <row r="306" spans="1:18" x14ac:dyDescent="0.3">
      <c r="A306" t="s">
        <v>710</v>
      </c>
      <c r="B306" s="6">
        <v>45462</v>
      </c>
      <c r="C306" s="2">
        <v>45463</v>
      </c>
      <c r="D306" s="4">
        <f t="shared" si="29"/>
        <v>1</v>
      </c>
      <c r="E306" s="4" t="str">
        <f>TEXT(Data!B306,"MMM-YYYY")</f>
        <v>Apr-2025</v>
      </c>
      <c r="F306" t="s">
        <v>62</v>
      </c>
      <c r="G306" t="s">
        <v>98</v>
      </c>
      <c r="H306" t="s">
        <v>29</v>
      </c>
      <c r="I306" t="s">
        <v>57</v>
      </c>
      <c r="J306" s="4">
        <v>231.63</v>
      </c>
      <c r="K306" s="7" t="str">
        <f t="shared" si="26"/>
        <v>High</v>
      </c>
      <c r="L306" s="4">
        <v>537.39</v>
      </c>
      <c r="M306" s="4">
        <v>0.08</v>
      </c>
      <c r="N306" s="4">
        <v>12</v>
      </c>
      <c r="O306" s="4">
        <f t="shared" si="24"/>
        <v>2496.5855999999999</v>
      </c>
      <c r="P306">
        <f t="shared" si="25"/>
        <v>2779.56</v>
      </c>
      <c r="Q306" s="4">
        <f t="shared" si="27"/>
        <v>-282.97440000000006</v>
      </c>
      <c r="R306" s="16">
        <f t="shared" si="28"/>
        <v>-0.11334456146827093</v>
      </c>
    </row>
    <row r="307" spans="1:18" x14ac:dyDescent="0.3">
      <c r="A307" t="s">
        <v>712</v>
      </c>
      <c r="B307" s="6">
        <v>45756</v>
      </c>
      <c r="C307" s="2">
        <v>45759</v>
      </c>
      <c r="D307" s="4">
        <f t="shared" si="29"/>
        <v>3</v>
      </c>
      <c r="E307" s="4" t="str">
        <f>TEXT(Data!B307,"MMM-YYYY")</f>
        <v>Mar-2025</v>
      </c>
      <c r="F307" t="s">
        <v>62</v>
      </c>
      <c r="G307" t="s">
        <v>55</v>
      </c>
      <c r="H307" t="s">
        <v>92</v>
      </c>
      <c r="I307" t="s">
        <v>64</v>
      </c>
      <c r="J307" s="4">
        <v>86.68</v>
      </c>
      <c r="K307" s="7" t="str">
        <f t="shared" si="26"/>
        <v>High</v>
      </c>
      <c r="L307" s="4">
        <v>213.32</v>
      </c>
      <c r="M307" s="4">
        <v>3.7999999999999999E-2</v>
      </c>
      <c r="N307" s="4">
        <v>8</v>
      </c>
      <c r="O307" s="4">
        <f t="shared" si="24"/>
        <v>6818.0403199999992</v>
      </c>
      <c r="P307">
        <f t="shared" si="25"/>
        <v>693.44</v>
      </c>
      <c r="Q307" s="4">
        <f t="shared" si="27"/>
        <v>6124.6003199999996</v>
      </c>
      <c r="R307" s="16">
        <f t="shared" si="28"/>
        <v>0.89829335594190218</v>
      </c>
    </row>
    <row r="308" spans="1:18" x14ac:dyDescent="0.3">
      <c r="A308" t="s">
        <v>714</v>
      </c>
      <c r="B308" s="6">
        <v>45741</v>
      </c>
      <c r="C308" s="2">
        <v>45742</v>
      </c>
      <c r="D308" s="4">
        <f t="shared" si="29"/>
        <v>1</v>
      </c>
      <c r="E308" s="4" t="str">
        <f>TEXT(Data!B308,"MMM-YYYY")</f>
        <v>May-2025</v>
      </c>
      <c r="F308" t="s">
        <v>27</v>
      </c>
      <c r="G308" t="s">
        <v>55</v>
      </c>
      <c r="H308" t="s">
        <v>41</v>
      </c>
      <c r="I308" t="s">
        <v>81</v>
      </c>
      <c r="J308" s="4">
        <v>1450.43</v>
      </c>
      <c r="K308" s="7" t="str">
        <f t="shared" si="26"/>
        <v>High</v>
      </c>
      <c r="L308" s="4">
        <v>1994.67</v>
      </c>
      <c r="M308" s="4">
        <v>0.1</v>
      </c>
      <c r="N308" s="4">
        <v>24</v>
      </c>
      <c r="O308" s="4">
        <f t="shared" si="24"/>
        <v>52560.144000000008</v>
      </c>
      <c r="P308">
        <f t="shared" si="25"/>
        <v>34810.32</v>
      </c>
      <c r="Q308" s="4">
        <f t="shared" si="27"/>
        <v>17749.824000000008</v>
      </c>
      <c r="R308" s="16">
        <f t="shared" si="28"/>
        <v>0.33770501085385163</v>
      </c>
    </row>
    <row r="309" spans="1:18" x14ac:dyDescent="0.3">
      <c r="A309" t="s">
        <v>716</v>
      </c>
      <c r="B309" s="6">
        <v>45795</v>
      </c>
      <c r="C309" s="2">
        <v>45817</v>
      </c>
      <c r="D309" s="4">
        <f t="shared" si="29"/>
        <v>22</v>
      </c>
      <c r="E309" s="4" t="str">
        <f>TEXT(Data!B309,"MMM-YYYY")</f>
        <v>Jan-2025</v>
      </c>
      <c r="F309" t="s">
        <v>48</v>
      </c>
      <c r="G309" t="s">
        <v>20</v>
      </c>
      <c r="H309" t="s">
        <v>92</v>
      </c>
      <c r="I309" t="s">
        <v>35</v>
      </c>
      <c r="J309" s="4">
        <v>382.96</v>
      </c>
      <c r="K309" s="7" t="str">
        <f t="shared" si="26"/>
        <v>High</v>
      </c>
      <c r="L309" s="4">
        <v>552.84</v>
      </c>
      <c r="M309" s="4">
        <v>0.17599999999999999</v>
      </c>
      <c r="N309" s="4">
        <v>8</v>
      </c>
      <c r="O309" s="4">
        <f t="shared" si="24"/>
        <v>7609.4092799999999</v>
      </c>
      <c r="P309">
        <f t="shared" si="25"/>
        <v>3063.68</v>
      </c>
      <c r="Q309" s="4">
        <f t="shared" si="27"/>
        <v>4545.7292799999996</v>
      </c>
      <c r="R309" s="16">
        <f t="shared" si="28"/>
        <v>0.59738267620164065</v>
      </c>
    </row>
    <row r="310" spans="1:18" x14ac:dyDescent="0.3">
      <c r="A310" t="s">
        <v>718</v>
      </c>
      <c r="B310" s="6">
        <v>45679</v>
      </c>
      <c r="C310" s="2">
        <v>45692</v>
      </c>
      <c r="D310" s="4">
        <f t="shared" si="29"/>
        <v>13</v>
      </c>
      <c r="E310" s="4" t="str">
        <f>TEXT(Data!B310,"MMM-YYYY")</f>
        <v>Jan-2023</v>
      </c>
      <c r="F310" t="s">
        <v>62</v>
      </c>
      <c r="G310" t="s">
        <v>55</v>
      </c>
      <c r="H310" t="s">
        <v>49</v>
      </c>
      <c r="I310" t="s">
        <v>30</v>
      </c>
      <c r="J310" s="4">
        <v>122.29</v>
      </c>
      <c r="K310" s="7" t="str">
        <f t="shared" si="26"/>
        <v>High</v>
      </c>
      <c r="L310" s="4">
        <v>224.95</v>
      </c>
      <c r="M310" s="4">
        <v>0.153</v>
      </c>
      <c r="N310" s="4">
        <v>28</v>
      </c>
      <c r="O310" s="4">
        <f t="shared" si="24"/>
        <v>26941.13884</v>
      </c>
      <c r="P310">
        <f t="shared" si="25"/>
        <v>3424.1200000000003</v>
      </c>
      <c r="Q310" s="4">
        <f t="shared" si="27"/>
        <v>23517.018840000001</v>
      </c>
      <c r="R310" s="16">
        <f t="shared" si="28"/>
        <v>0.8729036652705956</v>
      </c>
    </row>
    <row r="311" spans="1:18" x14ac:dyDescent="0.3">
      <c r="A311" t="s">
        <v>720</v>
      </c>
      <c r="B311" s="6">
        <v>44936</v>
      </c>
      <c r="C311" s="2">
        <v>44955</v>
      </c>
      <c r="D311" s="4">
        <f t="shared" si="29"/>
        <v>19</v>
      </c>
      <c r="E311" s="4" t="str">
        <f>TEXT(Data!B311,"MMM-YYYY")</f>
        <v>Dec-2024</v>
      </c>
      <c r="F311" t="s">
        <v>39</v>
      </c>
      <c r="G311" t="s">
        <v>98</v>
      </c>
      <c r="H311" t="s">
        <v>145</v>
      </c>
      <c r="I311" t="s">
        <v>57</v>
      </c>
      <c r="J311" s="4">
        <v>401.66</v>
      </c>
      <c r="K311" s="7" t="str">
        <f t="shared" si="26"/>
        <v>High</v>
      </c>
      <c r="L311" s="4">
        <v>772.09</v>
      </c>
      <c r="M311" s="4">
        <v>8.8999999999999996E-2</v>
      </c>
      <c r="N311" s="4">
        <v>14</v>
      </c>
      <c r="O311" s="4">
        <f t="shared" si="24"/>
        <v>35096.967360000002</v>
      </c>
      <c r="P311">
        <f t="shared" si="25"/>
        <v>5623.2400000000007</v>
      </c>
      <c r="Q311" s="4">
        <f t="shared" si="27"/>
        <v>29473.727360000001</v>
      </c>
      <c r="R311" s="16">
        <f t="shared" si="28"/>
        <v>0.83977988917615698</v>
      </c>
    </row>
    <row r="312" spans="1:18" x14ac:dyDescent="0.3">
      <c r="A312" t="s">
        <v>722</v>
      </c>
      <c r="B312" s="6">
        <v>45655</v>
      </c>
      <c r="C312" s="2">
        <v>45669</v>
      </c>
      <c r="D312" s="4">
        <f t="shared" si="29"/>
        <v>14</v>
      </c>
      <c r="E312" s="4" t="str">
        <f>TEXT(Data!B312,"MMM-YYYY")</f>
        <v>May-2024</v>
      </c>
      <c r="F312" t="s">
        <v>19</v>
      </c>
      <c r="G312" t="s">
        <v>98</v>
      </c>
      <c r="H312" t="s">
        <v>56</v>
      </c>
      <c r="I312" t="s">
        <v>64</v>
      </c>
      <c r="J312" s="4">
        <v>1399.72</v>
      </c>
      <c r="K312" s="7" t="str">
        <f t="shared" si="26"/>
        <v>High</v>
      </c>
      <c r="L312" s="4">
        <v>3149.21</v>
      </c>
      <c r="M312" s="4">
        <v>0.185</v>
      </c>
      <c r="N312" s="4">
        <v>12</v>
      </c>
      <c r="O312" s="4">
        <f t="shared" si="24"/>
        <v>13444.761599999998</v>
      </c>
      <c r="P312">
        <f t="shared" si="25"/>
        <v>16796.64</v>
      </c>
      <c r="Q312" s="4">
        <f t="shared" si="27"/>
        <v>-3351.8784000000014</v>
      </c>
      <c r="R312" s="16">
        <f t="shared" si="28"/>
        <v>-0.24930738823959525</v>
      </c>
    </row>
    <row r="313" spans="1:18" x14ac:dyDescent="0.3">
      <c r="A313" t="s">
        <v>724</v>
      </c>
      <c r="B313" s="6">
        <v>45435</v>
      </c>
      <c r="C313" s="2">
        <v>45449</v>
      </c>
      <c r="D313" s="4">
        <f t="shared" si="29"/>
        <v>14</v>
      </c>
      <c r="E313" s="4" t="str">
        <f>TEXT(Data!B313,"MMM-YYYY")</f>
        <v>Jun-2023</v>
      </c>
      <c r="F313" t="s">
        <v>39</v>
      </c>
      <c r="G313" t="s">
        <v>28</v>
      </c>
      <c r="H313" t="s">
        <v>34</v>
      </c>
      <c r="I313" t="s">
        <v>35</v>
      </c>
      <c r="J313" s="4">
        <v>51.13</v>
      </c>
      <c r="K313" s="7" t="str">
        <f t="shared" si="26"/>
        <v>Medium</v>
      </c>
      <c r="L313" s="4">
        <v>57.53</v>
      </c>
      <c r="M313" s="4">
        <v>4.4999999999999998E-2</v>
      </c>
      <c r="N313" s="4">
        <v>16</v>
      </c>
      <c r="O313" s="4">
        <f t="shared" si="24"/>
        <v>20144.693599999999</v>
      </c>
      <c r="P313">
        <f t="shared" si="25"/>
        <v>818.08</v>
      </c>
      <c r="Q313" s="4">
        <f t="shared" si="27"/>
        <v>19326.613599999997</v>
      </c>
      <c r="R313" s="16">
        <f t="shared" si="28"/>
        <v>0.95938980178879452</v>
      </c>
    </row>
    <row r="314" spans="1:18" x14ac:dyDescent="0.3">
      <c r="A314" t="s">
        <v>726</v>
      </c>
      <c r="B314" s="6">
        <v>45101</v>
      </c>
      <c r="C314" s="2">
        <v>45099</v>
      </c>
      <c r="D314" s="4">
        <f>DATEDIF(C314,B314, "MD")</f>
        <v>2</v>
      </c>
      <c r="E314" s="4" t="str">
        <f>TEXT(Data!B314,"MMM-YYYY")</f>
        <v>Nov-2024</v>
      </c>
      <c r="F314" t="s">
        <v>39</v>
      </c>
      <c r="G314" t="s">
        <v>20</v>
      </c>
      <c r="H314" t="s">
        <v>110</v>
      </c>
      <c r="I314" t="s">
        <v>81</v>
      </c>
      <c r="J314" s="4">
        <v>471.42</v>
      </c>
      <c r="K314" s="7" t="str">
        <f t="shared" si="26"/>
        <v>High</v>
      </c>
      <c r="L314" s="4">
        <v>824.81</v>
      </c>
      <c r="M314" s="4">
        <v>8.7999999999999995E-2</v>
      </c>
      <c r="N314" s="4">
        <v>15</v>
      </c>
      <c r="O314" s="4">
        <f t="shared" si="24"/>
        <v>6043.0032000000001</v>
      </c>
      <c r="P314">
        <f t="shared" si="25"/>
        <v>7071.3</v>
      </c>
      <c r="Q314" s="4">
        <f t="shared" si="27"/>
        <v>-1028.2968000000001</v>
      </c>
      <c r="R314" s="16">
        <f t="shared" si="28"/>
        <v>-0.17016320626803574</v>
      </c>
    </row>
    <row r="315" spans="1:18" x14ac:dyDescent="0.3">
      <c r="A315" t="s">
        <v>728</v>
      </c>
      <c r="B315" s="6">
        <v>45600</v>
      </c>
      <c r="C315" s="2">
        <v>45601</v>
      </c>
      <c r="D315" s="4">
        <f t="shared" si="29"/>
        <v>1</v>
      </c>
      <c r="E315" s="4" t="str">
        <f>TEXT(Data!B315,"MMM-YYYY")</f>
        <v>Jun-2024</v>
      </c>
      <c r="F315" t="s">
        <v>19</v>
      </c>
      <c r="G315" t="s">
        <v>20</v>
      </c>
      <c r="H315" t="s">
        <v>110</v>
      </c>
      <c r="I315" t="s">
        <v>30</v>
      </c>
      <c r="J315" s="4">
        <v>840.68</v>
      </c>
      <c r="K315" s="7" t="str">
        <f t="shared" si="26"/>
        <v>High</v>
      </c>
      <c r="L315" s="4">
        <v>1493.53</v>
      </c>
      <c r="M315" s="4">
        <v>0</v>
      </c>
      <c r="N315" s="4">
        <v>27</v>
      </c>
      <c r="O315" s="4">
        <f t="shared" si="24"/>
        <v>35911.89</v>
      </c>
      <c r="P315">
        <f t="shared" si="25"/>
        <v>22698.359999999997</v>
      </c>
      <c r="Q315" s="4">
        <f t="shared" si="27"/>
        <v>13213.530000000002</v>
      </c>
      <c r="R315" s="16">
        <f t="shared" si="28"/>
        <v>0.36794304059184862</v>
      </c>
    </row>
    <row r="316" spans="1:18" x14ac:dyDescent="0.3">
      <c r="A316" t="s">
        <v>730</v>
      </c>
      <c r="B316" s="6">
        <v>45451</v>
      </c>
      <c r="C316" s="2">
        <v>45467</v>
      </c>
      <c r="D316" s="4">
        <f t="shared" si="29"/>
        <v>16</v>
      </c>
      <c r="E316" s="4" t="str">
        <f>TEXT(Data!B316,"MMM-YYYY")</f>
        <v>Jun-2025</v>
      </c>
      <c r="F316" t="s">
        <v>27</v>
      </c>
      <c r="G316" t="s">
        <v>55</v>
      </c>
      <c r="H316" t="s">
        <v>92</v>
      </c>
      <c r="I316" t="s">
        <v>64</v>
      </c>
      <c r="J316" s="4">
        <v>597.85</v>
      </c>
      <c r="K316" s="7" t="str">
        <f t="shared" si="26"/>
        <v>High</v>
      </c>
      <c r="L316" s="4">
        <v>741.92</v>
      </c>
      <c r="M316" s="4">
        <v>3.1E-2</v>
      </c>
      <c r="N316" s="4">
        <v>7</v>
      </c>
      <c r="O316" s="4">
        <f t="shared" si="24"/>
        <v>11089.255379999999</v>
      </c>
      <c r="P316">
        <f t="shared" si="25"/>
        <v>4184.95</v>
      </c>
      <c r="Q316" s="4">
        <f t="shared" si="27"/>
        <v>6904.3053799999989</v>
      </c>
      <c r="R316" s="16">
        <f t="shared" si="28"/>
        <v>0.62261217217995024</v>
      </c>
    </row>
    <row r="317" spans="1:18" x14ac:dyDescent="0.3">
      <c r="A317" t="s">
        <v>732</v>
      </c>
      <c r="B317" s="6">
        <v>45809</v>
      </c>
      <c r="C317" s="2">
        <v>45814</v>
      </c>
      <c r="D317" s="4">
        <f t="shared" si="29"/>
        <v>5</v>
      </c>
      <c r="E317" s="4" t="str">
        <f>TEXT(Data!B317,"MMM-YYYY")</f>
        <v>May-2023</v>
      </c>
      <c r="F317" t="s">
        <v>48</v>
      </c>
      <c r="G317" t="s">
        <v>55</v>
      </c>
      <c r="H317" t="s">
        <v>41</v>
      </c>
      <c r="I317" t="s">
        <v>22</v>
      </c>
      <c r="J317" s="4">
        <v>379.45</v>
      </c>
      <c r="K317" s="7" t="str">
        <f t="shared" si="26"/>
        <v>High</v>
      </c>
      <c r="L317" s="4">
        <v>742.23</v>
      </c>
      <c r="M317" s="4">
        <v>0.09</v>
      </c>
      <c r="N317" s="4">
        <v>13</v>
      </c>
      <c r="O317" s="4">
        <f t="shared" si="24"/>
        <v>835.19799999999998</v>
      </c>
      <c r="P317">
        <f t="shared" si="25"/>
        <v>4932.8499999999995</v>
      </c>
      <c r="Q317" s="4">
        <f t="shared" si="27"/>
        <v>-4097.6519999999991</v>
      </c>
      <c r="R317" s="16">
        <f t="shared" si="28"/>
        <v>-4.9062042773090919</v>
      </c>
    </row>
    <row r="318" spans="1:18" x14ac:dyDescent="0.3">
      <c r="A318" t="s">
        <v>734</v>
      </c>
      <c r="B318" s="6">
        <v>45052</v>
      </c>
      <c r="C318" s="2">
        <v>45060</v>
      </c>
      <c r="D318" s="4">
        <f t="shared" si="29"/>
        <v>8</v>
      </c>
      <c r="E318" s="4" t="str">
        <f>TEXT(Data!B318,"MMM-YYYY")</f>
        <v>Nov-2023</v>
      </c>
      <c r="F318" t="s">
        <v>105</v>
      </c>
      <c r="G318" t="s">
        <v>40</v>
      </c>
      <c r="H318" t="s">
        <v>56</v>
      </c>
      <c r="I318" t="s">
        <v>42</v>
      </c>
      <c r="J318" s="4">
        <v>291.18</v>
      </c>
      <c r="K318" s="7" t="str">
        <f t="shared" si="26"/>
        <v>High</v>
      </c>
      <c r="L318" s="4">
        <v>479.54</v>
      </c>
      <c r="M318" s="4">
        <v>0.14099999999999999</v>
      </c>
      <c r="N318" s="4">
        <v>22</v>
      </c>
      <c r="O318" s="4">
        <f t="shared" si="24"/>
        <v>34451.80992</v>
      </c>
      <c r="P318">
        <f t="shared" si="25"/>
        <v>6405.96</v>
      </c>
      <c r="Q318" s="4">
        <f t="shared" si="27"/>
        <v>28045.849920000001</v>
      </c>
      <c r="R318" s="16">
        <f t="shared" si="28"/>
        <v>0.81406027680765747</v>
      </c>
    </row>
    <row r="319" spans="1:18" x14ac:dyDescent="0.3">
      <c r="A319" t="s">
        <v>736</v>
      </c>
      <c r="B319" s="6">
        <v>45244</v>
      </c>
      <c r="C319" s="2">
        <v>45260</v>
      </c>
      <c r="D319" s="4">
        <f t="shared" si="29"/>
        <v>16</v>
      </c>
      <c r="E319" s="4" t="str">
        <f>TEXT(Data!B319,"MMM-YYYY")</f>
        <v>Apr-2025</v>
      </c>
      <c r="F319" t="s">
        <v>105</v>
      </c>
      <c r="G319" t="s">
        <v>98</v>
      </c>
      <c r="H319" t="s">
        <v>95</v>
      </c>
      <c r="I319" t="s">
        <v>35</v>
      </c>
      <c r="J319" s="4">
        <v>1017.92</v>
      </c>
      <c r="K319" s="7" t="str">
        <f t="shared" si="26"/>
        <v>High</v>
      </c>
      <c r="L319" s="4">
        <v>1175.25</v>
      </c>
      <c r="M319" s="4">
        <v>7.4999999999999997E-2</v>
      </c>
      <c r="N319" s="4">
        <v>15</v>
      </c>
      <c r="O319" s="4">
        <f t="shared" si="24"/>
        <v>27971.861250000002</v>
      </c>
      <c r="P319">
        <f t="shared" si="25"/>
        <v>15268.8</v>
      </c>
      <c r="Q319" s="4">
        <f t="shared" si="27"/>
        <v>12703.061250000002</v>
      </c>
      <c r="R319" s="16">
        <f t="shared" si="28"/>
        <v>0.45413714648681097</v>
      </c>
    </row>
    <row r="320" spans="1:18" x14ac:dyDescent="0.3">
      <c r="A320" t="s">
        <v>738</v>
      </c>
      <c r="B320" s="6">
        <v>45748</v>
      </c>
      <c r="C320" s="2">
        <v>45774</v>
      </c>
      <c r="D320" s="4">
        <f t="shared" si="29"/>
        <v>26</v>
      </c>
      <c r="E320" s="4" t="str">
        <f>TEXT(Data!B320,"MMM-YYYY")</f>
        <v>Mar-2023</v>
      </c>
      <c r="F320" t="s">
        <v>19</v>
      </c>
      <c r="G320" t="s">
        <v>98</v>
      </c>
      <c r="H320" t="s">
        <v>34</v>
      </c>
      <c r="I320" t="s">
        <v>64</v>
      </c>
      <c r="J320" s="4">
        <v>156.55000000000001</v>
      </c>
      <c r="K320" s="7" t="str">
        <f t="shared" si="26"/>
        <v>High</v>
      </c>
      <c r="L320" s="4">
        <v>227.45</v>
      </c>
      <c r="M320" s="4">
        <v>1.4E-2</v>
      </c>
      <c r="N320" s="4">
        <v>13</v>
      </c>
      <c r="O320" s="4">
        <f t="shared" si="24"/>
        <v>3129.2583399999999</v>
      </c>
      <c r="P320">
        <f t="shared" si="25"/>
        <v>2035.15</v>
      </c>
      <c r="Q320" s="4">
        <f t="shared" si="27"/>
        <v>1094.1083399999998</v>
      </c>
      <c r="R320" s="16">
        <f t="shared" si="28"/>
        <v>0.34963822769583153</v>
      </c>
    </row>
    <row r="321" spans="1:18" x14ac:dyDescent="0.3">
      <c r="A321" t="s">
        <v>740</v>
      </c>
      <c r="B321" s="6">
        <v>45008</v>
      </c>
      <c r="C321" s="2">
        <v>45031</v>
      </c>
      <c r="D321" s="4">
        <f t="shared" si="29"/>
        <v>23</v>
      </c>
      <c r="E321" s="4" t="str">
        <f>TEXT(Data!B321,"MMM-YYYY")</f>
        <v>May-2024</v>
      </c>
      <c r="F321" t="s">
        <v>62</v>
      </c>
      <c r="G321" t="s">
        <v>20</v>
      </c>
      <c r="H321" t="s">
        <v>21</v>
      </c>
      <c r="I321" t="s">
        <v>81</v>
      </c>
      <c r="J321" s="4">
        <v>875.36</v>
      </c>
      <c r="K321" s="7" t="str">
        <f t="shared" si="26"/>
        <v>High</v>
      </c>
      <c r="L321" s="4">
        <v>1178.6199999999999</v>
      </c>
      <c r="M321" s="4">
        <v>0.151</v>
      </c>
      <c r="N321" s="4">
        <v>53</v>
      </c>
      <c r="O321" s="4">
        <f t="shared" si="24"/>
        <v>125232.05063999999</v>
      </c>
      <c r="P321">
        <f t="shared" si="25"/>
        <v>46394.080000000002</v>
      </c>
      <c r="Q321" s="4">
        <f t="shared" si="27"/>
        <v>78837.970639999985</v>
      </c>
      <c r="R321" s="16">
        <f t="shared" si="28"/>
        <v>0.62953509295022747</v>
      </c>
    </row>
    <row r="322" spans="1:18" x14ac:dyDescent="0.3">
      <c r="A322" t="s">
        <v>742</v>
      </c>
      <c r="B322" s="6">
        <v>45440</v>
      </c>
      <c r="C322" s="2">
        <v>45461</v>
      </c>
      <c r="D322" s="4">
        <f t="shared" si="29"/>
        <v>21</v>
      </c>
      <c r="E322" s="4" t="str">
        <f>TEXT(Data!B322,"MMM-YYYY")</f>
        <v>Jan-2024</v>
      </c>
      <c r="F322" t="s">
        <v>62</v>
      </c>
      <c r="G322" t="s">
        <v>28</v>
      </c>
      <c r="H322" t="s">
        <v>63</v>
      </c>
      <c r="I322" t="s">
        <v>42</v>
      </c>
      <c r="J322" s="4">
        <v>986.85</v>
      </c>
      <c r="K322" s="7" t="str">
        <f t="shared" si="26"/>
        <v>High</v>
      </c>
      <c r="L322" s="4">
        <v>2422.1</v>
      </c>
      <c r="M322" s="4">
        <v>7.5999999999999998E-2</v>
      </c>
      <c r="N322" s="4">
        <v>10</v>
      </c>
      <c r="O322" s="4">
        <f t="shared" ref="O322:O385" si="30">(L348*N322)*(1-M322)</f>
        <v>18944.864399999999</v>
      </c>
      <c r="P322">
        <f t="shared" ref="P322:P385" si="31">(J322*N322)</f>
        <v>9868.5</v>
      </c>
      <c r="Q322" s="4">
        <f t="shared" si="27"/>
        <v>9076.3643999999986</v>
      </c>
      <c r="R322" s="16">
        <f t="shared" si="28"/>
        <v>0.47909365875429538</v>
      </c>
    </row>
    <row r="323" spans="1:18" x14ac:dyDescent="0.3">
      <c r="A323" t="s">
        <v>744</v>
      </c>
      <c r="B323" s="6">
        <v>45293</v>
      </c>
      <c r="C323" s="2">
        <v>45292</v>
      </c>
      <c r="D323" s="4">
        <f>DATEDIF(C323,B323, "MD")</f>
        <v>1</v>
      </c>
      <c r="E323" s="4" t="str">
        <f>TEXT(Data!B323,"MMM-YYYY")</f>
        <v>Feb-2023</v>
      </c>
      <c r="F323" t="s">
        <v>27</v>
      </c>
      <c r="G323" t="s">
        <v>40</v>
      </c>
      <c r="H323" t="s">
        <v>56</v>
      </c>
      <c r="I323" t="s">
        <v>35</v>
      </c>
      <c r="J323" s="4">
        <v>404.77</v>
      </c>
      <c r="K323" s="7" t="str">
        <f t="shared" ref="K323:K386" si="32">IF(L323&lt;50, "Low", IF(L323&lt;200, "Medium", "High"))</f>
        <v>High</v>
      </c>
      <c r="L323" s="4">
        <v>433.88</v>
      </c>
      <c r="M323" s="4">
        <v>0.215</v>
      </c>
      <c r="N323" s="4">
        <v>22</v>
      </c>
      <c r="O323" s="4">
        <f t="shared" si="30"/>
        <v>2540.7624000000005</v>
      </c>
      <c r="P323">
        <f t="shared" si="31"/>
        <v>8904.9399999999987</v>
      </c>
      <c r="Q323" s="4">
        <f t="shared" ref="Q323:Q386" si="33">(O323-P323)</f>
        <v>-6364.1775999999982</v>
      </c>
      <c r="R323" s="16">
        <f t="shared" ref="R323:R386" si="34">(Q323/O323)</f>
        <v>-2.504829888855407</v>
      </c>
    </row>
    <row r="324" spans="1:18" x14ac:dyDescent="0.3">
      <c r="A324" t="s">
        <v>746</v>
      </c>
      <c r="B324" s="6">
        <v>44985</v>
      </c>
      <c r="C324" s="2">
        <v>44984</v>
      </c>
      <c r="D324" s="4">
        <f>DATEDIF(C324,B324, "MD")</f>
        <v>1</v>
      </c>
      <c r="E324" s="4" t="str">
        <f>TEXT(Data!B324,"MMM-YYYY")</f>
        <v>Feb-2024</v>
      </c>
      <c r="F324" t="s">
        <v>19</v>
      </c>
      <c r="G324" t="s">
        <v>20</v>
      </c>
      <c r="H324" t="s">
        <v>95</v>
      </c>
      <c r="I324" t="s">
        <v>35</v>
      </c>
      <c r="J324" s="4">
        <v>1299.81</v>
      </c>
      <c r="K324" s="7" t="str">
        <f t="shared" si="32"/>
        <v>High</v>
      </c>
      <c r="L324" s="4">
        <v>3149.13</v>
      </c>
      <c r="M324" s="4">
        <v>0.10299999999999999</v>
      </c>
      <c r="N324" s="4">
        <v>14</v>
      </c>
      <c r="O324" s="4">
        <f t="shared" si="30"/>
        <v>24902.262840000003</v>
      </c>
      <c r="P324">
        <f t="shared" si="31"/>
        <v>18197.34</v>
      </c>
      <c r="Q324" s="4">
        <f t="shared" si="33"/>
        <v>6704.9228400000029</v>
      </c>
      <c r="R324" s="16">
        <f t="shared" si="34"/>
        <v>0.26924954101881943</v>
      </c>
    </row>
    <row r="325" spans="1:18" x14ac:dyDescent="0.3">
      <c r="A325" t="s">
        <v>748</v>
      </c>
      <c r="B325" s="6">
        <v>45340</v>
      </c>
      <c r="C325" s="2">
        <v>45362</v>
      </c>
      <c r="D325" s="4">
        <f t="shared" ref="D325:D388" si="35">DATEDIF(B325,C325, "MD")</f>
        <v>22</v>
      </c>
      <c r="E325" s="4" t="str">
        <f>TEXT(Data!B325,"MMM-YYYY")</f>
        <v>Sep-2024</v>
      </c>
      <c r="F325" t="s">
        <v>48</v>
      </c>
      <c r="G325" t="s">
        <v>28</v>
      </c>
      <c r="H325" t="s">
        <v>75</v>
      </c>
      <c r="I325" t="s">
        <v>22</v>
      </c>
      <c r="J325" s="4">
        <v>80.48</v>
      </c>
      <c r="K325" s="7" t="str">
        <f t="shared" si="32"/>
        <v>Medium</v>
      </c>
      <c r="L325" s="4">
        <v>65.650000000000006</v>
      </c>
      <c r="M325" s="4">
        <v>0.17599999999999999</v>
      </c>
      <c r="N325" s="4">
        <v>13</v>
      </c>
      <c r="O325" s="4">
        <f t="shared" si="30"/>
        <v>24630.101600000002</v>
      </c>
      <c r="P325">
        <f t="shared" si="31"/>
        <v>1046.24</v>
      </c>
      <c r="Q325" s="4">
        <f t="shared" si="33"/>
        <v>23583.8616</v>
      </c>
      <c r="R325" s="16">
        <f t="shared" si="34"/>
        <v>0.95752189670220433</v>
      </c>
    </row>
    <row r="326" spans="1:18" x14ac:dyDescent="0.3">
      <c r="A326" t="s">
        <v>750</v>
      </c>
      <c r="B326" s="6">
        <v>45544</v>
      </c>
      <c r="C326" s="2">
        <v>45573</v>
      </c>
      <c r="D326" s="4">
        <f t="shared" si="35"/>
        <v>29</v>
      </c>
      <c r="E326" s="4" t="str">
        <f>TEXT(Data!B326,"MMM-YYYY")</f>
        <v>May-2023</v>
      </c>
      <c r="F326" t="s">
        <v>27</v>
      </c>
      <c r="G326" t="s">
        <v>98</v>
      </c>
      <c r="H326" t="s">
        <v>29</v>
      </c>
      <c r="I326" t="s">
        <v>22</v>
      </c>
      <c r="J326" s="4">
        <v>1010.33</v>
      </c>
      <c r="K326" s="7" t="str">
        <f t="shared" si="32"/>
        <v>High</v>
      </c>
      <c r="L326" s="4">
        <v>2492.14</v>
      </c>
      <c r="M326" s="4">
        <v>5.0999999999999997E-2</v>
      </c>
      <c r="N326" s="4">
        <v>11</v>
      </c>
      <c r="O326" s="4">
        <f t="shared" si="30"/>
        <v>4829.1857899999995</v>
      </c>
      <c r="P326">
        <f t="shared" si="31"/>
        <v>11113.630000000001</v>
      </c>
      <c r="Q326" s="4">
        <f t="shared" si="33"/>
        <v>-6284.4442100000015</v>
      </c>
      <c r="R326" s="16">
        <f t="shared" si="34"/>
        <v>-1.3013465381707756</v>
      </c>
    </row>
    <row r="327" spans="1:18" x14ac:dyDescent="0.3">
      <c r="A327" t="s">
        <v>752</v>
      </c>
      <c r="B327" s="6">
        <v>45053</v>
      </c>
      <c r="C327" s="2">
        <v>45075</v>
      </c>
      <c r="D327" s="4">
        <f t="shared" si="35"/>
        <v>22</v>
      </c>
      <c r="E327" s="4" t="str">
        <f>TEXT(Data!B327,"MMM-YYYY")</f>
        <v>Jan-2024</v>
      </c>
      <c r="F327" t="s">
        <v>27</v>
      </c>
      <c r="G327" t="s">
        <v>55</v>
      </c>
      <c r="H327" t="s">
        <v>95</v>
      </c>
      <c r="I327" t="s">
        <v>81</v>
      </c>
      <c r="J327" s="4">
        <v>653.86</v>
      </c>
      <c r="K327" s="7" t="str">
        <f t="shared" si="32"/>
        <v>High</v>
      </c>
      <c r="L327" s="4">
        <v>931.84</v>
      </c>
      <c r="M327" s="4">
        <v>0.121</v>
      </c>
      <c r="N327" s="4">
        <v>12</v>
      </c>
      <c r="O327" s="4">
        <f t="shared" si="30"/>
        <v>11533.077720000001</v>
      </c>
      <c r="P327">
        <f t="shared" si="31"/>
        <v>7846.32</v>
      </c>
      <c r="Q327" s="4">
        <f t="shared" si="33"/>
        <v>3686.7577200000014</v>
      </c>
      <c r="R327" s="16">
        <f t="shared" si="34"/>
        <v>0.3196681587956906</v>
      </c>
    </row>
    <row r="328" spans="1:18" x14ac:dyDescent="0.3">
      <c r="A328" t="s">
        <v>754</v>
      </c>
      <c r="B328" s="6">
        <v>45303</v>
      </c>
      <c r="C328" s="2">
        <v>45320</v>
      </c>
      <c r="D328" s="4">
        <f t="shared" si="35"/>
        <v>17</v>
      </c>
      <c r="E328" s="4" t="str">
        <f>TEXT(Data!B328,"MMM-YYYY")</f>
        <v>Jun-2023</v>
      </c>
      <c r="F328" t="s">
        <v>62</v>
      </c>
      <c r="G328" t="s">
        <v>98</v>
      </c>
      <c r="H328" t="s">
        <v>56</v>
      </c>
      <c r="I328" t="s">
        <v>22</v>
      </c>
      <c r="J328" s="4">
        <v>310.02</v>
      </c>
      <c r="K328" s="7" t="str">
        <f t="shared" si="32"/>
        <v>High</v>
      </c>
      <c r="L328" s="4">
        <v>619.51</v>
      </c>
      <c r="M328" s="4">
        <v>4.2000000000000003E-2</v>
      </c>
      <c r="N328" s="4">
        <v>4</v>
      </c>
      <c r="O328" s="4">
        <f t="shared" si="30"/>
        <v>5572.5710399999998</v>
      </c>
      <c r="P328">
        <f t="shared" si="31"/>
        <v>1240.08</v>
      </c>
      <c r="Q328" s="4">
        <f t="shared" si="33"/>
        <v>4332.4910399999999</v>
      </c>
      <c r="R328" s="16">
        <f t="shared" si="34"/>
        <v>0.77746717070115634</v>
      </c>
    </row>
    <row r="329" spans="1:18" x14ac:dyDescent="0.3">
      <c r="A329" t="s">
        <v>756</v>
      </c>
      <c r="B329" s="6">
        <v>45087</v>
      </c>
      <c r="C329" s="2">
        <v>45095</v>
      </c>
      <c r="D329" s="4">
        <f t="shared" si="35"/>
        <v>8</v>
      </c>
      <c r="E329" s="4" t="str">
        <f>TEXT(Data!B329,"MMM-YYYY")</f>
        <v>May-2025</v>
      </c>
      <c r="F329" t="s">
        <v>105</v>
      </c>
      <c r="G329" t="s">
        <v>98</v>
      </c>
      <c r="H329" t="s">
        <v>92</v>
      </c>
      <c r="I329" t="s">
        <v>42</v>
      </c>
      <c r="J329" s="4">
        <v>894.23</v>
      </c>
      <c r="K329" s="7" t="str">
        <f t="shared" si="32"/>
        <v>High</v>
      </c>
      <c r="L329" s="4">
        <v>1421.55</v>
      </c>
      <c r="M329" s="4">
        <v>0.109</v>
      </c>
      <c r="N329" s="4">
        <v>3</v>
      </c>
      <c r="O329" s="4">
        <f t="shared" si="30"/>
        <v>5667.829200000001</v>
      </c>
      <c r="P329">
        <f t="shared" si="31"/>
        <v>2682.69</v>
      </c>
      <c r="Q329" s="4">
        <f t="shared" si="33"/>
        <v>2985.139200000001</v>
      </c>
      <c r="R329" s="16">
        <f t="shared" si="34"/>
        <v>0.52668122038681064</v>
      </c>
    </row>
    <row r="330" spans="1:18" x14ac:dyDescent="0.3">
      <c r="A330" t="s">
        <v>758</v>
      </c>
      <c r="B330" s="6">
        <v>45796</v>
      </c>
      <c r="C330" s="2">
        <v>45794</v>
      </c>
      <c r="D330" s="4">
        <f>DATEDIF(C330,B330, "MD")</f>
        <v>2</v>
      </c>
      <c r="E330" s="4" t="str">
        <f>TEXT(Data!B330,"MMM-YYYY")</f>
        <v>Oct-2023</v>
      </c>
      <c r="F330" t="s">
        <v>62</v>
      </c>
      <c r="G330" t="s">
        <v>55</v>
      </c>
      <c r="H330" t="s">
        <v>49</v>
      </c>
      <c r="I330" t="s">
        <v>64</v>
      </c>
      <c r="J330" s="4">
        <v>383.77</v>
      </c>
      <c r="K330" s="7" t="str">
        <f t="shared" si="32"/>
        <v>High</v>
      </c>
      <c r="L330" s="4">
        <v>952.56</v>
      </c>
      <c r="M330" s="4">
        <v>0.34599999999999997</v>
      </c>
      <c r="N330" s="4">
        <v>10</v>
      </c>
      <c r="O330" s="4">
        <f t="shared" si="30"/>
        <v>841.56720000000018</v>
      </c>
      <c r="P330">
        <f t="shared" si="31"/>
        <v>3837.7</v>
      </c>
      <c r="Q330" s="4">
        <f t="shared" si="33"/>
        <v>-2996.1327999999994</v>
      </c>
      <c r="R330" s="16">
        <f t="shared" si="34"/>
        <v>-3.5601824785946965</v>
      </c>
    </row>
    <row r="331" spans="1:18" x14ac:dyDescent="0.3">
      <c r="A331" t="s">
        <v>760</v>
      </c>
      <c r="B331" s="6">
        <v>45221</v>
      </c>
      <c r="C331" s="2">
        <v>45246</v>
      </c>
      <c r="D331" s="4">
        <f t="shared" si="35"/>
        <v>25</v>
      </c>
      <c r="E331" s="4" t="str">
        <f>TEXT(Data!B331,"MMM-YYYY")</f>
        <v>Jan-2025</v>
      </c>
      <c r="F331" t="s">
        <v>62</v>
      </c>
      <c r="G331" t="s">
        <v>40</v>
      </c>
      <c r="H331" t="s">
        <v>34</v>
      </c>
      <c r="I331" t="s">
        <v>57</v>
      </c>
      <c r="J331" s="4">
        <v>1373.31</v>
      </c>
      <c r="K331" s="7" t="str">
        <f t="shared" si="32"/>
        <v>High</v>
      </c>
      <c r="L331" s="4">
        <v>3154.14</v>
      </c>
      <c r="M331" s="4">
        <v>0.2</v>
      </c>
      <c r="N331" s="4">
        <v>11</v>
      </c>
      <c r="O331" s="4">
        <f t="shared" si="30"/>
        <v>11668.448000000002</v>
      </c>
      <c r="P331">
        <f t="shared" si="31"/>
        <v>15106.41</v>
      </c>
      <c r="Q331" s="4">
        <f t="shared" si="33"/>
        <v>-3437.9619999999977</v>
      </c>
      <c r="R331" s="16">
        <f t="shared" si="34"/>
        <v>-0.29463747021026249</v>
      </c>
    </row>
    <row r="332" spans="1:18" x14ac:dyDescent="0.3">
      <c r="A332" t="s">
        <v>762</v>
      </c>
      <c r="B332" s="6">
        <v>45668</v>
      </c>
      <c r="C332" s="2">
        <v>45680</v>
      </c>
      <c r="D332" s="4">
        <f t="shared" si="35"/>
        <v>12</v>
      </c>
      <c r="E332" s="4" t="str">
        <f>TEXT(Data!B332,"MMM-YYYY")</f>
        <v>Sep-2025</v>
      </c>
      <c r="F332" t="s">
        <v>48</v>
      </c>
      <c r="G332" t="s">
        <v>55</v>
      </c>
      <c r="H332" t="s">
        <v>92</v>
      </c>
      <c r="I332" t="s">
        <v>42</v>
      </c>
      <c r="J332" s="4">
        <v>100.69</v>
      </c>
      <c r="K332" s="7" t="str">
        <f t="shared" si="32"/>
        <v>High</v>
      </c>
      <c r="L332" s="4">
        <v>226.14</v>
      </c>
      <c r="M332" s="4">
        <v>6.5000000000000002E-2</v>
      </c>
      <c r="N332" s="4">
        <v>12</v>
      </c>
      <c r="O332" s="4">
        <f t="shared" si="30"/>
        <v>27369.282600000002</v>
      </c>
      <c r="P332">
        <f t="shared" si="31"/>
        <v>1208.28</v>
      </c>
      <c r="Q332" s="4">
        <f t="shared" si="33"/>
        <v>26161.002600000003</v>
      </c>
      <c r="R332" s="16">
        <f t="shared" si="34"/>
        <v>0.95585269743241286</v>
      </c>
    </row>
    <row r="333" spans="1:18" x14ac:dyDescent="0.3">
      <c r="A333" t="s">
        <v>764</v>
      </c>
      <c r="B333" s="6">
        <v>45914</v>
      </c>
      <c r="C333" s="2">
        <v>45926</v>
      </c>
      <c r="D333" s="4">
        <f t="shared" si="35"/>
        <v>12</v>
      </c>
      <c r="E333" s="4" t="str">
        <f>TEXT(Data!B333,"MMM-YYYY")</f>
        <v>Aug-2023</v>
      </c>
      <c r="F333" t="s">
        <v>62</v>
      </c>
      <c r="G333" t="s">
        <v>98</v>
      </c>
      <c r="H333" t="s">
        <v>126</v>
      </c>
      <c r="I333" t="s">
        <v>35</v>
      </c>
      <c r="J333" s="4">
        <v>425.15</v>
      </c>
      <c r="K333" s="7" t="str">
        <f t="shared" si="32"/>
        <v>High</v>
      </c>
      <c r="L333" s="4">
        <v>885.92</v>
      </c>
      <c r="M333" s="4">
        <v>0.23899999999999999</v>
      </c>
      <c r="N333" s="4">
        <v>13</v>
      </c>
      <c r="O333" s="4">
        <f t="shared" si="30"/>
        <v>21779.835220000001</v>
      </c>
      <c r="P333">
        <f t="shared" si="31"/>
        <v>5526.95</v>
      </c>
      <c r="Q333" s="4">
        <f t="shared" si="33"/>
        <v>16252.88522</v>
      </c>
      <c r="R333" s="16">
        <f t="shared" si="34"/>
        <v>0.74623545384196899</v>
      </c>
    </row>
    <row r="334" spans="1:18" x14ac:dyDescent="0.3">
      <c r="A334" t="s">
        <v>766</v>
      </c>
      <c r="B334" s="6">
        <v>45168</v>
      </c>
      <c r="C334" s="2">
        <v>45172</v>
      </c>
      <c r="D334" s="4">
        <f t="shared" si="35"/>
        <v>4</v>
      </c>
      <c r="E334" s="4" t="str">
        <f>TEXT(Data!B334,"MMM-YYYY")</f>
        <v>Nov-2023</v>
      </c>
      <c r="F334" t="s">
        <v>62</v>
      </c>
      <c r="G334" t="s">
        <v>40</v>
      </c>
      <c r="H334" t="s">
        <v>49</v>
      </c>
      <c r="I334" t="s">
        <v>81</v>
      </c>
      <c r="J334" s="4">
        <v>1082.25</v>
      </c>
      <c r="K334" s="7" t="str">
        <f t="shared" si="32"/>
        <v>High</v>
      </c>
      <c r="L334" s="4">
        <v>2433.34</v>
      </c>
      <c r="M334" s="4">
        <v>0.27</v>
      </c>
      <c r="N334" s="4">
        <v>4</v>
      </c>
      <c r="O334" s="4">
        <f t="shared" si="30"/>
        <v>2377.9312</v>
      </c>
      <c r="P334">
        <f t="shared" si="31"/>
        <v>4329</v>
      </c>
      <c r="Q334" s="4">
        <f t="shared" si="33"/>
        <v>-1951.0688</v>
      </c>
      <c r="R334" s="16">
        <f t="shared" si="34"/>
        <v>-0.82049001249489473</v>
      </c>
    </row>
    <row r="335" spans="1:18" x14ac:dyDescent="0.3">
      <c r="A335" t="s">
        <v>768</v>
      </c>
      <c r="B335" s="6">
        <v>45245</v>
      </c>
      <c r="C335" s="2">
        <v>45266</v>
      </c>
      <c r="D335" s="4">
        <f t="shared" si="35"/>
        <v>21</v>
      </c>
      <c r="E335" s="4" t="str">
        <f>TEXT(Data!B335,"MMM-YYYY")</f>
        <v>Apr-2025</v>
      </c>
      <c r="F335" t="s">
        <v>27</v>
      </c>
      <c r="G335" t="s">
        <v>98</v>
      </c>
      <c r="H335" t="s">
        <v>92</v>
      </c>
      <c r="I335" t="s">
        <v>81</v>
      </c>
      <c r="J335" s="4">
        <v>1184.99</v>
      </c>
      <c r="K335" s="7" t="str">
        <f t="shared" si="32"/>
        <v>High</v>
      </c>
      <c r="L335" s="4">
        <v>1154.3399999999999</v>
      </c>
      <c r="M335" s="4">
        <v>2.8000000000000001E-2</v>
      </c>
      <c r="N335" s="4">
        <v>5</v>
      </c>
      <c r="O335" s="4">
        <f t="shared" si="30"/>
        <v>6720.9426000000003</v>
      </c>
      <c r="P335">
        <f t="shared" si="31"/>
        <v>5924.95</v>
      </c>
      <c r="Q335" s="4">
        <f t="shared" si="33"/>
        <v>795.99260000000049</v>
      </c>
      <c r="R335" s="16">
        <f t="shared" si="34"/>
        <v>0.11843466718492737</v>
      </c>
    </row>
    <row r="336" spans="1:18" x14ac:dyDescent="0.3">
      <c r="A336" t="s">
        <v>770</v>
      </c>
      <c r="B336" s="6">
        <v>45774</v>
      </c>
      <c r="C336" s="2">
        <v>45804</v>
      </c>
      <c r="D336" s="4">
        <f t="shared" si="35"/>
        <v>0</v>
      </c>
      <c r="E336" s="4" t="str">
        <f>TEXT(Data!B336,"MMM-YYYY")</f>
        <v>Apr-2024</v>
      </c>
      <c r="F336" t="s">
        <v>105</v>
      </c>
      <c r="G336" t="s">
        <v>40</v>
      </c>
      <c r="H336" t="s">
        <v>92</v>
      </c>
      <c r="I336" t="s">
        <v>42</v>
      </c>
      <c r="J336" s="4">
        <v>481.32</v>
      </c>
      <c r="K336" s="7" t="str">
        <f t="shared" si="32"/>
        <v>High</v>
      </c>
      <c r="L336" s="4">
        <v>1135.99</v>
      </c>
      <c r="M336" s="4">
        <v>0.14499999999999999</v>
      </c>
      <c r="N336" s="4">
        <v>5</v>
      </c>
      <c r="O336" s="4">
        <f t="shared" si="30"/>
        <v>7038.4882499999994</v>
      </c>
      <c r="P336">
        <f t="shared" si="31"/>
        <v>2406.6</v>
      </c>
      <c r="Q336" s="4">
        <f t="shared" si="33"/>
        <v>4631.88825</v>
      </c>
      <c r="R336" s="16">
        <f t="shared" si="34"/>
        <v>0.65807998613906904</v>
      </c>
    </row>
    <row r="337" spans="1:18" x14ac:dyDescent="0.3">
      <c r="A337" t="s">
        <v>772</v>
      </c>
      <c r="B337" s="6">
        <v>45391</v>
      </c>
      <c r="C337" s="2">
        <v>45400</v>
      </c>
      <c r="D337" s="4">
        <f t="shared" si="35"/>
        <v>9</v>
      </c>
      <c r="E337" s="4" t="str">
        <f>TEXT(Data!B337,"MMM-YYYY")</f>
        <v>Jul-2024</v>
      </c>
      <c r="F337" t="s">
        <v>48</v>
      </c>
      <c r="G337" t="s">
        <v>28</v>
      </c>
      <c r="H337" t="s">
        <v>63</v>
      </c>
      <c r="I337" t="s">
        <v>30</v>
      </c>
      <c r="J337" s="4">
        <v>1288.8499999999999</v>
      </c>
      <c r="K337" s="7" t="str">
        <f t="shared" si="32"/>
        <v>High</v>
      </c>
      <c r="L337" s="4">
        <v>2751.84</v>
      </c>
      <c r="M337" s="4">
        <v>0.158</v>
      </c>
      <c r="N337" s="4">
        <v>7</v>
      </c>
      <c r="O337" s="4">
        <f t="shared" si="30"/>
        <v>2362.5509599999996</v>
      </c>
      <c r="P337">
        <f t="shared" si="31"/>
        <v>9021.9499999999989</v>
      </c>
      <c r="Q337" s="4">
        <f t="shared" si="33"/>
        <v>-6659.3990399999993</v>
      </c>
      <c r="R337" s="16">
        <f t="shared" si="34"/>
        <v>-2.8187324433416667</v>
      </c>
    </row>
    <row r="338" spans="1:18" x14ac:dyDescent="0.3">
      <c r="A338" t="s">
        <v>774</v>
      </c>
      <c r="B338" s="6">
        <v>45484</v>
      </c>
      <c r="C338" s="2">
        <v>45504</v>
      </c>
      <c r="D338" s="4">
        <f t="shared" si="35"/>
        <v>20</v>
      </c>
      <c r="E338" s="4" t="str">
        <f>TEXT(Data!B338,"MMM-YYYY")</f>
        <v>Feb-2024</v>
      </c>
      <c r="F338" t="s">
        <v>48</v>
      </c>
      <c r="G338" t="s">
        <v>28</v>
      </c>
      <c r="H338" t="s">
        <v>41</v>
      </c>
      <c r="I338" t="s">
        <v>42</v>
      </c>
      <c r="J338" s="4">
        <v>647.26</v>
      </c>
      <c r="K338" s="7" t="str">
        <f t="shared" si="32"/>
        <v>High</v>
      </c>
      <c r="L338" s="4">
        <v>1374.72</v>
      </c>
      <c r="M338" s="4">
        <v>6.6000000000000003E-2</v>
      </c>
      <c r="N338" s="4">
        <v>22</v>
      </c>
      <c r="O338" s="4">
        <f t="shared" si="30"/>
        <v>36586.946879999996</v>
      </c>
      <c r="P338">
        <f t="shared" si="31"/>
        <v>14239.72</v>
      </c>
      <c r="Q338" s="4">
        <f t="shared" si="33"/>
        <v>22347.226879999995</v>
      </c>
      <c r="R338" s="16">
        <f t="shared" si="34"/>
        <v>0.6107978059305067</v>
      </c>
    </row>
    <row r="339" spans="1:18" x14ac:dyDescent="0.3">
      <c r="A339" t="s">
        <v>776</v>
      </c>
      <c r="B339" s="6">
        <v>45340</v>
      </c>
      <c r="C339" s="2">
        <v>45354</v>
      </c>
      <c r="D339" s="4">
        <f t="shared" si="35"/>
        <v>14</v>
      </c>
      <c r="E339" s="4" t="str">
        <f>TEXT(Data!B339,"MMM-YYYY")</f>
        <v>Jul-2023</v>
      </c>
      <c r="F339" t="s">
        <v>105</v>
      </c>
      <c r="G339" t="s">
        <v>55</v>
      </c>
      <c r="H339" t="s">
        <v>75</v>
      </c>
      <c r="I339" t="s">
        <v>30</v>
      </c>
      <c r="J339" s="4">
        <v>624.23</v>
      </c>
      <c r="K339" s="7" t="str">
        <f t="shared" si="32"/>
        <v>High</v>
      </c>
      <c r="L339" s="4">
        <v>1318.37</v>
      </c>
      <c r="M339" s="4">
        <v>0.21</v>
      </c>
      <c r="N339" s="4">
        <v>37</v>
      </c>
      <c r="O339" s="4">
        <f t="shared" si="30"/>
        <v>32691.708900000005</v>
      </c>
      <c r="P339">
        <f t="shared" si="31"/>
        <v>23096.510000000002</v>
      </c>
      <c r="Q339" s="4">
        <f t="shared" si="33"/>
        <v>9595.1989000000031</v>
      </c>
      <c r="R339" s="16">
        <f t="shared" si="34"/>
        <v>0.29350557749521627</v>
      </c>
    </row>
    <row r="340" spans="1:18" x14ac:dyDescent="0.3">
      <c r="A340" t="s">
        <v>778</v>
      </c>
      <c r="B340" s="6">
        <v>45132</v>
      </c>
      <c r="C340" s="2">
        <v>45148</v>
      </c>
      <c r="D340" s="4">
        <f t="shared" si="35"/>
        <v>16</v>
      </c>
      <c r="E340" s="4" t="str">
        <f>TEXT(Data!B340,"MMM-YYYY")</f>
        <v>Jul-2023</v>
      </c>
      <c r="F340" t="s">
        <v>19</v>
      </c>
      <c r="G340" t="s">
        <v>55</v>
      </c>
      <c r="H340" t="s">
        <v>34</v>
      </c>
      <c r="I340" t="s">
        <v>81</v>
      </c>
      <c r="J340" s="4">
        <v>506.83</v>
      </c>
      <c r="K340" s="7" t="str">
        <f t="shared" si="32"/>
        <v>High</v>
      </c>
      <c r="L340" s="4">
        <v>441.74</v>
      </c>
      <c r="M340" s="4">
        <v>0.24</v>
      </c>
      <c r="N340" s="4">
        <v>9</v>
      </c>
      <c r="O340" s="4">
        <f t="shared" si="30"/>
        <v>5274.4607999999998</v>
      </c>
      <c r="P340">
        <f t="shared" si="31"/>
        <v>4561.47</v>
      </c>
      <c r="Q340" s="4">
        <f t="shared" si="33"/>
        <v>712.99079999999958</v>
      </c>
      <c r="R340" s="16">
        <f t="shared" si="34"/>
        <v>0.1351779503224291</v>
      </c>
    </row>
    <row r="341" spans="1:18" x14ac:dyDescent="0.3">
      <c r="A341" t="s">
        <v>780</v>
      </c>
      <c r="B341" s="6">
        <v>45121</v>
      </c>
      <c r="C341" s="2">
        <v>45128</v>
      </c>
      <c r="D341" s="4">
        <f t="shared" si="35"/>
        <v>7</v>
      </c>
      <c r="E341" s="4" t="str">
        <f>TEXT(Data!B341,"MMM-YYYY")</f>
        <v>Jul-2023</v>
      </c>
      <c r="F341" t="s">
        <v>105</v>
      </c>
      <c r="G341" t="s">
        <v>40</v>
      </c>
      <c r="H341" t="s">
        <v>1364</v>
      </c>
      <c r="I341" t="s">
        <v>64</v>
      </c>
      <c r="J341" s="4">
        <v>620.74</v>
      </c>
      <c r="K341" s="7" t="str">
        <f t="shared" si="32"/>
        <v>High</v>
      </c>
      <c r="L341" s="4">
        <v>1330.07</v>
      </c>
      <c r="M341" s="4">
        <v>0.29899999999999999</v>
      </c>
      <c r="N341" s="4">
        <v>28</v>
      </c>
      <c r="O341" s="4">
        <f t="shared" si="30"/>
        <v>23750.665119999998</v>
      </c>
      <c r="P341">
        <f t="shared" si="31"/>
        <v>17380.72</v>
      </c>
      <c r="Q341" s="4">
        <f t="shared" si="33"/>
        <v>6369.9451199999967</v>
      </c>
      <c r="R341" s="16">
        <f t="shared" si="34"/>
        <v>0.26820070460409901</v>
      </c>
    </row>
    <row r="342" spans="1:18" x14ac:dyDescent="0.3">
      <c r="A342" t="s">
        <v>782</v>
      </c>
      <c r="B342" s="6">
        <v>45131</v>
      </c>
      <c r="C342" s="2">
        <v>45157</v>
      </c>
      <c r="D342" s="4">
        <f t="shared" si="35"/>
        <v>26</v>
      </c>
      <c r="E342" s="4" t="str">
        <f>TEXT(Data!B342,"MMM-YYYY")</f>
        <v>Apr-2023</v>
      </c>
      <c r="F342" t="s">
        <v>105</v>
      </c>
      <c r="G342" t="s">
        <v>55</v>
      </c>
      <c r="H342" t="s">
        <v>110</v>
      </c>
      <c r="I342" t="s">
        <v>81</v>
      </c>
      <c r="J342" s="4">
        <v>661.45</v>
      </c>
      <c r="K342" s="7" t="str">
        <f t="shared" si="32"/>
        <v>High</v>
      </c>
      <c r="L342" s="4">
        <v>1634.86</v>
      </c>
      <c r="M342" s="4">
        <v>0.56499999999999995</v>
      </c>
      <c r="N342" s="4">
        <v>24</v>
      </c>
      <c r="O342" s="4">
        <f t="shared" si="30"/>
        <v>31570.873200000005</v>
      </c>
      <c r="P342">
        <f t="shared" si="31"/>
        <v>15874.800000000001</v>
      </c>
      <c r="Q342" s="4">
        <f t="shared" si="33"/>
        <v>15696.073200000004</v>
      </c>
      <c r="R342" s="16">
        <f t="shared" si="34"/>
        <v>0.49716943527555019</v>
      </c>
    </row>
    <row r="343" spans="1:18" x14ac:dyDescent="0.3">
      <c r="A343" t="s">
        <v>784</v>
      </c>
      <c r="B343" s="6">
        <v>45029</v>
      </c>
      <c r="C343" s="2">
        <v>45027</v>
      </c>
      <c r="D343" s="4">
        <f>DATEDIF(C343,B343, "MD")</f>
        <v>2</v>
      </c>
      <c r="E343" s="4" t="str">
        <f>TEXT(Data!B343,"MMM-YYYY")</f>
        <v>Oct-2024</v>
      </c>
      <c r="F343" t="s">
        <v>27</v>
      </c>
      <c r="G343" t="s">
        <v>40</v>
      </c>
      <c r="H343" t="s">
        <v>41</v>
      </c>
      <c r="I343" t="s">
        <v>35</v>
      </c>
      <c r="J343" s="4">
        <v>32.1</v>
      </c>
      <c r="K343" s="7" t="str">
        <f t="shared" si="32"/>
        <v>Medium</v>
      </c>
      <c r="L343" s="4">
        <v>70.599999999999994</v>
      </c>
      <c r="M343" s="4">
        <v>0.28199999999999997</v>
      </c>
      <c r="N343" s="4">
        <v>22</v>
      </c>
      <c r="O343" s="4">
        <f t="shared" si="30"/>
        <v>36385.454160000001</v>
      </c>
      <c r="P343">
        <f t="shared" si="31"/>
        <v>706.2</v>
      </c>
      <c r="Q343" s="4">
        <f t="shared" si="33"/>
        <v>35679.254160000004</v>
      </c>
      <c r="R343" s="16">
        <f t="shared" si="34"/>
        <v>0.98059114510720191</v>
      </c>
    </row>
    <row r="344" spans="1:18" x14ac:dyDescent="0.3">
      <c r="A344" t="s">
        <v>786</v>
      </c>
      <c r="B344" s="6">
        <v>45594</v>
      </c>
      <c r="C344" s="2">
        <v>45600</v>
      </c>
      <c r="D344" s="4">
        <f t="shared" si="35"/>
        <v>6</v>
      </c>
      <c r="E344" s="4" t="str">
        <f>TEXT(Data!B344,"MMM-YYYY")</f>
        <v>Feb-2024</v>
      </c>
      <c r="F344" t="s">
        <v>19</v>
      </c>
      <c r="G344" t="s">
        <v>55</v>
      </c>
      <c r="H344" t="s">
        <v>110</v>
      </c>
      <c r="I344" t="s">
        <v>30</v>
      </c>
      <c r="J344" s="4">
        <v>805.81</v>
      </c>
      <c r="K344" s="7" t="str">
        <f t="shared" si="32"/>
        <v>High</v>
      </c>
      <c r="L344" s="4">
        <v>1823.04</v>
      </c>
      <c r="M344" s="4">
        <v>0</v>
      </c>
      <c r="N344" s="4">
        <v>11</v>
      </c>
      <c r="O344" s="4">
        <f t="shared" si="30"/>
        <v>33921.800000000003</v>
      </c>
      <c r="P344">
        <f t="shared" si="31"/>
        <v>8863.91</v>
      </c>
      <c r="Q344" s="4">
        <f t="shared" si="33"/>
        <v>25057.890000000003</v>
      </c>
      <c r="R344" s="16">
        <f t="shared" si="34"/>
        <v>0.73869576496530254</v>
      </c>
    </row>
    <row r="345" spans="1:18" x14ac:dyDescent="0.3">
      <c r="A345" t="s">
        <v>788</v>
      </c>
      <c r="B345" s="6">
        <v>45339</v>
      </c>
      <c r="C345" s="2">
        <v>45355</v>
      </c>
      <c r="D345" s="4">
        <f t="shared" si="35"/>
        <v>16</v>
      </c>
      <c r="E345" s="4" t="str">
        <f>TEXT(Data!B345,"MMM-YYYY")</f>
        <v>Jul-2024</v>
      </c>
      <c r="F345" t="s">
        <v>62</v>
      </c>
      <c r="G345" t="s">
        <v>40</v>
      </c>
      <c r="H345" t="s">
        <v>84</v>
      </c>
      <c r="I345" t="s">
        <v>42</v>
      </c>
      <c r="J345" s="4">
        <v>1231.8</v>
      </c>
      <c r="K345" s="7" t="str">
        <f t="shared" si="32"/>
        <v>High</v>
      </c>
      <c r="L345" s="4">
        <v>2015.99</v>
      </c>
      <c r="M345" s="4">
        <v>0.26100000000000001</v>
      </c>
      <c r="N345" s="4">
        <v>6</v>
      </c>
      <c r="O345" s="4">
        <f t="shared" si="30"/>
        <v>1430.8961399999998</v>
      </c>
      <c r="P345">
        <f t="shared" si="31"/>
        <v>7390.7999999999993</v>
      </c>
      <c r="Q345" s="4">
        <f t="shared" si="33"/>
        <v>-5959.9038599999994</v>
      </c>
      <c r="R345" s="16">
        <f t="shared" si="34"/>
        <v>-4.1651547539991265</v>
      </c>
    </row>
    <row r="346" spans="1:18" x14ac:dyDescent="0.3">
      <c r="A346" t="s">
        <v>790</v>
      </c>
      <c r="B346" s="6">
        <v>45486</v>
      </c>
      <c r="C346" s="2">
        <v>45485</v>
      </c>
      <c r="D346" s="4">
        <f>DATEDIF(C346,B346, "MD")</f>
        <v>1</v>
      </c>
      <c r="E346" s="4" t="str">
        <f>TEXT(Data!B346,"MMM-YYYY")</f>
        <v>Dec-2023</v>
      </c>
      <c r="F346" t="s">
        <v>62</v>
      </c>
      <c r="G346" t="s">
        <v>40</v>
      </c>
      <c r="H346" t="s">
        <v>84</v>
      </c>
      <c r="I346" t="s">
        <v>35</v>
      </c>
      <c r="J346" s="4">
        <v>105.13</v>
      </c>
      <c r="K346" s="7" t="str">
        <f t="shared" si="32"/>
        <v>High</v>
      </c>
      <c r="L346" s="4">
        <v>244.13</v>
      </c>
      <c r="M346" s="4">
        <v>7.0999999999999994E-2</v>
      </c>
      <c r="N346" s="4">
        <v>14</v>
      </c>
      <c r="O346" s="4">
        <f t="shared" si="30"/>
        <v>9511.1577400000006</v>
      </c>
      <c r="P346">
        <f t="shared" si="31"/>
        <v>1471.82</v>
      </c>
      <c r="Q346" s="4">
        <f t="shared" si="33"/>
        <v>8039.3377400000008</v>
      </c>
      <c r="R346" s="16">
        <f t="shared" si="34"/>
        <v>0.84525332874986048</v>
      </c>
    </row>
    <row r="347" spans="1:18" x14ac:dyDescent="0.3">
      <c r="A347" t="s">
        <v>792</v>
      </c>
      <c r="B347" s="6">
        <v>45261</v>
      </c>
      <c r="C347" s="2">
        <v>45278</v>
      </c>
      <c r="D347" s="4">
        <f t="shared" si="35"/>
        <v>17</v>
      </c>
      <c r="E347" s="4" t="str">
        <f>TEXT(Data!B347,"MMM-YYYY")</f>
        <v>Jul-2024</v>
      </c>
      <c r="F347" t="s">
        <v>62</v>
      </c>
      <c r="G347" t="s">
        <v>98</v>
      </c>
      <c r="H347" t="s">
        <v>126</v>
      </c>
      <c r="I347" t="s">
        <v>57</v>
      </c>
      <c r="J347" s="4">
        <v>1495.79</v>
      </c>
      <c r="K347" s="7" t="str">
        <f t="shared" si="32"/>
        <v>High</v>
      </c>
      <c r="L347" s="4">
        <v>2783.12</v>
      </c>
      <c r="M347" s="4">
        <v>0.02</v>
      </c>
      <c r="N347" s="4">
        <v>5</v>
      </c>
      <c r="O347" s="4">
        <f t="shared" si="30"/>
        <v>7516.3549999999996</v>
      </c>
      <c r="P347">
        <f t="shared" si="31"/>
        <v>7478.95</v>
      </c>
      <c r="Q347" s="4">
        <f t="shared" si="33"/>
        <v>37.404999999999745</v>
      </c>
      <c r="R347" s="16">
        <f t="shared" si="34"/>
        <v>4.9764812864745937E-3</v>
      </c>
    </row>
    <row r="348" spans="1:18" x14ac:dyDescent="0.3">
      <c r="A348" t="s">
        <v>794</v>
      </c>
      <c r="B348" s="6">
        <v>45498</v>
      </c>
      <c r="C348" s="2">
        <v>45506</v>
      </c>
      <c r="D348" s="4">
        <f t="shared" si="35"/>
        <v>8</v>
      </c>
      <c r="E348" s="4" t="str">
        <f>TEXT(Data!B348,"MMM-YYYY")</f>
        <v>May-2023</v>
      </c>
      <c r="F348" t="s">
        <v>48</v>
      </c>
      <c r="G348" t="s">
        <v>98</v>
      </c>
      <c r="H348" t="s">
        <v>29</v>
      </c>
      <c r="I348" t="s">
        <v>81</v>
      </c>
      <c r="J348" s="4">
        <v>986.81</v>
      </c>
      <c r="K348" s="7" t="str">
        <f t="shared" si="32"/>
        <v>High</v>
      </c>
      <c r="L348" s="4">
        <v>2050.31</v>
      </c>
      <c r="M348" s="4">
        <v>0.10299999999999999</v>
      </c>
      <c r="N348" s="4">
        <v>43</v>
      </c>
      <c r="O348" s="4">
        <f t="shared" si="30"/>
        <v>60620.497860000003</v>
      </c>
      <c r="P348">
        <f t="shared" si="31"/>
        <v>42432.829999999994</v>
      </c>
      <c r="Q348" s="4">
        <f t="shared" si="33"/>
        <v>18187.667860000009</v>
      </c>
      <c r="R348" s="16">
        <f t="shared" si="34"/>
        <v>0.30002504931588508</v>
      </c>
    </row>
    <row r="349" spans="1:18" x14ac:dyDescent="0.3">
      <c r="A349" t="s">
        <v>796</v>
      </c>
      <c r="B349" s="6">
        <v>45050</v>
      </c>
      <c r="C349" s="2">
        <v>45062</v>
      </c>
      <c r="D349" s="4">
        <f t="shared" si="35"/>
        <v>12</v>
      </c>
      <c r="E349" s="4" t="str">
        <f>TEXT(Data!B349,"MMM-YYYY")</f>
        <v>Dec-2023</v>
      </c>
      <c r="F349" t="s">
        <v>62</v>
      </c>
      <c r="G349" t="s">
        <v>40</v>
      </c>
      <c r="H349" t="s">
        <v>29</v>
      </c>
      <c r="I349" t="s">
        <v>42</v>
      </c>
      <c r="J349" s="4">
        <v>77.739999999999995</v>
      </c>
      <c r="K349" s="7" t="str">
        <f t="shared" si="32"/>
        <v>Medium</v>
      </c>
      <c r="L349" s="4">
        <v>147.12</v>
      </c>
      <c r="M349" s="4">
        <v>0</v>
      </c>
      <c r="N349" s="4">
        <v>15</v>
      </c>
      <c r="O349" s="4">
        <f t="shared" si="30"/>
        <v>3760.95</v>
      </c>
      <c r="P349">
        <f t="shared" si="31"/>
        <v>1166.0999999999999</v>
      </c>
      <c r="Q349" s="4">
        <f t="shared" si="33"/>
        <v>2594.85</v>
      </c>
      <c r="R349" s="16">
        <f t="shared" si="34"/>
        <v>0.68994535955011371</v>
      </c>
    </row>
    <row r="350" spans="1:18" x14ac:dyDescent="0.3">
      <c r="A350" t="s">
        <v>798</v>
      </c>
      <c r="B350" s="6">
        <v>45281</v>
      </c>
      <c r="C350" s="2">
        <v>45297</v>
      </c>
      <c r="D350" s="4">
        <f t="shared" si="35"/>
        <v>16</v>
      </c>
      <c r="E350" s="4" t="str">
        <f>TEXT(Data!B350,"MMM-YYYY")</f>
        <v>Jun-2025</v>
      </c>
      <c r="F350" t="s">
        <v>19</v>
      </c>
      <c r="G350" t="s">
        <v>40</v>
      </c>
      <c r="H350" t="s">
        <v>95</v>
      </c>
      <c r="I350" t="s">
        <v>22</v>
      </c>
      <c r="J350" s="4">
        <v>932.61</v>
      </c>
      <c r="K350" s="7" t="str">
        <f t="shared" si="32"/>
        <v>High</v>
      </c>
      <c r="L350" s="4">
        <v>1982.98</v>
      </c>
      <c r="M350" s="4">
        <v>0.14399999999999999</v>
      </c>
      <c r="N350" s="4">
        <v>16</v>
      </c>
      <c r="O350" s="4">
        <f t="shared" si="30"/>
        <v>47563.605759999999</v>
      </c>
      <c r="P350">
        <f t="shared" si="31"/>
        <v>14921.76</v>
      </c>
      <c r="Q350" s="4">
        <f t="shared" si="33"/>
        <v>32641.845759999997</v>
      </c>
      <c r="R350" s="16">
        <f t="shared" si="34"/>
        <v>0.68627777979463256</v>
      </c>
    </row>
    <row r="351" spans="1:18" x14ac:dyDescent="0.3">
      <c r="A351" t="s">
        <v>800</v>
      </c>
      <c r="B351" s="6">
        <v>45825</v>
      </c>
      <c r="C351" s="2">
        <v>45843</v>
      </c>
      <c r="D351" s="4">
        <f t="shared" si="35"/>
        <v>18</v>
      </c>
      <c r="E351" s="4" t="str">
        <f>TEXT(Data!B351,"MMM-YYYY")</f>
        <v>Feb-2023</v>
      </c>
      <c r="F351" t="s">
        <v>48</v>
      </c>
      <c r="G351" t="s">
        <v>40</v>
      </c>
      <c r="H351" t="s">
        <v>49</v>
      </c>
      <c r="I351" t="s">
        <v>57</v>
      </c>
      <c r="J351" s="4">
        <v>982.93</v>
      </c>
      <c r="K351" s="7" t="str">
        <f t="shared" si="32"/>
        <v>High</v>
      </c>
      <c r="L351" s="4">
        <v>2299.3000000000002</v>
      </c>
      <c r="M351" s="4">
        <v>0.113</v>
      </c>
      <c r="N351" s="4">
        <v>6</v>
      </c>
      <c r="O351" s="4">
        <f t="shared" si="30"/>
        <v>6418.5448799999995</v>
      </c>
      <c r="P351">
        <f t="shared" si="31"/>
        <v>5897.58</v>
      </c>
      <c r="Q351" s="4">
        <f t="shared" si="33"/>
        <v>520.96487999999954</v>
      </c>
      <c r="R351" s="16">
        <f t="shared" si="34"/>
        <v>8.1165574088811171E-2</v>
      </c>
    </row>
    <row r="352" spans="1:18" x14ac:dyDescent="0.3">
      <c r="A352" t="s">
        <v>802</v>
      </c>
      <c r="B352" s="6">
        <v>44980</v>
      </c>
      <c r="C352" s="2">
        <v>44993</v>
      </c>
      <c r="D352" s="4">
        <f t="shared" si="35"/>
        <v>13</v>
      </c>
      <c r="E352" s="4" t="str">
        <f>TEXT(Data!B352,"MMM-YYYY")</f>
        <v>Dec-2023</v>
      </c>
      <c r="F352" t="s">
        <v>62</v>
      </c>
      <c r="G352" t="s">
        <v>98</v>
      </c>
      <c r="H352" t="s">
        <v>21</v>
      </c>
      <c r="I352" t="s">
        <v>30</v>
      </c>
      <c r="J352" s="4">
        <v>307.37</v>
      </c>
      <c r="K352" s="7" t="str">
        <f t="shared" si="32"/>
        <v>High</v>
      </c>
      <c r="L352" s="4">
        <v>462.61</v>
      </c>
      <c r="M352" s="4">
        <v>0.188</v>
      </c>
      <c r="N352" s="4">
        <v>11</v>
      </c>
      <c r="O352" s="4">
        <f t="shared" si="30"/>
        <v>19625.658360000001</v>
      </c>
      <c r="P352">
        <f t="shared" si="31"/>
        <v>3381.07</v>
      </c>
      <c r="Q352" s="4">
        <f t="shared" si="33"/>
        <v>16244.588360000002</v>
      </c>
      <c r="R352" s="16">
        <f t="shared" si="34"/>
        <v>0.82772195775652957</v>
      </c>
    </row>
    <row r="353" spans="1:18" x14ac:dyDescent="0.3">
      <c r="A353" t="s">
        <v>804</v>
      </c>
      <c r="B353" s="6">
        <v>45262</v>
      </c>
      <c r="C353" s="2">
        <v>45276</v>
      </c>
      <c r="D353" s="4">
        <f t="shared" si="35"/>
        <v>14</v>
      </c>
      <c r="E353" s="4" t="str">
        <f>TEXT(Data!B353,"MMM-YYYY")</f>
        <v>Jul-2023</v>
      </c>
      <c r="F353" t="s">
        <v>27</v>
      </c>
      <c r="G353" t="s">
        <v>98</v>
      </c>
      <c r="H353" t="s">
        <v>126</v>
      </c>
      <c r="I353" t="s">
        <v>64</v>
      </c>
      <c r="J353" s="4">
        <v>879.08</v>
      </c>
      <c r="K353" s="7" t="str">
        <f t="shared" si="32"/>
        <v>High</v>
      </c>
      <c r="L353" s="4">
        <v>1093.3900000000001</v>
      </c>
      <c r="M353" s="4">
        <v>0.113</v>
      </c>
      <c r="N353" s="4">
        <v>17</v>
      </c>
      <c r="O353" s="4">
        <f t="shared" si="30"/>
        <v>24437.027399999999</v>
      </c>
      <c r="P353">
        <f t="shared" si="31"/>
        <v>14944.36</v>
      </c>
      <c r="Q353" s="4">
        <f t="shared" si="33"/>
        <v>9492.6673999999985</v>
      </c>
      <c r="R353" s="16">
        <f t="shared" si="34"/>
        <v>0.38845426019369272</v>
      </c>
    </row>
    <row r="354" spans="1:18" x14ac:dyDescent="0.3">
      <c r="A354" t="s">
        <v>806</v>
      </c>
      <c r="B354" s="6">
        <v>45121</v>
      </c>
      <c r="C354" s="2">
        <v>45121</v>
      </c>
      <c r="D354" s="4">
        <f t="shared" si="35"/>
        <v>0</v>
      </c>
      <c r="E354" s="4" t="str">
        <f>TEXT(Data!B354,"MMM-YYYY")</f>
        <v>Aug-2024</v>
      </c>
      <c r="F354" t="s">
        <v>27</v>
      </c>
      <c r="G354" t="s">
        <v>20</v>
      </c>
      <c r="H354" t="s">
        <v>34</v>
      </c>
      <c r="I354" t="s">
        <v>81</v>
      </c>
      <c r="J354" s="4">
        <v>956.38</v>
      </c>
      <c r="K354" s="7" t="str">
        <f t="shared" si="32"/>
        <v>High</v>
      </c>
      <c r="L354" s="4">
        <v>1454.22</v>
      </c>
      <c r="M354" s="4">
        <v>3.9E-2</v>
      </c>
      <c r="N354" s="4">
        <v>19</v>
      </c>
      <c r="O354" s="4">
        <f t="shared" si="30"/>
        <v>18891.856940000001</v>
      </c>
      <c r="P354">
        <f t="shared" si="31"/>
        <v>18171.22</v>
      </c>
      <c r="Q354" s="4">
        <f t="shared" si="33"/>
        <v>720.63694000000032</v>
      </c>
      <c r="R354" s="16">
        <f t="shared" si="34"/>
        <v>3.8145373548440616E-2</v>
      </c>
    </row>
    <row r="355" spans="1:18" x14ac:dyDescent="0.3">
      <c r="A355" t="s">
        <v>808</v>
      </c>
      <c r="B355" s="6">
        <v>45512</v>
      </c>
      <c r="C355" s="2">
        <v>45524</v>
      </c>
      <c r="D355" s="4">
        <f t="shared" si="35"/>
        <v>12</v>
      </c>
      <c r="E355" s="4" t="str">
        <f>TEXT(Data!B355,"MMM-YYYY")</f>
        <v>Nov-2024</v>
      </c>
      <c r="F355" t="s">
        <v>62</v>
      </c>
      <c r="G355" t="s">
        <v>20</v>
      </c>
      <c r="H355" t="s">
        <v>92</v>
      </c>
      <c r="I355" t="s">
        <v>35</v>
      </c>
      <c r="J355" s="4">
        <v>1233.3599999999999</v>
      </c>
      <c r="K355" s="7" t="str">
        <f t="shared" si="32"/>
        <v>High</v>
      </c>
      <c r="L355" s="4">
        <v>2120.4</v>
      </c>
      <c r="M355" s="4">
        <v>0.17899999999999999</v>
      </c>
      <c r="N355" s="4">
        <v>20</v>
      </c>
      <c r="O355" s="4">
        <f t="shared" si="30"/>
        <v>31286.9964</v>
      </c>
      <c r="P355">
        <f t="shared" si="31"/>
        <v>24667.199999999997</v>
      </c>
      <c r="Q355" s="4">
        <f t="shared" si="33"/>
        <v>6619.7964000000029</v>
      </c>
      <c r="R355" s="16">
        <f t="shared" si="34"/>
        <v>0.21158299490838958</v>
      </c>
    </row>
    <row r="356" spans="1:18" x14ac:dyDescent="0.3">
      <c r="A356" t="s">
        <v>810</v>
      </c>
      <c r="B356" s="6">
        <v>45603</v>
      </c>
      <c r="C356" s="2">
        <v>45622</v>
      </c>
      <c r="D356" s="4">
        <f t="shared" si="35"/>
        <v>19</v>
      </c>
      <c r="E356" s="4" t="str">
        <f>TEXT(Data!B356,"MMM-YYYY")</f>
        <v>Jan-2024</v>
      </c>
      <c r="F356" t="s">
        <v>39</v>
      </c>
      <c r="G356" t="s">
        <v>55</v>
      </c>
      <c r="H356" t="s">
        <v>29</v>
      </c>
      <c r="I356" t="s">
        <v>30</v>
      </c>
      <c r="J356" s="4">
        <v>55.35</v>
      </c>
      <c r="K356" s="7" t="str">
        <f t="shared" si="32"/>
        <v>Medium</v>
      </c>
      <c r="L356" s="4">
        <v>128.68</v>
      </c>
      <c r="M356" s="4">
        <v>0.128</v>
      </c>
      <c r="N356" s="4">
        <v>10</v>
      </c>
      <c r="O356" s="4">
        <f t="shared" si="30"/>
        <v>4722.4031999999997</v>
      </c>
      <c r="P356">
        <f t="shared" si="31"/>
        <v>553.5</v>
      </c>
      <c r="Q356" s="4">
        <f t="shared" si="33"/>
        <v>4168.9031999999997</v>
      </c>
      <c r="R356" s="16">
        <f t="shared" si="34"/>
        <v>0.88279272722837387</v>
      </c>
    </row>
    <row r="357" spans="1:18" x14ac:dyDescent="0.3">
      <c r="A357" t="s">
        <v>812</v>
      </c>
      <c r="B357" s="6">
        <v>45292</v>
      </c>
      <c r="C357" s="2">
        <v>45318</v>
      </c>
      <c r="D357" s="4">
        <f t="shared" si="35"/>
        <v>26</v>
      </c>
      <c r="E357" s="4" t="str">
        <f>TEXT(Data!B357,"MMM-YYYY")</f>
        <v>Aug-2025</v>
      </c>
      <c r="F357" t="s">
        <v>27</v>
      </c>
      <c r="G357" t="s">
        <v>55</v>
      </c>
      <c r="H357" t="s">
        <v>145</v>
      </c>
      <c r="I357" t="s">
        <v>81</v>
      </c>
      <c r="J357" s="4">
        <v>657.45</v>
      </c>
      <c r="K357" s="7" t="str">
        <f t="shared" si="32"/>
        <v>High</v>
      </c>
      <c r="L357" s="4">
        <v>1325.96</v>
      </c>
      <c r="M357" s="4">
        <v>0.16700000000000001</v>
      </c>
      <c r="N357" s="4">
        <v>21</v>
      </c>
      <c r="O357" s="4">
        <f t="shared" si="30"/>
        <v>19532.683799999999</v>
      </c>
      <c r="P357">
        <f t="shared" si="31"/>
        <v>13806.45</v>
      </c>
      <c r="Q357" s="4">
        <f t="shared" si="33"/>
        <v>5726.2337999999982</v>
      </c>
      <c r="R357" s="16">
        <f t="shared" si="34"/>
        <v>0.29316164939914702</v>
      </c>
    </row>
    <row r="358" spans="1:18" x14ac:dyDescent="0.3">
      <c r="A358" t="s">
        <v>814</v>
      </c>
      <c r="B358" s="6">
        <v>45883</v>
      </c>
      <c r="C358" s="2">
        <v>45911</v>
      </c>
      <c r="D358" s="4">
        <f t="shared" si="35"/>
        <v>28</v>
      </c>
      <c r="E358" s="4" t="str">
        <f>TEXT(Data!B358,"MMM-YYYY")</f>
        <v>Apr-2024</v>
      </c>
      <c r="F358" t="s">
        <v>39</v>
      </c>
      <c r="G358" t="s">
        <v>98</v>
      </c>
      <c r="H358" t="s">
        <v>84</v>
      </c>
      <c r="I358" t="s">
        <v>30</v>
      </c>
      <c r="J358" s="4">
        <v>1203.02</v>
      </c>
      <c r="K358" s="7" t="str">
        <f t="shared" si="32"/>
        <v>High</v>
      </c>
      <c r="L358" s="4">
        <v>2439.33</v>
      </c>
      <c r="M358" s="4">
        <v>0</v>
      </c>
      <c r="N358" s="4">
        <v>18</v>
      </c>
      <c r="O358" s="4">
        <f t="shared" si="30"/>
        <v>26190</v>
      </c>
      <c r="P358">
        <f t="shared" si="31"/>
        <v>21654.36</v>
      </c>
      <c r="Q358" s="4">
        <f t="shared" si="33"/>
        <v>4535.6399999999994</v>
      </c>
      <c r="R358" s="16">
        <f t="shared" si="34"/>
        <v>0.17318213058419241</v>
      </c>
    </row>
    <row r="359" spans="1:18" x14ac:dyDescent="0.3">
      <c r="A359" t="s">
        <v>816</v>
      </c>
      <c r="B359" s="6">
        <v>45385</v>
      </c>
      <c r="C359" s="2">
        <v>45403</v>
      </c>
      <c r="D359" s="4">
        <f t="shared" si="35"/>
        <v>18</v>
      </c>
      <c r="E359" s="4" t="str">
        <f>TEXT(Data!B359,"MMM-YYYY")</f>
        <v>Nov-2024</v>
      </c>
      <c r="F359" t="s">
        <v>62</v>
      </c>
      <c r="G359" t="s">
        <v>55</v>
      </c>
      <c r="H359" t="s">
        <v>56</v>
      </c>
      <c r="I359" t="s">
        <v>35</v>
      </c>
      <c r="J359" s="4">
        <v>1176.69</v>
      </c>
      <c r="K359" s="7" t="str">
        <f t="shared" si="32"/>
        <v>High</v>
      </c>
      <c r="L359" s="4">
        <v>2201.54</v>
      </c>
      <c r="M359" s="4">
        <v>0.17</v>
      </c>
      <c r="N359" s="4">
        <v>27</v>
      </c>
      <c r="O359" s="4">
        <f t="shared" si="30"/>
        <v>28646.702999999998</v>
      </c>
      <c r="P359">
        <f t="shared" si="31"/>
        <v>31770.63</v>
      </c>
      <c r="Q359" s="4">
        <f t="shared" si="33"/>
        <v>-3123.9270000000033</v>
      </c>
      <c r="R359" s="16">
        <f t="shared" si="34"/>
        <v>-0.1090501409533936</v>
      </c>
    </row>
    <row r="360" spans="1:18" x14ac:dyDescent="0.3">
      <c r="A360" t="s">
        <v>818</v>
      </c>
      <c r="B360" s="6">
        <v>45621</v>
      </c>
      <c r="C360" s="2">
        <v>45633</v>
      </c>
      <c r="D360" s="4">
        <f t="shared" si="35"/>
        <v>12</v>
      </c>
      <c r="E360" s="4" t="str">
        <f>TEXT(Data!B360,"MMM-YYYY")</f>
        <v>Jan-2024</v>
      </c>
      <c r="F360" t="s">
        <v>19</v>
      </c>
      <c r="G360" t="s">
        <v>55</v>
      </c>
      <c r="H360" t="s">
        <v>75</v>
      </c>
      <c r="I360" t="s">
        <v>81</v>
      </c>
      <c r="J360" s="4">
        <v>769.9</v>
      </c>
      <c r="K360" s="7" t="str">
        <f t="shared" si="32"/>
        <v>High</v>
      </c>
      <c r="L360" s="4">
        <v>814.36</v>
      </c>
      <c r="M360" s="4">
        <v>0</v>
      </c>
      <c r="N360" s="4">
        <v>5</v>
      </c>
      <c r="O360" s="4">
        <f t="shared" si="30"/>
        <v>4499.1500000000005</v>
      </c>
      <c r="P360">
        <f t="shared" si="31"/>
        <v>3849.5</v>
      </c>
      <c r="Q360" s="4">
        <f t="shared" si="33"/>
        <v>649.65000000000055</v>
      </c>
      <c r="R360" s="16">
        <f t="shared" si="34"/>
        <v>0.14439394107775924</v>
      </c>
    </row>
    <row r="361" spans="1:18" x14ac:dyDescent="0.3">
      <c r="A361" t="s">
        <v>820</v>
      </c>
      <c r="B361" s="6">
        <v>45309</v>
      </c>
      <c r="C361" s="2">
        <v>45325</v>
      </c>
      <c r="D361" s="4">
        <f t="shared" si="35"/>
        <v>16</v>
      </c>
      <c r="E361" s="4" t="str">
        <f>TEXT(Data!B361,"MMM-YYYY")</f>
        <v>Jun-2024</v>
      </c>
      <c r="F361" t="s">
        <v>39</v>
      </c>
      <c r="G361" t="s">
        <v>55</v>
      </c>
      <c r="H361" t="s">
        <v>49</v>
      </c>
      <c r="I361" t="s">
        <v>30</v>
      </c>
      <c r="J361" s="4">
        <v>666.23</v>
      </c>
      <c r="K361" s="7" t="str">
        <f t="shared" si="32"/>
        <v>High</v>
      </c>
      <c r="L361" s="4">
        <v>1382.91</v>
      </c>
      <c r="M361" s="4">
        <v>0.17599999999999999</v>
      </c>
      <c r="N361" s="4">
        <v>13</v>
      </c>
      <c r="O361" s="4">
        <f t="shared" si="30"/>
        <v>9412.9557600000007</v>
      </c>
      <c r="P361">
        <f t="shared" si="31"/>
        <v>8660.99</v>
      </c>
      <c r="Q361" s="4">
        <f t="shared" si="33"/>
        <v>751.96576000000096</v>
      </c>
      <c r="R361" s="16">
        <f t="shared" si="34"/>
        <v>7.9886252434697616E-2</v>
      </c>
    </row>
    <row r="362" spans="1:18" x14ac:dyDescent="0.3">
      <c r="A362" t="s">
        <v>822</v>
      </c>
      <c r="B362" s="6">
        <v>45466</v>
      </c>
      <c r="C362" s="2">
        <v>45468</v>
      </c>
      <c r="D362" s="4">
        <f t="shared" si="35"/>
        <v>2</v>
      </c>
      <c r="E362" s="4" t="str">
        <f>TEXT(Data!B362,"MMM-YYYY")</f>
        <v>Jun-2025</v>
      </c>
      <c r="F362" t="s">
        <v>62</v>
      </c>
      <c r="G362" t="s">
        <v>40</v>
      </c>
      <c r="H362" t="s">
        <v>49</v>
      </c>
      <c r="I362" t="s">
        <v>81</v>
      </c>
      <c r="J362" s="4">
        <v>951.44</v>
      </c>
      <c r="K362" s="7" t="str">
        <f t="shared" si="32"/>
        <v>High</v>
      </c>
      <c r="L362" s="4">
        <v>1646.43</v>
      </c>
      <c r="M362" s="4">
        <v>0.11</v>
      </c>
      <c r="N362" s="4">
        <v>24</v>
      </c>
      <c r="O362" s="4">
        <f t="shared" si="30"/>
        <v>12696.811199999998</v>
      </c>
      <c r="P362">
        <f t="shared" si="31"/>
        <v>22834.560000000001</v>
      </c>
      <c r="Q362" s="4">
        <f t="shared" si="33"/>
        <v>-10137.748800000003</v>
      </c>
      <c r="R362" s="16">
        <f t="shared" si="34"/>
        <v>-0.79844841671741995</v>
      </c>
    </row>
    <row r="363" spans="1:18" x14ac:dyDescent="0.3">
      <c r="A363" t="s">
        <v>824</v>
      </c>
      <c r="B363" s="6">
        <v>45833</v>
      </c>
      <c r="C363" s="2">
        <v>45848</v>
      </c>
      <c r="D363" s="4">
        <f t="shared" si="35"/>
        <v>15</v>
      </c>
      <c r="E363" s="4" t="str">
        <f>TEXT(Data!B363,"MMM-YYYY")</f>
        <v>Jul-2023</v>
      </c>
      <c r="F363" t="s">
        <v>39</v>
      </c>
      <c r="G363" t="s">
        <v>40</v>
      </c>
      <c r="H363" t="s">
        <v>145</v>
      </c>
      <c r="I363" t="s">
        <v>42</v>
      </c>
      <c r="J363" s="4">
        <v>546.83000000000004</v>
      </c>
      <c r="K363" s="7" t="str">
        <f t="shared" si="32"/>
        <v>High</v>
      </c>
      <c r="L363" s="4">
        <v>400.84</v>
      </c>
      <c r="M363" s="4">
        <v>7.8E-2</v>
      </c>
      <c r="N363" s="4">
        <v>13</v>
      </c>
      <c r="O363" s="4">
        <f t="shared" si="30"/>
        <v>19391.5501</v>
      </c>
      <c r="P363">
        <f t="shared" si="31"/>
        <v>7108.7900000000009</v>
      </c>
      <c r="Q363" s="4">
        <f t="shared" si="33"/>
        <v>12282.7601</v>
      </c>
      <c r="R363" s="16">
        <f t="shared" si="34"/>
        <v>0.63340785221703344</v>
      </c>
    </row>
    <row r="364" spans="1:18" x14ac:dyDescent="0.3">
      <c r="A364" t="s">
        <v>826</v>
      </c>
      <c r="B364" s="6">
        <v>45108</v>
      </c>
      <c r="C364" s="2">
        <v>45115</v>
      </c>
      <c r="D364" s="4">
        <f t="shared" si="35"/>
        <v>7</v>
      </c>
      <c r="E364" s="4" t="str">
        <f>TEXT(Data!B364,"MMM-YYYY")</f>
        <v>Mar-2024</v>
      </c>
      <c r="F364" t="s">
        <v>19</v>
      </c>
      <c r="G364" t="s">
        <v>20</v>
      </c>
      <c r="H364" t="s">
        <v>75</v>
      </c>
      <c r="I364" t="s">
        <v>57</v>
      </c>
      <c r="J364" s="4">
        <v>834.26</v>
      </c>
      <c r="K364" s="7" t="str">
        <f t="shared" si="32"/>
        <v>High</v>
      </c>
      <c r="L364" s="4">
        <v>1780.56</v>
      </c>
      <c r="M364" s="4">
        <v>1.4E-2</v>
      </c>
      <c r="N364" s="4">
        <v>47</v>
      </c>
      <c r="O364" s="4">
        <f t="shared" si="30"/>
        <v>45086.595219999996</v>
      </c>
      <c r="P364">
        <f t="shared" si="31"/>
        <v>39210.22</v>
      </c>
      <c r="Q364" s="4">
        <f t="shared" si="33"/>
        <v>5876.3752199999944</v>
      </c>
      <c r="R364" s="16">
        <f t="shared" si="34"/>
        <v>0.13033530678744376</v>
      </c>
    </row>
    <row r="365" spans="1:18" x14ac:dyDescent="0.3">
      <c r="A365" t="s">
        <v>828</v>
      </c>
      <c r="B365" s="6">
        <v>45360</v>
      </c>
      <c r="C365" s="2">
        <v>45377</v>
      </c>
      <c r="D365" s="4">
        <f t="shared" si="35"/>
        <v>17</v>
      </c>
      <c r="E365" s="4" t="str">
        <f>TEXT(Data!B365,"MMM-YYYY")</f>
        <v>Jun-2023</v>
      </c>
      <c r="F365" t="s">
        <v>105</v>
      </c>
      <c r="G365" t="s">
        <v>28</v>
      </c>
      <c r="H365" t="s">
        <v>95</v>
      </c>
      <c r="I365" t="s">
        <v>64</v>
      </c>
      <c r="J365" s="4">
        <v>1029.67</v>
      </c>
      <c r="K365" s="7" t="str">
        <f t="shared" si="32"/>
        <v>High</v>
      </c>
      <c r="L365" s="4">
        <v>1118.43</v>
      </c>
      <c r="M365" s="4">
        <v>0.27200000000000002</v>
      </c>
      <c r="N365" s="4">
        <v>9</v>
      </c>
      <c r="O365" s="4">
        <f t="shared" si="30"/>
        <v>278.85311999999999</v>
      </c>
      <c r="P365">
        <f t="shared" si="31"/>
        <v>9267.0300000000007</v>
      </c>
      <c r="Q365" s="4">
        <f t="shared" si="33"/>
        <v>-8988.1768800000009</v>
      </c>
      <c r="R365" s="16">
        <f t="shared" si="34"/>
        <v>-32.232656676030743</v>
      </c>
    </row>
    <row r="366" spans="1:18" x14ac:dyDescent="0.3">
      <c r="A366" t="s">
        <v>830</v>
      </c>
      <c r="B366" s="6">
        <v>45082</v>
      </c>
      <c r="C366" s="2">
        <v>45105</v>
      </c>
      <c r="D366" s="4">
        <f t="shared" si="35"/>
        <v>23</v>
      </c>
      <c r="E366" s="4" t="str">
        <f>TEXT(Data!B366,"MMM-YYYY")</f>
        <v>Mar-2025</v>
      </c>
      <c r="F366" t="s">
        <v>19</v>
      </c>
      <c r="G366" t="s">
        <v>98</v>
      </c>
      <c r="H366" t="s">
        <v>95</v>
      </c>
      <c r="I366" t="s">
        <v>30</v>
      </c>
      <c r="J366" s="4">
        <v>605.82000000000005</v>
      </c>
      <c r="K366" s="7" t="str">
        <f t="shared" si="32"/>
        <v>High</v>
      </c>
      <c r="L366" s="4">
        <v>771.12</v>
      </c>
      <c r="M366" s="4">
        <v>0.13200000000000001</v>
      </c>
      <c r="N366" s="4">
        <v>19</v>
      </c>
      <c r="O366" s="4">
        <f t="shared" si="30"/>
        <v>24421.848359999996</v>
      </c>
      <c r="P366">
        <f t="shared" si="31"/>
        <v>11510.580000000002</v>
      </c>
      <c r="Q366" s="4">
        <f t="shared" si="33"/>
        <v>12911.268359999995</v>
      </c>
      <c r="R366" s="16">
        <f t="shared" si="34"/>
        <v>0.52867695227962652</v>
      </c>
    </row>
    <row r="367" spans="1:18" x14ac:dyDescent="0.3">
      <c r="A367" t="s">
        <v>832</v>
      </c>
      <c r="B367" s="6">
        <v>45737</v>
      </c>
      <c r="C367" s="2">
        <v>45756</v>
      </c>
      <c r="D367" s="4">
        <f t="shared" si="35"/>
        <v>19</v>
      </c>
      <c r="E367" s="4" t="str">
        <f>TEXT(Data!B367,"MMM-YYYY")</f>
        <v>Jun-2024</v>
      </c>
      <c r="F367" t="s">
        <v>62</v>
      </c>
      <c r="G367" t="s">
        <v>55</v>
      </c>
      <c r="H367" t="s">
        <v>63</v>
      </c>
      <c r="I367" t="s">
        <v>22</v>
      </c>
      <c r="J367" s="4">
        <v>1055.45</v>
      </c>
      <c r="K367" s="7" t="str">
        <f t="shared" si="32"/>
        <v>High</v>
      </c>
      <c r="L367" s="4">
        <v>1210.04</v>
      </c>
      <c r="M367" s="4">
        <v>8.9999999999999993E-3</v>
      </c>
      <c r="N367" s="4">
        <v>18</v>
      </c>
      <c r="O367" s="4">
        <f t="shared" si="30"/>
        <v>10065.26988</v>
      </c>
      <c r="P367">
        <f t="shared" si="31"/>
        <v>18998.100000000002</v>
      </c>
      <c r="Q367" s="4">
        <f t="shared" si="33"/>
        <v>-8932.8301200000024</v>
      </c>
      <c r="R367" s="16">
        <f t="shared" si="34"/>
        <v>-0.887490372985409</v>
      </c>
    </row>
    <row r="368" spans="1:18" x14ac:dyDescent="0.3">
      <c r="A368" t="s">
        <v>834</v>
      </c>
      <c r="B368" s="6">
        <v>45445</v>
      </c>
      <c r="C368" s="2">
        <v>45458</v>
      </c>
      <c r="D368" s="4">
        <f t="shared" si="35"/>
        <v>13</v>
      </c>
      <c r="E368" s="4" t="str">
        <f>TEXT(Data!B368,"MMM-YYYY")</f>
        <v>Mar-2025</v>
      </c>
      <c r="F368" t="s">
        <v>27</v>
      </c>
      <c r="G368" t="s">
        <v>28</v>
      </c>
      <c r="H368" t="s">
        <v>68</v>
      </c>
      <c r="I368" t="s">
        <v>42</v>
      </c>
      <c r="J368" s="4">
        <v>1295.18</v>
      </c>
      <c r="K368" s="7" t="str">
        <f t="shared" si="32"/>
        <v>High</v>
      </c>
      <c r="L368" s="4">
        <v>3024.03</v>
      </c>
      <c r="M368" s="4">
        <v>0.192</v>
      </c>
      <c r="N368" s="4">
        <v>8</v>
      </c>
      <c r="O368" s="4">
        <f t="shared" si="30"/>
        <v>13814.925440000001</v>
      </c>
      <c r="P368">
        <f t="shared" si="31"/>
        <v>10361.44</v>
      </c>
      <c r="Q368" s="4">
        <f t="shared" si="33"/>
        <v>3453.4854400000004</v>
      </c>
      <c r="R368" s="16">
        <f t="shared" si="34"/>
        <v>0.24998219896292109</v>
      </c>
    </row>
    <row r="369" spans="1:18" x14ac:dyDescent="0.3">
      <c r="A369" t="s">
        <v>836</v>
      </c>
      <c r="B369" s="6">
        <v>45731</v>
      </c>
      <c r="C369" s="2">
        <v>45745</v>
      </c>
      <c r="D369" s="4">
        <f t="shared" si="35"/>
        <v>14</v>
      </c>
      <c r="E369" s="4" t="str">
        <f>TEXT(Data!B369,"MMM-YYYY")</f>
        <v>Sep-2023</v>
      </c>
      <c r="F369" t="s">
        <v>105</v>
      </c>
      <c r="G369" t="s">
        <v>98</v>
      </c>
      <c r="H369" t="s">
        <v>21</v>
      </c>
      <c r="I369" t="s">
        <v>22</v>
      </c>
      <c r="J369" s="4">
        <v>935.83</v>
      </c>
      <c r="K369" s="7" t="str">
        <f t="shared" si="32"/>
        <v>High</v>
      </c>
      <c r="L369" s="4">
        <v>2303.46</v>
      </c>
      <c r="M369" s="4">
        <v>0.105</v>
      </c>
      <c r="N369" s="4">
        <v>9</v>
      </c>
      <c r="O369" s="4">
        <f t="shared" si="30"/>
        <v>13539.891150000001</v>
      </c>
      <c r="P369">
        <f t="shared" si="31"/>
        <v>8422.4700000000012</v>
      </c>
      <c r="Q369" s="4">
        <f t="shared" si="33"/>
        <v>5117.4211500000001</v>
      </c>
      <c r="R369" s="16">
        <f t="shared" si="34"/>
        <v>0.37795142466858012</v>
      </c>
    </row>
    <row r="370" spans="1:18" x14ac:dyDescent="0.3">
      <c r="A370" t="s">
        <v>838</v>
      </c>
      <c r="B370" s="6">
        <v>45194</v>
      </c>
      <c r="C370" s="2">
        <v>45208</v>
      </c>
      <c r="D370" s="4">
        <f t="shared" si="35"/>
        <v>14</v>
      </c>
      <c r="E370" s="4" t="str">
        <f>TEXT(Data!B370,"MMM-YYYY")</f>
        <v>Jun-2025</v>
      </c>
      <c r="F370" t="s">
        <v>62</v>
      </c>
      <c r="G370" t="s">
        <v>40</v>
      </c>
      <c r="H370" t="s">
        <v>29</v>
      </c>
      <c r="I370" t="s">
        <v>57</v>
      </c>
      <c r="J370" s="4">
        <v>1279.56</v>
      </c>
      <c r="K370" s="7" t="str">
        <f t="shared" si="32"/>
        <v>High</v>
      </c>
      <c r="L370" s="4">
        <v>3083.8</v>
      </c>
      <c r="M370" s="4">
        <v>0.106</v>
      </c>
      <c r="N370" s="4">
        <v>5</v>
      </c>
      <c r="O370" s="4">
        <f t="shared" si="30"/>
        <v>12985.618199999999</v>
      </c>
      <c r="P370">
        <f t="shared" si="31"/>
        <v>6397.7999999999993</v>
      </c>
      <c r="Q370" s="4">
        <f t="shared" si="33"/>
        <v>6587.8181999999997</v>
      </c>
      <c r="R370" s="16">
        <f t="shared" si="34"/>
        <v>0.50731648648040495</v>
      </c>
    </row>
    <row r="371" spans="1:18" x14ac:dyDescent="0.3">
      <c r="A371" t="s">
        <v>840</v>
      </c>
      <c r="B371" s="6">
        <v>45832</v>
      </c>
      <c r="C371" s="2">
        <v>45861</v>
      </c>
      <c r="D371" s="4">
        <f t="shared" si="35"/>
        <v>29</v>
      </c>
      <c r="E371" s="4" t="str">
        <f>TEXT(Data!B371,"MMM-YYYY")</f>
        <v>Dec-2023</v>
      </c>
      <c r="F371" t="s">
        <v>39</v>
      </c>
      <c r="G371" t="s">
        <v>40</v>
      </c>
      <c r="H371" t="s">
        <v>34</v>
      </c>
      <c r="I371" t="s">
        <v>30</v>
      </c>
      <c r="J371" s="4">
        <v>255.4</v>
      </c>
      <c r="K371" s="7" t="str">
        <f t="shared" si="32"/>
        <v>High</v>
      </c>
      <c r="L371" s="4">
        <v>322.70999999999998</v>
      </c>
      <c r="M371" s="4">
        <v>0.115</v>
      </c>
      <c r="N371" s="4">
        <v>16</v>
      </c>
      <c r="O371" s="4">
        <f t="shared" si="30"/>
        <v>11923.994400000001</v>
      </c>
      <c r="P371">
        <f t="shared" si="31"/>
        <v>4086.4</v>
      </c>
      <c r="Q371" s="4">
        <f t="shared" si="33"/>
        <v>7837.5944000000018</v>
      </c>
      <c r="R371" s="16">
        <f t="shared" si="34"/>
        <v>0.65729604837788258</v>
      </c>
    </row>
    <row r="372" spans="1:18" x14ac:dyDescent="0.3">
      <c r="A372" t="s">
        <v>842</v>
      </c>
      <c r="B372" s="6">
        <v>45286</v>
      </c>
      <c r="C372" s="2">
        <v>45294</v>
      </c>
      <c r="D372" s="4">
        <f t="shared" si="35"/>
        <v>8</v>
      </c>
      <c r="E372" s="4" t="str">
        <f>TEXT(Data!B372,"MMM-YYYY")</f>
        <v>Feb-2023</v>
      </c>
      <c r="F372" t="s">
        <v>62</v>
      </c>
      <c r="G372" t="s">
        <v>20</v>
      </c>
      <c r="H372" t="s">
        <v>110</v>
      </c>
      <c r="I372" t="s">
        <v>57</v>
      </c>
      <c r="J372" s="4">
        <v>492.75</v>
      </c>
      <c r="K372" s="7" t="str">
        <f t="shared" si="32"/>
        <v>High</v>
      </c>
      <c r="L372" s="4">
        <v>731.29</v>
      </c>
      <c r="M372" s="4">
        <v>5.8000000000000003E-2</v>
      </c>
      <c r="N372" s="4">
        <v>6</v>
      </c>
      <c r="O372" s="4">
        <f t="shared" si="30"/>
        <v>17698.503240000002</v>
      </c>
      <c r="P372">
        <f t="shared" si="31"/>
        <v>2956.5</v>
      </c>
      <c r="Q372" s="4">
        <f t="shared" si="33"/>
        <v>14742.003240000002</v>
      </c>
      <c r="R372" s="16">
        <f t="shared" si="34"/>
        <v>0.83295197566096557</v>
      </c>
    </row>
    <row r="373" spans="1:18" x14ac:dyDescent="0.3">
      <c r="A373" t="s">
        <v>844</v>
      </c>
      <c r="B373" s="6">
        <v>44962</v>
      </c>
      <c r="C373" s="2">
        <v>44985</v>
      </c>
      <c r="D373" s="4">
        <f t="shared" si="35"/>
        <v>23</v>
      </c>
      <c r="E373" s="4" t="str">
        <f>TEXT(Data!B373,"MMM-YYYY")</f>
        <v>Apr-2023</v>
      </c>
      <c r="F373" t="s">
        <v>39</v>
      </c>
      <c r="G373" t="s">
        <v>55</v>
      </c>
      <c r="H373" t="s">
        <v>49</v>
      </c>
      <c r="I373" t="s">
        <v>42</v>
      </c>
      <c r="J373" s="4">
        <v>1214.49</v>
      </c>
      <c r="K373" s="7" t="str">
        <f t="shared" si="32"/>
        <v>High</v>
      </c>
      <c r="L373" s="4">
        <v>1533.95</v>
      </c>
      <c r="M373" s="4">
        <v>0</v>
      </c>
      <c r="N373" s="4">
        <v>11</v>
      </c>
      <c r="O373" s="4">
        <f t="shared" si="30"/>
        <v>15891.92</v>
      </c>
      <c r="P373">
        <f t="shared" si="31"/>
        <v>13359.39</v>
      </c>
      <c r="Q373" s="4">
        <f t="shared" si="33"/>
        <v>2532.5300000000007</v>
      </c>
      <c r="R373" s="16">
        <f t="shared" si="34"/>
        <v>0.15935959909186559</v>
      </c>
    </row>
    <row r="374" spans="1:18" x14ac:dyDescent="0.3">
      <c r="A374" t="s">
        <v>846</v>
      </c>
      <c r="B374" s="6">
        <v>45022</v>
      </c>
      <c r="C374" s="2">
        <v>45024</v>
      </c>
      <c r="D374" s="4">
        <f t="shared" si="35"/>
        <v>2</v>
      </c>
      <c r="E374" s="4" t="str">
        <f>TEXT(Data!B374,"MMM-YYYY")</f>
        <v>Apr-2025</v>
      </c>
      <c r="F374" t="s">
        <v>62</v>
      </c>
      <c r="G374" t="s">
        <v>40</v>
      </c>
      <c r="H374" t="s">
        <v>95</v>
      </c>
      <c r="I374" t="s">
        <v>64</v>
      </c>
      <c r="J374" s="4">
        <v>720.35</v>
      </c>
      <c r="K374" s="7" t="str">
        <f t="shared" si="32"/>
        <v>High</v>
      </c>
      <c r="L374" s="4">
        <v>1571.66</v>
      </c>
      <c r="M374" s="4">
        <v>0.107</v>
      </c>
      <c r="N374" s="4">
        <v>23</v>
      </c>
      <c r="O374" s="4">
        <f t="shared" si="30"/>
        <v>59066.056200000006</v>
      </c>
      <c r="P374">
        <f t="shared" si="31"/>
        <v>16568.05</v>
      </c>
      <c r="Q374" s="4">
        <f t="shared" si="33"/>
        <v>42498.006200000003</v>
      </c>
      <c r="R374" s="16">
        <f t="shared" si="34"/>
        <v>0.71949964047201787</v>
      </c>
    </row>
    <row r="375" spans="1:18" x14ac:dyDescent="0.3">
      <c r="A375" t="s">
        <v>848</v>
      </c>
      <c r="B375" s="6">
        <v>45751</v>
      </c>
      <c r="C375" s="2">
        <v>45757</v>
      </c>
      <c r="D375" s="4">
        <f t="shared" si="35"/>
        <v>6</v>
      </c>
      <c r="E375" s="4" t="str">
        <f>TEXT(Data!B375,"MMM-YYYY")</f>
        <v>May-2024</v>
      </c>
      <c r="F375" t="s">
        <v>39</v>
      </c>
      <c r="G375" t="s">
        <v>98</v>
      </c>
      <c r="H375" t="s">
        <v>126</v>
      </c>
      <c r="I375" t="s">
        <v>30</v>
      </c>
      <c r="J375" s="4">
        <v>290.14</v>
      </c>
      <c r="K375" s="7" t="str">
        <f t="shared" si="32"/>
        <v>High</v>
      </c>
      <c r="L375" s="4">
        <v>250.73</v>
      </c>
      <c r="M375" s="4">
        <v>3.4000000000000002E-2</v>
      </c>
      <c r="N375" s="4">
        <v>17</v>
      </c>
      <c r="O375" s="4">
        <f t="shared" si="30"/>
        <v>26958.519419999997</v>
      </c>
      <c r="P375">
        <f t="shared" si="31"/>
        <v>4932.38</v>
      </c>
      <c r="Q375" s="4">
        <f t="shared" si="33"/>
        <v>22026.139419999996</v>
      </c>
      <c r="R375" s="16">
        <f t="shared" si="34"/>
        <v>0.81703817174986382</v>
      </c>
    </row>
    <row r="376" spans="1:18" x14ac:dyDescent="0.3">
      <c r="A376" t="s">
        <v>850</v>
      </c>
      <c r="B376" s="6">
        <v>45429</v>
      </c>
      <c r="C376" s="2">
        <v>45439</v>
      </c>
      <c r="D376" s="4">
        <f t="shared" si="35"/>
        <v>10</v>
      </c>
      <c r="E376" s="4" t="str">
        <f>TEXT(Data!B376,"MMM-YYYY")</f>
        <v>Mar-2024</v>
      </c>
      <c r="F376" t="s">
        <v>39</v>
      </c>
      <c r="G376" t="s">
        <v>28</v>
      </c>
      <c r="H376" t="s">
        <v>21</v>
      </c>
      <c r="I376" t="s">
        <v>42</v>
      </c>
      <c r="J376" s="4">
        <v>1484.23</v>
      </c>
      <c r="K376" s="7" t="str">
        <f t="shared" si="32"/>
        <v>High</v>
      </c>
      <c r="L376" s="4">
        <v>3472.81</v>
      </c>
      <c r="M376" s="4">
        <v>0.25600000000000001</v>
      </c>
      <c r="N376" s="4">
        <v>12</v>
      </c>
      <c r="O376" s="4">
        <f t="shared" si="30"/>
        <v>11597.65056</v>
      </c>
      <c r="P376">
        <f t="shared" si="31"/>
        <v>17810.760000000002</v>
      </c>
      <c r="Q376" s="4">
        <f t="shared" si="33"/>
        <v>-6213.109440000002</v>
      </c>
      <c r="R376" s="16">
        <f t="shared" si="34"/>
        <v>-0.53572138665988589</v>
      </c>
    </row>
    <row r="377" spans="1:18" x14ac:dyDescent="0.3">
      <c r="A377" t="s">
        <v>852</v>
      </c>
      <c r="B377" s="6">
        <v>45354</v>
      </c>
      <c r="C377" s="2">
        <v>45370</v>
      </c>
      <c r="D377" s="4">
        <f t="shared" si="35"/>
        <v>16</v>
      </c>
      <c r="E377" s="4" t="str">
        <f>TEXT(Data!B377,"MMM-YYYY")</f>
        <v>Jun-2025</v>
      </c>
      <c r="F377" t="s">
        <v>48</v>
      </c>
      <c r="G377" t="s">
        <v>55</v>
      </c>
      <c r="H377" t="s">
        <v>41</v>
      </c>
      <c r="I377" t="s">
        <v>42</v>
      </c>
      <c r="J377" s="4">
        <v>988.83</v>
      </c>
      <c r="K377" s="7" t="str">
        <f t="shared" si="32"/>
        <v>High</v>
      </c>
      <c r="L377" s="4">
        <v>1206.04</v>
      </c>
      <c r="M377" s="4">
        <v>6.3E-2</v>
      </c>
      <c r="N377" s="4">
        <v>34</v>
      </c>
      <c r="O377" s="4">
        <f t="shared" si="30"/>
        <v>35635.084480000005</v>
      </c>
      <c r="P377">
        <f t="shared" si="31"/>
        <v>33620.22</v>
      </c>
      <c r="Q377" s="4">
        <f t="shared" si="33"/>
        <v>2014.8644800000038</v>
      </c>
      <c r="R377" s="16">
        <f t="shared" si="34"/>
        <v>5.6541594033005182E-2</v>
      </c>
    </row>
    <row r="378" spans="1:18" x14ac:dyDescent="0.3">
      <c r="A378" t="s">
        <v>854</v>
      </c>
      <c r="B378" s="6">
        <v>45835</v>
      </c>
      <c r="C378" s="2">
        <v>45849</v>
      </c>
      <c r="D378" s="4">
        <f t="shared" si="35"/>
        <v>14</v>
      </c>
      <c r="E378" s="4" t="str">
        <f>TEXT(Data!B378,"MMM-YYYY")</f>
        <v>Mar-2023</v>
      </c>
      <c r="F378" t="s">
        <v>62</v>
      </c>
      <c r="G378" t="s">
        <v>40</v>
      </c>
      <c r="H378" t="s">
        <v>49</v>
      </c>
      <c r="I378" t="s">
        <v>35</v>
      </c>
      <c r="J378" s="4">
        <v>1227.7</v>
      </c>
      <c r="K378" s="7" t="str">
        <f t="shared" si="32"/>
        <v>High</v>
      </c>
      <c r="L378" s="4">
        <v>2197.23</v>
      </c>
      <c r="M378" s="4">
        <v>9.9000000000000005E-2</v>
      </c>
      <c r="N378" s="4">
        <v>22</v>
      </c>
      <c r="O378" s="4">
        <f t="shared" si="30"/>
        <v>23483.321620000002</v>
      </c>
      <c r="P378">
        <f t="shared" si="31"/>
        <v>27009.4</v>
      </c>
      <c r="Q378" s="4">
        <f t="shared" si="33"/>
        <v>-3526.078379999999</v>
      </c>
      <c r="R378" s="16">
        <f t="shared" si="34"/>
        <v>-0.15015245445503542</v>
      </c>
    </row>
    <row r="379" spans="1:18" x14ac:dyDescent="0.3">
      <c r="A379" t="s">
        <v>856</v>
      </c>
      <c r="B379" s="6">
        <v>44998</v>
      </c>
      <c r="C379" s="2">
        <v>45020</v>
      </c>
      <c r="D379" s="4">
        <f t="shared" si="35"/>
        <v>22</v>
      </c>
      <c r="E379" s="4" t="str">
        <f>TEXT(Data!B379,"MMM-YYYY")</f>
        <v>Jan-2025</v>
      </c>
      <c r="F379" t="s">
        <v>62</v>
      </c>
      <c r="G379" t="s">
        <v>20</v>
      </c>
      <c r="H379" t="s">
        <v>75</v>
      </c>
      <c r="I379" t="s">
        <v>22</v>
      </c>
      <c r="J379" s="4">
        <v>1113.7</v>
      </c>
      <c r="K379" s="7" t="str">
        <f t="shared" si="32"/>
        <v>High</v>
      </c>
      <c r="L379" s="4">
        <v>1620.6</v>
      </c>
      <c r="M379" s="4">
        <v>0.13900000000000001</v>
      </c>
      <c r="N379" s="4">
        <v>11</v>
      </c>
      <c r="O379" s="4">
        <f t="shared" si="30"/>
        <v>11379.122369999999</v>
      </c>
      <c r="P379">
        <f t="shared" si="31"/>
        <v>12250.7</v>
      </c>
      <c r="Q379" s="4">
        <f t="shared" si="33"/>
        <v>-871.57763000000159</v>
      </c>
      <c r="R379" s="16">
        <f t="shared" si="34"/>
        <v>-7.6594450930401736E-2</v>
      </c>
    </row>
    <row r="380" spans="1:18" x14ac:dyDescent="0.3">
      <c r="A380" t="s">
        <v>858</v>
      </c>
      <c r="B380" s="6">
        <v>45664</v>
      </c>
      <c r="C380" s="2">
        <v>45677</v>
      </c>
      <c r="D380" s="4">
        <f t="shared" si="35"/>
        <v>13</v>
      </c>
      <c r="E380" s="4" t="str">
        <f>TEXT(Data!B380,"MMM-YYYY")</f>
        <v>Feb-2025</v>
      </c>
      <c r="F380" t="s">
        <v>19</v>
      </c>
      <c r="G380" t="s">
        <v>98</v>
      </c>
      <c r="H380" t="s">
        <v>95</v>
      </c>
      <c r="I380" t="s">
        <v>35</v>
      </c>
      <c r="J380" s="4">
        <v>432.13</v>
      </c>
      <c r="K380" s="7" t="str">
        <f t="shared" si="32"/>
        <v>High</v>
      </c>
      <c r="L380" s="4">
        <v>1034.6600000000001</v>
      </c>
      <c r="M380" s="4">
        <v>9.1999999999999998E-2</v>
      </c>
      <c r="N380" s="4">
        <v>7</v>
      </c>
      <c r="O380" s="4">
        <f t="shared" si="30"/>
        <v>5599.5724400000008</v>
      </c>
      <c r="P380">
        <f t="shared" si="31"/>
        <v>3024.91</v>
      </c>
      <c r="Q380" s="4">
        <f t="shared" si="33"/>
        <v>2574.662440000001</v>
      </c>
      <c r="R380" s="16">
        <f t="shared" si="34"/>
        <v>0.45979625544410324</v>
      </c>
    </row>
    <row r="381" spans="1:18" x14ac:dyDescent="0.3">
      <c r="A381" t="s">
        <v>860</v>
      </c>
      <c r="B381" s="6">
        <v>45694</v>
      </c>
      <c r="C381" s="2">
        <v>45703</v>
      </c>
      <c r="D381" s="4">
        <f t="shared" si="35"/>
        <v>9</v>
      </c>
      <c r="E381" s="4" t="str">
        <f>TEXT(Data!B381,"MMM-YYYY")</f>
        <v>Jan-2025</v>
      </c>
      <c r="F381" t="s">
        <v>39</v>
      </c>
      <c r="G381" t="s">
        <v>55</v>
      </c>
      <c r="H381" t="s">
        <v>84</v>
      </c>
      <c r="I381" t="s">
        <v>35</v>
      </c>
      <c r="J381" s="4">
        <v>837.39</v>
      </c>
      <c r="K381" s="7" t="str">
        <f t="shared" si="32"/>
        <v>High</v>
      </c>
      <c r="L381" s="4">
        <v>1905.42</v>
      </c>
      <c r="M381" s="4">
        <v>3.2000000000000001E-2</v>
      </c>
      <c r="N381" s="4">
        <v>18</v>
      </c>
      <c r="O381" s="4">
        <f t="shared" si="30"/>
        <v>35734.358879999992</v>
      </c>
      <c r="P381">
        <f t="shared" si="31"/>
        <v>15073.02</v>
      </c>
      <c r="Q381" s="4">
        <f t="shared" si="33"/>
        <v>20661.338879999992</v>
      </c>
      <c r="R381" s="16">
        <f t="shared" si="34"/>
        <v>0.57819251632254265</v>
      </c>
    </row>
    <row r="382" spans="1:18" x14ac:dyDescent="0.3">
      <c r="A382" t="s">
        <v>862</v>
      </c>
      <c r="B382" s="6">
        <v>45688</v>
      </c>
      <c r="C382" s="2">
        <v>45705</v>
      </c>
      <c r="D382" s="4">
        <f t="shared" si="35"/>
        <v>17</v>
      </c>
      <c r="E382" s="4" t="str">
        <f>TEXT(Data!B382,"MMM-YYYY")</f>
        <v>Aug-2025</v>
      </c>
      <c r="F382" t="s">
        <v>105</v>
      </c>
      <c r="G382" t="s">
        <v>20</v>
      </c>
      <c r="H382" t="s">
        <v>92</v>
      </c>
      <c r="I382" t="s">
        <v>22</v>
      </c>
      <c r="J382" s="4">
        <v>378.26</v>
      </c>
      <c r="K382" s="7" t="str">
        <f t="shared" si="32"/>
        <v>High</v>
      </c>
      <c r="L382" s="4">
        <v>541.55999999999995</v>
      </c>
      <c r="M382" s="4">
        <v>0.16300000000000001</v>
      </c>
      <c r="N382" s="4">
        <v>25</v>
      </c>
      <c r="O382" s="4">
        <f t="shared" si="30"/>
        <v>36365.557499999995</v>
      </c>
      <c r="P382">
        <f t="shared" si="31"/>
        <v>9456.5</v>
      </c>
      <c r="Q382" s="4">
        <f t="shared" si="33"/>
        <v>26909.057499999995</v>
      </c>
      <c r="R382" s="16">
        <f t="shared" si="34"/>
        <v>0.73995998823887132</v>
      </c>
    </row>
    <row r="383" spans="1:18" x14ac:dyDescent="0.3">
      <c r="A383" t="s">
        <v>863</v>
      </c>
      <c r="B383" s="6">
        <v>45876</v>
      </c>
      <c r="C383" s="2">
        <v>45906</v>
      </c>
      <c r="D383" s="4">
        <f t="shared" si="35"/>
        <v>30</v>
      </c>
      <c r="E383" s="4" t="str">
        <f>TEXT(Data!B383,"MMM-YYYY")</f>
        <v>Jul-2025</v>
      </c>
      <c r="F383" t="s">
        <v>27</v>
      </c>
      <c r="G383" t="s">
        <v>98</v>
      </c>
      <c r="H383" t="s">
        <v>110</v>
      </c>
      <c r="I383" t="s">
        <v>35</v>
      </c>
      <c r="J383" s="4">
        <v>833.73</v>
      </c>
      <c r="K383" s="7" t="str">
        <f t="shared" si="32"/>
        <v>High</v>
      </c>
      <c r="L383" s="4">
        <v>1116.5999999999999</v>
      </c>
      <c r="M383" s="4">
        <v>0.17599999999999999</v>
      </c>
      <c r="N383" s="4">
        <v>14</v>
      </c>
      <c r="O383" s="4">
        <f t="shared" si="30"/>
        <v>16015.544160000001</v>
      </c>
      <c r="P383">
        <f t="shared" si="31"/>
        <v>11672.220000000001</v>
      </c>
      <c r="Q383" s="4">
        <f t="shared" si="33"/>
        <v>4343.3241600000001</v>
      </c>
      <c r="R383" s="16">
        <f t="shared" si="34"/>
        <v>0.27119429203334666</v>
      </c>
    </row>
    <row r="384" spans="1:18" x14ac:dyDescent="0.3">
      <c r="A384" t="s">
        <v>865</v>
      </c>
      <c r="B384" s="6">
        <v>45861</v>
      </c>
      <c r="C384" s="2">
        <v>45886</v>
      </c>
      <c r="D384" s="4">
        <f t="shared" si="35"/>
        <v>25</v>
      </c>
      <c r="E384" s="4" t="str">
        <f>TEXT(Data!B384,"MMM-YYYY")</f>
        <v>Jun-2023</v>
      </c>
      <c r="F384" t="s">
        <v>27</v>
      </c>
      <c r="G384" t="s">
        <v>28</v>
      </c>
      <c r="H384" t="s">
        <v>34</v>
      </c>
      <c r="I384" t="s">
        <v>30</v>
      </c>
      <c r="J384" s="4">
        <v>1142.06</v>
      </c>
      <c r="K384" s="7" t="str">
        <f t="shared" si="32"/>
        <v>High</v>
      </c>
      <c r="L384" s="4">
        <v>1455</v>
      </c>
      <c r="M384" s="4">
        <v>7.8E-2</v>
      </c>
      <c r="N384" s="4">
        <v>28</v>
      </c>
      <c r="O384" s="4">
        <f t="shared" si="30"/>
        <v>13660.278240000001</v>
      </c>
      <c r="P384">
        <f t="shared" si="31"/>
        <v>31977.68</v>
      </c>
      <c r="Q384" s="4">
        <f t="shared" si="33"/>
        <v>-18317.401760000001</v>
      </c>
      <c r="R384" s="16">
        <f t="shared" si="34"/>
        <v>-1.3409244993533893</v>
      </c>
    </row>
    <row r="385" spans="1:18" x14ac:dyDescent="0.3">
      <c r="A385" t="s">
        <v>867</v>
      </c>
      <c r="B385" s="6">
        <v>45097</v>
      </c>
      <c r="C385" s="2">
        <v>45115</v>
      </c>
      <c r="D385" s="4">
        <f t="shared" si="35"/>
        <v>18</v>
      </c>
      <c r="E385" s="4" t="str">
        <f>TEXT(Data!B385,"MMM-YYYY")</f>
        <v>Jul-2024</v>
      </c>
      <c r="F385" t="s">
        <v>48</v>
      </c>
      <c r="G385" t="s">
        <v>40</v>
      </c>
      <c r="H385" t="s">
        <v>68</v>
      </c>
      <c r="I385" t="s">
        <v>35</v>
      </c>
      <c r="J385" s="4">
        <v>1145.53</v>
      </c>
      <c r="K385" s="7" t="str">
        <f t="shared" si="32"/>
        <v>High</v>
      </c>
      <c r="L385" s="4">
        <v>1278.3</v>
      </c>
      <c r="M385" s="4">
        <v>0.09</v>
      </c>
      <c r="N385" s="4">
        <v>41</v>
      </c>
      <c r="O385" s="4">
        <f t="shared" si="30"/>
        <v>73589.497799999997</v>
      </c>
      <c r="P385">
        <f t="shared" si="31"/>
        <v>46966.729999999996</v>
      </c>
      <c r="Q385" s="4">
        <f t="shared" si="33"/>
        <v>26622.767800000001</v>
      </c>
      <c r="R385" s="16">
        <f t="shared" si="34"/>
        <v>0.36177401118234026</v>
      </c>
    </row>
    <row r="386" spans="1:18" x14ac:dyDescent="0.3">
      <c r="A386" t="s">
        <v>869</v>
      </c>
      <c r="B386" s="6">
        <v>45491</v>
      </c>
      <c r="C386" s="2">
        <v>45511</v>
      </c>
      <c r="D386" s="4">
        <f t="shared" si="35"/>
        <v>20</v>
      </c>
      <c r="E386" s="4" t="str">
        <f>TEXT(Data!B386,"MMM-YYYY")</f>
        <v>May-2023</v>
      </c>
      <c r="F386" t="s">
        <v>19</v>
      </c>
      <c r="G386" t="s">
        <v>20</v>
      </c>
      <c r="H386" t="s">
        <v>84</v>
      </c>
      <c r="I386" t="s">
        <v>64</v>
      </c>
      <c r="J386" s="4">
        <v>941.35</v>
      </c>
      <c r="K386" s="7" t="str">
        <f t="shared" si="32"/>
        <v>High</v>
      </c>
      <c r="L386" s="4">
        <v>899.83</v>
      </c>
      <c r="M386" s="4">
        <v>5.8000000000000003E-2</v>
      </c>
      <c r="N386" s="4">
        <v>18</v>
      </c>
      <c r="O386" s="4">
        <f t="shared" ref="O386:O449" si="36">(L412*N386)*(1-M386)</f>
        <v>14867.190359999997</v>
      </c>
      <c r="P386">
        <f t="shared" ref="P386:P449" si="37">(J386*N386)</f>
        <v>16944.3</v>
      </c>
      <c r="Q386" s="4">
        <f t="shared" si="33"/>
        <v>-2077.1096400000024</v>
      </c>
      <c r="R386" s="16">
        <f t="shared" si="34"/>
        <v>-0.13971097360725546</v>
      </c>
    </row>
    <row r="387" spans="1:18" x14ac:dyDescent="0.3">
      <c r="A387" t="s">
        <v>871</v>
      </c>
      <c r="B387" s="6">
        <v>45066</v>
      </c>
      <c r="C387" s="2">
        <v>45096</v>
      </c>
      <c r="D387" s="4">
        <f t="shared" si="35"/>
        <v>30</v>
      </c>
      <c r="E387" s="4" t="str">
        <f>TEXT(Data!B387,"MMM-YYYY")</f>
        <v>May-2025</v>
      </c>
      <c r="F387" t="s">
        <v>39</v>
      </c>
      <c r="G387" t="s">
        <v>40</v>
      </c>
      <c r="H387" t="s">
        <v>92</v>
      </c>
      <c r="I387" t="s">
        <v>57</v>
      </c>
      <c r="J387" s="4">
        <v>1161.2</v>
      </c>
      <c r="K387" s="7" t="str">
        <f t="shared" ref="K387:K450" si="38">IF(L387&lt;50, "Low", IF(L387&lt;200, "Medium", "High"))</f>
        <v>High</v>
      </c>
      <c r="L387" s="4">
        <v>878.73</v>
      </c>
      <c r="M387" s="4">
        <v>0.19</v>
      </c>
      <c r="N387" s="4">
        <v>31</v>
      </c>
      <c r="O387" s="4">
        <f t="shared" si="36"/>
        <v>20697.168600000001</v>
      </c>
      <c r="P387">
        <f t="shared" si="37"/>
        <v>35997.200000000004</v>
      </c>
      <c r="Q387" s="4">
        <f t="shared" ref="Q387:Q450" si="39">(O387-P387)</f>
        <v>-15300.031400000003</v>
      </c>
      <c r="R387" s="16">
        <f t="shared" ref="R387:R450" si="40">(Q387/O387)</f>
        <v>-0.73923306591801174</v>
      </c>
    </row>
    <row r="388" spans="1:18" x14ac:dyDescent="0.3">
      <c r="A388" t="s">
        <v>873</v>
      </c>
      <c r="B388" s="6">
        <v>45789</v>
      </c>
      <c r="C388" s="2">
        <v>45803</v>
      </c>
      <c r="D388" s="4">
        <f t="shared" si="35"/>
        <v>14</v>
      </c>
      <c r="E388" s="4" t="str">
        <f>TEXT(Data!B388,"MMM-YYYY")</f>
        <v>May-2024</v>
      </c>
      <c r="F388" t="s">
        <v>19</v>
      </c>
      <c r="G388" t="s">
        <v>40</v>
      </c>
      <c r="H388" t="s">
        <v>41</v>
      </c>
      <c r="I388" t="s">
        <v>30</v>
      </c>
      <c r="J388" s="4">
        <v>320.12</v>
      </c>
      <c r="K388" s="7" t="str">
        <f t="shared" si="38"/>
        <v>High</v>
      </c>
      <c r="L388" s="4">
        <v>594.41999999999996</v>
      </c>
      <c r="M388" s="4">
        <v>0.104</v>
      </c>
      <c r="N388" s="4">
        <v>18</v>
      </c>
      <c r="O388" s="4">
        <f t="shared" si="36"/>
        <v>18697.996800000001</v>
      </c>
      <c r="P388">
        <f t="shared" si="37"/>
        <v>5762.16</v>
      </c>
      <c r="Q388" s="4">
        <f t="shared" si="39"/>
        <v>12935.836800000001</v>
      </c>
      <c r="R388" s="16">
        <f t="shared" si="40"/>
        <v>0.69183008952060576</v>
      </c>
    </row>
    <row r="389" spans="1:18" x14ac:dyDescent="0.3">
      <c r="A389" t="s">
        <v>875</v>
      </c>
      <c r="B389" s="6">
        <v>45419</v>
      </c>
      <c r="C389" s="2">
        <v>45424</v>
      </c>
      <c r="D389" s="4">
        <f t="shared" ref="D389:D451" si="41">DATEDIF(B389,C389, "MD")</f>
        <v>5</v>
      </c>
      <c r="E389" s="4" t="str">
        <f>TEXT(Data!B389,"MMM-YYYY")</f>
        <v>Sep-2023</v>
      </c>
      <c r="F389" t="s">
        <v>39</v>
      </c>
      <c r="G389" t="s">
        <v>55</v>
      </c>
      <c r="H389" t="s">
        <v>49</v>
      </c>
      <c r="I389" t="s">
        <v>57</v>
      </c>
      <c r="J389" s="4">
        <v>1163.99</v>
      </c>
      <c r="K389" s="7" t="str">
        <f t="shared" si="38"/>
        <v>High</v>
      </c>
      <c r="L389" s="4">
        <v>1617.85</v>
      </c>
      <c r="M389" s="4">
        <v>0.127</v>
      </c>
      <c r="N389" s="4">
        <v>14</v>
      </c>
      <c r="O389" s="4">
        <f t="shared" si="36"/>
        <v>30720.11922</v>
      </c>
      <c r="P389">
        <f t="shared" si="37"/>
        <v>16295.86</v>
      </c>
      <c r="Q389" s="4">
        <f t="shared" si="39"/>
        <v>14424.25922</v>
      </c>
      <c r="R389" s="16">
        <f t="shared" si="40"/>
        <v>0.4695378659406127</v>
      </c>
    </row>
    <row r="390" spans="1:18" x14ac:dyDescent="0.3">
      <c r="A390" t="s">
        <v>877</v>
      </c>
      <c r="B390" s="6">
        <v>45199</v>
      </c>
      <c r="C390" s="2">
        <v>45202</v>
      </c>
      <c r="D390" s="4">
        <f t="shared" si="41"/>
        <v>3</v>
      </c>
      <c r="E390" s="4" t="str">
        <f>TEXT(Data!B390,"MMM-YYYY")</f>
        <v>Oct-2023</v>
      </c>
      <c r="F390" t="s">
        <v>39</v>
      </c>
      <c r="G390" t="s">
        <v>20</v>
      </c>
      <c r="H390" t="s">
        <v>29</v>
      </c>
      <c r="I390" t="s">
        <v>57</v>
      </c>
      <c r="J390" s="4">
        <v>1019.36</v>
      </c>
      <c r="K390" s="7" t="str">
        <f t="shared" si="38"/>
        <v>High</v>
      </c>
      <c r="L390" s="4">
        <v>972.91</v>
      </c>
      <c r="M390" s="4">
        <v>0.14699999999999999</v>
      </c>
      <c r="N390" s="4">
        <v>17</v>
      </c>
      <c r="O390" s="4">
        <f t="shared" si="36"/>
        <v>44766.472129999995</v>
      </c>
      <c r="P390">
        <f t="shared" si="37"/>
        <v>17329.12</v>
      </c>
      <c r="Q390" s="4">
        <f t="shared" si="39"/>
        <v>27437.352129999996</v>
      </c>
      <c r="R390" s="16">
        <f t="shared" si="40"/>
        <v>0.61289958365097552</v>
      </c>
    </row>
    <row r="391" spans="1:18" x14ac:dyDescent="0.3">
      <c r="A391" t="s">
        <v>879</v>
      </c>
      <c r="B391" s="6">
        <v>45225</v>
      </c>
      <c r="C391" s="2">
        <v>45235</v>
      </c>
      <c r="D391" s="4">
        <f t="shared" si="41"/>
        <v>10</v>
      </c>
      <c r="E391" s="4" t="str">
        <f>TEXT(Data!B391,"MMM-YYYY")</f>
        <v>Jun-2025</v>
      </c>
      <c r="F391" t="s">
        <v>39</v>
      </c>
      <c r="G391" t="s">
        <v>28</v>
      </c>
      <c r="H391" t="s">
        <v>34</v>
      </c>
      <c r="I391" t="s">
        <v>57</v>
      </c>
      <c r="J391" s="4">
        <v>20.38</v>
      </c>
      <c r="K391" s="7" t="str">
        <f t="shared" si="38"/>
        <v>Low</v>
      </c>
      <c r="L391" s="4">
        <v>42.56</v>
      </c>
      <c r="M391" s="4">
        <v>7.1999999999999995E-2</v>
      </c>
      <c r="N391" s="4">
        <v>11</v>
      </c>
      <c r="O391" s="4">
        <f t="shared" si="36"/>
        <v>27736.667200000004</v>
      </c>
      <c r="P391">
        <f t="shared" si="37"/>
        <v>224.17999999999998</v>
      </c>
      <c r="Q391" s="4">
        <f t="shared" si="39"/>
        <v>27512.487200000003</v>
      </c>
      <c r="R391" s="16">
        <f t="shared" si="40"/>
        <v>0.99191755814123195</v>
      </c>
    </row>
    <row r="392" spans="1:18" x14ac:dyDescent="0.3">
      <c r="A392" t="s">
        <v>881</v>
      </c>
      <c r="B392" s="6">
        <v>45823</v>
      </c>
      <c r="C392" s="2">
        <v>45838</v>
      </c>
      <c r="D392" s="4">
        <f t="shared" si="41"/>
        <v>15</v>
      </c>
      <c r="E392" s="4" t="str">
        <f>TEXT(Data!B392,"MMM-YYYY")</f>
        <v>Aug-2024</v>
      </c>
      <c r="F392" t="s">
        <v>62</v>
      </c>
      <c r="G392" t="s">
        <v>98</v>
      </c>
      <c r="H392" t="s">
        <v>21</v>
      </c>
      <c r="I392" t="s">
        <v>64</v>
      </c>
      <c r="J392" s="4">
        <v>1487.59</v>
      </c>
      <c r="K392" s="7" t="str">
        <f t="shared" si="38"/>
        <v>High</v>
      </c>
      <c r="L392" s="4">
        <v>1480.83</v>
      </c>
      <c r="M392" s="4">
        <v>8.9999999999999993E-3</v>
      </c>
      <c r="N392" s="4">
        <v>11</v>
      </c>
      <c r="O392" s="4">
        <f t="shared" si="36"/>
        <v>9830.4127899999985</v>
      </c>
      <c r="P392">
        <f t="shared" si="37"/>
        <v>16363.49</v>
      </c>
      <c r="Q392" s="4">
        <f t="shared" si="39"/>
        <v>-6533.0772100000013</v>
      </c>
      <c r="R392" s="16">
        <f t="shared" si="40"/>
        <v>-0.66457811584939586</v>
      </c>
    </row>
    <row r="393" spans="1:18" x14ac:dyDescent="0.3">
      <c r="A393" t="s">
        <v>883</v>
      </c>
      <c r="B393" s="6">
        <v>45514</v>
      </c>
      <c r="C393" s="2">
        <v>45542</v>
      </c>
      <c r="D393" s="4">
        <f t="shared" si="41"/>
        <v>28</v>
      </c>
      <c r="E393" s="4" t="str">
        <f>TEXT(Data!B393,"MMM-YYYY")</f>
        <v>Oct-2023</v>
      </c>
      <c r="F393" t="s">
        <v>39</v>
      </c>
      <c r="G393" t="s">
        <v>98</v>
      </c>
      <c r="H393" t="s">
        <v>84</v>
      </c>
      <c r="I393" t="s">
        <v>30</v>
      </c>
      <c r="J393" s="4">
        <v>229.96</v>
      </c>
      <c r="K393" s="7" t="str">
        <f t="shared" si="38"/>
        <v>High</v>
      </c>
      <c r="L393" s="4">
        <v>564.26</v>
      </c>
      <c r="M393" s="4">
        <v>0.105</v>
      </c>
      <c r="N393" s="4">
        <v>5</v>
      </c>
      <c r="O393" s="4">
        <f t="shared" si="36"/>
        <v>3562.7712500000002</v>
      </c>
      <c r="P393">
        <f t="shared" si="37"/>
        <v>1149.8</v>
      </c>
      <c r="Q393" s="4">
        <f t="shared" si="39"/>
        <v>2412.9712500000005</v>
      </c>
      <c r="R393" s="16">
        <f t="shared" si="40"/>
        <v>0.67727369530109471</v>
      </c>
    </row>
    <row r="394" spans="1:18" x14ac:dyDescent="0.3">
      <c r="A394" t="s">
        <v>885</v>
      </c>
      <c r="B394" s="6">
        <v>45208</v>
      </c>
      <c r="C394" s="2">
        <v>45225</v>
      </c>
      <c r="D394" s="4">
        <f t="shared" si="41"/>
        <v>17</v>
      </c>
      <c r="E394" s="4" t="str">
        <f>TEXT(Data!B394,"MMM-YYYY")</f>
        <v>Mar-2024</v>
      </c>
      <c r="F394" t="s">
        <v>48</v>
      </c>
      <c r="G394" t="s">
        <v>40</v>
      </c>
      <c r="H394" t="s">
        <v>21</v>
      </c>
      <c r="I394" t="s">
        <v>22</v>
      </c>
      <c r="J394" s="4">
        <v>1132.03</v>
      </c>
      <c r="K394" s="7" t="str">
        <f t="shared" si="38"/>
        <v>High</v>
      </c>
      <c r="L394" s="4">
        <v>2137.21</v>
      </c>
      <c r="M394" s="4">
        <v>0.35699999999999998</v>
      </c>
      <c r="N394" s="4">
        <v>35</v>
      </c>
      <c r="O394" s="4">
        <f t="shared" si="36"/>
        <v>3551.7390999999998</v>
      </c>
      <c r="P394">
        <f t="shared" si="37"/>
        <v>39621.049999999996</v>
      </c>
      <c r="Q394" s="4">
        <f t="shared" si="39"/>
        <v>-36069.310899999997</v>
      </c>
      <c r="R394" s="16">
        <f t="shared" si="40"/>
        <v>-10.155394268683755</v>
      </c>
    </row>
    <row r="395" spans="1:18" x14ac:dyDescent="0.3">
      <c r="A395" t="s">
        <v>887</v>
      </c>
      <c r="B395" s="6">
        <v>45360</v>
      </c>
      <c r="C395" s="2">
        <v>45377</v>
      </c>
      <c r="D395" s="4">
        <f t="shared" si="41"/>
        <v>17</v>
      </c>
      <c r="E395" s="4" t="str">
        <f>TEXT(Data!B395,"MMM-YYYY")</f>
        <v>May-2023</v>
      </c>
      <c r="F395" t="s">
        <v>27</v>
      </c>
      <c r="G395" t="s">
        <v>98</v>
      </c>
      <c r="H395" t="s">
        <v>34</v>
      </c>
      <c r="I395" t="s">
        <v>42</v>
      </c>
      <c r="J395" s="4">
        <v>1137.4100000000001</v>
      </c>
      <c r="K395" s="7" t="str">
        <f t="shared" si="38"/>
        <v>High</v>
      </c>
      <c r="L395" s="4">
        <v>1680.93</v>
      </c>
      <c r="M395" s="4">
        <v>0.254</v>
      </c>
      <c r="N395" s="4">
        <v>9</v>
      </c>
      <c r="O395" s="4">
        <f t="shared" si="36"/>
        <v>5499.1688399999994</v>
      </c>
      <c r="P395">
        <f t="shared" si="37"/>
        <v>10236.69</v>
      </c>
      <c r="Q395" s="4">
        <f t="shared" si="39"/>
        <v>-4737.5211600000011</v>
      </c>
      <c r="R395" s="16">
        <f t="shared" si="40"/>
        <v>-0.86149767316473258</v>
      </c>
    </row>
    <row r="396" spans="1:18" x14ac:dyDescent="0.3">
      <c r="A396" t="s">
        <v>889</v>
      </c>
      <c r="B396" s="6">
        <v>45075</v>
      </c>
      <c r="C396" s="2">
        <v>45097</v>
      </c>
      <c r="D396" s="4">
        <f t="shared" si="41"/>
        <v>22</v>
      </c>
      <c r="E396" s="4" t="str">
        <f>TEXT(Data!B396,"MMM-YYYY")</f>
        <v>May-2025</v>
      </c>
      <c r="F396" t="s">
        <v>62</v>
      </c>
      <c r="G396" t="s">
        <v>98</v>
      </c>
      <c r="H396" t="s">
        <v>95</v>
      </c>
      <c r="I396" t="s">
        <v>22</v>
      </c>
      <c r="J396" s="4">
        <v>1295.3900000000001</v>
      </c>
      <c r="K396" s="7" t="str">
        <f t="shared" si="38"/>
        <v>High</v>
      </c>
      <c r="L396" s="4">
        <v>2905.06</v>
      </c>
      <c r="M396" s="4">
        <v>0.14799999999999999</v>
      </c>
      <c r="N396" s="4">
        <v>8</v>
      </c>
      <c r="O396" s="4">
        <f t="shared" si="36"/>
        <v>11663.26656</v>
      </c>
      <c r="P396">
        <f t="shared" si="37"/>
        <v>10363.120000000001</v>
      </c>
      <c r="Q396" s="4">
        <f t="shared" si="39"/>
        <v>1300.1465599999992</v>
      </c>
      <c r="R396" s="16">
        <f t="shared" si="40"/>
        <v>0.11147362133168971</v>
      </c>
    </row>
    <row r="397" spans="1:18" x14ac:dyDescent="0.3">
      <c r="A397" t="s">
        <v>891</v>
      </c>
      <c r="B397" s="6">
        <v>45804</v>
      </c>
      <c r="C397" s="2">
        <v>45816</v>
      </c>
      <c r="D397" s="4">
        <f t="shared" si="41"/>
        <v>12</v>
      </c>
      <c r="E397" s="4" t="str">
        <f>TEXT(Data!B397,"MMM-YYYY")</f>
        <v>Aug-2025</v>
      </c>
      <c r="F397" t="s">
        <v>19</v>
      </c>
      <c r="G397" t="s">
        <v>20</v>
      </c>
      <c r="H397" t="s">
        <v>92</v>
      </c>
      <c r="I397" t="s">
        <v>81</v>
      </c>
      <c r="J397" s="4">
        <v>653.6</v>
      </c>
      <c r="K397" s="7" t="str">
        <f t="shared" si="38"/>
        <v>High</v>
      </c>
      <c r="L397" s="4">
        <v>842.09</v>
      </c>
      <c r="M397" s="4">
        <v>9.8000000000000004E-2</v>
      </c>
      <c r="N397" s="4">
        <v>19</v>
      </c>
      <c r="O397" s="4">
        <f t="shared" si="36"/>
        <v>29072.046299999998</v>
      </c>
      <c r="P397">
        <f t="shared" si="37"/>
        <v>12418.4</v>
      </c>
      <c r="Q397" s="4">
        <f t="shared" si="39"/>
        <v>16653.6463</v>
      </c>
      <c r="R397" s="16">
        <f t="shared" si="40"/>
        <v>0.5728405261930255</v>
      </c>
    </row>
    <row r="398" spans="1:18" x14ac:dyDescent="0.3">
      <c r="A398" t="s">
        <v>893</v>
      </c>
      <c r="B398" s="6">
        <v>45890</v>
      </c>
      <c r="C398" s="2">
        <v>45914</v>
      </c>
      <c r="D398" s="4">
        <f t="shared" si="41"/>
        <v>24</v>
      </c>
      <c r="E398" s="4" t="str">
        <f>TEXT(Data!B398,"MMM-YYYY")</f>
        <v>Dec-2024</v>
      </c>
      <c r="F398" t="s">
        <v>39</v>
      </c>
      <c r="G398" t="s">
        <v>28</v>
      </c>
      <c r="H398" t="s">
        <v>75</v>
      </c>
      <c r="I398" t="s">
        <v>64</v>
      </c>
      <c r="J398" s="4">
        <v>1397.67</v>
      </c>
      <c r="K398" s="7" t="str">
        <f t="shared" si="38"/>
        <v>High</v>
      </c>
      <c r="L398" s="4">
        <v>3131.37</v>
      </c>
      <c r="M398" s="4">
        <v>0.10299999999999999</v>
      </c>
      <c r="N398" s="4">
        <v>20</v>
      </c>
      <c r="O398" s="4">
        <f t="shared" si="36"/>
        <v>51745.059600000001</v>
      </c>
      <c r="P398">
        <f t="shared" si="37"/>
        <v>27953.4</v>
      </c>
      <c r="Q398" s="4">
        <f t="shared" si="39"/>
        <v>23791.659599999999</v>
      </c>
      <c r="R398" s="16">
        <f t="shared" si="40"/>
        <v>0.45978610873993464</v>
      </c>
    </row>
    <row r="399" spans="1:18" x14ac:dyDescent="0.3">
      <c r="A399" t="s">
        <v>895</v>
      </c>
      <c r="B399" s="6">
        <v>45638</v>
      </c>
      <c r="C399" s="2">
        <v>45646</v>
      </c>
      <c r="D399" s="4">
        <f t="shared" si="41"/>
        <v>8</v>
      </c>
      <c r="E399" s="4" t="str">
        <f>TEXT(Data!B399,"MMM-YYYY")</f>
        <v>Sep-2025</v>
      </c>
      <c r="F399" t="s">
        <v>19</v>
      </c>
      <c r="G399" t="s">
        <v>20</v>
      </c>
      <c r="H399" t="s">
        <v>56</v>
      </c>
      <c r="I399" t="s">
        <v>57</v>
      </c>
      <c r="J399" s="4">
        <v>1202.47</v>
      </c>
      <c r="K399" s="7" t="str">
        <f t="shared" si="38"/>
        <v>High</v>
      </c>
      <c r="L399" s="4">
        <v>1444.72</v>
      </c>
      <c r="M399" s="4">
        <v>0.24099999999999999</v>
      </c>
      <c r="N399" s="4">
        <v>17</v>
      </c>
      <c r="O399" s="4">
        <f t="shared" si="36"/>
        <v>19144.697220000002</v>
      </c>
      <c r="P399">
        <f t="shared" si="37"/>
        <v>20441.990000000002</v>
      </c>
      <c r="Q399" s="4">
        <f t="shared" si="39"/>
        <v>-1297.2927799999998</v>
      </c>
      <c r="R399" s="16">
        <f t="shared" si="40"/>
        <v>-6.7762512255599913E-2</v>
      </c>
    </row>
    <row r="400" spans="1:18" x14ac:dyDescent="0.3">
      <c r="A400" t="s">
        <v>897</v>
      </c>
      <c r="B400" s="6">
        <v>45914</v>
      </c>
      <c r="C400" s="2">
        <v>45923</v>
      </c>
      <c r="D400" s="4">
        <f t="shared" si="41"/>
        <v>9</v>
      </c>
      <c r="E400" s="4" t="str">
        <f>TEXT(Data!B400,"MMM-YYYY")</f>
        <v>Sep-2024</v>
      </c>
      <c r="F400" t="s">
        <v>39</v>
      </c>
      <c r="G400" t="s">
        <v>28</v>
      </c>
      <c r="H400" t="s">
        <v>145</v>
      </c>
      <c r="I400" t="s">
        <v>22</v>
      </c>
      <c r="J400" s="4">
        <v>1310.3</v>
      </c>
      <c r="K400" s="7" t="str">
        <f t="shared" si="38"/>
        <v>High</v>
      </c>
      <c r="L400" s="4">
        <v>2875.8</v>
      </c>
      <c r="M400" s="4">
        <v>8.3000000000000004E-2</v>
      </c>
      <c r="N400" s="4">
        <v>5</v>
      </c>
      <c r="O400" s="4">
        <f t="shared" si="36"/>
        <v>14660.399949999999</v>
      </c>
      <c r="P400">
        <f t="shared" si="37"/>
        <v>6551.5</v>
      </c>
      <c r="Q400" s="4">
        <f t="shared" si="39"/>
        <v>8108.8999499999991</v>
      </c>
      <c r="R400" s="16">
        <f t="shared" si="40"/>
        <v>0.55311587525959682</v>
      </c>
    </row>
    <row r="401" spans="1:18" x14ac:dyDescent="0.3">
      <c r="A401" t="s">
        <v>899</v>
      </c>
      <c r="B401" s="6">
        <v>45541</v>
      </c>
      <c r="C401" s="2">
        <v>45569</v>
      </c>
      <c r="D401" s="4">
        <f t="shared" si="41"/>
        <v>28</v>
      </c>
      <c r="E401" s="4" t="str">
        <f>TEXT(Data!B401,"MMM-YYYY")</f>
        <v>Apr-2025</v>
      </c>
      <c r="F401" t="s">
        <v>19</v>
      </c>
      <c r="G401" t="s">
        <v>40</v>
      </c>
      <c r="H401" t="s">
        <v>145</v>
      </c>
      <c r="I401" t="s">
        <v>64</v>
      </c>
      <c r="J401" s="4">
        <v>1174.17</v>
      </c>
      <c r="K401" s="7" t="str">
        <f t="shared" si="38"/>
        <v>High</v>
      </c>
      <c r="L401" s="4">
        <v>1641.61</v>
      </c>
      <c r="M401" s="4">
        <v>0.122</v>
      </c>
      <c r="N401" s="4">
        <v>9</v>
      </c>
      <c r="O401" s="4">
        <f t="shared" si="36"/>
        <v>18353.975399999999</v>
      </c>
      <c r="P401">
        <f t="shared" si="37"/>
        <v>10567.53</v>
      </c>
      <c r="Q401" s="4">
        <f t="shared" si="39"/>
        <v>7786.4453999999987</v>
      </c>
      <c r="R401" s="16">
        <f t="shared" si="40"/>
        <v>0.42423754147561943</v>
      </c>
    </row>
    <row r="402" spans="1:18" x14ac:dyDescent="0.3">
      <c r="A402" t="s">
        <v>901</v>
      </c>
      <c r="B402" s="6">
        <v>45759</v>
      </c>
      <c r="C402" s="2">
        <v>45777</v>
      </c>
      <c r="D402" s="4">
        <f t="shared" si="41"/>
        <v>18</v>
      </c>
      <c r="E402" s="4" t="str">
        <f>TEXT(Data!B402,"MMM-YYYY")</f>
        <v>Aug-2024</v>
      </c>
      <c r="F402" t="s">
        <v>19</v>
      </c>
      <c r="G402" t="s">
        <v>40</v>
      </c>
      <c r="H402" t="s">
        <v>84</v>
      </c>
      <c r="I402" t="s">
        <v>35</v>
      </c>
      <c r="J402" s="4">
        <v>1119.04</v>
      </c>
      <c r="K402" s="7" t="str">
        <f t="shared" si="38"/>
        <v>High</v>
      </c>
      <c r="L402" s="4">
        <v>1299.02</v>
      </c>
      <c r="M402" s="4">
        <v>2.5000000000000001E-2</v>
      </c>
      <c r="N402" s="4">
        <v>14</v>
      </c>
      <c r="O402" s="4">
        <f t="shared" si="36"/>
        <v>26377.532999999999</v>
      </c>
      <c r="P402">
        <f t="shared" si="37"/>
        <v>15666.56</v>
      </c>
      <c r="Q402" s="4">
        <f t="shared" si="39"/>
        <v>10710.973</v>
      </c>
      <c r="R402" s="16">
        <f t="shared" si="40"/>
        <v>0.40606424414292269</v>
      </c>
    </row>
    <row r="403" spans="1:18" x14ac:dyDescent="0.3">
      <c r="A403" t="s">
        <v>903</v>
      </c>
      <c r="B403" s="6">
        <v>45516</v>
      </c>
      <c r="C403" s="2">
        <v>45519</v>
      </c>
      <c r="D403" s="4">
        <f t="shared" si="41"/>
        <v>3</v>
      </c>
      <c r="E403" s="4" t="str">
        <f>TEXT(Data!B403,"MMM-YYYY")</f>
        <v>Nov-2024</v>
      </c>
      <c r="F403" t="s">
        <v>19</v>
      </c>
      <c r="G403" t="s">
        <v>40</v>
      </c>
      <c r="H403" t="s">
        <v>145</v>
      </c>
      <c r="I403" t="s">
        <v>30</v>
      </c>
      <c r="J403" s="4">
        <v>850.7</v>
      </c>
      <c r="K403" s="7" t="str">
        <f t="shared" si="38"/>
        <v>High</v>
      </c>
      <c r="L403" s="4">
        <v>1118.56</v>
      </c>
      <c r="M403" s="4">
        <v>0.18</v>
      </c>
      <c r="N403" s="4">
        <v>19</v>
      </c>
      <c r="O403" s="4">
        <f t="shared" si="36"/>
        <v>24777.808799999999</v>
      </c>
      <c r="P403">
        <f t="shared" si="37"/>
        <v>16163.300000000001</v>
      </c>
      <c r="Q403" s="4">
        <f t="shared" si="39"/>
        <v>8614.5087999999978</v>
      </c>
      <c r="R403" s="16">
        <f t="shared" si="40"/>
        <v>0.34767032345491333</v>
      </c>
    </row>
    <row r="404" spans="1:18" x14ac:dyDescent="0.3">
      <c r="A404" t="s">
        <v>905</v>
      </c>
      <c r="B404" s="6">
        <v>45601</v>
      </c>
      <c r="C404" s="2">
        <v>45604</v>
      </c>
      <c r="D404" s="4">
        <f t="shared" si="41"/>
        <v>3</v>
      </c>
      <c r="E404" s="4" t="str">
        <f>TEXT(Data!B404,"MMM-YYYY")</f>
        <v>Jul-2024</v>
      </c>
      <c r="F404" t="s">
        <v>27</v>
      </c>
      <c r="G404" t="s">
        <v>40</v>
      </c>
      <c r="H404" t="s">
        <v>68</v>
      </c>
      <c r="I404" t="s">
        <v>22</v>
      </c>
      <c r="J404" s="4">
        <v>1020.4</v>
      </c>
      <c r="K404" s="7" t="str">
        <f t="shared" si="38"/>
        <v>High</v>
      </c>
      <c r="L404" s="4">
        <v>1184.71</v>
      </c>
      <c r="M404" s="4">
        <v>0.106</v>
      </c>
      <c r="N404" s="4">
        <v>16</v>
      </c>
      <c r="O404" s="4">
        <f t="shared" si="36"/>
        <v>5658.8054400000001</v>
      </c>
      <c r="P404">
        <f t="shared" si="37"/>
        <v>16326.4</v>
      </c>
      <c r="Q404" s="4">
        <f t="shared" si="39"/>
        <v>-10667.59456</v>
      </c>
      <c r="R404" s="16">
        <f t="shared" si="40"/>
        <v>-1.8851318839475772</v>
      </c>
    </row>
    <row r="405" spans="1:18" x14ac:dyDescent="0.3">
      <c r="A405" t="s">
        <v>907</v>
      </c>
      <c r="B405" s="6">
        <v>45497</v>
      </c>
      <c r="C405" s="2">
        <v>45512</v>
      </c>
      <c r="D405" s="4">
        <f t="shared" si="41"/>
        <v>15</v>
      </c>
      <c r="E405" s="4" t="str">
        <f>TEXT(Data!B405,"MMM-YYYY")</f>
        <v>Jan-2025</v>
      </c>
      <c r="F405" t="s">
        <v>105</v>
      </c>
      <c r="G405" t="s">
        <v>40</v>
      </c>
      <c r="H405" t="s">
        <v>92</v>
      </c>
      <c r="I405" t="s">
        <v>57</v>
      </c>
      <c r="J405" s="4">
        <v>501.5</v>
      </c>
      <c r="K405" s="7" t="str">
        <f t="shared" si="38"/>
        <v>High</v>
      </c>
      <c r="L405" s="4">
        <v>1201.47</v>
      </c>
      <c r="M405" s="4">
        <v>0.126</v>
      </c>
      <c r="N405" s="4">
        <v>5</v>
      </c>
      <c r="O405" s="4">
        <f t="shared" si="36"/>
        <v>9079.5053000000007</v>
      </c>
      <c r="P405">
        <f t="shared" si="37"/>
        <v>2507.5</v>
      </c>
      <c r="Q405" s="4">
        <f t="shared" si="39"/>
        <v>6572.0053000000007</v>
      </c>
      <c r="R405" s="16">
        <f t="shared" si="40"/>
        <v>0.72382856585809807</v>
      </c>
    </row>
    <row r="406" spans="1:18" x14ac:dyDescent="0.3">
      <c r="A406" t="s">
        <v>909</v>
      </c>
      <c r="B406" s="6">
        <v>45677</v>
      </c>
      <c r="C406" s="2">
        <v>45691</v>
      </c>
      <c r="D406" s="4">
        <f t="shared" si="41"/>
        <v>14</v>
      </c>
      <c r="E406" s="4" t="str">
        <f>TEXT(Data!B406,"MMM-YYYY")</f>
        <v>Mar-2023</v>
      </c>
      <c r="F406" t="s">
        <v>105</v>
      </c>
      <c r="G406" t="s">
        <v>40</v>
      </c>
      <c r="H406" t="s">
        <v>84</v>
      </c>
      <c r="I406" t="s">
        <v>22</v>
      </c>
      <c r="J406" s="4">
        <v>974.11</v>
      </c>
      <c r="K406" s="7" t="str">
        <f t="shared" si="38"/>
        <v>High</v>
      </c>
      <c r="L406" s="4">
        <v>880.99</v>
      </c>
      <c r="M406" s="4">
        <v>0.111</v>
      </c>
      <c r="N406" s="4">
        <v>10</v>
      </c>
      <c r="O406" s="4">
        <f t="shared" si="36"/>
        <v>11831.2565</v>
      </c>
      <c r="P406">
        <f t="shared" si="37"/>
        <v>9741.1</v>
      </c>
      <c r="Q406" s="4">
        <f t="shared" si="39"/>
        <v>2090.1564999999991</v>
      </c>
      <c r="R406" s="16">
        <f t="shared" si="40"/>
        <v>0.17666394942920891</v>
      </c>
    </row>
    <row r="407" spans="1:18" x14ac:dyDescent="0.3">
      <c r="A407" t="s">
        <v>911</v>
      </c>
      <c r="B407" s="6">
        <v>44991</v>
      </c>
      <c r="C407" s="2">
        <v>45020</v>
      </c>
      <c r="D407" s="4">
        <f t="shared" si="41"/>
        <v>29</v>
      </c>
      <c r="E407" s="4" t="str">
        <f>TEXT(Data!B407,"MMM-YYYY")</f>
        <v>Dec-2024</v>
      </c>
      <c r="F407" t="s">
        <v>62</v>
      </c>
      <c r="G407" t="s">
        <v>98</v>
      </c>
      <c r="H407" t="s">
        <v>21</v>
      </c>
      <c r="I407" t="s">
        <v>64</v>
      </c>
      <c r="J407" s="4">
        <v>1126.29</v>
      </c>
      <c r="K407" s="7" t="str">
        <f t="shared" si="38"/>
        <v>High</v>
      </c>
      <c r="L407" s="4">
        <v>2050.87</v>
      </c>
      <c r="M407" s="4">
        <v>6.4000000000000001E-2</v>
      </c>
      <c r="N407" s="4">
        <v>7</v>
      </c>
      <c r="O407" s="4">
        <f t="shared" si="36"/>
        <v>18113.986799999999</v>
      </c>
      <c r="P407">
        <f t="shared" si="37"/>
        <v>7884.03</v>
      </c>
      <c r="Q407" s="4">
        <f t="shared" si="39"/>
        <v>10229.9568</v>
      </c>
      <c r="R407" s="16">
        <f t="shared" si="40"/>
        <v>0.56475456855251771</v>
      </c>
    </row>
    <row r="408" spans="1:18" x14ac:dyDescent="0.3">
      <c r="A408" t="s">
        <v>913</v>
      </c>
      <c r="B408" s="6">
        <v>45646</v>
      </c>
      <c r="C408" s="2">
        <v>45671</v>
      </c>
      <c r="D408" s="4">
        <f t="shared" si="41"/>
        <v>25</v>
      </c>
      <c r="E408" s="4" t="str">
        <f>TEXT(Data!B408,"MMM-YYYY")</f>
        <v>Feb-2025</v>
      </c>
      <c r="F408" t="s">
        <v>62</v>
      </c>
      <c r="G408" t="s">
        <v>20</v>
      </c>
      <c r="H408" t="s">
        <v>110</v>
      </c>
      <c r="I408" t="s">
        <v>30</v>
      </c>
      <c r="J408" s="4">
        <v>1361.34</v>
      </c>
      <c r="K408" s="7" t="str">
        <f t="shared" si="38"/>
        <v>High</v>
      </c>
      <c r="L408" s="4">
        <v>1737.9</v>
      </c>
      <c r="M408" s="4">
        <v>7.6999999999999999E-2</v>
      </c>
      <c r="N408" s="4">
        <v>14</v>
      </c>
      <c r="O408" s="4">
        <f t="shared" si="36"/>
        <v>3596.8387000000007</v>
      </c>
      <c r="P408">
        <f t="shared" si="37"/>
        <v>19058.759999999998</v>
      </c>
      <c r="Q408" s="4">
        <f t="shared" si="39"/>
        <v>-15461.921299999998</v>
      </c>
      <c r="R408" s="16">
        <f t="shared" si="40"/>
        <v>-4.2987530411080135</v>
      </c>
    </row>
    <row r="409" spans="1:18" x14ac:dyDescent="0.3">
      <c r="A409" t="s">
        <v>915</v>
      </c>
      <c r="B409" s="6">
        <v>45709</v>
      </c>
      <c r="C409" s="2">
        <v>45737</v>
      </c>
      <c r="D409" s="4">
        <f t="shared" si="41"/>
        <v>0</v>
      </c>
      <c r="E409" s="4" t="str">
        <f>TEXT(Data!B409,"MMM-YYYY")</f>
        <v>Mar-2025</v>
      </c>
      <c r="F409" t="s">
        <v>105</v>
      </c>
      <c r="G409" t="s">
        <v>40</v>
      </c>
      <c r="H409" t="s">
        <v>34</v>
      </c>
      <c r="I409" t="s">
        <v>42</v>
      </c>
      <c r="J409" s="4">
        <v>1437.39</v>
      </c>
      <c r="K409" s="7" t="str">
        <f t="shared" si="38"/>
        <v>High</v>
      </c>
      <c r="L409" s="4">
        <v>1388.31</v>
      </c>
      <c r="M409" s="4">
        <v>0.13800000000000001</v>
      </c>
      <c r="N409" s="4">
        <v>18</v>
      </c>
      <c r="O409" s="4">
        <f t="shared" si="36"/>
        <v>15273.329759999999</v>
      </c>
      <c r="P409">
        <f t="shared" si="37"/>
        <v>25873.02</v>
      </c>
      <c r="Q409" s="4">
        <f t="shared" si="39"/>
        <v>-10599.690240000002</v>
      </c>
      <c r="R409" s="16">
        <f t="shared" si="40"/>
        <v>-0.69399995983587026</v>
      </c>
    </row>
    <row r="410" spans="1:18" x14ac:dyDescent="0.3">
      <c r="A410" t="s">
        <v>917</v>
      </c>
      <c r="B410" s="6">
        <v>45724</v>
      </c>
      <c r="C410" s="2">
        <v>45731</v>
      </c>
      <c r="D410" s="4">
        <f t="shared" si="41"/>
        <v>7</v>
      </c>
      <c r="E410" s="4" t="str">
        <f>TEXT(Data!B410,"MMM-YYYY")</f>
        <v>Dec-2023</v>
      </c>
      <c r="F410" t="s">
        <v>19</v>
      </c>
      <c r="G410" t="s">
        <v>55</v>
      </c>
      <c r="H410" t="s">
        <v>95</v>
      </c>
      <c r="I410" t="s">
        <v>57</v>
      </c>
      <c r="J410" s="4">
        <v>475.66</v>
      </c>
      <c r="K410" s="7" t="str">
        <f t="shared" si="38"/>
        <v>High</v>
      </c>
      <c r="L410" s="4">
        <v>529.14</v>
      </c>
      <c r="M410" s="4">
        <v>0.19600000000000001</v>
      </c>
      <c r="N410" s="4">
        <v>11</v>
      </c>
      <c r="O410" s="4">
        <f t="shared" si="36"/>
        <v>1687.7889600000003</v>
      </c>
      <c r="P410">
        <f t="shared" si="37"/>
        <v>5232.26</v>
      </c>
      <c r="Q410" s="4">
        <f t="shared" si="39"/>
        <v>-3544.4710399999999</v>
      </c>
      <c r="R410" s="16">
        <f t="shared" si="40"/>
        <v>-2.1000676767076372</v>
      </c>
    </row>
    <row r="411" spans="1:18" x14ac:dyDescent="0.3">
      <c r="A411" t="s">
        <v>919</v>
      </c>
      <c r="B411" s="6">
        <v>45276</v>
      </c>
      <c r="C411" s="2">
        <v>45279</v>
      </c>
      <c r="D411" s="4">
        <f t="shared" si="41"/>
        <v>3</v>
      </c>
      <c r="E411" s="4" t="str">
        <f>TEXT(Data!B411,"MMM-YYYY")</f>
        <v>Aug-2024</v>
      </c>
      <c r="F411" t="s">
        <v>27</v>
      </c>
      <c r="G411" t="s">
        <v>20</v>
      </c>
      <c r="H411" t="s">
        <v>75</v>
      </c>
      <c r="I411" t="s">
        <v>81</v>
      </c>
      <c r="J411" s="4">
        <v>1415.05</v>
      </c>
      <c r="K411" s="7" t="str">
        <f t="shared" si="38"/>
        <v>High</v>
      </c>
      <c r="L411" s="4">
        <v>1972.38</v>
      </c>
      <c r="M411" s="4">
        <v>0</v>
      </c>
      <c r="N411" s="4">
        <v>12</v>
      </c>
      <c r="O411" s="4">
        <f t="shared" si="36"/>
        <v>10899.599999999999</v>
      </c>
      <c r="P411">
        <f t="shared" si="37"/>
        <v>16980.599999999999</v>
      </c>
      <c r="Q411" s="4">
        <f t="shared" si="39"/>
        <v>-6081</v>
      </c>
      <c r="R411" s="16">
        <f t="shared" si="40"/>
        <v>-0.5579103820323682</v>
      </c>
    </row>
    <row r="412" spans="1:18" x14ac:dyDescent="0.3">
      <c r="A412" t="s">
        <v>921</v>
      </c>
      <c r="B412" s="6">
        <v>45534</v>
      </c>
      <c r="C412" s="2">
        <v>45540</v>
      </c>
      <c r="D412" s="4">
        <f t="shared" si="41"/>
        <v>6</v>
      </c>
      <c r="E412" s="4" t="str">
        <f>TEXT(Data!B412,"MMM-YYYY")</f>
        <v>May-2024</v>
      </c>
      <c r="F412" t="s">
        <v>27</v>
      </c>
      <c r="G412" t="s">
        <v>28</v>
      </c>
      <c r="H412" t="s">
        <v>126</v>
      </c>
      <c r="I412" t="s">
        <v>57</v>
      </c>
      <c r="J412" s="4">
        <v>466.16</v>
      </c>
      <c r="K412" s="7" t="str">
        <f t="shared" si="38"/>
        <v>High</v>
      </c>
      <c r="L412" s="4">
        <v>876.81</v>
      </c>
      <c r="M412" s="4">
        <v>0.24099999999999999</v>
      </c>
      <c r="N412" s="4">
        <v>8</v>
      </c>
      <c r="O412" s="4">
        <f t="shared" si="36"/>
        <v>1725.8445600000002</v>
      </c>
      <c r="P412">
        <f t="shared" si="37"/>
        <v>3729.28</v>
      </c>
      <c r="Q412" s="4">
        <f t="shared" si="39"/>
        <v>-2003.43544</v>
      </c>
      <c r="R412" s="16">
        <f t="shared" si="40"/>
        <v>-1.1608435002976165</v>
      </c>
    </row>
    <row r="413" spans="1:18" x14ac:dyDescent="0.3">
      <c r="A413" t="s">
        <v>923</v>
      </c>
      <c r="B413" s="6">
        <v>45430</v>
      </c>
      <c r="C413" s="2">
        <v>45433</v>
      </c>
      <c r="D413" s="4">
        <f t="shared" si="41"/>
        <v>3</v>
      </c>
      <c r="E413" s="4" t="str">
        <f>TEXT(Data!B413,"MMM-YYYY")</f>
        <v>Mar-2023</v>
      </c>
      <c r="F413" t="s">
        <v>39</v>
      </c>
      <c r="G413" t="s">
        <v>40</v>
      </c>
      <c r="H413" t="s">
        <v>145</v>
      </c>
      <c r="I413" t="s">
        <v>30</v>
      </c>
      <c r="J413" s="4">
        <v>663.66</v>
      </c>
      <c r="K413" s="7" t="str">
        <f t="shared" si="38"/>
        <v>High</v>
      </c>
      <c r="L413" s="4">
        <v>824.26</v>
      </c>
      <c r="M413" s="4">
        <v>0.23899999999999999</v>
      </c>
      <c r="N413" s="4">
        <v>11</v>
      </c>
      <c r="O413" s="4">
        <f t="shared" si="36"/>
        <v>10290.80514</v>
      </c>
      <c r="P413">
        <f t="shared" si="37"/>
        <v>7300.2599999999993</v>
      </c>
      <c r="Q413" s="4">
        <f t="shared" si="39"/>
        <v>2990.5451400000011</v>
      </c>
      <c r="R413" s="16">
        <f t="shared" si="40"/>
        <v>0.29060361160429093</v>
      </c>
    </row>
    <row r="414" spans="1:18" x14ac:dyDescent="0.3">
      <c r="A414" t="s">
        <v>925</v>
      </c>
      <c r="B414" s="6">
        <v>45002</v>
      </c>
      <c r="C414" s="2">
        <v>45022</v>
      </c>
      <c r="D414" s="4">
        <f t="shared" si="41"/>
        <v>20</v>
      </c>
      <c r="E414" s="4" t="str">
        <f>TEXT(Data!B414,"MMM-YYYY")</f>
        <v>Aug-2023</v>
      </c>
      <c r="F414" t="s">
        <v>48</v>
      </c>
      <c r="G414" t="s">
        <v>20</v>
      </c>
      <c r="H414" t="s">
        <v>68</v>
      </c>
      <c r="I414" t="s">
        <v>42</v>
      </c>
      <c r="J414" s="4">
        <v>692.18</v>
      </c>
      <c r="K414" s="7" t="str">
        <f t="shared" si="38"/>
        <v>High</v>
      </c>
      <c r="L414" s="4">
        <v>1159.3499999999999</v>
      </c>
      <c r="M414" s="4">
        <v>0.112</v>
      </c>
      <c r="N414" s="4">
        <v>2</v>
      </c>
      <c r="O414" s="4">
        <f t="shared" si="36"/>
        <v>2175.1027199999999</v>
      </c>
      <c r="P414">
        <f t="shared" si="37"/>
        <v>1384.36</v>
      </c>
      <c r="Q414" s="4">
        <f t="shared" si="39"/>
        <v>790.74271999999996</v>
      </c>
      <c r="R414" s="16">
        <f t="shared" si="40"/>
        <v>0.36354270202006828</v>
      </c>
    </row>
    <row r="415" spans="1:18" x14ac:dyDescent="0.3">
      <c r="A415" t="s">
        <v>927</v>
      </c>
      <c r="B415" s="6">
        <v>45163</v>
      </c>
      <c r="C415" s="2">
        <v>45185</v>
      </c>
      <c r="D415" s="4">
        <f t="shared" si="41"/>
        <v>22</v>
      </c>
      <c r="E415" s="4" t="str">
        <f>TEXT(Data!B415,"MMM-YYYY")</f>
        <v>Jun-2024</v>
      </c>
      <c r="F415" t="s">
        <v>19</v>
      </c>
      <c r="G415" t="s">
        <v>40</v>
      </c>
      <c r="H415" t="s">
        <v>49</v>
      </c>
      <c r="I415" t="s">
        <v>42</v>
      </c>
      <c r="J415" s="4">
        <v>1196.83</v>
      </c>
      <c r="K415" s="7" t="str">
        <f t="shared" si="38"/>
        <v>High</v>
      </c>
      <c r="L415" s="4">
        <v>2513.5100000000002</v>
      </c>
      <c r="M415" s="4">
        <v>8.3000000000000004E-2</v>
      </c>
      <c r="N415" s="4">
        <v>7</v>
      </c>
      <c r="O415" s="4">
        <f t="shared" si="36"/>
        <v>3118.7353400000002</v>
      </c>
      <c r="P415">
        <f t="shared" si="37"/>
        <v>8377.81</v>
      </c>
      <c r="Q415" s="4">
        <f t="shared" si="39"/>
        <v>-5259.0746599999993</v>
      </c>
      <c r="R415" s="16">
        <f t="shared" si="40"/>
        <v>-1.6862843706385162</v>
      </c>
    </row>
    <row r="416" spans="1:18" x14ac:dyDescent="0.3">
      <c r="A416" t="s">
        <v>929</v>
      </c>
      <c r="B416" s="6">
        <v>45449</v>
      </c>
      <c r="C416" s="2">
        <v>45467</v>
      </c>
      <c r="D416" s="4">
        <f t="shared" si="41"/>
        <v>18</v>
      </c>
      <c r="E416" s="4" t="str">
        <f>TEXT(Data!B416,"MMM-YYYY")</f>
        <v>Aug-2023</v>
      </c>
      <c r="F416" t="s">
        <v>62</v>
      </c>
      <c r="G416" t="s">
        <v>98</v>
      </c>
      <c r="H416" t="s">
        <v>92</v>
      </c>
      <c r="I416" t="s">
        <v>35</v>
      </c>
      <c r="J416" s="4">
        <v>1253.25</v>
      </c>
      <c r="K416" s="7" t="str">
        <f t="shared" si="38"/>
        <v>High</v>
      </c>
      <c r="L416" s="4">
        <v>3087.13</v>
      </c>
      <c r="M416" s="4">
        <v>7.1999999999999995E-2</v>
      </c>
      <c r="N416" s="4">
        <v>11</v>
      </c>
      <c r="O416" s="4">
        <f t="shared" si="36"/>
        <v>22569.275520000003</v>
      </c>
      <c r="P416">
        <f t="shared" si="37"/>
        <v>13785.75</v>
      </c>
      <c r="Q416" s="4">
        <f t="shared" si="39"/>
        <v>8783.5255200000029</v>
      </c>
      <c r="R416" s="16">
        <f t="shared" si="40"/>
        <v>0.38918065899884063</v>
      </c>
    </row>
    <row r="417" spans="1:18" x14ac:dyDescent="0.3">
      <c r="A417" t="s">
        <v>931</v>
      </c>
      <c r="B417" s="6">
        <v>45167</v>
      </c>
      <c r="C417" s="2">
        <v>45182</v>
      </c>
      <c r="D417" s="4">
        <f t="shared" si="41"/>
        <v>15</v>
      </c>
      <c r="E417" s="4" t="str">
        <f>TEXT(Data!B417,"MMM-YYYY")</f>
        <v>Nov-2024</v>
      </c>
      <c r="F417" t="s">
        <v>62</v>
      </c>
      <c r="G417" t="s">
        <v>40</v>
      </c>
      <c r="H417" t="s">
        <v>68</v>
      </c>
      <c r="I417" t="s">
        <v>30</v>
      </c>
      <c r="J417" s="4">
        <v>1287.6400000000001</v>
      </c>
      <c r="K417" s="7" t="str">
        <f t="shared" si="38"/>
        <v>High</v>
      </c>
      <c r="L417" s="4">
        <v>2717.15</v>
      </c>
      <c r="M417" s="4">
        <v>3.2000000000000001E-2</v>
      </c>
      <c r="N417" s="4">
        <v>7</v>
      </c>
      <c r="O417" s="4">
        <f t="shared" si="36"/>
        <v>3875.12664</v>
      </c>
      <c r="P417">
        <f t="shared" si="37"/>
        <v>9013.4800000000014</v>
      </c>
      <c r="Q417" s="4">
        <f t="shared" si="39"/>
        <v>-5138.353360000001</v>
      </c>
      <c r="R417" s="16">
        <f t="shared" si="40"/>
        <v>-1.3259833387019324</v>
      </c>
    </row>
    <row r="418" spans="1:18" x14ac:dyDescent="0.3">
      <c r="A418" t="s">
        <v>933</v>
      </c>
      <c r="B418" s="6">
        <v>45626</v>
      </c>
      <c r="C418" s="2">
        <v>45636</v>
      </c>
      <c r="D418" s="4">
        <f t="shared" si="41"/>
        <v>10</v>
      </c>
      <c r="E418" s="4" t="str">
        <f>TEXT(Data!B418,"MMM-YYYY")</f>
        <v>Jun-2025</v>
      </c>
      <c r="F418" t="s">
        <v>62</v>
      </c>
      <c r="G418" t="s">
        <v>20</v>
      </c>
      <c r="H418" t="s">
        <v>84</v>
      </c>
      <c r="I418" t="s">
        <v>81</v>
      </c>
      <c r="J418" s="4">
        <v>851.49</v>
      </c>
      <c r="K418" s="7" t="str">
        <f t="shared" si="38"/>
        <v>High</v>
      </c>
      <c r="L418" s="4">
        <v>901.79</v>
      </c>
      <c r="M418" s="4">
        <v>0.245</v>
      </c>
      <c r="N418" s="4">
        <v>16</v>
      </c>
      <c r="O418" s="4">
        <f t="shared" si="36"/>
        <v>41052.309600000001</v>
      </c>
      <c r="P418">
        <f t="shared" si="37"/>
        <v>13623.84</v>
      </c>
      <c r="Q418" s="4">
        <f t="shared" si="39"/>
        <v>27428.4696</v>
      </c>
      <c r="R418" s="16">
        <f t="shared" si="40"/>
        <v>0.66813462792358946</v>
      </c>
    </row>
    <row r="419" spans="1:18" x14ac:dyDescent="0.3">
      <c r="A419" t="s">
        <v>935</v>
      </c>
      <c r="B419" s="6">
        <v>45813</v>
      </c>
      <c r="C419" s="2">
        <v>45822</v>
      </c>
      <c r="D419" s="4">
        <f t="shared" si="41"/>
        <v>9</v>
      </c>
      <c r="E419" s="4" t="str">
        <f>TEXT(Data!B419,"MMM-YYYY")</f>
        <v>Mar-2025</v>
      </c>
      <c r="F419" t="s">
        <v>39</v>
      </c>
      <c r="G419" t="s">
        <v>20</v>
      </c>
      <c r="H419" t="s">
        <v>75</v>
      </c>
      <c r="I419" t="s">
        <v>81</v>
      </c>
      <c r="J419" s="4">
        <v>618.69000000000005</v>
      </c>
      <c r="K419" s="7" t="str">
        <f t="shared" si="38"/>
        <v>High</v>
      </c>
      <c r="L419" s="4">
        <v>796.15</v>
      </c>
      <c r="M419" s="4">
        <v>0.09</v>
      </c>
      <c r="N419" s="4">
        <v>11</v>
      </c>
      <c r="O419" s="4">
        <f t="shared" si="36"/>
        <v>1948.1462000000001</v>
      </c>
      <c r="P419">
        <f t="shared" si="37"/>
        <v>6805.59</v>
      </c>
      <c r="Q419" s="4">
        <f t="shared" si="39"/>
        <v>-4857.4438</v>
      </c>
      <c r="R419" s="16">
        <f t="shared" si="40"/>
        <v>-2.4933671815801093</v>
      </c>
    </row>
    <row r="420" spans="1:18" x14ac:dyDescent="0.3">
      <c r="A420" t="s">
        <v>937</v>
      </c>
      <c r="B420" s="6">
        <v>45730</v>
      </c>
      <c r="C420" s="2">
        <v>45755</v>
      </c>
      <c r="D420" s="4">
        <f t="shared" si="41"/>
        <v>25</v>
      </c>
      <c r="E420" s="4" t="str">
        <f>TEXT(Data!B420,"MMM-YYYY")</f>
        <v>Jan-2024</v>
      </c>
      <c r="F420" t="s">
        <v>19</v>
      </c>
      <c r="G420" t="s">
        <v>55</v>
      </c>
      <c r="H420" t="s">
        <v>145</v>
      </c>
      <c r="I420" t="s">
        <v>30</v>
      </c>
      <c r="J420" s="4">
        <v>80.59</v>
      </c>
      <c r="K420" s="7" t="str">
        <f t="shared" si="38"/>
        <v>Medium</v>
      </c>
      <c r="L420" s="4">
        <v>157.82</v>
      </c>
      <c r="M420" s="4">
        <v>0.217</v>
      </c>
      <c r="N420" s="4">
        <v>6</v>
      </c>
      <c r="O420" s="4">
        <f t="shared" si="36"/>
        <v>4846.6447200000002</v>
      </c>
      <c r="P420">
        <f t="shared" si="37"/>
        <v>483.54</v>
      </c>
      <c r="Q420" s="4">
        <f t="shared" si="39"/>
        <v>4363.1047200000003</v>
      </c>
      <c r="R420" s="16">
        <f t="shared" si="40"/>
        <v>0.90023201040409662</v>
      </c>
    </row>
    <row r="421" spans="1:18" x14ac:dyDescent="0.3">
      <c r="A421" t="s">
        <v>939</v>
      </c>
      <c r="B421" s="6">
        <v>45307</v>
      </c>
      <c r="C421" s="2">
        <v>45333</v>
      </c>
      <c r="D421" s="4">
        <f t="shared" si="41"/>
        <v>26</v>
      </c>
      <c r="E421" s="4" t="str">
        <f>TEXT(Data!B421,"MMM-YYYY")</f>
        <v>Oct-2023</v>
      </c>
      <c r="F421" t="s">
        <v>39</v>
      </c>
      <c r="G421" t="s">
        <v>55</v>
      </c>
      <c r="H421" t="s">
        <v>63</v>
      </c>
      <c r="I421" t="s">
        <v>64</v>
      </c>
      <c r="J421" s="4">
        <v>504.93</v>
      </c>
      <c r="K421" s="7" t="str">
        <f t="shared" si="38"/>
        <v>High</v>
      </c>
      <c r="L421" s="4">
        <v>819.06</v>
      </c>
      <c r="M421" s="4">
        <v>0.22600000000000001</v>
      </c>
      <c r="N421" s="4">
        <v>15</v>
      </c>
      <c r="O421" s="4">
        <f t="shared" si="36"/>
        <v>5749.1559000000007</v>
      </c>
      <c r="P421">
        <f t="shared" si="37"/>
        <v>7573.95</v>
      </c>
      <c r="Q421" s="4">
        <f t="shared" si="39"/>
        <v>-1824.7940999999992</v>
      </c>
      <c r="R421" s="16">
        <f t="shared" si="40"/>
        <v>-0.31740209027902672</v>
      </c>
    </row>
    <row r="422" spans="1:18" x14ac:dyDescent="0.3">
      <c r="A422" t="s">
        <v>941</v>
      </c>
      <c r="B422" s="6">
        <v>45211</v>
      </c>
      <c r="C422" s="2">
        <v>45228</v>
      </c>
      <c r="D422" s="4">
        <f t="shared" si="41"/>
        <v>17</v>
      </c>
      <c r="E422" s="4" t="str">
        <f>TEXT(Data!B422,"MMM-YYYY")</f>
        <v>Feb-2025</v>
      </c>
      <c r="F422" t="s">
        <v>39</v>
      </c>
      <c r="G422" t="s">
        <v>98</v>
      </c>
      <c r="H422" t="s">
        <v>92</v>
      </c>
      <c r="I422" t="s">
        <v>42</v>
      </c>
      <c r="J422" s="4">
        <v>1102.19</v>
      </c>
      <c r="K422" s="7" t="str">
        <f t="shared" si="38"/>
        <v>High</v>
      </c>
      <c r="L422" s="4">
        <v>1711.16</v>
      </c>
      <c r="M422" s="4">
        <v>0.151</v>
      </c>
      <c r="N422" s="4">
        <v>10</v>
      </c>
      <c r="O422" s="4">
        <f t="shared" si="36"/>
        <v>11198.649599999999</v>
      </c>
      <c r="P422">
        <f t="shared" si="37"/>
        <v>11021.900000000001</v>
      </c>
      <c r="Q422" s="4">
        <f t="shared" si="39"/>
        <v>176.74959999999737</v>
      </c>
      <c r="R422" s="16">
        <f t="shared" si="40"/>
        <v>1.5783117278711657E-2</v>
      </c>
    </row>
    <row r="423" spans="1:18" x14ac:dyDescent="0.3">
      <c r="A423" t="s">
        <v>943</v>
      </c>
      <c r="B423" s="6">
        <v>45713</v>
      </c>
      <c r="C423" s="2">
        <v>45733</v>
      </c>
      <c r="D423" s="4">
        <f t="shared" si="41"/>
        <v>20</v>
      </c>
      <c r="E423" s="4" t="str">
        <f>TEXT(Data!B423,"MMM-YYYY")</f>
        <v>Jul-2025</v>
      </c>
      <c r="F423" t="s">
        <v>39</v>
      </c>
      <c r="G423" t="s">
        <v>40</v>
      </c>
      <c r="H423" t="s">
        <v>92</v>
      </c>
      <c r="I423" t="s">
        <v>42</v>
      </c>
      <c r="J423" s="4">
        <v>1205.26</v>
      </c>
      <c r="K423" s="7" t="str">
        <f t="shared" si="38"/>
        <v>High</v>
      </c>
      <c r="L423" s="4">
        <v>1696.35</v>
      </c>
      <c r="M423" s="4">
        <v>1.9E-2</v>
      </c>
      <c r="N423" s="4">
        <v>6</v>
      </c>
      <c r="O423" s="4">
        <f t="shared" si="36"/>
        <v>1853.32482</v>
      </c>
      <c r="P423">
        <f t="shared" si="37"/>
        <v>7231.5599999999995</v>
      </c>
      <c r="Q423" s="4">
        <f t="shared" si="39"/>
        <v>-5378.2351799999997</v>
      </c>
      <c r="R423" s="16">
        <f t="shared" si="40"/>
        <v>-2.9019387869634206</v>
      </c>
    </row>
    <row r="424" spans="1:18" x14ac:dyDescent="0.3">
      <c r="A424" t="s">
        <v>945</v>
      </c>
      <c r="B424" s="6">
        <v>45841</v>
      </c>
      <c r="C424" s="2">
        <v>45844</v>
      </c>
      <c r="D424" s="4">
        <f t="shared" si="41"/>
        <v>3</v>
      </c>
      <c r="E424" s="4" t="str">
        <f>TEXT(Data!B424,"MMM-YYYY")</f>
        <v>Sep-2025</v>
      </c>
      <c r="F424" t="s">
        <v>48</v>
      </c>
      <c r="G424" t="s">
        <v>28</v>
      </c>
      <c r="H424" t="s">
        <v>1364</v>
      </c>
      <c r="I424" t="s">
        <v>57</v>
      </c>
      <c r="J424" s="4">
        <v>1313.3</v>
      </c>
      <c r="K424" s="7" t="str">
        <f t="shared" si="38"/>
        <v>High</v>
      </c>
      <c r="L424" s="4">
        <v>2884.34</v>
      </c>
      <c r="M424" s="4">
        <v>0.157</v>
      </c>
      <c r="N424" s="4">
        <v>42</v>
      </c>
      <c r="O424" s="4">
        <f t="shared" si="36"/>
        <v>78253.279020000002</v>
      </c>
      <c r="P424">
        <f t="shared" si="37"/>
        <v>55158.6</v>
      </c>
      <c r="Q424" s="4">
        <f t="shared" si="39"/>
        <v>23094.679020000003</v>
      </c>
      <c r="R424" s="16">
        <f t="shared" si="40"/>
        <v>0.29512730085211453</v>
      </c>
    </row>
    <row r="425" spans="1:18" x14ac:dyDescent="0.3">
      <c r="A425" t="s">
        <v>947</v>
      </c>
      <c r="B425" s="6">
        <v>45915</v>
      </c>
      <c r="C425" s="2">
        <v>45925</v>
      </c>
      <c r="D425" s="4">
        <f t="shared" si="41"/>
        <v>10</v>
      </c>
      <c r="E425" s="4" t="str">
        <f>TEXT(Data!B425,"MMM-YYYY")</f>
        <v>Feb-2024</v>
      </c>
      <c r="F425" t="s">
        <v>48</v>
      </c>
      <c r="G425" t="s">
        <v>20</v>
      </c>
      <c r="H425" t="s">
        <v>75</v>
      </c>
      <c r="I425" t="s">
        <v>42</v>
      </c>
      <c r="J425" s="4">
        <v>1488.91</v>
      </c>
      <c r="K425" s="7" t="str">
        <f t="shared" si="38"/>
        <v>High</v>
      </c>
      <c r="L425" s="4">
        <v>1483.74</v>
      </c>
      <c r="M425" s="4">
        <v>0.16800000000000001</v>
      </c>
      <c r="N425" s="4">
        <v>24</v>
      </c>
      <c r="O425" s="4">
        <f t="shared" si="36"/>
        <v>20866.559999999998</v>
      </c>
      <c r="P425">
        <f t="shared" si="37"/>
        <v>35733.840000000004</v>
      </c>
      <c r="Q425" s="4">
        <f t="shared" si="39"/>
        <v>-14867.280000000006</v>
      </c>
      <c r="R425" s="16">
        <f t="shared" si="40"/>
        <v>-0.71249309900625724</v>
      </c>
    </row>
    <row r="426" spans="1:18" x14ac:dyDescent="0.3">
      <c r="A426" t="s">
        <v>949</v>
      </c>
      <c r="B426" s="6">
        <v>45341</v>
      </c>
      <c r="C426" s="2">
        <v>45357</v>
      </c>
      <c r="D426" s="4">
        <f t="shared" si="41"/>
        <v>16</v>
      </c>
      <c r="E426" s="4" t="str">
        <f>TEXT(Data!B426,"MMM-YYYY")</f>
        <v>Feb-2024</v>
      </c>
      <c r="F426" t="s">
        <v>27</v>
      </c>
      <c r="G426" t="s">
        <v>40</v>
      </c>
      <c r="H426" t="s">
        <v>68</v>
      </c>
      <c r="I426" t="s">
        <v>30</v>
      </c>
      <c r="J426" s="4">
        <v>1477.84</v>
      </c>
      <c r="K426" s="7" t="str">
        <f t="shared" si="38"/>
        <v>High</v>
      </c>
      <c r="L426" s="4">
        <v>3197.47</v>
      </c>
      <c r="M426" s="4">
        <v>0.24299999999999999</v>
      </c>
      <c r="N426" s="4">
        <v>24</v>
      </c>
      <c r="O426" s="4">
        <f t="shared" si="36"/>
        <v>38737.627919999999</v>
      </c>
      <c r="P426">
        <f t="shared" si="37"/>
        <v>35468.159999999996</v>
      </c>
      <c r="Q426" s="4">
        <f t="shared" si="39"/>
        <v>3269.4679200000028</v>
      </c>
      <c r="R426" s="16">
        <f t="shared" si="40"/>
        <v>8.4400312965781696E-2</v>
      </c>
    </row>
    <row r="427" spans="1:18" x14ac:dyDescent="0.3">
      <c r="A427" t="s">
        <v>951</v>
      </c>
      <c r="B427" s="6">
        <v>45349</v>
      </c>
      <c r="C427" s="2">
        <v>45377</v>
      </c>
      <c r="D427" s="4">
        <f t="shared" si="41"/>
        <v>28</v>
      </c>
      <c r="E427" s="4" t="str">
        <f>TEXT(Data!B427,"MMM-YYYY")</f>
        <v>Aug-2025</v>
      </c>
      <c r="F427" t="s">
        <v>27</v>
      </c>
      <c r="G427" t="s">
        <v>40</v>
      </c>
      <c r="H427" t="s">
        <v>41</v>
      </c>
      <c r="I427" t="s">
        <v>57</v>
      </c>
      <c r="J427" s="4">
        <v>1035.19</v>
      </c>
      <c r="K427" s="7" t="str">
        <f t="shared" si="38"/>
        <v>High</v>
      </c>
      <c r="L427" s="4">
        <v>2322.6999999999998</v>
      </c>
      <c r="M427" s="4">
        <v>0.17299999999999999</v>
      </c>
      <c r="N427" s="4">
        <v>8</v>
      </c>
      <c r="O427" s="4">
        <f t="shared" si="36"/>
        <v>13903.854800000001</v>
      </c>
      <c r="P427">
        <f t="shared" si="37"/>
        <v>8281.52</v>
      </c>
      <c r="Q427" s="4">
        <f t="shared" si="39"/>
        <v>5622.3348000000005</v>
      </c>
      <c r="R427" s="16">
        <f t="shared" si="40"/>
        <v>0.40437237592555986</v>
      </c>
    </row>
    <row r="428" spans="1:18" x14ac:dyDescent="0.3">
      <c r="A428" t="s">
        <v>953</v>
      </c>
      <c r="B428" s="6">
        <v>45897</v>
      </c>
      <c r="C428" s="2">
        <v>45905</v>
      </c>
      <c r="D428" s="4">
        <f t="shared" si="41"/>
        <v>8</v>
      </c>
      <c r="E428" s="4" t="str">
        <f>TEXT(Data!B428,"MMM-YYYY")</f>
        <v>Aug-2024</v>
      </c>
      <c r="F428" t="s">
        <v>62</v>
      </c>
      <c r="G428" t="s">
        <v>40</v>
      </c>
      <c r="H428" t="s">
        <v>63</v>
      </c>
      <c r="I428" t="s">
        <v>57</v>
      </c>
      <c r="J428" s="4">
        <v>1271.0999999999999</v>
      </c>
      <c r="K428" s="7" t="str">
        <f t="shared" si="38"/>
        <v>High</v>
      </c>
      <c r="L428" s="4">
        <v>1932.42</v>
      </c>
      <c r="M428" s="4">
        <v>0.25</v>
      </c>
      <c r="N428" s="4">
        <v>21</v>
      </c>
      <c r="O428" s="4">
        <f t="shared" si="36"/>
        <v>33475.68</v>
      </c>
      <c r="P428">
        <f t="shared" si="37"/>
        <v>26693.1</v>
      </c>
      <c r="Q428" s="4">
        <f t="shared" si="39"/>
        <v>6782.5800000000017</v>
      </c>
      <c r="R428" s="16">
        <f t="shared" si="40"/>
        <v>0.20261216501053905</v>
      </c>
    </row>
    <row r="429" spans="1:18" x14ac:dyDescent="0.3">
      <c r="A429" t="s">
        <v>955</v>
      </c>
      <c r="B429" s="6">
        <v>45522</v>
      </c>
      <c r="C429" s="2">
        <v>45547</v>
      </c>
      <c r="D429" s="4">
        <f t="shared" si="41"/>
        <v>25</v>
      </c>
      <c r="E429" s="4" t="str">
        <f>TEXT(Data!B429,"MMM-YYYY")</f>
        <v>Feb-2024</v>
      </c>
      <c r="F429" t="s">
        <v>48</v>
      </c>
      <c r="G429" t="s">
        <v>40</v>
      </c>
      <c r="H429" t="s">
        <v>21</v>
      </c>
      <c r="I429" t="s">
        <v>42</v>
      </c>
      <c r="J429" s="4">
        <v>1154.03</v>
      </c>
      <c r="K429" s="7" t="str">
        <f t="shared" si="38"/>
        <v>High</v>
      </c>
      <c r="L429" s="4">
        <v>1590.36</v>
      </c>
      <c r="M429" s="4">
        <v>0.314</v>
      </c>
      <c r="N429" s="4">
        <v>18</v>
      </c>
      <c r="O429" s="4">
        <f t="shared" si="36"/>
        <v>8801.0369999999984</v>
      </c>
      <c r="P429">
        <f t="shared" si="37"/>
        <v>20772.54</v>
      </c>
      <c r="Q429" s="4">
        <f t="shared" si="39"/>
        <v>-11971.503000000002</v>
      </c>
      <c r="R429" s="16">
        <f t="shared" si="40"/>
        <v>-1.360237776525653</v>
      </c>
    </row>
    <row r="430" spans="1:18" x14ac:dyDescent="0.3">
      <c r="A430" t="s">
        <v>957</v>
      </c>
      <c r="B430" s="6">
        <v>45347</v>
      </c>
      <c r="C430" s="2">
        <v>45360</v>
      </c>
      <c r="D430" s="4">
        <f t="shared" si="41"/>
        <v>13</v>
      </c>
      <c r="E430" s="4" t="str">
        <f>TEXT(Data!B430,"MMM-YYYY")</f>
        <v>May-2025</v>
      </c>
      <c r="F430" t="s">
        <v>62</v>
      </c>
      <c r="G430" t="s">
        <v>55</v>
      </c>
      <c r="H430" t="s">
        <v>63</v>
      </c>
      <c r="I430" t="s">
        <v>64</v>
      </c>
      <c r="J430" s="4">
        <v>322.44</v>
      </c>
      <c r="K430" s="7" t="str">
        <f t="shared" si="38"/>
        <v>High</v>
      </c>
      <c r="L430" s="4">
        <v>395.61</v>
      </c>
      <c r="M430" s="4">
        <v>0</v>
      </c>
      <c r="N430" s="4">
        <v>34</v>
      </c>
      <c r="O430" s="4">
        <f t="shared" si="36"/>
        <v>53340.22</v>
      </c>
      <c r="P430">
        <f t="shared" si="37"/>
        <v>10962.96</v>
      </c>
      <c r="Q430" s="4">
        <f t="shared" si="39"/>
        <v>42377.26</v>
      </c>
      <c r="R430" s="16">
        <f t="shared" si="40"/>
        <v>0.79447103892709858</v>
      </c>
    </row>
    <row r="431" spans="1:18" x14ac:dyDescent="0.3">
      <c r="A431" t="s">
        <v>959</v>
      </c>
      <c r="B431" s="6">
        <v>45784</v>
      </c>
      <c r="C431" s="2">
        <v>45790</v>
      </c>
      <c r="D431" s="4">
        <f t="shared" si="41"/>
        <v>6</v>
      </c>
      <c r="E431" s="4" t="str">
        <f>TEXT(Data!B431,"MMM-YYYY")</f>
        <v>Nov-2024</v>
      </c>
      <c r="F431" t="s">
        <v>105</v>
      </c>
      <c r="G431" t="s">
        <v>98</v>
      </c>
      <c r="H431" t="s">
        <v>29</v>
      </c>
      <c r="I431" t="s">
        <v>42</v>
      </c>
      <c r="J431" s="4">
        <v>935.98</v>
      </c>
      <c r="K431" s="7" t="str">
        <f t="shared" si="38"/>
        <v>High</v>
      </c>
      <c r="L431" s="4">
        <v>2077.69</v>
      </c>
      <c r="M431" s="4">
        <v>0.17499999999999999</v>
      </c>
      <c r="N431" s="4">
        <v>24</v>
      </c>
      <c r="O431" s="4">
        <f t="shared" si="36"/>
        <v>41071.932000000001</v>
      </c>
      <c r="P431">
        <f t="shared" si="37"/>
        <v>22463.52</v>
      </c>
      <c r="Q431" s="4">
        <f t="shared" si="39"/>
        <v>18608.412</v>
      </c>
      <c r="R431" s="16">
        <f t="shared" si="40"/>
        <v>0.4530688256885505</v>
      </c>
    </row>
    <row r="432" spans="1:18" x14ac:dyDescent="0.3">
      <c r="A432" t="s">
        <v>961</v>
      </c>
      <c r="B432" s="6">
        <v>45597</v>
      </c>
      <c r="C432" s="2">
        <v>45608</v>
      </c>
      <c r="D432" s="4">
        <f t="shared" si="41"/>
        <v>11</v>
      </c>
      <c r="E432" s="4" t="str">
        <f>TEXT(Data!B432,"MMM-YYYY")</f>
        <v>Dec-2024</v>
      </c>
      <c r="F432" t="s">
        <v>48</v>
      </c>
      <c r="G432" t="s">
        <v>28</v>
      </c>
      <c r="H432" t="s">
        <v>56</v>
      </c>
      <c r="I432" t="s">
        <v>30</v>
      </c>
      <c r="J432" s="4">
        <v>599.84</v>
      </c>
      <c r="K432" s="7" t="str">
        <f t="shared" si="38"/>
        <v>High</v>
      </c>
      <c r="L432" s="4">
        <v>1330.85</v>
      </c>
      <c r="M432" s="4">
        <v>0.115</v>
      </c>
      <c r="N432" s="4">
        <v>11</v>
      </c>
      <c r="O432" s="4">
        <f t="shared" si="36"/>
        <v>4820.6746499999999</v>
      </c>
      <c r="P432">
        <f t="shared" si="37"/>
        <v>6598.2400000000007</v>
      </c>
      <c r="Q432" s="4">
        <f t="shared" si="39"/>
        <v>-1777.5653500000008</v>
      </c>
      <c r="R432" s="16">
        <f t="shared" si="40"/>
        <v>-0.36873787987330792</v>
      </c>
    </row>
    <row r="433" spans="1:18" x14ac:dyDescent="0.3">
      <c r="A433" t="s">
        <v>963</v>
      </c>
      <c r="B433" s="6">
        <v>45654</v>
      </c>
      <c r="C433" s="2">
        <v>45665</v>
      </c>
      <c r="D433" s="4">
        <f t="shared" si="41"/>
        <v>11</v>
      </c>
      <c r="E433" s="4" t="str">
        <f>TEXT(Data!B433,"MMM-YYYY")</f>
        <v>Oct-2023</v>
      </c>
      <c r="F433" t="s">
        <v>105</v>
      </c>
      <c r="G433" t="s">
        <v>28</v>
      </c>
      <c r="H433" t="s">
        <v>95</v>
      </c>
      <c r="I433" t="s">
        <v>57</v>
      </c>
      <c r="J433" s="4">
        <v>1201.31</v>
      </c>
      <c r="K433" s="7" t="str">
        <f t="shared" si="38"/>
        <v>High</v>
      </c>
      <c r="L433" s="4">
        <v>2764.65</v>
      </c>
      <c r="M433" s="4">
        <v>0</v>
      </c>
      <c r="N433" s="4">
        <v>21</v>
      </c>
      <c r="O433" s="4">
        <f t="shared" si="36"/>
        <v>15909.390000000001</v>
      </c>
      <c r="P433">
        <f t="shared" si="37"/>
        <v>25227.51</v>
      </c>
      <c r="Q433" s="4">
        <f t="shared" si="39"/>
        <v>-9318.1199999999972</v>
      </c>
      <c r="R433" s="16">
        <f t="shared" si="40"/>
        <v>-0.58569938885148942</v>
      </c>
    </row>
    <row r="434" spans="1:18" x14ac:dyDescent="0.3">
      <c r="A434" t="s">
        <v>965</v>
      </c>
      <c r="B434" s="6">
        <v>45220</v>
      </c>
      <c r="C434" s="2">
        <v>45220</v>
      </c>
      <c r="D434" s="4">
        <f t="shared" si="41"/>
        <v>0</v>
      </c>
      <c r="E434" s="4" t="str">
        <f>TEXT(Data!B434,"MMM-YYYY")</f>
        <v>Dec-2024</v>
      </c>
      <c r="F434" t="s">
        <v>105</v>
      </c>
      <c r="G434" t="s">
        <v>55</v>
      </c>
      <c r="H434" t="s">
        <v>29</v>
      </c>
      <c r="I434" t="s">
        <v>64</v>
      </c>
      <c r="J434" s="4">
        <v>384.19</v>
      </c>
      <c r="K434" s="7" t="str">
        <f t="shared" si="38"/>
        <v>High</v>
      </c>
      <c r="L434" s="4">
        <v>278.35000000000002</v>
      </c>
      <c r="M434" s="4">
        <v>5.6000000000000001E-2</v>
      </c>
      <c r="N434" s="4">
        <v>10</v>
      </c>
      <c r="O434" s="4">
        <f t="shared" si="36"/>
        <v>3926.6623999999993</v>
      </c>
      <c r="P434">
        <f t="shared" si="37"/>
        <v>3841.9</v>
      </c>
      <c r="Q434" s="4">
        <f t="shared" si="39"/>
        <v>84.762399999999161</v>
      </c>
      <c r="R434" s="16">
        <f t="shared" si="40"/>
        <v>2.1586373200812775E-2</v>
      </c>
    </row>
    <row r="435" spans="1:18" x14ac:dyDescent="0.3">
      <c r="A435" t="s">
        <v>967</v>
      </c>
      <c r="B435" s="6">
        <v>45636</v>
      </c>
      <c r="C435" s="2">
        <v>45645</v>
      </c>
      <c r="D435" s="4">
        <f t="shared" si="41"/>
        <v>9</v>
      </c>
      <c r="E435" s="4" t="str">
        <f>TEXT(Data!B435,"MMM-YYYY")</f>
        <v>Sep-2024</v>
      </c>
      <c r="F435" t="s">
        <v>19</v>
      </c>
      <c r="G435" t="s">
        <v>20</v>
      </c>
      <c r="H435" t="s">
        <v>68</v>
      </c>
      <c r="I435" t="s">
        <v>64</v>
      </c>
      <c r="J435" s="4">
        <v>488.68</v>
      </c>
      <c r="K435" s="7" t="str">
        <f t="shared" si="38"/>
        <v>High</v>
      </c>
      <c r="L435" s="4">
        <v>984.36</v>
      </c>
      <c r="M435" s="4">
        <v>5.8999999999999997E-2</v>
      </c>
      <c r="N435" s="4">
        <v>14</v>
      </c>
      <c r="O435" s="4">
        <f t="shared" si="36"/>
        <v>24647.104860000003</v>
      </c>
      <c r="P435">
        <f t="shared" si="37"/>
        <v>6841.52</v>
      </c>
      <c r="Q435" s="4">
        <f t="shared" si="39"/>
        <v>17805.584860000003</v>
      </c>
      <c r="R435" s="16">
        <f t="shared" si="40"/>
        <v>0.72242094806424251</v>
      </c>
    </row>
    <row r="436" spans="1:18" x14ac:dyDescent="0.3">
      <c r="A436" t="s">
        <v>969</v>
      </c>
      <c r="B436" s="6">
        <v>45542</v>
      </c>
      <c r="C436" s="2">
        <v>45553</v>
      </c>
      <c r="D436" s="4">
        <f t="shared" si="41"/>
        <v>11</v>
      </c>
      <c r="E436" s="4" t="str">
        <f>TEXT(Data!B436,"MMM-YYYY")</f>
        <v>Oct-2023</v>
      </c>
      <c r="F436" t="s">
        <v>48</v>
      </c>
      <c r="G436" t="s">
        <v>55</v>
      </c>
      <c r="H436" t="s">
        <v>68</v>
      </c>
      <c r="I436" t="s">
        <v>35</v>
      </c>
      <c r="J436" s="4">
        <v>181.74</v>
      </c>
      <c r="K436" s="7" t="str">
        <f t="shared" si="38"/>
        <v>Medium</v>
      </c>
      <c r="L436" s="4">
        <v>190.84</v>
      </c>
      <c r="M436" s="4">
        <v>0.214</v>
      </c>
      <c r="N436" s="4">
        <v>13</v>
      </c>
      <c r="O436" s="4">
        <f t="shared" si="36"/>
        <v>2113.89984</v>
      </c>
      <c r="P436">
        <f t="shared" si="37"/>
        <v>2362.62</v>
      </c>
      <c r="Q436" s="4">
        <f t="shared" si="39"/>
        <v>-248.72015999999985</v>
      </c>
      <c r="R436" s="16">
        <f t="shared" si="40"/>
        <v>-0.11765938730569177</v>
      </c>
    </row>
    <row r="437" spans="1:18" x14ac:dyDescent="0.3">
      <c r="A437" t="s">
        <v>971</v>
      </c>
      <c r="B437" s="6">
        <v>45217</v>
      </c>
      <c r="C437" s="2">
        <v>45219</v>
      </c>
      <c r="D437" s="4">
        <f t="shared" si="41"/>
        <v>2</v>
      </c>
      <c r="E437" s="4" t="str">
        <f>TEXT(Data!B437,"MMM-YYYY")</f>
        <v>Dec-2024</v>
      </c>
      <c r="F437" t="s">
        <v>48</v>
      </c>
      <c r="G437" t="s">
        <v>20</v>
      </c>
      <c r="H437" t="s">
        <v>29</v>
      </c>
      <c r="I437" t="s">
        <v>42</v>
      </c>
      <c r="J437" s="4">
        <v>774.12</v>
      </c>
      <c r="K437" s="7" t="str">
        <f t="shared" si="38"/>
        <v>High</v>
      </c>
      <c r="L437" s="4">
        <v>908.3</v>
      </c>
      <c r="M437" s="4">
        <v>0</v>
      </c>
      <c r="N437" s="4">
        <v>30</v>
      </c>
      <c r="O437" s="4">
        <f t="shared" si="36"/>
        <v>1884.6</v>
      </c>
      <c r="P437">
        <f t="shared" si="37"/>
        <v>23223.599999999999</v>
      </c>
      <c r="Q437" s="4">
        <f t="shared" si="39"/>
        <v>-21339</v>
      </c>
      <c r="R437" s="16">
        <f t="shared" si="40"/>
        <v>-11.322827125119389</v>
      </c>
    </row>
    <row r="438" spans="1:18" x14ac:dyDescent="0.3">
      <c r="A438" t="s">
        <v>973</v>
      </c>
      <c r="B438" s="6">
        <v>45650</v>
      </c>
      <c r="C438" s="2">
        <v>45670</v>
      </c>
      <c r="D438" s="4">
        <f t="shared" si="41"/>
        <v>20</v>
      </c>
      <c r="E438" s="4" t="str">
        <f>TEXT(Data!B438,"MMM-YYYY")</f>
        <v>Apr-2023</v>
      </c>
      <c r="F438" t="s">
        <v>19</v>
      </c>
      <c r="G438" t="s">
        <v>40</v>
      </c>
      <c r="H438" t="s">
        <v>145</v>
      </c>
      <c r="I438" t="s">
        <v>35</v>
      </c>
      <c r="J438" s="4">
        <v>126.15</v>
      </c>
      <c r="K438" s="7" t="str">
        <f t="shared" si="38"/>
        <v>High</v>
      </c>
      <c r="L438" s="4">
        <v>284.23</v>
      </c>
      <c r="M438" s="4">
        <v>0.113</v>
      </c>
      <c r="N438" s="4">
        <v>22</v>
      </c>
      <c r="O438" s="4">
        <f t="shared" si="36"/>
        <v>18664.94586</v>
      </c>
      <c r="P438">
        <f t="shared" si="37"/>
        <v>2775.3</v>
      </c>
      <c r="Q438" s="4">
        <f t="shared" si="39"/>
        <v>15889.645860000001</v>
      </c>
      <c r="R438" s="16">
        <f t="shared" si="40"/>
        <v>0.85130950709331443</v>
      </c>
    </row>
    <row r="439" spans="1:18" x14ac:dyDescent="0.3">
      <c r="A439" t="s">
        <v>975</v>
      </c>
      <c r="B439" s="6">
        <v>45037</v>
      </c>
      <c r="C439" s="2">
        <v>45035</v>
      </c>
      <c r="D439" s="4">
        <f>DATEDIF(C439,B439, "MD")</f>
        <v>2</v>
      </c>
      <c r="E439" s="4" t="str">
        <f>TEXT(Data!B439,"MMM-YYYY")</f>
        <v>Dec-2023</v>
      </c>
      <c r="F439" t="s">
        <v>62</v>
      </c>
      <c r="G439" t="s">
        <v>98</v>
      </c>
      <c r="H439" t="s">
        <v>110</v>
      </c>
      <c r="I439" t="s">
        <v>22</v>
      </c>
      <c r="J439" s="4">
        <v>607.04</v>
      </c>
      <c r="K439" s="7" t="str">
        <f t="shared" si="38"/>
        <v>High</v>
      </c>
      <c r="L439" s="4">
        <v>1229.3399999999999</v>
      </c>
      <c r="M439" s="4">
        <v>0.14699999999999999</v>
      </c>
      <c r="N439" s="4">
        <v>7</v>
      </c>
      <c r="O439" s="4">
        <f t="shared" si="36"/>
        <v>989.39469999999983</v>
      </c>
      <c r="P439">
        <f t="shared" si="37"/>
        <v>4249.28</v>
      </c>
      <c r="Q439" s="4">
        <f t="shared" si="39"/>
        <v>-3259.8852999999999</v>
      </c>
      <c r="R439" s="16">
        <f t="shared" si="40"/>
        <v>-3.2948279387387061</v>
      </c>
    </row>
    <row r="440" spans="1:18" x14ac:dyDescent="0.3">
      <c r="A440" t="s">
        <v>977</v>
      </c>
      <c r="B440" s="6">
        <v>45290</v>
      </c>
      <c r="C440" s="2">
        <v>45299</v>
      </c>
      <c r="D440" s="4">
        <f t="shared" si="41"/>
        <v>9</v>
      </c>
      <c r="E440" s="4" t="str">
        <f>TEXT(Data!B440,"MMM-YYYY")</f>
        <v>Feb-2023</v>
      </c>
      <c r="F440" t="s">
        <v>48</v>
      </c>
      <c r="G440" t="s">
        <v>40</v>
      </c>
      <c r="H440" t="s">
        <v>49</v>
      </c>
      <c r="I440" t="s">
        <v>81</v>
      </c>
      <c r="J440" s="4">
        <v>861.1</v>
      </c>
      <c r="K440" s="7" t="str">
        <f t="shared" si="38"/>
        <v>High</v>
      </c>
      <c r="L440" s="4">
        <v>1224.72</v>
      </c>
      <c r="M440" s="4">
        <v>0.17399999999999999</v>
      </c>
      <c r="N440" s="4">
        <v>24</v>
      </c>
      <c r="O440" s="4">
        <f t="shared" si="36"/>
        <v>12060.128640000001</v>
      </c>
      <c r="P440">
        <f t="shared" si="37"/>
        <v>20666.400000000001</v>
      </c>
      <c r="Q440" s="4">
        <f t="shared" si="39"/>
        <v>-8606.2713600000006</v>
      </c>
      <c r="R440" s="16">
        <f t="shared" si="40"/>
        <v>-0.71361356225135586</v>
      </c>
    </row>
    <row r="441" spans="1:18" x14ac:dyDescent="0.3">
      <c r="A441" t="s">
        <v>979</v>
      </c>
      <c r="B441" s="6">
        <v>44978</v>
      </c>
      <c r="C441" s="2">
        <v>44997</v>
      </c>
      <c r="D441" s="4">
        <f t="shared" si="41"/>
        <v>19</v>
      </c>
      <c r="E441" s="4" t="str">
        <f>TEXT(Data!B441,"MMM-YYYY")</f>
        <v>May-2023</v>
      </c>
      <c r="F441" t="s">
        <v>19</v>
      </c>
      <c r="G441" t="s">
        <v>28</v>
      </c>
      <c r="H441" t="s">
        <v>84</v>
      </c>
      <c r="I441" t="s">
        <v>35</v>
      </c>
      <c r="J441" s="4">
        <v>352.65</v>
      </c>
      <c r="K441" s="7" t="str">
        <f t="shared" si="38"/>
        <v>High</v>
      </c>
      <c r="L441" s="4">
        <v>485.86</v>
      </c>
      <c r="M441" s="4">
        <v>4.1000000000000002E-2</v>
      </c>
      <c r="N441" s="4">
        <v>6</v>
      </c>
      <c r="O441" s="4">
        <f t="shared" si="36"/>
        <v>15339.646139999999</v>
      </c>
      <c r="P441">
        <f t="shared" si="37"/>
        <v>2115.8999999999996</v>
      </c>
      <c r="Q441" s="4">
        <f t="shared" si="39"/>
        <v>13223.746139999999</v>
      </c>
      <c r="R441" s="16">
        <f t="shared" si="40"/>
        <v>0.86206331093371624</v>
      </c>
    </row>
    <row r="442" spans="1:18" x14ac:dyDescent="0.3">
      <c r="A442" t="s">
        <v>981</v>
      </c>
      <c r="B442" s="6">
        <v>45063</v>
      </c>
      <c r="C442" s="2">
        <v>45080</v>
      </c>
      <c r="D442" s="4">
        <f t="shared" si="41"/>
        <v>17</v>
      </c>
      <c r="E442" s="4" t="str">
        <f>TEXT(Data!B442,"MMM-YYYY")</f>
        <v>Mar-2024</v>
      </c>
      <c r="F442" t="s">
        <v>39</v>
      </c>
      <c r="G442" t="s">
        <v>55</v>
      </c>
      <c r="H442" t="s">
        <v>110</v>
      </c>
      <c r="I442" t="s">
        <v>30</v>
      </c>
      <c r="J442" s="4">
        <v>979.59</v>
      </c>
      <c r="K442" s="7" t="str">
        <f t="shared" si="38"/>
        <v>High</v>
      </c>
      <c r="L442" s="4">
        <v>2210.94</v>
      </c>
      <c r="M442" s="4">
        <v>0.15</v>
      </c>
      <c r="N442" s="4">
        <v>11</v>
      </c>
      <c r="O442" s="4">
        <f t="shared" si="36"/>
        <v>5497.3325000000004</v>
      </c>
      <c r="P442">
        <f t="shared" si="37"/>
        <v>10775.49</v>
      </c>
      <c r="Q442" s="4">
        <f t="shared" si="39"/>
        <v>-5278.1574999999993</v>
      </c>
      <c r="R442" s="16">
        <f t="shared" si="40"/>
        <v>-0.96013066337173514</v>
      </c>
    </row>
    <row r="443" spans="1:18" x14ac:dyDescent="0.3">
      <c r="A443" t="s">
        <v>983</v>
      </c>
      <c r="B443" s="6">
        <v>45374</v>
      </c>
      <c r="C443" s="2">
        <v>45377</v>
      </c>
      <c r="D443" s="4">
        <f t="shared" si="41"/>
        <v>3</v>
      </c>
      <c r="E443" s="4" t="str">
        <f>TEXT(Data!B443,"MMM-YYYY")</f>
        <v>Sep-2023</v>
      </c>
      <c r="F443" t="s">
        <v>27</v>
      </c>
      <c r="G443" t="s">
        <v>98</v>
      </c>
      <c r="H443" t="s">
        <v>41</v>
      </c>
      <c r="I443" t="s">
        <v>42</v>
      </c>
      <c r="J443" s="4">
        <v>382.21</v>
      </c>
      <c r="K443" s="7" t="str">
        <f t="shared" si="38"/>
        <v>High</v>
      </c>
      <c r="L443" s="4">
        <v>571.89</v>
      </c>
      <c r="M443" s="4">
        <v>0.14799999999999999</v>
      </c>
      <c r="N443" s="4">
        <v>26</v>
      </c>
      <c r="O443" s="4">
        <f t="shared" si="36"/>
        <v>48582.215760000006</v>
      </c>
      <c r="P443">
        <f t="shared" si="37"/>
        <v>9937.4599999999991</v>
      </c>
      <c r="Q443" s="4">
        <f t="shared" si="39"/>
        <v>38644.755760000007</v>
      </c>
      <c r="R443" s="16">
        <f t="shared" si="40"/>
        <v>0.79545066348781124</v>
      </c>
    </row>
    <row r="444" spans="1:18" x14ac:dyDescent="0.3">
      <c r="A444" t="s">
        <v>985</v>
      </c>
      <c r="B444" s="6">
        <v>45189</v>
      </c>
      <c r="C444" s="2">
        <v>45197</v>
      </c>
      <c r="D444" s="4">
        <f t="shared" si="41"/>
        <v>8</v>
      </c>
      <c r="E444" s="4" t="str">
        <f>TEXT(Data!B444,"MMM-YYYY")</f>
        <v>Aug-2024</v>
      </c>
      <c r="F444" t="s">
        <v>19</v>
      </c>
      <c r="G444" t="s">
        <v>1364</v>
      </c>
      <c r="H444" t="s">
        <v>56</v>
      </c>
      <c r="I444" t="s">
        <v>81</v>
      </c>
      <c r="J444" s="4">
        <v>1362.06</v>
      </c>
      <c r="K444" s="7" t="str">
        <f t="shared" si="38"/>
        <v>High</v>
      </c>
      <c r="L444" s="4">
        <v>3398.37</v>
      </c>
      <c r="M444" s="4">
        <v>0.157</v>
      </c>
      <c r="N444" s="4">
        <v>11</v>
      </c>
      <c r="O444" s="4">
        <f t="shared" si="36"/>
        <v>20287.469400000002</v>
      </c>
      <c r="P444">
        <f t="shared" si="37"/>
        <v>14982.66</v>
      </c>
      <c r="Q444" s="4">
        <f t="shared" si="39"/>
        <v>5304.8094000000019</v>
      </c>
      <c r="R444" s="16">
        <f t="shared" si="40"/>
        <v>0.26148206537775487</v>
      </c>
    </row>
    <row r="445" spans="1:18" x14ac:dyDescent="0.3">
      <c r="A445" t="s">
        <v>987</v>
      </c>
      <c r="B445" s="6">
        <v>45526</v>
      </c>
      <c r="C445" s="2">
        <v>45539</v>
      </c>
      <c r="D445" s="4">
        <f t="shared" si="41"/>
        <v>13</v>
      </c>
      <c r="E445" s="4" t="str">
        <f>TEXT(Data!B445,"MMM-YYYY")</f>
        <v>Sep-2024</v>
      </c>
      <c r="F445" t="s">
        <v>39</v>
      </c>
      <c r="G445" t="s">
        <v>20</v>
      </c>
      <c r="H445" t="s">
        <v>49</v>
      </c>
      <c r="I445" t="s">
        <v>30</v>
      </c>
      <c r="J445" s="4">
        <v>90.04</v>
      </c>
      <c r="K445" s="7" t="str">
        <f t="shared" si="38"/>
        <v>Medium</v>
      </c>
      <c r="L445" s="4">
        <v>194.62</v>
      </c>
      <c r="M445" s="4">
        <v>4.2999999999999997E-2</v>
      </c>
      <c r="N445" s="4">
        <v>32</v>
      </c>
      <c r="O445" s="4">
        <f t="shared" si="36"/>
        <v>30688.61664</v>
      </c>
      <c r="P445">
        <f t="shared" si="37"/>
        <v>2881.28</v>
      </c>
      <c r="Q445" s="4">
        <f t="shared" si="39"/>
        <v>27807.336640000001</v>
      </c>
      <c r="R445" s="16">
        <f t="shared" si="40"/>
        <v>0.90611241836673417</v>
      </c>
    </row>
    <row r="446" spans="1:18" x14ac:dyDescent="0.3">
      <c r="A446" t="s">
        <v>989</v>
      </c>
      <c r="B446" s="6">
        <v>45560</v>
      </c>
      <c r="C446" s="2">
        <v>45568</v>
      </c>
      <c r="D446" s="4">
        <f t="shared" si="41"/>
        <v>8</v>
      </c>
      <c r="E446" s="4" t="str">
        <f>TEXT(Data!B446,"MMM-YYYY")</f>
        <v>Jun-2023</v>
      </c>
      <c r="F446" t="s">
        <v>48</v>
      </c>
      <c r="G446" t="s">
        <v>28</v>
      </c>
      <c r="H446" t="s">
        <v>63</v>
      </c>
      <c r="I446" t="s">
        <v>30</v>
      </c>
      <c r="J446" s="4">
        <v>558.19000000000005</v>
      </c>
      <c r="K446" s="7" t="str">
        <f t="shared" si="38"/>
        <v>High</v>
      </c>
      <c r="L446" s="4">
        <v>1031.6400000000001</v>
      </c>
      <c r="M446" s="4">
        <v>0</v>
      </c>
      <c r="N446" s="4">
        <v>21</v>
      </c>
      <c r="O446" s="4">
        <f t="shared" si="36"/>
        <v>19189.38</v>
      </c>
      <c r="P446">
        <f t="shared" si="37"/>
        <v>11721.990000000002</v>
      </c>
      <c r="Q446" s="4">
        <f t="shared" si="39"/>
        <v>7467.3899999999994</v>
      </c>
      <c r="R446" s="16">
        <f t="shared" si="40"/>
        <v>0.3891418065617544</v>
      </c>
    </row>
    <row r="447" spans="1:18" x14ac:dyDescent="0.3">
      <c r="A447" t="s">
        <v>991</v>
      </c>
      <c r="B447" s="6">
        <v>45090</v>
      </c>
      <c r="C447" s="2">
        <v>45101</v>
      </c>
      <c r="D447" s="4">
        <f t="shared" si="41"/>
        <v>11</v>
      </c>
      <c r="E447" s="4" t="str">
        <f>TEXT(Data!B447,"MMM-YYYY")</f>
        <v>Dec-2023</v>
      </c>
      <c r="F447" t="s">
        <v>19</v>
      </c>
      <c r="G447" t="s">
        <v>28</v>
      </c>
      <c r="H447" t="s">
        <v>21</v>
      </c>
      <c r="I447" t="s">
        <v>30</v>
      </c>
      <c r="J447" s="4">
        <v>247.07</v>
      </c>
      <c r="K447" s="7" t="str">
        <f t="shared" si="38"/>
        <v>High</v>
      </c>
      <c r="L447" s="4">
        <v>495.19</v>
      </c>
      <c r="M447" s="4">
        <v>2.8000000000000001E-2</v>
      </c>
      <c r="N447" s="4">
        <v>4</v>
      </c>
      <c r="O447" s="4">
        <f t="shared" si="36"/>
        <v>7167.5668799999994</v>
      </c>
      <c r="P447">
        <f t="shared" si="37"/>
        <v>988.28</v>
      </c>
      <c r="Q447" s="4">
        <f t="shared" si="39"/>
        <v>6179.2868799999997</v>
      </c>
      <c r="R447" s="16">
        <f t="shared" si="40"/>
        <v>0.86211778466167588</v>
      </c>
    </row>
    <row r="448" spans="1:18" x14ac:dyDescent="0.3">
      <c r="A448" t="s">
        <v>993</v>
      </c>
      <c r="B448" s="6">
        <v>45284</v>
      </c>
      <c r="C448" s="2">
        <v>45304</v>
      </c>
      <c r="D448" s="4">
        <f t="shared" si="41"/>
        <v>20</v>
      </c>
      <c r="E448" s="4" t="str">
        <f>TEXT(Data!B448,"MMM-YYYY")</f>
        <v>Mar-2025</v>
      </c>
      <c r="F448" t="s">
        <v>27</v>
      </c>
      <c r="G448" t="s">
        <v>98</v>
      </c>
      <c r="H448" t="s">
        <v>56</v>
      </c>
      <c r="I448" t="s">
        <v>57</v>
      </c>
      <c r="J448" s="4">
        <v>625.37</v>
      </c>
      <c r="K448" s="7" t="str">
        <f t="shared" si="38"/>
        <v>High</v>
      </c>
      <c r="L448" s="4">
        <v>1319.04</v>
      </c>
      <c r="M448" s="4">
        <v>7.3999999999999996E-2</v>
      </c>
      <c r="N448" s="4">
        <v>8</v>
      </c>
      <c r="O448" s="4">
        <f t="shared" si="36"/>
        <v>10249.7088</v>
      </c>
      <c r="P448">
        <f t="shared" si="37"/>
        <v>5002.96</v>
      </c>
      <c r="Q448" s="4">
        <f t="shared" si="39"/>
        <v>5246.7488000000003</v>
      </c>
      <c r="R448" s="16">
        <f t="shared" si="40"/>
        <v>0.51189247444766428</v>
      </c>
    </row>
    <row r="449" spans="1:18" x14ac:dyDescent="0.3">
      <c r="A449" t="s">
        <v>995</v>
      </c>
      <c r="B449" s="6">
        <v>45746</v>
      </c>
      <c r="C449" s="2">
        <v>45776</v>
      </c>
      <c r="D449" s="4">
        <f t="shared" si="41"/>
        <v>30</v>
      </c>
      <c r="E449" s="4" t="str">
        <f>TEXT(Data!B449,"MMM-YYYY")</f>
        <v>Jun-2024</v>
      </c>
      <c r="F449" t="s">
        <v>48</v>
      </c>
      <c r="G449" t="s">
        <v>40</v>
      </c>
      <c r="H449" t="s">
        <v>29</v>
      </c>
      <c r="I449" t="s">
        <v>64</v>
      </c>
      <c r="J449" s="4">
        <v>194.6</v>
      </c>
      <c r="K449" s="7" t="str">
        <f t="shared" si="38"/>
        <v>High</v>
      </c>
      <c r="L449" s="4">
        <v>314.87</v>
      </c>
      <c r="M449" s="4">
        <v>0.29299999999999998</v>
      </c>
      <c r="N449" s="4">
        <v>25</v>
      </c>
      <c r="O449" s="4">
        <f t="shared" si="36"/>
        <v>28077.267750000003</v>
      </c>
      <c r="P449">
        <f t="shared" si="37"/>
        <v>4865</v>
      </c>
      <c r="Q449" s="4">
        <f t="shared" si="39"/>
        <v>23212.267750000003</v>
      </c>
      <c r="R449" s="16">
        <f t="shared" si="40"/>
        <v>0.82672815448718295</v>
      </c>
    </row>
    <row r="450" spans="1:18" x14ac:dyDescent="0.3">
      <c r="A450" t="s">
        <v>997</v>
      </c>
      <c r="B450" s="6">
        <v>45446</v>
      </c>
      <c r="C450" s="2">
        <v>45467</v>
      </c>
      <c r="D450" s="4">
        <f t="shared" si="41"/>
        <v>21</v>
      </c>
      <c r="E450" s="4" t="str">
        <f>TEXT(Data!B450,"MMM-YYYY")</f>
        <v>Jun-2024</v>
      </c>
      <c r="F450" t="s">
        <v>62</v>
      </c>
      <c r="G450" t="s">
        <v>98</v>
      </c>
      <c r="H450" t="s">
        <v>41</v>
      </c>
      <c r="I450" t="s">
        <v>64</v>
      </c>
      <c r="J450" s="4">
        <v>1205.5</v>
      </c>
      <c r="K450" s="7" t="str">
        <f t="shared" si="38"/>
        <v>High</v>
      </c>
      <c r="L450" s="4">
        <v>2210.17</v>
      </c>
      <c r="M450" s="4">
        <v>0.104</v>
      </c>
      <c r="N450" s="4">
        <v>23</v>
      </c>
      <c r="O450" s="4">
        <f t="shared" ref="O450:O513" si="42">(L476*N450)*(1-M450)</f>
        <v>27698.182399999998</v>
      </c>
      <c r="P450">
        <f t="shared" ref="P450:P513" si="43">(J450*N450)</f>
        <v>27726.5</v>
      </c>
      <c r="Q450" s="4">
        <f t="shared" si="39"/>
        <v>-28.31760000000213</v>
      </c>
      <c r="R450" s="16">
        <f t="shared" si="40"/>
        <v>-1.0223631136172362E-3</v>
      </c>
    </row>
    <row r="451" spans="1:18" x14ac:dyDescent="0.3">
      <c r="A451" t="s">
        <v>999</v>
      </c>
      <c r="B451" s="6">
        <v>45454</v>
      </c>
      <c r="C451" s="2">
        <v>45482</v>
      </c>
      <c r="D451" s="4">
        <f t="shared" si="41"/>
        <v>28</v>
      </c>
      <c r="E451" s="4" t="str">
        <f>TEXT(Data!B451,"MMM-YYYY")</f>
        <v>Jul-2023</v>
      </c>
      <c r="F451" t="s">
        <v>19</v>
      </c>
      <c r="G451" t="s">
        <v>40</v>
      </c>
      <c r="H451" t="s">
        <v>34</v>
      </c>
      <c r="I451" t="s">
        <v>42</v>
      </c>
      <c r="J451" s="4">
        <v>895.54</v>
      </c>
      <c r="K451" s="7" t="str">
        <f t="shared" ref="K451:K514" si="44">IF(L451&lt;50, "Low", IF(L451&lt;200, "Medium", "High"))</f>
        <v>High</v>
      </c>
      <c r="L451" s="4">
        <v>1045</v>
      </c>
      <c r="M451" s="4">
        <v>0.216</v>
      </c>
      <c r="N451" s="4">
        <v>15</v>
      </c>
      <c r="O451" s="4">
        <f t="shared" si="42"/>
        <v>15173.8104</v>
      </c>
      <c r="P451">
        <f t="shared" si="43"/>
        <v>13433.099999999999</v>
      </c>
      <c r="Q451" s="4">
        <f t="shared" ref="Q451:Q514" si="45">(O451-P451)</f>
        <v>1740.7104000000018</v>
      </c>
      <c r="R451" s="16">
        <f t="shared" ref="R451:R514" si="46">(Q451/O451)</f>
        <v>0.11471808030499721</v>
      </c>
    </row>
    <row r="452" spans="1:18" x14ac:dyDescent="0.3">
      <c r="A452" t="s">
        <v>1001</v>
      </c>
      <c r="B452" s="6">
        <v>45129</v>
      </c>
      <c r="C452" s="2">
        <v>45128</v>
      </c>
      <c r="D452" s="4">
        <f>DATEDIF(C452,B452, "MD")</f>
        <v>1</v>
      </c>
      <c r="E452" s="4" t="str">
        <f>TEXT(Data!B452,"MMM-YYYY")</f>
        <v>Jan-2023</v>
      </c>
      <c r="F452" t="s">
        <v>62</v>
      </c>
      <c r="G452" t="s">
        <v>55</v>
      </c>
      <c r="H452" t="s">
        <v>63</v>
      </c>
      <c r="I452" t="s">
        <v>30</v>
      </c>
      <c r="J452" s="4">
        <v>946.99</v>
      </c>
      <c r="K452" s="7" t="str">
        <f t="shared" si="44"/>
        <v>High</v>
      </c>
      <c r="L452" s="4">
        <v>2132.19</v>
      </c>
      <c r="M452" s="4">
        <v>0.16500000000000001</v>
      </c>
      <c r="N452" s="4">
        <v>7</v>
      </c>
      <c r="O452" s="4">
        <f t="shared" si="42"/>
        <v>1295.1351000000002</v>
      </c>
      <c r="P452">
        <f t="shared" si="43"/>
        <v>6628.93</v>
      </c>
      <c r="Q452" s="4">
        <f t="shared" si="45"/>
        <v>-5333.7948999999999</v>
      </c>
      <c r="R452" s="16">
        <f t="shared" si="46"/>
        <v>-4.1183308984522151</v>
      </c>
    </row>
    <row r="453" spans="1:18" x14ac:dyDescent="0.3">
      <c r="A453" t="s">
        <v>1003</v>
      </c>
      <c r="B453" s="6">
        <v>44945</v>
      </c>
      <c r="C453" s="2">
        <v>44960</v>
      </c>
      <c r="D453" s="4">
        <f t="shared" ref="D453:D516" si="47">DATEDIF(B453,C453, "MD")</f>
        <v>15</v>
      </c>
      <c r="E453" s="4" t="str">
        <f>TEXT(Data!B453,"MMM-YYYY")</f>
        <v>May-2024</v>
      </c>
      <c r="F453" t="s">
        <v>105</v>
      </c>
      <c r="G453" t="s">
        <v>55</v>
      </c>
      <c r="H453" t="s">
        <v>41</v>
      </c>
      <c r="I453" t="s">
        <v>81</v>
      </c>
      <c r="J453" s="4">
        <v>873.06</v>
      </c>
      <c r="K453" s="7" t="str">
        <f t="shared" si="44"/>
        <v>High</v>
      </c>
      <c r="L453" s="4">
        <v>2101.5500000000002</v>
      </c>
      <c r="M453" s="4">
        <v>6.6000000000000003E-2</v>
      </c>
      <c r="N453" s="4">
        <v>10</v>
      </c>
      <c r="O453" s="4">
        <f t="shared" si="42"/>
        <v>3365.5755999999997</v>
      </c>
      <c r="P453">
        <f t="shared" si="43"/>
        <v>8730.5999999999985</v>
      </c>
      <c r="Q453" s="4">
        <f t="shared" si="45"/>
        <v>-5365.0243999999984</v>
      </c>
      <c r="R453" s="16">
        <f t="shared" si="46"/>
        <v>-1.5940882148064062</v>
      </c>
    </row>
    <row r="454" spans="1:18" x14ac:dyDescent="0.3">
      <c r="A454" t="s">
        <v>1005</v>
      </c>
      <c r="B454" s="6">
        <v>45413</v>
      </c>
      <c r="C454" s="2">
        <v>45428</v>
      </c>
      <c r="D454" s="4">
        <f t="shared" si="47"/>
        <v>15</v>
      </c>
      <c r="E454" s="4" t="str">
        <f>TEXT(Data!B454,"MMM-YYYY")</f>
        <v>Jun-2025</v>
      </c>
      <c r="F454" t="s">
        <v>62</v>
      </c>
      <c r="G454" t="s">
        <v>20</v>
      </c>
      <c r="H454" t="s">
        <v>49</v>
      </c>
      <c r="I454" t="s">
        <v>22</v>
      </c>
      <c r="J454" s="4">
        <v>901.19</v>
      </c>
      <c r="K454" s="7" t="str">
        <f t="shared" si="44"/>
        <v>High</v>
      </c>
      <c r="L454" s="4">
        <v>2125.44</v>
      </c>
      <c r="M454" s="4">
        <v>7.0999999999999994E-2</v>
      </c>
      <c r="N454" s="4">
        <v>12</v>
      </c>
      <c r="O454" s="4">
        <f t="shared" si="42"/>
        <v>28380.689880000002</v>
      </c>
      <c r="P454">
        <f t="shared" si="43"/>
        <v>10814.28</v>
      </c>
      <c r="Q454" s="4">
        <f t="shared" si="45"/>
        <v>17566.409879999999</v>
      </c>
      <c r="R454" s="16">
        <f t="shared" si="46"/>
        <v>0.61895640853956568</v>
      </c>
    </row>
    <row r="455" spans="1:18" x14ac:dyDescent="0.3">
      <c r="A455" t="s">
        <v>1007</v>
      </c>
      <c r="B455" s="6">
        <v>45817</v>
      </c>
      <c r="C455" s="2">
        <v>45832</v>
      </c>
      <c r="D455" s="4">
        <f t="shared" si="47"/>
        <v>15</v>
      </c>
      <c r="E455" s="4" t="str">
        <f>TEXT(Data!B455,"MMM-YYYY")</f>
        <v>May-2023</v>
      </c>
      <c r="F455" t="s">
        <v>19</v>
      </c>
      <c r="G455" t="s">
        <v>98</v>
      </c>
      <c r="H455" t="s">
        <v>56</v>
      </c>
      <c r="I455" t="s">
        <v>42</v>
      </c>
      <c r="J455" s="4">
        <v>400.39</v>
      </c>
      <c r="K455" s="7" t="str">
        <f t="shared" si="44"/>
        <v>High</v>
      </c>
      <c r="L455" s="4">
        <v>712.75</v>
      </c>
      <c r="M455" s="4">
        <v>0.115</v>
      </c>
      <c r="N455" s="4">
        <v>19</v>
      </c>
      <c r="O455" s="4">
        <f t="shared" si="42"/>
        <v>11761.58805</v>
      </c>
      <c r="P455">
        <f t="shared" si="43"/>
        <v>7607.41</v>
      </c>
      <c r="Q455" s="4">
        <f t="shared" si="45"/>
        <v>4154.1780500000004</v>
      </c>
      <c r="R455" s="16">
        <f t="shared" si="46"/>
        <v>0.35319873747831187</v>
      </c>
    </row>
    <row r="456" spans="1:18" x14ac:dyDescent="0.3">
      <c r="A456" t="s">
        <v>1009</v>
      </c>
      <c r="B456" s="6">
        <v>45070</v>
      </c>
      <c r="C456" s="2">
        <v>45098</v>
      </c>
      <c r="D456" s="4">
        <f t="shared" si="47"/>
        <v>28</v>
      </c>
      <c r="E456" s="4" t="str">
        <f>TEXT(Data!B456,"MMM-YYYY")</f>
        <v>Dec-2024</v>
      </c>
      <c r="F456" t="s">
        <v>62</v>
      </c>
      <c r="G456" t="s">
        <v>40</v>
      </c>
      <c r="H456" t="s">
        <v>41</v>
      </c>
      <c r="I456" t="s">
        <v>64</v>
      </c>
      <c r="J456" s="4">
        <v>813.97</v>
      </c>
      <c r="K456" s="7" t="str">
        <f t="shared" si="44"/>
        <v>High</v>
      </c>
      <c r="L456" s="4">
        <v>1568.83</v>
      </c>
      <c r="M456" s="4">
        <v>1.7000000000000001E-2</v>
      </c>
      <c r="N456" s="4">
        <v>15</v>
      </c>
      <c r="O456" s="4">
        <f t="shared" si="42"/>
        <v>40381.984049999999</v>
      </c>
      <c r="P456">
        <f t="shared" si="43"/>
        <v>12209.550000000001</v>
      </c>
      <c r="Q456" s="4">
        <f t="shared" si="45"/>
        <v>28172.434049999996</v>
      </c>
      <c r="R456" s="16">
        <f t="shared" si="46"/>
        <v>0.69764858544636066</v>
      </c>
    </row>
    <row r="457" spans="1:18" x14ac:dyDescent="0.3">
      <c r="A457" t="s">
        <v>1011</v>
      </c>
      <c r="B457" s="6">
        <v>45653</v>
      </c>
      <c r="C457" s="2">
        <v>45655</v>
      </c>
      <c r="D457" s="4">
        <f t="shared" si="47"/>
        <v>2</v>
      </c>
      <c r="E457" s="4" t="str">
        <f>TEXT(Data!B457,"MMM-YYYY")</f>
        <v>Dec-2023</v>
      </c>
      <c r="F457" t="s">
        <v>105</v>
      </c>
      <c r="G457" t="s">
        <v>40</v>
      </c>
      <c r="H457" t="s">
        <v>21</v>
      </c>
      <c r="I457" t="s">
        <v>81</v>
      </c>
      <c r="J457" s="4">
        <v>1146.72</v>
      </c>
      <c r="K457" s="7" t="str">
        <f t="shared" si="44"/>
        <v>High</v>
      </c>
      <c r="L457" s="4">
        <v>2074.34</v>
      </c>
      <c r="M457" s="4">
        <v>0.111</v>
      </c>
      <c r="N457" s="4">
        <v>8</v>
      </c>
      <c r="O457" s="4">
        <f t="shared" si="42"/>
        <v>674.07536000000005</v>
      </c>
      <c r="P457">
        <f t="shared" si="43"/>
        <v>9173.76</v>
      </c>
      <c r="Q457" s="4">
        <f t="shared" si="45"/>
        <v>-8499.6846399999995</v>
      </c>
      <c r="R457" s="16">
        <f t="shared" si="46"/>
        <v>-12.60939821327989</v>
      </c>
    </row>
    <row r="458" spans="1:18" x14ac:dyDescent="0.3">
      <c r="A458" t="s">
        <v>1013</v>
      </c>
      <c r="B458" s="6">
        <v>45265</v>
      </c>
      <c r="C458" s="2">
        <v>45272</v>
      </c>
      <c r="D458" s="4">
        <f t="shared" si="47"/>
        <v>7</v>
      </c>
      <c r="E458" s="4" t="str">
        <f>TEXT(Data!B458,"MMM-YYYY")</f>
        <v>May-2023</v>
      </c>
      <c r="F458" t="s">
        <v>19</v>
      </c>
      <c r="G458" t="s">
        <v>98</v>
      </c>
      <c r="H458" t="s">
        <v>84</v>
      </c>
      <c r="I458" t="s">
        <v>42</v>
      </c>
      <c r="J458" s="4">
        <v>307.43</v>
      </c>
      <c r="K458" s="7" t="str">
        <f t="shared" si="44"/>
        <v>High</v>
      </c>
      <c r="L458" s="4">
        <v>495.19</v>
      </c>
      <c r="M458" s="4">
        <v>0</v>
      </c>
      <c r="N458" s="4">
        <v>42</v>
      </c>
      <c r="O458" s="4">
        <f t="shared" si="42"/>
        <v>116648.7</v>
      </c>
      <c r="P458">
        <f t="shared" si="43"/>
        <v>12912.06</v>
      </c>
      <c r="Q458" s="4">
        <f t="shared" si="45"/>
        <v>103736.64</v>
      </c>
      <c r="R458" s="16">
        <f t="shared" si="46"/>
        <v>0.88930815345563219</v>
      </c>
    </row>
    <row r="459" spans="1:18" x14ac:dyDescent="0.3">
      <c r="A459" t="s">
        <v>1015</v>
      </c>
      <c r="B459" s="6">
        <v>45048</v>
      </c>
      <c r="C459" s="2">
        <v>45065</v>
      </c>
      <c r="D459" s="4">
        <f t="shared" si="47"/>
        <v>17</v>
      </c>
      <c r="E459" s="4" t="str">
        <f>TEXT(Data!B459,"MMM-YYYY")</f>
        <v>Nov-2023</v>
      </c>
      <c r="F459" t="s">
        <v>39</v>
      </c>
      <c r="G459" t="s">
        <v>98</v>
      </c>
      <c r="H459" t="s">
        <v>29</v>
      </c>
      <c r="I459" t="s">
        <v>64</v>
      </c>
      <c r="J459" s="4">
        <v>714.28</v>
      </c>
      <c r="K459" s="7" t="str">
        <f t="shared" si="44"/>
        <v>High</v>
      </c>
      <c r="L459" s="4">
        <v>757.59</v>
      </c>
      <c r="M459" s="4">
        <v>0.13600000000000001</v>
      </c>
      <c r="N459" s="4">
        <v>12</v>
      </c>
      <c r="O459" s="4">
        <f t="shared" si="42"/>
        <v>5102.9222399999999</v>
      </c>
      <c r="P459">
        <f t="shared" si="43"/>
        <v>8571.36</v>
      </c>
      <c r="Q459" s="4">
        <f t="shared" si="45"/>
        <v>-3468.4377600000007</v>
      </c>
      <c r="R459" s="16">
        <f t="shared" si="46"/>
        <v>-0.67969637726637211</v>
      </c>
    </row>
    <row r="460" spans="1:18" x14ac:dyDescent="0.3">
      <c r="A460" t="s">
        <v>1017</v>
      </c>
      <c r="B460" s="6">
        <v>45260</v>
      </c>
      <c r="C460" s="2">
        <v>45270</v>
      </c>
      <c r="D460" s="4">
        <f t="shared" si="47"/>
        <v>10</v>
      </c>
      <c r="E460" s="4" t="str">
        <f>TEXT(Data!B460,"MMM-YYYY")</f>
        <v>May-2024</v>
      </c>
      <c r="F460" t="s">
        <v>62</v>
      </c>
      <c r="G460" t="s">
        <v>98</v>
      </c>
      <c r="H460" t="s">
        <v>84</v>
      </c>
      <c r="I460" t="s">
        <v>57</v>
      </c>
      <c r="J460" s="4">
        <v>174.74</v>
      </c>
      <c r="K460" s="7" t="str">
        <f t="shared" si="44"/>
        <v>High</v>
      </c>
      <c r="L460" s="4">
        <v>415.96</v>
      </c>
      <c r="M460" s="4">
        <v>0.125</v>
      </c>
      <c r="N460" s="4">
        <v>21</v>
      </c>
      <c r="O460" s="4">
        <f t="shared" si="42"/>
        <v>35310.318749999999</v>
      </c>
      <c r="P460">
        <f t="shared" si="43"/>
        <v>3669.54</v>
      </c>
      <c r="Q460" s="4">
        <f t="shared" si="45"/>
        <v>31640.778749999998</v>
      </c>
      <c r="R460" s="16">
        <f t="shared" si="46"/>
        <v>0.89607740371927391</v>
      </c>
    </row>
    <row r="461" spans="1:18" x14ac:dyDescent="0.3">
      <c r="A461" t="s">
        <v>1019</v>
      </c>
      <c r="B461" s="6">
        <v>45417</v>
      </c>
      <c r="C461" s="2">
        <v>45430</v>
      </c>
      <c r="D461" s="4">
        <f t="shared" si="47"/>
        <v>13</v>
      </c>
      <c r="E461" s="4" t="str">
        <f>TEXT(Data!B461,"MMM-YYYY")</f>
        <v>Jul-2023</v>
      </c>
      <c r="F461" t="s">
        <v>19</v>
      </c>
      <c r="G461" t="s">
        <v>40</v>
      </c>
      <c r="H461" t="s">
        <v>75</v>
      </c>
      <c r="I461" t="s">
        <v>22</v>
      </c>
      <c r="J461" s="4">
        <v>1264.04</v>
      </c>
      <c r="K461" s="7" t="str">
        <f t="shared" si="44"/>
        <v>High</v>
      </c>
      <c r="L461" s="4">
        <v>1870.89</v>
      </c>
      <c r="M461" s="4">
        <v>0</v>
      </c>
      <c r="N461" s="4">
        <v>13</v>
      </c>
      <c r="O461" s="4">
        <f t="shared" si="42"/>
        <v>3774.29</v>
      </c>
      <c r="P461">
        <f t="shared" si="43"/>
        <v>16432.52</v>
      </c>
      <c r="Q461" s="4">
        <f t="shared" si="45"/>
        <v>-12658.23</v>
      </c>
      <c r="R461" s="16">
        <f t="shared" si="46"/>
        <v>-3.3538042916681019</v>
      </c>
    </row>
    <row r="462" spans="1:18" x14ac:dyDescent="0.3">
      <c r="A462" t="s">
        <v>1021</v>
      </c>
      <c r="B462" s="6">
        <v>45116</v>
      </c>
      <c r="C462" s="2">
        <v>45126</v>
      </c>
      <c r="D462" s="4">
        <f t="shared" si="47"/>
        <v>10</v>
      </c>
      <c r="E462" s="4" t="str">
        <f>TEXT(Data!B462,"MMM-YYYY")</f>
        <v>May-2023</v>
      </c>
      <c r="F462" t="s">
        <v>105</v>
      </c>
      <c r="G462" t="s">
        <v>55</v>
      </c>
      <c r="H462" t="s">
        <v>126</v>
      </c>
      <c r="I462" t="s">
        <v>22</v>
      </c>
      <c r="J462" s="4">
        <v>141.26</v>
      </c>
      <c r="K462" s="7" t="str">
        <f t="shared" si="44"/>
        <v>High</v>
      </c>
      <c r="L462" s="4">
        <v>206.88</v>
      </c>
      <c r="M462" s="4">
        <v>0.107</v>
      </c>
      <c r="N462" s="4">
        <v>9</v>
      </c>
      <c r="O462" s="4">
        <f t="shared" si="42"/>
        <v>4845.6680399999996</v>
      </c>
      <c r="P462">
        <f t="shared" si="43"/>
        <v>1271.3399999999999</v>
      </c>
      <c r="Q462" s="4">
        <f t="shared" si="45"/>
        <v>3574.3280399999994</v>
      </c>
      <c r="R462" s="16">
        <f t="shared" si="46"/>
        <v>0.737633698902742</v>
      </c>
    </row>
    <row r="463" spans="1:18" x14ac:dyDescent="0.3">
      <c r="A463" t="s">
        <v>1023</v>
      </c>
      <c r="B463" s="6">
        <v>45063</v>
      </c>
      <c r="C463" s="2">
        <v>45092</v>
      </c>
      <c r="D463" s="4">
        <f t="shared" si="47"/>
        <v>29</v>
      </c>
      <c r="E463" s="4" t="str">
        <f>TEXT(Data!B463,"MMM-YYYY")</f>
        <v>Mar-2024</v>
      </c>
      <c r="F463" t="s">
        <v>105</v>
      </c>
      <c r="G463" t="s">
        <v>20</v>
      </c>
      <c r="H463" t="s">
        <v>95</v>
      </c>
      <c r="I463" t="s">
        <v>81</v>
      </c>
      <c r="J463" s="4">
        <v>40.89</v>
      </c>
      <c r="K463" s="7" t="str">
        <f t="shared" si="44"/>
        <v>Medium</v>
      </c>
      <c r="L463" s="4">
        <v>62.82</v>
      </c>
      <c r="M463" s="4">
        <v>0.129</v>
      </c>
      <c r="N463" s="4">
        <v>17</v>
      </c>
      <c r="O463" s="4">
        <f t="shared" si="42"/>
        <v>30761.5425</v>
      </c>
      <c r="P463">
        <f t="shared" si="43"/>
        <v>695.13</v>
      </c>
      <c r="Q463" s="4">
        <f t="shared" si="45"/>
        <v>30066.412499999999</v>
      </c>
      <c r="R463" s="16">
        <f t="shared" si="46"/>
        <v>0.97740262862306071</v>
      </c>
    </row>
    <row r="464" spans="1:18" x14ac:dyDescent="0.3">
      <c r="A464" t="s">
        <v>1025</v>
      </c>
      <c r="B464" s="6">
        <v>45358</v>
      </c>
      <c r="C464" s="2">
        <v>45385</v>
      </c>
      <c r="D464" s="4">
        <f t="shared" si="47"/>
        <v>27</v>
      </c>
      <c r="E464" s="4" t="str">
        <f>TEXT(Data!B464,"MMM-YYYY")</f>
        <v>Apr-2025</v>
      </c>
      <c r="F464" t="s">
        <v>19</v>
      </c>
      <c r="G464" t="s">
        <v>98</v>
      </c>
      <c r="H464" t="s">
        <v>110</v>
      </c>
      <c r="I464" t="s">
        <v>30</v>
      </c>
      <c r="J464" s="4">
        <v>738.16</v>
      </c>
      <c r="K464" s="7" t="str">
        <f t="shared" si="44"/>
        <v>High</v>
      </c>
      <c r="L464" s="4">
        <v>956.49</v>
      </c>
      <c r="M464" s="4">
        <v>0.152</v>
      </c>
      <c r="N464" s="4">
        <v>5</v>
      </c>
      <c r="O464" s="4">
        <f t="shared" si="42"/>
        <v>733.01119999999992</v>
      </c>
      <c r="P464">
        <f t="shared" si="43"/>
        <v>3690.7999999999997</v>
      </c>
      <c r="Q464" s="4">
        <f t="shared" si="45"/>
        <v>-2957.7887999999998</v>
      </c>
      <c r="R464" s="16">
        <f t="shared" si="46"/>
        <v>-4.0351208821911593</v>
      </c>
    </row>
    <row r="465" spans="1:18" x14ac:dyDescent="0.3">
      <c r="A465" t="s">
        <v>1027</v>
      </c>
      <c r="B465" s="6">
        <v>45757</v>
      </c>
      <c r="C465" s="2">
        <v>45766</v>
      </c>
      <c r="D465" s="4">
        <f t="shared" si="47"/>
        <v>9</v>
      </c>
      <c r="E465" s="4" t="str">
        <f>TEXT(Data!B465,"MMM-YYYY")</f>
        <v>Jul-2025</v>
      </c>
      <c r="F465" t="s">
        <v>105</v>
      </c>
      <c r="G465" t="s">
        <v>1364</v>
      </c>
      <c r="H465" t="s">
        <v>41</v>
      </c>
      <c r="I465" t="s">
        <v>35</v>
      </c>
      <c r="J465" s="4">
        <v>113.74</v>
      </c>
      <c r="K465" s="7" t="str">
        <f t="shared" si="44"/>
        <v>Medium</v>
      </c>
      <c r="L465" s="4">
        <v>165.7</v>
      </c>
      <c r="M465" s="4">
        <v>0.124</v>
      </c>
      <c r="N465" s="4">
        <v>13</v>
      </c>
      <c r="O465" s="4">
        <f t="shared" si="42"/>
        <v>31644.291119999994</v>
      </c>
      <c r="P465">
        <f t="shared" si="43"/>
        <v>1478.62</v>
      </c>
      <c r="Q465" s="4">
        <f t="shared" si="45"/>
        <v>30165.671119999995</v>
      </c>
      <c r="R465" s="16">
        <f t="shared" si="46"/>
        <v>0.95327372022988777</v>
      </c>
    </row>
    <row r="466" spans="1:18" x14ac:dyDescent="0.3">
      <c r="A466" t="s">
        <v>1029</v>
      </c>
      <c r="B466" s="6">
        <v>45865</v>
      </c>
      <c r="C466" s="2">
        <v>45884</v>
      </c>
      <c r="D466" s="4">
        <f t="shared" si="47"/>
        <v>19</v>
      </c>
      <c r="E466" s="4" t="str">
        <f>TEXT(Data!B466,"MMM-YYYY")</f>
        <v>Nov-2024</v>
      </c>
      <c r="F466" t="s">
        <v>62</v>
      </c>
      <c r="G466" t="s">
        <v>40</v>
      </c>
      <c r="H466" t="s">
        <v>29</v>
      </c>
      <c r="I466" t="s">
        <v>22</v>
      </c>
      <c r="J466" s="4">
        <v>275.43</v>
      </c>
      <c r="K466" s="7" t="str">
        <f t="shared" si="44"/>
        <v>High</v>
      </c>
      <c r="L466" s="4">
        <v>608.36</v>
      </c>
      <c r="M466" s="4">
        <v>0.25700000000000001</v>
      </c>
      <c r="N466" s="4">
        <v>4</v>
      </c>
      <c r="O466" s="4">
        <f t="shared" si="42"/>
        <v>919.74484000000007</v>
      </c>
      <c r="P466">
        <f t="shared" si="43"/>
        <v>1101.72</v>
      </c>
      <c r="Q466" s="4">
        <f t="shared" si="45"/>
        <v>-181.97515999999996</v>
      </c>
      <c r="R466" s="16">
        <f t="shared" si="46"/>
        <v>-0.19785396132257718</v>
      </c>
    </row>
    <row r="467" spans="1:18" x14ac:dyDescent="0.3">
      <c r="A467" t="s">
        <v>1031</v>
      </c>
      <c r="B467" s="6">
        <v>45618</v>
      </c>
      <c r="C467" s="2">
        <v>45641</v>
      </c>
      <c r="D467" s="4">
        <f t="shared" si="47"/>
        <v>23</v>
      </c>
      <c r="E467" s="4" t="str">
        <f>TEXT(Data!B467,"MMM-YYYY")</f>
        <v>Jun-2024</v>
      </c>
      <c r="F467" t="s">
        <v>39</v>
      </c>
      <c r="G467" t="s">
        <v>55</v>
      </c>
      <c r="H467" t="s">
        <v>21</v>
      </c>
      <c r="I467" t="s">
        <v>22</v>
      </c>
      <c r="J467" s="4">
        <v>1335.76</v>
      </c>
      <c r="K467" s="7" t="str">
        <f t="shared" si="44"/>
        <v>High</v>
      </c>
      <c r="L467" s="4">
        <v>2665.91</v>
      </c>
      <c r="M467" s="4">
        <v>0.21099999999999999</v>
      </c>
      <c r="N467" s="4">
        <v>40</v>
      </c>
      <c r="O467" s="4">
        <f t="shared" si="42"/>
        <v>21031.899600000001</v>
      </c>
      <c r="P467">
        <f t="shared" si="43"/>
        <v>53430.400000000001</v>
      </c>
      <c r="Q467" s="4">
        <f t="shared" si="45"/>
        <v>-32398.500400000001</v>
      </c>
      <c r="R467" s="16">
        <f t="shared" si="46"/>
        <v>-1.5404457522229709</v>
      </c>
    </row>
    <row r="468" spans="1:18" x14ac:dyDescent="0.3">
      <c r="A468" t="s">
        <v>1033</v>
      </c>
      <c r="B468" s="6">
        <v>45466</v>
      </c>
      <c r="C468" s="2">
        <v>45471</v>
      </c>
      <c r="D468" s="4">
        <f t="shared" si="47"/>
        <v>5</v>
      </c>
      <c r="E468" s="4" t="str">
        <f>TEXT(Data!B468,"MMM-YYYY")</f>
        <v>Dec-2023</v>
      </c>
      <c r="F468" t="s">
        <v>39</v>
      </c>
      <c r="G468" t="s">
        <v>98</v>
      </c>
      <c r="H468" t="s">
        <v>110</v>
      </c>
      <c r="I468" t="s">
        <v>81</v>
      </c>
      <c r="J468" s="4">
        <v>242.31</v>
      </c>
      <c r="K468" s="7" t="str">
        <f t="shared" si="44"/>
        <v>High</v>
      </c>
      <c r="L468" s="4">
        <v>587.95000000000005</v>
      </c>
      <c r="M468" s="4">
        <v>0.22900000000000001</v>
      </c>
      <c r="N468" s="4">
        <v>6</v>
      </c>
      <c r="O468" s="4">
        <f t="shared" si="42"/>
        <v>3442.9930199999999</v>
      </c>
      <c r="P468">
        <f t="shared" si="43"/>
        <v>1453.8600000000001</v>
      </c>
      <c r="Q468" s="4">
        <f t="shared" si="45"/>
        <v>1989.1330199999998</v>
      </c>
      <c r="R468" s="16">
        <f t="shared" si="46"/>
        <v>0.57773367777550699</v>
      </c>
    </row>
    <row r="469" spans="1:18" x14ac:dyDescent="0.3">
      <c r="A469" t="s">
        <v>1035</v>
      </c>
      <c r="B469" s="6">
        <v>45278</v>
      </c>
      <c r="C469" s="2">
        <v>45305</v>
      </c>
      <c r="D469" s="4">
        <f t="shared" si="47"/>
        <v>27</v>
      </c>
      <c r="E469" s="4" t="str">
        <f>TEXT(Data!B469,"MMM-YYYY")</f>
        <v>Jun-2025</v>
      </c>
      <c r="F469" t="s">
        <v>48</v>
      </c>
      <c r="G469" t="s">
        <v>55</v>
      </c>
      <c r="H469" t="s">
        <v>145</v>
      </c>
      <c r="I469" t="s">
        <v>35</v>
      </c>
      <c r="J469" s="4">
        <v>1408.3</v>
      </c>
      <c r="K469" s="7" t="str">
        <f t="shared" si="44"/>
        <v>High</v>
      </c>
      <c r="L469" s="4">
        <v>2193.13</v>
      </c>
      <c r="M469" s="4">
        <v>7.0999999999999994E-2</v>
      </c>
      <c r="N469" s="4">
        <v>7</v>
      </c>
      <c r="O469" s="4">
        <f t="shared" si="42"/>
        <v>82.523070000000004</v>
      </c>
      <c r="P469">
        <f t="shared" si="43"/>
        <v>9858.1</v>
      </c>
      <c r="Q469" s="4">
        <f t="shared" si="45"/>
        <v>-9775.5769300000011</v>
      </c>
      <c r="R469" s="16">
        <f t="shared" si="46"/>
        <v>-118.45871621111527</v>
      </c>
    </row>
    <row r="470" spans="1:18" x14ac:dyDescent="0.3">
      <c r="A470" t="s">
        <v>1037</v>
      </c>
      <c r="B470" s="6">
        <v>45809</v>
      </c>
      <c r="C470" s="2">
        <v>45813</v>
      </c>
      <c r="D470" s="4">
        <f t="shared" si="47"/>
        <v>4</v>
      </c>
      <c r="E470" s="4" t="str">
        <f>TEXT(Data!B470,"MMM-YYYY")</f>
        <v>Mar-2025</v>
      </c>
      <c r="F470" t="s">
        <v>105</v>
      </c>
      <c r="G470" t="s">
        <v>98</v>
      </c>
      <c r="H470" t="s">
        <v>110</v>
      </c>
      <c r="I470" t="s">
        <v>22</v>
      </c>
      <c r="J470" s="4">
        <v>1171.42</v>
      </c>
      <c r="K470" s="7" t="str">
        <f t="shared" si="44"/>
        <v>High</v>
      </c>
      <c r="L470" s="4">
        <v>2187.8000000000002</v>
      </c>
      <c r="M470" s="4">
        <v>0.23</v>
      </c>
      <c r="N470" s="4">
        <v>15</v>
      </c>
      <c r="O470" s="4">
        <f t="shared" si="42"/>
        <v>7525.518</v>
      </c>
      <c r="P470">
        <f t="shared" si="43"/>
        <v>17571.300000000003</v>
      </c>
      <c r="Q470" s="4">
        <f t="shared" si="45"/>
        <v>-10045.782000000003</v>
      </c>
      <c r="R470" s="16">
        <f t="shared" si="46"/>
        <v>-1.3348957506978261</v>
      </c>
    </row>
    <row r="471" spans="1:18" x14ac:dyDescent="0.3">
      <c r="A471" t="s">
        <v>1039</v>
      </c>
      <c r="B471" s="6">
        <v>45739</v>
      </c>
      <c r="C471" s="2">
        <v>45749</v>
      </c>
      <c r="D471" s="4">
        <f t="shared" si="47"/>
        <v>10</v>
      </c>
      <c r="E471" s="4" t="str">
        <f>TEXT(Data!B471,"MMM-YYYY")</f>
        <v>May-2023</v>
      </c>
      <c r="F471" t="s">
        <v>105</v>
      </c>
      <c r="G471" t="s">
        <v>28</v>
      </c>
      <c r="H471" t="s">
        <v>63</v>
      </c>
      <c r="I471" t="s">
        <v>30</v>
      </c>
      <c r="J471" s="4">
        <v>663.61</v>
      </c>
      <c r="K471" s="7" t="str">
        <f t="shared" si="44"/>
        <v>High</v>
      </c>
      <c r="L471" s="4">
        <v>1002.11</v>
      </c>
      <c r="M471" s="4">
        <v>4.5999999999999999E-2</v>
      </c>
      <c r="N471" s="4">
        <v>17</v>
      </c>
      <c r="O471" s="4">
        <f t="shared" si="42"/>
        <v>12231.93996</v>
      </c>
      <c r="P471">
        <f t="shared" si="43"/>
        <v>11281.37</v>
      </c>
      <c r="Q471" s="4">
        <f t="shared" si="45"/>
        <v>950.5699599999989</v>
      </c>
      <c r="R471" s="16">
        <f t="shared" si="46"/>
        <v>7.7712117874064429E-2</v>
      </c>
    </row>
    <row r="472" spans="1:18" x14ac:dyDescent="0.3">
      <c r="A472" t="s">
        <v>1041</v>
      </c>
      <c r="B472" s="6">
        <v>45060</v>
      </c>
      <c r="C472" s="2">
        <v>45068</v>
      </c>
      <c r="D472" s="4">
        <f t="shared" si="47"/>
        <v>8</v>
      </c>
      <c r="E472" s="4" t="str">
        <f>TEXT(Data!B472,"MMM-YYYY")</f>
        <v>Aug-2023</v>
      </c>
      <c r="F472" t="s">
        <v>62</v>
      </c>
      <c r="G472" t="s">
        <v>55</v>
      </c>
      <c r="H472" t="s">
        <v>84</v>
      </c>
      <c r="I472" t="s">
        <v>30</v>
      </c>
      <c r="J472" s="4">
        <v>432.01</v>
      </c>
      <c r="K472" s="7" t="str">
        <f t="shared" si="44"/>
        <v>High</v>
      </c>
      <c r="L472" s="4">
        <v>913.78</v>
      </c>
      <c r="M472" s="4">
        <v>4.9000000000000002E-2</v>
      </c>
      <c r="N472" s="4">
        <v>12</v>
      </c>
      <c r="O472" s="4">
        <f t="shared" si="42"/>
        <v>34019.286120000004</v>
      </c>
      <c r="P472">
        <f t="shared" si="43"/>
        <v>5184.12</v>
      </c>
      <c r="Q472" s="4">
        <f t="shared" si="45"/>
        <v>28835.166120000005</v>
      </c>
      <c r="R472" s="16">
        <f t="shared" si="46"/>
        <v>0.84761232255981278</v>
      </c>
    </row>
    <row r="473" spans="1:18" x14ac:dyDescent="0.3">
      <c r="A473" t="s">
        <v>1043</v>
      </c>
      <c r="B473" s="6">
        <v>45167</v>
      </c>
      <c r="C473" s="2">
        <v>45188</v>
      </c>
      <c r="D473" s="4">
        <f t="shared" si="47"/>
        <v>21</v>
      </c>
      <c r="E473" s="4" t="str">
        <f>TEXT(Data!B473,"MMM-YYYY")</f>
        <v>Jul-2025</v>
      </c>
      <c r="F473" t="s">
        <v>62</v>
      </c>
      <c r="G473" t="s">
        <v>98</v>
      </c>
      <c r="H473" t="s">
        <v>56</v>
      </c>
      <c r="I473" t="s">
        <v>30</v>
      </c>
      <c r="J473" s="4">
        <v>784.46</v>
      </c>
      <c r="K473" s="7" t="str">
        <f t="shared" si="44"/>
        <v>High</v>
      </c>
      <c r="L473" s="4">
        <v>1843.51</v>
      </c>
      <c r="M473" s="4">
        <v>0.13800000000000001</v>
      </c>
      <c r="N473" s="4">
        <v>23</v>
      </c>
      <c r="O473" s="4">
        <f t="shared" si="42"/>
        <v>19353.546419999999</v>
      </c>
      <c r="P473">
        <f t="shared" si="43"/>
        <v>18042.580000000002</v>
      </c>
      <c r="Q473" s="4">
        <f t="shared" si="45"/>
        <v>1310.966419999997</v>
      </c>
      <c r="R473" s="16">
        <f t="shared" si="46"/>
        <v>6.7737787770268371E-2</v>
      </c>
    </row>
    <row r="474" spans="1:18" x14ac:dyDescent="0.3">
      <c r="A474" t="s">
        <v>1045</v>
      </c>
      <c r="B474" s="6">
        <v>45841</v>
      </c>
      <c r="C474" s="2">
        <v>45861</v>
      </c>
      <c r="D474" s="4">
        <f t="shared" si="47"/>
        <v>20</v>
      </c>
      <c r="E474" s="4" t="str">
        <f>TEXT(Data!B474,"MMM-YYYY")</f>
        <v>Feb-2024</v>
      </c>
      <c r="F474" t="s">
        <v>62</v>
      </c>
      <c r="G474" t="s">
        <v>28</v>
      </c>
      <c r="H474" t="s">
        <v>110</v>
      </c>
      <c r="I474" t="s">
        <v>22</v>
      </c>
      <c r="J474" s="4">
        <v>647.36</v>
      </c>
      <c r="K474" s="7" t="str">
        <f t="shared" si="44"/>
        <v>High</v>
      </c>
      <c r="L474" s="4">
        <v>1383.6</v>
      </c>
      <c r="M474" s="4">
        <v>7.3999999999999996E-2</v>
      </c>
      <c r="N474" s="4">
        <v>12</v>
      </c>
      <c r="O474" s="4">
        <f t="shared" si="42"/>
        <v>12733.240800000001</v>
      </c>
      <c r="P474">
        <f t="shared" si="43"/>
        <v>7768.32</v>
      </c>
      <c r="Q474" s="4">
        <f t="shared" si="45"/>
        <v>4964.9208000000017</v>
      </c>
      <c r="R474" s="16">
        <f t="shared" si="46"/>
        <v>0.38991807961410746</v>
      </c>
    </row>
    <row r="475" spans="1:18" x14ac:dyDescent="0.3">
      <c r="A475" t="s">
        <v>1047</v>
      </c>
      <c r="B475" s="6">
        <v>45328</v>
      </c>
      <c r="C475" s="2">
        <v>45350</v>
      </c>
      <c r="D475" s="4">
        <f t="shared" si="47"/>
        <v>22</v>
      </c>
      <c r="E475" s="4" t="str">
        <f>TEXT(Data!B475,"MMM-YYYY")</f>
        <v>Aug-2025</v>
      </c>
      <c r="F475" t="s">
        <v>39</v>
      </c>
      <c r="G475" t="s">
        <v>28</v>
      </c>
      <c r="H475" t="s">
        <v>95</v>
      </c>
      <c r="I475" t="s">
        <v>64</v>
      </c>
      <c r="J475" s="4">
        <v>834.93</v>
      </c>
      <c r="K475" s="7" t="str">
        <f t="shared" si="44"/>
        <v>High</v>
      </c>
      <c r="L475" s="4">
        <v>1588.53</v>
      </c>
      <c r="M475" s="4">
        <v>0.126</v>
      </c>
      <c r="N475" s="4">
        <v>6</v>
      </c>
      <c r="O475" s="4">
        <f t="shared" si="42"/>
        <v>8549.7651600000008</v>
      </c>
      <c r="P475">
        <f t="shared" si="43"/>
        <v>5009.58</v>
      </c>
      <c r="Q475" s="4">
        <f t="shared" si="45"/>
        <v>3540.1851600000009</v>
      </c>
      <c r="R475" s="16">
        <f t="shared" si="46"/>
        <v>0.4140681169305942</v>
      </c>
    </row>
    <row r="476" spans="1:18" x14ac:dyDescent="0.3">
      <c r="A476" t="s">
        <v>1049</v>
      </c>
      <c r="B476" s="6">
        <v>45882</v>
      </c>
      <c r="C476" s="2">
        <v>45903</v>
      </c>
      <c r="D476" s="4">
        <f t="shared" si="47"/>
        <v>21</v>
      </c>
      <c r="E476" s="4" t="str">
        <f>TEXT(Data!B476,"MMM-YYYY")</f>
        <v>May-2023</v>
      </c>
      <c r="F476" t="s">
        <v>27</v>
      </c>
      <c r="G476" t="s">
        <v>20</v>
      </c>
      <c r="H476" t="s">
        <v>34</v>
      </c>
      <c r="I476" t="s">
        <v>42</v>
      </c>
      <c r="J476" s="4">
        <v>603.47</v>
      </c>
      <c r="K476" s="7" t="str">
        <f t="shared" si="44"/>
        <v>High</v>
      </c>
      <c r="L476" s="4">
        <v>1344.05</v>
      </c>
      <c r="M476" s="4">
        <v>0.20499999999999999</v>
      </c>
      <c r="N476" s="4">
        <v>18</v>
      </c>
      <c r="O476" s="4">
        <f t="shared" si="42"/>
        <v>13790.9763</v>
      </c>
      <c r="P476">
        <f t="shared" si="43"/>
        <v>10862.460000000001</v>
      </c>
      <c r="Q476" s="4">
        <f t="shared" si="45"/>
        <v>2928.5162999999993</v>
      </c>
      <c r="R476" s="16">
        <f t="shared" si="46"/>
        <v>0.21235018002315031</v>
      </c>
    </row>
    <row r="477" spans="1:18" x14ac:dyDescent="0.3">
      <c r="A477" t="s">
        <v>1051</v>
      </c>
      <c r="B477" s="6">
        <v>45069</v>
      </c>
      <c r="C477" s="2">
        <v>45071</v>
      </c>
      <c r="D477" s="4">
        <f t="shared" si="47"/>
        <v>2</v>
      </c>
      <c r="E477" s="4" t="str">
        <f>TEXT(Data!B477,"MMM-YYYY")</f>
        <v>May-2024</v>
      </c>
      <c r="F477" t="s">
        <v>105</v>
      </c>
      <c r="G477" t="s">
        <v>20</v>
      </c>
      <c r="H477" t="s">
        <v>110</v>
      </c>
      <c r="I477" t="s">
        <v>30</v>
      </c>
      <c r="J477" s="4">
        <v>690.49</v>
      </c>
      <c r="K477" s="7" t="str">
        <f t="shared" si="44"/>
        <v>High</v>
      </c>
      <c r="L477" s="4">
        <v>1290.29</v>
      </c>
      <c r="M477" s="4">
        <v>4.2000000000000003E-2</v>
      </c>
      <c r="N477" s="4">
        <v>22</v>
      </c>
      <c r="O477" s="4">
        <f t="shared" si="42"/>
        <v>18794.101480000001</v>
      </c>
      <c r="P477">
        <f t="shared" si="43"/>
        <v>15190.78</v>
      </c>
      <c r="Q477" s="4">
        <f t="shared" si="45"/>
        <v>3603.3214800000005</v>
      </c>
      <c r="R477" s="16">
        <f t="shared" si="46"/>
        <v>0.19172619046643566</v>
      </c>
    </row>
    <row r="478" spans="1:18" x14ac:dyDescent="0.3">
      <c r="A478" t="s">
        <v>1053</v>
      </c>
      <c r="B478" s="6">
        <v>45422</v>
      </c>
      <c r="C478" s="2">
        <v>45428</v>
      </c>
      <c r="D478" s="4">
        <f t="shared" si="47"/>
        <v>6</v>
      </c>
      <c r="E478" s="4" t="str">
        <f>TEXT(Data!B478,"MMM-YYYY")</f>
        <v>Mar-2023</v>
      </c>
      <c r="F478" t="s">
        <v>39</v>
      </c>
      <c r="G478" t="s">
        <v>98</v>
      </c>
      <c r="H478" t="s">
        <v>41</v>
      </c>
      <c r="I478" t="s">
        <v>57</v>
      </c>
      <c r="J478" s="4">
        <v>210.76</v>
      </c>
      <c r="K478" s="7" t="str">
        <f t="shared" si="44"/>
        <v>High</v>
      </c>
      <c r="L478" s="4">
        <v>221.58</v>
      </c>
      <c r="M478" s="4">
        <v>8.8999999999999996E-2</v>
      </c>
      <c r="N478" s="4">
        <v>5</v>
      </c>
      <c r="O478" s="4">
        <f t="shared" si="42"/>
        <v>7596.9201000000003</v>
      </c>
      <c r="P478">
        <f t="shared" si="43"/>
        <v>1053.8</v>
      </c>
      <c r="Q478" s="4">
        <f t="shared" si="45"/>
        <v>6543.1201000000001</v>
      </c>
      <c r="R478" s="16">
        <f t="shared" si="46"/>
        <v>0.86128589137063583</v>
      </c>
    </row>
    <row r="479" spans="1:18" x14ac:dyDescent="0.3">
      <c r="A479" t="s">
        <v>1055</v>
      </c>
      <c r="B479" s="6">
        <v>44999</v>
      </c>
      <c r="C479" s="2">
        <v>45003</v>
      </c>
      <c r="D479" s="4">
        <f t="shared" si="47"/>
        <v>4</v>
      </c>
      <c r="E479" s="4" t="str">
        <f>TEXT(Data!B479,"MMM-YYYY")</f>
        <v>Jul-2023</v>
      </c>
      <c r="F479" t="s">
        <v>105</v>
      </c>
      <c r="G479" t="s">
        <v>98</v>
      </c>
      <c r="H479" t="s">
        <v>75</v>
      </c>
      <c r="I479" t="s">
        <v>22</v>
      </c>
      <c r="J479" s="4">
        <v>472.33</v>
      </c>
      <c r="K479" s="7" t="str">
        <f t="shared" si="44"/>
        <v>High</v>
      </c>
      <c r="L479" s="4">
        <v>360.34</v>
      </c>
      <c r="M479" s="4">
        <v>0.16500000000000001</v>
      </c>
      <c r="N479" s="4">
        <v>14</v>
      </c>
      <c r="O479" s="4">
        <f t="shared" si="42"/>
        <v>22462.4519</v>
      </c>
      <c r="P479">
        <f t="shared" si="43"/>
        <v>6612.62</v>
      </c>
      <c r="Q479" s="4">
        <f t="shared" si="45"/>
        <v>15849.831900000001</v>
      </c>
      <c r="R479" s="16">
        <f t="shared" si="46"/>
        <v>0.70561450595693875</v>
      </c>
    </row>
    <row r="480" spans="1:18" x14ac:dyDescent="0.3">
      <c r="A480" t="s">
        <v>1057</v>
      </c>
      <c r="B480" s="6">
        <v>45123</v>
      </c>
      <c r="C480" s="2">
        <v>45151</v>
      </c>
      <c r="D480" s="4">
        <f t="shared" si="47"/>
        <v>28</v>
      </c>
      <c r="E480" s="4" t="str">
        <f>TEXT(Data!B480,"MMM-YYYY")</f>
        <v>Apr-2023</v>
      </c>
      <c r="F480" t="s">
        <v>39</v>
      </c>
      <c r="G480" t="s">
        <v>28</v>
      </c>
      <c r="H480" t="s">
        <v>29</v>
      </c>
      <c r="I480" t="s">
        <v>57</v>
      </c>
      <c r="J480" s="4">
        <v>1039.03</v>
      </c>
      <c r="K480" s="7" t="str">
        <f t="shared" si="44"/>
        <v>High</v>
      </c>
      <c r="L480" s="4">
        <v>2545.81</v>
      </c>
      <c r="M480" s="4">
        <v>0.216</v>
      </c>
      <c r="N480" s="4">
        <v>21</v>
      </c>
      <c r="O480" s="4">
        <f t="shared" si="42"/>
        <v>20043.767520000001</v>
      </c>
      <c r="P480">
        <f t="shared" si="43"/>
        <v>21819.63</v>
      </c>
      <c r="Q480" s="4">
        <f t="shared" si="45"/>
        <v>-1775.8624799999998</v>
      </c>
      <c r="R480" s="16">
        <f t="shared" si="46"/>
        <v>-8.8599235559283701E-2</v>
      </c>
    </row>
    <row r="481" spans="1:18" x14ac:dyDescent="0.3">
      <c r="A481" t="s">
        <v>1059</v>
      </c>
      <c r="B481" s="6">
        <v>45032</v>
      </c>
      <c r="C481" s="2">
        <v>45035</v>
      </c>
      <c r="D481" s="4">
        <f t="shared" si="47"/>
        <v>3</v>
      </c>
      <c r="E481" s="4" t="str">
        <f>TEXT(Data!B481,"MMM-YYYY")</f>
        <v>Jan-2024</v>
      </c>
      <c r="F481" t="s">
        <v>19</v>
      </c>
      <c r="G481" t="s">
        <v>98</v>
      </c>
      <c r="H481" t="s">
        <v>56</v>
      </c>
      <c r="I481" t="s">
        <v>81</v>
      </c>
      <c r="J481" s="4">
        <v>553.61</v>
      </c>
      <c r="K481" s="7" t="str">
        <f t="shared" si="44"/>
        <v>High</v>
      </c>
      <c r="L481" s="4">
        <v>699.47</v>
      </c>
      <c r="M481" s="4">
        <v>0.02</v>
      </c>
      <c r="N481" s="4">
        <v>33</v>
      </c>
      <c r="O481" s="4">
        <f t="shared" si="42"/>
        <v>31378.531800000001</v>
      </c>
      <c r="P481">
        <f t="shared" si="43"/>
        <v>18269.13</v>
      </c>
      <c r="Q481" s="4">
        <f t="shared" si="45"/>
        <v>13109.4018</v>
      </c>
      <c r="R481" s="16">
        <f t="shared" si="46"/>
        <v>0.41778251078018885</v>
      </c>
    </row>
    <row r="482" spans="1:18" x14ac:dyDescent="0.3">
      <c r="A482" t="s">
        <v>1061</v>
      </c>
      <c r="B482" s="6">
        <v>45293</v>
      </c>
      <c r="C482" s="2">
        <v>45306</v>
      </c>
      <c r="D482" s="4">
        <f t="shared" si="47"/>
        <v>13</v>
      </c>
      <c r="E482" s="4" t="str">
        <f>TEXT(Data!B482,"MMM-YYYY")</f>
        <v>Sep-2024</v>
      </c>
      <c r="F482" t="s">
        <v>62</v>
      </c>
      <c r="G482" t="s">
        <v>40</v>
      </c>
      <c r="H482" t="s">
        <v>41</v>
      </c>
      <c r="I482" t="s">
        <v>35</v>
      </c>
      <c r="J482" s="4">
        <v>1219.06</v>
      </c>
      <c r="K482" s="7" t="str">
        <f t="shared" si="44"/>
        <v>High</v>
      </c>
      <c r="L482" s="4">
        <v>2738.69</v>
      </c>
      <c r="M482" s="4">
        <v>7.5999999999999998E-2</v>
      </c>
      <c r="N482" s="4">
        <v>16</v>
      </c>
      <c r="O482" s="4">
        <f t="shared" si="42"/>
        <v>24019.121280000003</v>
      </c>
      <c r="P482">
        <f t="shared" si="43"/>
        <v>19504.96</v>
      </c>
      <c r="Q482" s="4">
        <f t="shared" si="45"/>
        <v>4514.1612800000039</v>
      </c>
      <c r="R482" s="16">
        <f t="shared" si="46"/>
        <v>0.18794031752355611</v>
      </c>
    </row>
    <row r="483" spans="1:18" x14ac:dyDescent="0.3">
      <c r="A483" t="s">
        <v>1063</v>
      </c>
      <c r="B483" s="6">
        <v>45538</v>
      </c>
      <c r="C483" s="2">
        <v>45542</v>
      </c>
      <c r="D483" s="4">
        <f t="shared" si="47"/>
        <v>4</v>
      </c>
      <c r="E483" s="4" t="str">
        <f>TEXT(Data!B483,"MMM-YYYY")</f>
        <v>Aug-2025</v>
      </c>
      <c r="F483" t="s">
        <v>62</v>
      </c>
      <c r="G483" t="s">
        <v>55</v>
      </c>
      <c r="H483" t="s">
        <v>126</v>
      </c>
      <c r="I483" t="s">
        <v>30</v>
      </c>
      <c r="J483" s="4">
        <v>43.23</v>
      </c>
      <c r="K483" s="7" t="str">
        <f t="shared" si="44"/>
        <v>Medium</v>
      </c>
      <c r="L483" s="4">
        <v>94.78</v>
      </c>
      <c r="M483" s="4">
        <v>9.0999999999999998E-2</v>
      </c>
      <c r="N483" s="4">
        <v>55</v>
      </c>
      <c r="O483" s="4">
        <f t="shared" si="42"/>
        <v>130292.46945000002</v>
      </c>
      <c r="P483">
        <f t="shared" si="43"/>
        <v>2377.6499999999996</v>
      </c>
      <c r="Q483" s="4">
        <f t="shared" si="45"/>
        <v>127914.81945000002</v>
      </c>
      <c r="R483" s="16">
        <f t="shared" si="46"/>
        <v>0.98175143958790023</v>
      </c>
    </row>
    <row r="484" spans="1:18" x14ac:dyDescent="0.3">
      <c r="A484" t="s">
        <v>1065</v>
      </c>
      <c r="B484" s="6">
        <v>45899</v>
      </c>
      <c r="C484" s="2">
        <v>45903</v>
      </c>
      <c r="D484" s="4">
        <f t="shared" si="47"/>
        <v>4</v>
      </c>
      <c r="E484" s="4" t="str">
        <f>TEXT(Data!B484,"MMM-YYYY")</f>
        <v>Apr-2025</v>
      </c>
      <c r="F484" t="s">
        <v>62</v>
      </c>
      <c r="G484" t="s">
        <v>40</v>
      </c>
      <c r="H484" t="s">
        <v>29</v>
      </c>
      <c r="I484" t="s">
        <v>57</v>
      </c>
      <c r="J484" s="4">
        <v>1286.56</v>
      </c>
      <c r="K484" s="7" t="str">
        <f t="shared" si="44"/>
        <v>High</v>
      </c>
      <c r="L484" s="4">
        <v>2777.35</v>
      </c>
      <c r="M484" s="4">
        <v>0.13200000000000001</v>
      </c>
      <c r="N484" s="4">
        <v>15</v>
      </c>
      <c r="O484" s="4">
        <f t="shared" si="42"/>
        <v>5660.0544</v>
      </c>
      <c r="P484">
        <f t="shared" si="43"/>
        <v>19298.399999999998</v>
      </c>
      <c r="Q484" s="4">
        <f t="shared" si="45"/>
        <v>-13638.345599999997</v>
      </c>
      <c r="R484" s="16">
        <f t="shared" si="46"/>
        <v>-2.4095785369130014</v>
      </c>
    </row>
    <row r="485" spans="1:18" x14ac:dyDescent="0.3">
      <c r="A485" t="s">
        <v>1067</v>
      </c>
      <c r="B485" s="6">
        <v>45775</v>
      </c>
      <c r="C485" s="2">
        <v>45796</v>
      </c>
      <c r="D485" s="4">
        <f t="shared" si="47"/>
        <v>21</v>
      </c>
      <c r="E485" s="4" t="str">
        <f>TEXT(Data!B485,"MMM-YYYY")</f>
        <v>Aug-2023</v>
      </c>
      <c r="F485" t="s">
        <v>19</v>
      </c>
      <c r="G485" t="s">
        <v>55</v>
      </c>
      <c r="H485" t="s">
        <v>56</v>
      </c>
      <c r="I485" t="s">
        <v>42</v>
      </c>
      <c r="J485" s="4">
        <v>350.76</v>
      </c>
      <c r="K485" s="7" t="str">
        <f t="shared" si="44"/>
        <v>High</v>
      </c>
      <c r="L485" s="4">
        <v>492.18</v>
      </c>
      <c r="M485" s="4">
        <v>5.2999999999999999E-2</v>
      </c>
      <c r="N485" s="4">
        <v>11</v>
      </c>
      <c r="O485" s="4">
        <f t="shared" si="42"/>
        <v>19379.89097</v>
      </c>
      <c r="P485">
        <f t="shared" si="43"/>
        <v>3858.3599999999997</v>
      </c>
      <c r="Q485" s="4">
        <f t="shared" si="45"/>
        <v>15521.53097</v>
      </c>
      <c r="R485" s="16">
        <f t="shared" si="46"/>
        <v>0.80090909665215726</v>
      </c>
    </row>
    <row r="486" spans="1:18" x14ac:dyDescent="0.3">
      <c r="A486" t="s">
        <v>1069</v>
      </c>
      <c r="B486" s="6">
        <v>45148</v>
      </c>
      <c r="C486" s="2">
        <v>45153</v>
      </c>
      <c r="D486" s="4">
        <f t="shared" si="47"/>
        <v>5</v>
      </c>
      <c r="E486" s="4" t="str">
        <f>TEXT(Data!B486,"MMM-YYYY")</f>
        <v>Dec-2024</v>
      </c>
      <c r="F486" t="s">
        <v>27</v>
      </c>
      <c r="G486" t="s">
        <v>98</v>
      </c>
      <c r="H486" t="s">
        <v>41</v>
      </c>
      <c r="I486" t="s">
        <v>35</v>
      </c>
      <c r="J486" s="4">
        <v>1307.52</v>
      </c>
      <c r="K486" s="7" t="str">
        <f t="shared" si="44"/>
        <v>High</v>
      </c>
      <c r="L486" s="4">
        <v>1921.65</v>
      </c>
      <c r="M486" s="4">
        <v>0.123</v>
      </c>
      <c r="N486" s="4">
        <v>13</v>
      </c>
      <c r="O486" s="4">
        <f t="shared" si="42"/>
        <v>9504.8996900000002</v>
      </c>
      <c r="P486">
        <f t="shared" si="43"/>
        <v>16997.759999999998</v>
      </c>
      <c r="Q486" s="4">
        <f t="shared" si="45"/>
        <v>-7492.8603099999982</v>
      </c>
      <c r="R486" s="16">
        <f t="shared" si="46"/>
        <v>-0.78831555875157244</v>
      </c>
    </row>
    <row r="487" spans="1:18" x14ac:dyDescent="0.3">
      <c r="A487" t="s">
        <v>1071</v>
      </c>
      <c r="B487" s="6">
        <v>45634</v>
      </c>
      <c r="C487" s="2">
        <v>45634</v>
      </c>
      <c r="D487" s="4">
        <f t="shared" si="47"/>
        <v>0</v>
      </c>
      <c r="E487" s="4" t="str">
        <f>TEXT(Data!B487,"MMM-YYYY")</f>
        <v>Oct-2023</v>
      </c>
      <c r="F487" t="s">
        <v>105</v>
      </c>
      <c r="G487" t="s">
        <v>20</v>
      </c>
      <c r="H487" t="s">
        <v>92</v>
      </c>
      <c r="I487" t="s">
        <v>22</v>
      </c>
      <c r="J487" s="4">
        <v>257.44</v>
      </c>
      <c r="K487" s="7" t="str">
        <f t="shared" si="44"/>
        <v>High</v>
      </c>
      <c r="L487" s="4">
        <v>290.33</v>
      </c>
      <c r="M487" s="4">
        <v>9.1999999999999998E-2</v>
      </c>
      <c r="N487" s="4">
        <v>23</v>
      </c>
      <c r="O487" s="4">
        <f t="shared" si="42"/>
        <v>6964.3963200000007</v>
      </c>
      <c r="P487">
        <f t="shared" si="43"/>
        <v>5921.12</v>
      </c>
      <c r="Q487" s="4">
        <f t="shared" si="45"/>
        <v>1043.2763200000009</v>
      </c>
      <c r="R487" s="16">
        <f t="shared" si="46"/>
        <v>0.14980140015926044</v>
      </c>
    </row>
    <row r="488" spans="1:18" x14ac:dyDescent="0.3">
      <c r="A488" t="s">
        <v>1073</v>
      </c>
      <c r="B488" s="6">
        <v>45224</v>
      </c>
      <c r="C488" s="2">
        <v>45254</v>
      </c>
      <c r="D488" s="4">
        <f t="shared" si="47"/>
        <v>30</v>
      </c>
      <c r="E488" s="4" t="str">
        <f>TEXT(Data!B488,"MMM-YYYY")</f>
        <v>Nov-2024</v>
      </c>
      <c r="F488" t="s">
        <v>105</v>
      </c>
      <c r="G488" t="s">
        <v>55</v>
      </c>
      <c r="H488" t="s">
        <v>21</v>
      </c>
      <c r="I488" t="s">
        <v>42</v>
      </c>
      <c r="J488" s="4">
        <v>287.85000000000002</v>
      </c>
      <c r="K488" s="7" t="str">
        <f t="shared" si="44"/>
        <v>High</v>
      </c>
      <c r="L488" s="4">
        <v>602.91999999999996</v>
      </c>
      <c r="M488" s="4">
        <v>0.222</v>
      </c>
      <c r="N488" s="4">
        <v>11</v>
      </c>
      <c r="O488" s="4">
        <f t="shared" si="42"/>
        <v>15273.462600000001</v>
      </c>
      <c r="P488">
        <f t="shared" si="43"/>
        <v>3166.3500000000004</v>
      </c>
      <c r="Q488" s="4">
        <f t="shared" si="45"/>
        <v>12107.1126</v>
      </c>
      <c r="R488" s="16">
        <f t="shared" si="46"/>
        <v>0.79268944554851628</v>
      </c>
    </row>
    <row r="489" spans="1:18" x14ac:dyDescent="0.3">
      <c r="A489" t="s">
        <v>1075</v>
      </c>
      <c r="B489" s="6">
        <v>45613</v>
      </c>
      <c r="C489" s="2">
        <v>45624</v>
      </c>
      <c r="D489" s="4">
        <f t="shared" si="47"/>
        <v>11</v>
      </c>
      <c r="E489" s="4" t="str">
        <f>TEXT(Data!B489,"MMM-YYYY")</f>
        <v>May-2024</v>
      </c>
      <c r="F489" t="s">
        <v>48</v>
      </c>
      <c r="G489" t="s">
        <v>55</v>
      </c>
      <c r="H489" t="s">
        <v>75</v>
      </c>
      <c r="I489" t="s">
        <v>30</v>
      </c>
      <c r="J489" s="4">
        <v>1008.16</v>
      </c>
      <c r="K489" s="7" t="str">
        <f t="shared" si="44"/>
        <v>High</v>
      </c>
      <c r="L489" s="4">
        <v>2077.5</v>
      </c>
      <c r="M489" s="4">
        <v>7.3999999999999996E-2</v>
      </c>
      <c r="N489" s="4">
        <v>15</v>
      </c>
      <c r="O489" s="4">
        <f t="shared" si="42"/>
        <v>14894.108099999999</v>
      </c>
      <c r="P489">
        <f t="shared" si="43"/>
        <v>15122.4</v>
      </c>
      <c r="Q489" s="4">
        <f t="shared" si="45"/>
        <v>-228.29190000000017</v>
      </c>
      <c r="R489" s="16">
        <f t="shared" si="46"/>
        <v>-1.5327665038230801E-2</v>
      </c>
    </row>
    <row r="490" spans="1:18" x14ac:dyDescent="0.3">
      <c r="A490" t="s">
        <v>1077</v>
      </c>
      <c r="B490" s="6">
        <v>45424</v>
      </c>
      <c r="C490" s="2">
        <v>45436</v>
      </c>
      <c r="D490" s="4">
        <f t="shared" si="47"/>
        <v>12</v>
      </c>
      <c r="E490" s="4" t="str">
        <f>TEXT(Data!B490,"MMM-YYYY")</f>
        <v>May-2025</v>
      </c>
      <c r="F490" t="s">
        <v>27</v>
      </c>
      <c r="G490" t="s">
        <v>40</v>
      </c>
      <c r="H490" t="s">
        <v>95</v>
      </c>
      <c r="I490" t="s">
        <v>30</v>
      </c>
      <c r="J490" s="4">
        <v>111.02</v>
      </c>
      <c r="K490" s="7" t="str">
        <f t="shared" si="44"/>
        <v>Medium</v>
      </c>
      <c r="L490" s="4">
        <v>172.88</v>
      </c>
      <c r="M490" s="4">
        <v>0.19700000000000001</v>
      </c>
      <c r="N490" s="4">
        <v>29</v>
      </c>
      <c r="O490" s="4">
        <f t="shared" si="42"/>
        <v>70514.200349999999</v>
      </c>
      <c r="P490">
        <f t="shared" si="43"/>
        <v>3219.58</v>
      </c>
      <c r="Q490" s="4">
        <f t="shared" si="45"/>
        <v>67294.620349999997</v>
      </c>
      <c r="R490" s="16">
        <f t="shared" si="46"/>
        <v>0.95434139529315387</v>
      </c>
    </row>
    <row r="491" spans="1:18" x14ac:dyDescent="0.3">
      <c r="A491" t="s">
        <v>1079</v>
      </c>
      <c r="B491" s="6">
        <v>45792</v>
      </c>
      <c r="C491" s="2">
        <v>45813</v>
      </c>
      <c r="D491" s="4">
        <f t="shared" si="47"/>
        <v>21</v>
      </c>
      <c r="E491" s="4" t="str">
        <f>TEXT(Data!B491,"MMM-YYYY")</f>
        <v>Apr-2024</v>
      </c>
      <c r="F491" t="s">
        <v>105</v>
      </c>
      <c r="G491" t="s">
        <v>98</v>
      </c>
      <c r="H491" t="s">
        <v>92</v>
      </c>
      <c r="I491" t="s">
        <v>42</v>
      </c>
      <c r="J491" s="4">
        <v>1466.5</v>
      </c>
      <c r="K491" s="7" t="str">
        <f t="shared" si="44"/>
        <v>High</v>
      </c>
      <c r="L491" s="4">
        <v>2778.74</v>
      </c>
      <c r="M491" s="4">
        <v>0.13500000000000001</v>
      </c>
      <c r="N491" s="4">
        <v>4</v>
      </c>
      <c r="O491" s="4">
        <f t="shared" si="42"/>
        <v>3415.8503999999998</v>
      </c>
      <c r="P491">
        <f t="shared" si="43"/>
        <v>5866</v>
      </c>
      <c r="Q491" s="4">
        <f t="shared" si="45"/>
        <v>-2450.1496000000002</v>
      </c>
      <c r="R491" s="16">
        <f t="shared" si="46"/>
        <v>-0.71728832152602473</v>
      </c>
    </row>
    <row r="492" spans="1:18" x14ac:dyDescent="0.3">
      <c r="A492" t="s">
        <v>1081</v>
      </c>
      <c r="B492" s="6">
        <v>45403</v>
      </c>
      <c r="C492" s="2">
        <v>45431</v>
      </c>
      <c r="D492" s="4">
        <f t="shared" si="47"/>
        <v>28</v>
      </c>
      <c r="E492" s="4" t="str">
        <f>TEXT(Data!B492,"MMM-YYYY")</f>
        <v>Aug-2024</v>
      </c>
      <c r="F492" t="s">
        <v>19</v>
      </c>
      <c r="G492" t="s">
        <v>55</v>
      </c>
      <c r="H492" t="s">
        <v>75</v>
      </c>
      <c r="I492" t="s">
        <v>81</v>
      </c>
      <c r="J492" s="4">
        <v>187.22</v>
      </c>
      <c r="K492" s="7" t="str">
        <f t="shared" si="44"/>
        <v>High</v>
      </c>
      <c r="L492" s="4">
        <v>309.47000000000003</v>
      </c>
      <c r="M492" s="4">
        <v>0</v>
      </c>
      <c r="N492" s="4">
        <v>5</v>
      </c>
      <c r="O492" s="4">
        <f t="shared" si="42"/>
        <v>4877.1499999999996</v>
      </c>
      <c r="P492">
        <f t="shared" si="43"/>
        <v>936.1</v>
      </c>
      <c r="Q492" s="4">
        <f t="shared" si="45"/>
        <v>3941.0499999999997</v>
      </c>
      <c r="R492" s="16">
        <f t="shared" si="46"/>
        <v>0.8080641358170243</v>
      </c>
    </row>
    <row r="493" spans="1:18" x14ac:dyDescent="0.3">
      <c r="A493" t="s">
        <v>1083</v>
      </c>
      <c r="B493" s="6">
        <v>45523</v>
      </c>
      <c r="C493" s="2">
        <v>45542</v>
      </c>
      <c r="D493" s="4">
        <f t="shared" si="47"/>
        <v>19</v>
      </c>
      <c r="E493" s="4" t="str">
        <f>TEXT(Data!B493,"MMM-YYYY")</f>
        <v>Jul-2025</v>
      </c>
      <c r="F493" t="s">
        <v>19</v>
      </c>
      <c r="G493" t="s">
        <v>98</v>
      </c>
      <c r="H493" t="s">
        <v>29</v>
      </c>
      <c r="I493" t="s">
        <v>22</v>
      </c>
      <c r="J493" s="4">
        <v>297.58999999999997</v>
      </c>
      <c r="K493" s="7" t="str">
        <f t="shared" si="44"/>
        <v>High</v>
      </c>
      <c r="L493" s="4">
        <v>666.41</v>
      </c>
      <c r="M493" s="4">
        <v>0</v>
      </c>
      <c r="N493" s="4">
        <v>10</v>
      </c>
      <c r="O493" s="4">
        <f t="shared" si="42"/>
        <v>1414.3000000000002</v>
      </c>
      <c r="P493">
        <f t="shared" si="43"/>
        <v>2975.8999999999996</v>
      </c>
      <c r="Q493" s="4">
        <f t="shared" si="45"/>
        <v>-1561.5999999999995</v>
      </c>
      <c r="R493" s="16">
        <f t="shared" si="46"/>
        <v>-1.1041504631266346</v>
      </c>
    </row>
    <row r="494" spans="1:18" x14ac:dyDescent="0.3">
      <c r="A494" t="s">
        <v>1085</v>
      </c>
      <c r="B494" s="6">
        <v>45861</v>
      </c>
      <c r="C494" s="2">
        <v>45888</v>
      </c>
      <c r="D494" s="4">
        <f t="shared" si="47"/>
        <v>27</v>
      </c>
      <c r="E494" s="4" t="str">
        <f>TEXT(Data!B494,"MMM-YYYY")</f>
        <v>Mar-2024</v>
      </c>
      <c r="F494" t="s">
        <v>48</v>
      </c>
      <c r="G494" t="s">
        <v>40</v>
      </c>
      <c r="H494" t="s">
        <v>56</v>
      </c>
      <c r="I494" t="s">
        <v>81</v>
      </c>
      <c r="J494" s="4">
        <v>896.09</v>
      </c>
      <c r="K494" s="7" t="str">
        <f t="shared" si="44"/>
        <v>High</v>
      </c>
      <c r="L494" s="4">
        <v>744.27</v>
      </c>
      <c r="M494" s="4">
        <v>8.3000000000000004E-2</v>
      </c>
      <c r="N494" s="4">
        <v>11</v>
      </c>
      <c r="O494" s="4">
        <f t="shared" si="42"/>
        <v>16395.611540000002</v>
      </c>
      <c r="P494">
        <f t="shared" si="43"/>
        <v>9856.99</v>
      </c>
      <c r="Q494" s="4">
        <f t="shared" si="45"/>
        <v>6538.6215400000019</v>
      </c>
      <c r="R494" s="16">
        <f t="shared" si="46"/>
        <v>0.3988031507118765</v>
      </c>
    </row>
    <row r="495" spans="1:18" x14ac:dyDescent="0.3">
      <c r="A495" t="s">
        <v>1087</v>
      </c>
      <c r="B495" s="6">
        <v>45352</v>
      </c>
      <c r="C495" s="2">
        <v>45351</v>
      </c>
      <c r="D495" s="4">
        <f>DATEDIF(C495,B495, "MD")</f>
        <v>1</v>
      </c>
      <c r="E495" s="4" t="str">
        <f>TEXT(Data!B495,"MMM-YYYY")</f>
        <v>May-2024</v>
      </c>
      <c r="F495" t="s">
        <v>39</v>
      </c>
      <c r="G495" t="s">
        <v>98</v>
      </c>
      <c r="H495" t="s">
        <v>34</v>
      </c>
      <c r="I495" t="s">
        <v>42</v>
      </c>
      <c r="J495" s="4">
        <v>5.34</v>
      </c>
      <c r="K495" s="7" t="str">
        <f t="shared" si="44"/>
        <v>Low</v>
      </c>
      <c r="L495" s="4">
        <v>12.69</v>
      </c>
      <c r="M495" s="4">
        <v>0.13200000000000001</v>
      </c>
      <c r="N495" s="4">
        <v>10</v>
      </c>
      <c r="O495" s="4">
        <f t="shared" si="42"/>
        <v>2603.4792000000002</v>
      </c>
      <c r="P495">
        <f t="shared" si="43"/>
        <v>53.4</v>
      </c>
      <c r="Q495" s="4">
        <f t="shared" si="45"/>
        <v>2550.0792000000001</v>
      </c>
      <c r="R495" s="16">
        <f t="shared" si="46"/>
        <v>0.97948898535467455</v>
      </c>
    </row>
    <row r="496" spans="1:18" x14ac:dyDescent="0.3">
      <c r="A496" t="s">
        <v>1089</v>
      </c>
      <c r="B496" s="6">
        <v>45439</v>
      </c>
      <c r="C496" s="2">
        <v>45460</v>
      </c>
      <c r="D496" s="4">
        <f t="shared" si="47"/>
        <v>21</v>
      </c>
      <c r="E496" s="4" t="str">
        <f>TEXT(Data!B496,"MMM-YYYY")</f>
        <v>Aug-2024</v>
      </c>
      <c r="F496" t="s">
        <v>62</v>
      </c>
      <c r="G496" t="s">
        <v>28</v>
      </c>
      <c r="H496" t="s">
        <v>92</v>
      </c>
      <c r="I496" t="s">
        <v>81</v>
      </c>
      <c r="J496" s="4">
        <v>465.02</v>
      </c>
      <c r="K496" s="7" t="str">
        <f t="shared" si="44"/>
        <v>High</v>
      </c>
      <c r="L496" s="4">
        <v>651.55999999999995</v>
      </c>
      <c r="M496" s="4">
        <v>4.2000000000000003E-2</v>
      </c>
      <c r="N496" s="4">
        <v>19</v>
      </c>
      <c r="O496" s="4">
        <f t="shared" si="42"/>
        <v>27375.07992</v>
      </c>
      <c r="P496">
        <f t="shared" si="43"/>
        <v>8835.3799999999992</v>
      </c>
      <c r="Q496" s="4">
        <f t="shared" si="45"/>
        <v>18539.699919999999</v>
      </c>
      <c r="R496" s="16">
        <f t="shared" si="46"/>
        <v>0.67724733495499501</v>
      </c>
    </row>
    <row r="497" spans="1:18" x14ac:dyDescent="0.3">
      <c r="A497" t="s">
        <v>1091</v>
      </c>
      <c r="B497" s="6">
        <v>45508</v>
      </c>
      <c r="C497" s="2">
        <v>45521</v>
      </c>
      <c r="D497" s="4">
        <f t="shared" si="47"/>
        <v>13</v>
      </c>
      <c r="E497" s="4" t="str">
        <f>TEXT(Data!B497,"MMM-YYYY")</f>
        <v>Jun-2023</v>
      </c>
      <c r="F497" t="s">
        <v>48</v>
      </c>
      <c r="G497" t="s">
        <v>20</v>
      </c>
      <c r="H497" t="s">
        <v>145</v>
      </c>
      <c r="I497" t="s">
        <v>64</v>
      </c>
      <c r="J497" s="4">
        <v>352.79</v>
      </c>
      <c r="K497" s="7" t="str">
        <f t="shared" si="44"/>
        <v>High</v>
      </c>
      <c r="L497" s="4">
        <v>754.22</v>
      </c>
      <c r="M497" s="4">
        <v>0.113</v>
      </c>
      <c r="N497" s="4">
        <v>7</v>
      </c>
      <c r="O497" s="4">
        <f t="shared" si="42"/>
        <v>19254.791990000002</v>
      </c>
      <c r="P497">
        <f t="shared" si="43"/>
        <v>2469.5300000000002</v>
      </c>
      <c r="Q497" s="4">
        <f t="shared" si="45"/>
        <v>16785.261990000003</v>
      </c>
      <c r="R497" s="16">
        <f t="shared" si="46"/>
        <v>0.87174465445887173</v>
      </c>
    </row>
    <row r="498" spans="1:18" x14ac:dyDescent="0.3">
      <c r="A498" t="s">
        <v>1093</v>
      </c>
      <c r="B498" s="6">
        <v>45097</v>
      </c>
      <c r="C498" s="2">
        <v>45111</v>
      </c>
      <c r="D498" s="4">
        <f t="shared" si="47"/>
        <v>14</v>
      </c>
      <c r="E498" s="4" t="str">
        <f>TEXT(Data!B498,"MMM-YYYY")</f>
        <v>Sep-2024</v>
      </c>
      <c r="F498" t="s">
        <v>39</v>
      </c>
      <c r="G498" t="s">
        <v>98</v>
      </c>
      <c r="H498" t="s">
        <v>21</v>
      </c>
      <c r="I498" t="s">
        <v>35</v>
      </c>
      <c r="J498" s="4">
        <v>1292.8599999999999</v>
      </c>
      <c r="K498" s="7" t="str">
        <f t="shared" si="44"/>
        <v>High</v>
      </c>
      <c r="L498" s="4">
        <v>2981.01</v>
      </c>
      <c r="M498" s="4">
        <v>0.14199999999999999</v>
      </c>
      <c r="N498" s="4">
        <v>12</v>
      </c>
      <c r="O498" s="4">
        <f t="shared" si="42"/>
        <v>10084.108319999999</v>
      </c>
      <c r="P498">
        <f t="shared" si="43"/>
        <v>15514.32</v>
      </c>
      <c r="Q498" s="4">
        <f t="shared" si="45"/>
        <v>-5430.2116800000003</v>
      </c>
      <c r="R498" s="16">
        <f t="shared" si="46"/>
        <v>-0.5384920022358507</v>
      </c>
    </row>
    <row r="499" spans="1:18" x14ac:dyDescent="0.3">
      <c r="A499" t="s">
        <v>1095</v>
      </c>
      <c r="B499" s="6">
        <v>45544</v>
      </c>
      <c r="C499" s="2">
        <v>45548</v>
      </c>
      <c r="D499" s="4">
        <f t="shared" si="47"/>
        <v>4</v>
      </c>
      <c r="E499" s="4" t="str">
        <f>TEXT(Data!B499,"MMM-YYYY")</f>
        <v>Oct-2023</v>
      </c>
      <c r="F499" t="s">
        <v>48</v>
      </c>
      <c r="G499" t="s">
        <v>40</v>
      </c>
      <c r="H499" t="s">
        <v>84</v>
      </c>
      <c r="I499" t="s">
        <v>35</v>
      </c>
      <c r="J499" s="4">
        <v>1133.08</v>
      </c>
      <c r="K499" s="7" t="str">
        <f t="shared" si="44"/>
        <v>High</v>
      </c>
      <c r="L499" s="4">
        <v>976.17</v>
      </c>
      <c r="M499" s="4">
        <v>4.2000000000000003E-2</v>
      </c>
      <c r="N499" s="4">
        <v>27</v>
      </c>
      <c r="O499" s="4">
        <f t="shared" si="42"/>
        <v>30683.801159999999</v>
      </c>
      <c r="P499">
        <f t="shared" si="43"/>
        <v>30593.159999999996</v>
      </c>
      <c r="Q499" s="4">
        <f t="shared" si="45"/>
        <v>90.641160000002856</v>
      </c>
      <c r="R499" s="16">
        <f t="shared" si="46"/>
        <v>2.9540394792469337E-3</v>
      </c>
    </row>
    <row r="500" spans="1:18" x14ac:dyDescent="0.3">
      <c r="A500" t="s">
        <v>1097</v>
      </c>
      <c r="B500" s="6">
        <v>45224</v>
      </c>
      <c r="C500" s="2">
        <v>45227</v>
      </c>
      <c r="D500" s="4">
        <f t="shared" si="47"/>
        <v>3</v>
      </c>
      <c r="E500" s="4" t="str">
        <f>TEXT(Data!B500,"MMM-YYYY")</f>
        <v>Sep-2025</v>
      </c>
      <c r="F500" t="s">
        <v>19</v>
      </c>
      <c r="G500" t="s">
        <v>55</v>
      </c>
      <c r="H500" t="s">
        <v>49</v>
      </c>
      <c r="I500" t="s">
        <v>81</v>
      </c>
      <c r="J500" s="4">
        <v>509.31</v>
      </c>
      <c r="K500" s="7" t="str">
        <f t="shared" si="44"/>
        <v>High</v>
      </c>
      <c r="L500" s="4">
        <v>1145.9000000000001</v>
      </c>
      <c r="M500" s="4">
        <v>5.7000000000000002E-2</v>
      </c>
      <c r="N500" s="4">
        <v>8</v>
      </c>
      <c r="O500" s="4">
        <f t="shared" si="42"/>
        <v>14622.761519999998</v>
      </c>
      <c r="P500">
        <f t="shared" si="43"/>
        <v>4074.48</v>
      </c>
      <c r="Q500" s="4">
        <f t="shared" si="45"/>
        <v>10548.281519999999</v>
      </c>
      <c r="R500" s="16">
        <f t="shared" si="46"/>
        <v>0.7213604287789821</v>
      </c>
    </row>
    <row r="501" spans="1:18" x14ac:dyDescent="0.3">
      <c r="A501" t="s">
        <v>1099</v>
      </c>
      <c r="B501" s="6">
        <v>45908</v>
      </c>
      <c r="C501" s="2">
        <v>45935</v>
      </c>
      <c r="D501" s="4">
        <f t="shared" si="47"/>
        <v>27</v>
      </c>
      <c r="E501" s="4" t="str">
        <f>TEXT(Data!B501,"MMM-YYYY")</f>
        <v>May-2023</v>
      </c>
      <c r="F501" t="s">
        <v>27</v>
      </c>
      <c r="G501" t="s">
        <v>28</v>
      </c>
      <c r="H501" t="s">
        <v>21</v>
      </c>
      <c r="I501" t="s">
        <v>64</v>
      </c>
      <c r="J501" s="4">
        <v>660.78</v>
      </c>
      <c r="K501" s="7" t="str">
        <f t="shared" si="44"/>
        <v>High</v>
      </c>
      <c r="L501" s="4">
        <v>1630.39</v>
      </c>
      <c r="M501" s="4">
        <v>0.218</v>
      </c>
      <c r="N501" s="4">
        <v>13</v>
      </c>
      <c r="O501" s="4">
        <f t="shared" si="42"/>
        <v>8401.8940200000015</v>
      </c>
      <c r="P501">
        <f t="shared" si="43"/>
        <v>8590.14</v>
      </c>
      <c r="Q501" s="4">
        <f t="shared" si="45"/>
        <v>-188.24597999999787</v>
      </c>
      <c r="R501" s="16">
        <f t="shared" si="46"/>
        <v>-2.2405183825443903E-2</v>
      </c>
    </row>
    <row r="502" spans="1:18" x14ac:dyDescent="0.3">
      <c r="A502" t="s">
        <v>1101</v>
      </c>
      <c r="B502" s="6">
        <v>45048</v>
      </c>
      <c r="C502" s="2">
        <v>45062</v>
      </c>
      <c r="D502" s="4">
        <f t="shared" si="47"/>
        <v>14</v>
      </c>
      <c r="E502" s="4" t="str">
        <f>TEXT(Data!B502,"MMM-YYYY")</f>
        <v>Apr-2024</v>
      </c>
      <c r="F502" t="s">
        <v>39</v>
      </c>
      <c r="G502" t="s">
        <v>20</v>
      </c>
      <c r="H502" t="s">
        <v>49</v>
      </c>
      <c r="I502" t="s">
        <v>64</v>
      </c>
      <c r="J502" s="4">
        <v>475.37</v>
      </c>
      <c r="K502" s="7" t="str">
        <f t="shared" si="44"/>
        <v>High</v>
      </c>
      <c r="L502" s="4">
        <v>963.73</v>
      </c>
      <c r="M502" s="4">
        <v>4.1000000000000002E-2</v>
      </c>
      <c r="N502" s="4">
        <v>22</v>
      </c>
      <c r="O502" s="4">
        <f t="shared" si="42"/>
        <v>2493.1506600000002</v>
      </c>
      <c r="P502">
        <f t="shared" si="43"/>
        <v>10458.14</v>
      </c>
      <c r="Q502" s="4">
        <f t="shared" si="45"/>
        <v>-7964.9893399999992</v>
      </c>
      <c r="R502" s="16">
        <f t="shared" si="46"/>
        <v>-3.194748503485946</v>
      </c>
    </row>
    <row r="503" spans="1:18" x14ac:dyDescent="0.3">
      <c r="A503" t="s">
        <v>1103</v>
      </c>
      <c r="B503" s="6">
        <v>45408</v>
      </c>
      <c r="C503" s="2">
        <v>45406</v>
      </c>
      <c r="D503" s="4">
        <f>DATEDIF(C503,B503, "MD")</f>
        <v>2</v>
      </c>
      <c r="E503" s="4" t="str">
        <f>TEXT(Data!B503,"MMM-YYYY")</f>
        <v>Feb-2023</v>
      </c>
      <c r="F503" t="s">
        <v>39</v>
      </c>
      <c r="G503" t="s">
        <v>55</v>
      </c>
      <c r="H503" t="s">
        <v>126</v>
      </c>
      <c r="I503" t="s">
        <v>42</v>
      </c>
      <c r="J503" s="4">
        <v>1232.77</v>
      </c>
      <c r="K503" s="7" t="str">
        <f t="shared" si="44"/>
        <v>High</v>
      </c>
      <c r="L503" s="4">
        <v>891.73</v>
      </c>
      <c r="M503" s="4">
        <v>0.16700000000000001</v>
      </c>
      <c r="N503" s="4">
        <v>10</v>
      </c>
      <c r="O503" s="4">
        <f t="shared" si="42"/>
        <v>11877.497099999999</v>
      </c>
      <c r="P503">
        <f t="shared" si="43"/>
        <v>12327.7</v>
      </c>
      <c r="Q503" s="4">
        <f t="shared" si="45"/>
        <v>-450.20290000000205</v>
      </c>
      <c r="R503" s="16">
        <f t="shared" si="46"/>
        <v>-3.7903852655960836E-2</v>
      </c>
    </row>
    <row r="504" spans="1:18" x14ac:dyDescent="0.3">
      <c r="A504" t="s">
        <v>1105</v>
      </c>
      <c r="B504" s="6">
        <v>44980</v>
      </c>
      <c r="C504" s="2">
        <v>45003</v>
      </c>
      <c r="D504" s="4">
        <f t="shared" si="47"/>
        <v>23</v>
      </c>
      <c r="E504" s="4" t="str">
        <f>TEXT(Data!B504,"MMM-YYYY")</f>
        <v>Mar-2025</v>
      </c>
      <c r="F504" t="s">
        <v>27</v>
      </c>
      <c r="G504" t="s">
        <v>55</v>
      </c>
      <c r="H504" t="s">
        <v>95</v>
      </c>
      <c r="I504" t="s">
        <v>30</v>
      </c>
      <c r="J504" s="4">
        <v>770.11</v>
      </c>
      <c r="K504" s="7" t="str">
        <f t="shared" si="44"/>
        <v>High</v>
      </c>
      <c r="L504" s="4">
        <v>1667.82</v>
      </c>
      <c r="M504" s="4">
        <v>6.9000000000000006E-2</v>
      </c>
      <c r="N504" s="4">
        <v>7</v>
      </c>
      <c r="O504" s="4">
        <f t="shared" si="42"/>
        <v>10393.181259999999</v>
      </c>
      <c r="P504">
        <f t="shared" si="43"/>
        <v>5390.77</v>
      </c>
      <c r="Q504" s="4">
        <f t="shared" si="45"/>
        <v>5002.4112599999989</v>
      </c>
      <c r="R504" s="16">
        <f t="shared" si="46"/>
        <v>0.48131665703288229</v>
      </c>
    </row>
    <row r="505" spans="1:18" x14ac:dyDescent="0.3">
      <c r="A505" t="s">
        <v>1107</v>
      </c>
      <c r="B505" s="6">
        <v>45740</v>
      </c>
      <c r="C505" s="2">
        <v>45741</v>
      </c>
      <c r="D505" s="4">
        <f t="shared" si="47"/>
        <v>1</v>
      </c>
      <c r="E505" s="4" t="str">
        <f>TEXT(Data!B505,"MMM-YYYY")</f>
        <v>Mar-2025</v>
      </c>
      <c r="F505" t="s">
        <v>39</v>
      </c>
      <c r="G505" t="s">
        <v>28</v>
      </c>
      <c r="H505" t="s">
        <v>41</v>
      </c>
      <c r="I505" t="s">
        <v>35</v>
      </c>
      <c r="J505" s="4">
        <v>1133.03</v>
      </c>
      <c r="K505" s="7" t="str">
        <f t="shared" si="44"/>
        <v>High</v>
      </c>
      <c r="L505" s="4">
        <v>1921.51</v>
      </c>
      <c r="M505" s="4">
        <v>0.10100000000000001</v>
      </c>
      <c r="N505" s="4">
        <v>5</v>
      </c>
      <c r="O505" s="4">
        <f t="shared" si="42"/>
        <v>15022.784449999999</v>
      </c>
      <c r="P505">
        <f t="shared" si="43"/>
        <v>5665.15</v>
      </c>
      <c r="Q505" s="4">
        <f t="shared" si="45"/>
        <v>9357.6344499999996</v>
      </c>
      <c r="R505" s="16">
        <f t="shared" si="46"/>
        <v>0.62289614026912299</v>
      </c>
    </row>
    <row r="506" spans="1:18" x14ac:dyDescent="0.3">
      <c r="A506" t="s">
        <v>1109</v>
      </c>
      <c r="B506" s="6">
        <v>45726</v>
      </c>
      <c r="C506" s="2">
        <v>45743</v>
      </c>
      <c r="D506" s="4">
        <f t="shared" si="47"/>
        <v>17</v>
      </c>
      <c r="E506" s="4" t="str">
        <f>TEXT(Data!B506,"MMM-YYYY")</f>
        <v>Apr-2024</v>
      </c>
      <c r="F506" t="s">
        <v>105</v>
      </c>
      <c r="G506" t="s">
        <v>98</v>
      </c>
      <c r="H506" t="s">
        <v>84</v>
      </c>
      <c r="I506" t="s">
        <v>35</v>
      </c>
      <c r="J506" s="4">
        <v>996.73</v>
      </c>
      <c r="K506" s="7" t="str">
        <f t="shared" si="44"/>
        <v>High</v>
      </c>
      <c r="L506" s="4">
        <v>1217.43</v>
      </c>
      <c r="M506" s="4">
        <v>7.0000000000000007E-2</v>
      </c>
      <c r="N506" s="4">
        <v>9</v>
      </c>
      <c r="O506" s="4">
        <f t="shared" si="42"/>
        <v>8953.9748999999993</v>
      </c>
      <c r="P506">
        <f t="shared" si="43"/>
        <v>8970.57</v>
      </c>
      <c r="Q506" s="4">
        <f t="shared" si="45"/>
        <v>-16.595100000000457</v>
      </c>
      <c r="R506" s="16">
        <f t="shared" si="46"/>
        <v>-1.8533779897015859E-3</v>
      </c>
    </row>
    <row r="507" spans="1:18" x14ac:dyDescent="0.3">
      <c r="A507" t="s">
        <v>1111</v>
      </c>
      <c r="B507" s="6">
        <v>45387</v>
      </c>
      <c r="C507" s="2">
        <v>45391</v>
      </c>
      <c r="D507" s="4">
        <f t="shared" si="47"/>
        <v>4</v>
      </c>
      <c r="E507" s="4" t="str">
        <f>TEXT(Data!B507,"MMM-YYYY")</f>
        <v>Apr-2025</v>
      </c>
      <c r="F507" t="s">
        <v>39</v>
      </c>
      <c r="G507" t="s">
        <v>98</v>
      </c>
      <c r="H507" t="s">
        <v>95</v>
      </c>
      <c r="I507" t="s">
        <v>22</v>
      </c>
      <c r="J507" s="4">
        <v>395.07</v>
      </c>
      <c r="K507" s="7" t="str">
        <f t="shared" si="44"/>
        <v>High</v>
      </c>
      <c r="L507" s="4">
        <v>970.27</v>
      </c>
      <c r="M507" s="4">
        <v>0.123</v>
      </c>
      <c r="N507" s="4">
        <v>38</v>
      </c>
      <c r="O507" s="4">
        <f t="shared" si="42"/>
        <v>4692.9673199999997</v>
      </c>
      <c r="P507">
        <f t="shared" si="43"/>
        <v>15012.66</v>
      </c>
      <c r="Q507" s="4">
        <f t="shared" si="45"/>
        <v>-10319.69268</v>
      </c>
      <c r="R507" s="16">
        <f t="shared" si="46"/>
        <v>-2.1989696446469185</v>
      </c>
    </row>
    <row r="508" spans="1:18" x14ac:dyDescent="0.3">
      <c r="A508" t="s">
        <v>1113</v>
      </c>
      <c r="B508" s="6">
        <v>45774</v>
      </c>
      <c r="C508" s="2">
        <v>45794</v>
      </c>
      <c r="D508" s="4">
        <f t="shared" si="47"/>
        <v>20</v>
      </c>
      <c r="E508" s="4" t="str">
        <f>TEXT(Data!B508,"MMM-YYYY")</f>
        <v>Oct-2024</v>
      </c>
      <c r="F508" t="s">
        <v>19</v>
      </c>
      <c r="G508" t="s">
        <v>98</v>
      </c>
      <c r="H508" t="s">
        <v>126</v>
      </c>
      <c r="I508" t="s">
        <v>42</v>
      </c>
      <c r="J508" s="4">
        <v>932.26</v>
      </c>
      <c r="K508" s="7" t="str">
        <f t="shared" si="44"/>
        <v>High</v>
      </c>
      <c r="L508" s="4">
        <v>1624.67</v>
      </c>
      <c r="M508" s="4">
        <v>0.23499999999999999</v>
      </c>
      <c r="N508" s="4">
        <v>28</v>
      </c>
      <c r="O508" s="4">
        <f t="shared" si="42"/>
        <v>1435.9968000000001</v>
      </c>
      <c r="P508">
        <f t="shared" si="43"/>
        <v>26103.279999999999</v>
      </c>
      <c r="Q508" s="4">
        <f t="shared" si="45"/>
        <v>-24667.283199999998</v>
      </c>
      <c r="R508" s="16">
        <f t="shared" si="46"/>
        <v>-17.177812095402995</v>
      </c>
    </row>
    <row r="509" spans="1:18" x14ac:dyDescent="0.3">
      <c r="A509" t="s">
        <v>1115</v>
      </c>
      <c r="B509" s="6">
        <v>45589</v>
      </c>
      <c r="C509" s="2">
        <v>45593</v>
      </c>
      <c r="D509" s="4">
        <f t="shared" si="47"/>
        <v>4</v>
      </c>
      <c r="E509" s="4" t="str">
        <f>TEXT(Data!B509,"MMM-YYYY")</f>
        <v>Apr-2023</v>
      </c>
      <c r="F509" t="s">
        <v>62</v>
      </c>
      <c r="G509" t="s">
        <v>55</v>
      </c>
      <c r="H509" t="s">
        <v>34</v>
      </c>
      <c r="I509" t="s">
        <v>35</v>
      </c>
      <c r="J509" s="4">
        <v>1331.77</v>
      </c>
      <c r="K509" s="7" t="str">
        <f t="shared" si="44"/>
        <v>High</v>
      </c>
      <c r="L509" s="4">
        <v>2606.11</v>
      </c>
      <c r="M509" s="4">
        <v>0.02</v>
      </c>
      <c r="N509" s="4">
        <v>6</v>
      </c>
      <c r="O509" s="4">
        <f t="shared" si="42"/>
        <v>7506.8196000000007</v>
      </c>
      <c r="P509">
        <f t="shared" si="43"/>
        <v>7990.62</v>
      </c>
      <c r="Q509" s="4">
        <f t="shared" si="45"/>
        <v>-483.80039999999917</v>
      </c>
      <c r="R509" s="16">
        <f t="shared" si="46"/>
        <v>-6.444811861470591E-2</v>
      </c>
    </row>
    <row r="510" spans="1:18" x14ac:dyDescent="0.3">
      <c r="A510" t="s">
        <v>1117</v>
      </c>
      <c r="B510" s="6">
        <v>45029</v>
      </c>
      <c r="C510" s="2">
        <v>45036</v>
      </c>
      <c r="D510" s="4">
        <f t="shared" si="47"/>
        <v>7</v>
      </c>
      <c r="E510" s="4" t="str">
        <f>TEXT(Data!B510,"MMM-YYYY")</f>
        <v>Nov-2024</v>
      </c>
      <c r="F510" t="s">
        <v>62</v>
      </c>
      <c r="G510" t="s">
        <v>28</v>
      </c>
      <c r="H510" t="s">
        <v>75</v>
      </c>
      <c r="I510" t="s">
        <v>57</v>
      </c>
      <c r="J510" s="4">
        <v>227.02</v>
      </c>
      <c r="K510" s="7" t="str">
        <f t="shared" si="44"/>
        <v>High</v>
      </c>
      <c r="L510" s="4">
        <v>434.72</v>
      </c>
      <c r="M510" s="4">
        <v>9.8000000000000004E-2</v>
      </c>
      <c r="N510" s="4">
        <v>10</v>
      </c>
      <c r="O510" s="4">
        <f t="shared" si="42"/>
        <v>25448.667200000004</v>
      </c>
      <c r="P510">
        <f t="shared" si="43"/>
        <v>2270.2000000000003</v>
      </c>
      <c r="Q510" s="4">
        <f t="shared" si="45"/>
        <v>23178.467200000003</v>
      </c>
      <c r="R510" s="16">
        <f t="shared" si="46"/>
        <v>0.91079297072186161</v>
      </c>
    </row>
    <row r="511" spans="1:18" x14ac:dyDescent="0.3">
      <c r="A511" t="s">
        <v>1119</v>
      </c>
      <c r="B511" s="6">
        <v>45608</v>
      </c>
      <c r="C511" s="2">
        <v>45617</v>
      </c>
      <c r="D511" s="4">
        <f t="shared" si="47"/>
        <v>9</v>
      </c>
      <c r="E511" s="4" t="str">
        <f>TEXT(Data!B511,"MMM-YYYY")</f>
        <v>May-2023</v>
      </c>
      <c r="F511" t="s">
        <v>19</v>
      </c>
      <c r="G511" t="s">
        <v>98</v>
      </c>
      <c r="H511" t="s">
        <v>92</v>
      </c>
      <c r="I511" t="s">
        <v>57</v>
      </c>
      <c r="J511" s="4">
        <v>903.41</v>
      </c>
      <c r="K511" s="7" t="str">
        <f t="shared" si="44"/>
        <v>High</v>
      </c>
      <c r="L511" s="4">
        <v>1860.41</v>
      </c>
      <c r="M511" s="4">
        <v>0.108</v>
      </c>
      <c r="N511" s="4">
        <v>5</v>
      </c>
      <c r="O511" s="4">
        <f t="shared" si="42"/>
        <v>6953.9874000000009</v>
      </c>
      <c r="P511">
        <f t="shared" si="43"/>
        <v>4517.05</v>
      </c>
      <c r="Q511" s="4">
        <f t="shared" si="45"/>
        <v>2436.9374000000007</v>
      </c>
      <c r="R511" s="16">
        <f t="shared" si="46"/>
        <v>0.35043741954436103</v>
      </c>
    </row>
    <row r="512" spans="1:18" x14ac:dyDescent="0.3">
      <c r="A512" t="s">
        <v>1121</v>
      </c>
      <c r="B512" s="6">
        <v>45056</v>
      </c>
      <c r="C512" s="2">
        <v>45060</v>
      </c>
      <c r="D512" s="4">
        <f t="shared" si="47"/>
        <v>4</v>
      </c>
      <c r="E512" s="4" t="str">
        <f>TEXT(Data!B512,"MMM-YYYY")</f>
        <v>Mar-2024</v>
      </c>
      <c r="F512" t="s">
        <v>39</v>
      </c>
      <c r="G512" t="s">
        <v>55</v>
      </c>
      <c r="H512" t="s">
        <v>21</v>
      </c>
      <c r="I512" t="s">
        <v>64</v>
      </c>
      <c r="J512" s="4">
        <v>622.6</v>
      </c>
      <c r="K512" s="7" t="str">
        <f t="shared" si="44"/>
        <v>High</v>
      </c>
      <c r="L512" s="4">
        <v>833.69</v>
      </c>
      <c r="M512" s="4">
        <v>0.20899999999999999</v>
      </c>
      <c r="N512" s="4">
        <v>14</v>
      </c>
      <c r="O512" s="4">
        <f t="shared" si="42"/>
        <v>7271.8528400000005</v>
      </c>
      <c r="P512">
        <f t="shared" si="43"/>
        <v>8716.4</v>
      </c>
      <c r="Q512" s="4">
        <f t="shared" si="45"/>
        <v>-1444.5471599999992</v>
      </c>
      <c r="R512" s="16">
        <f t="shared" si="46"/>
        <v>-0.19864911897749557</v>
      </c>
    </row>
    <row r="513" spans="1:18" x14ac:dyDescent="0.3">
      <c r="A513" t="s">
        <v>1123</v>
      </c>
      <c r="B513" s="6">
        <v>45353</v>
      </c>
      <c r="C513" s="2">
        <v>45374</v>
      </c>
      <c r="D513" s="4">
        <f t="shared" si="47"/>
        <v>21</v>
      </c>
      <c r="E513" s="4" t="str">
        <f>TEXT(Data!B513,"MMM-YYYY")</f>
        <v>Oct-2024</v>
      </c>
      <c r="F513" t="s">
        <v>62</v>
      </c>
      <c r="G513" t="s">
        <v>28</v>
      </c>
      <c r="H513" t="s">
        <v>84</v>
      </c>
      <c r="I513" t="s">
        <v>22</v>
      </c>
      <c r="J513" s="4">
        <v>225.01</v>
      </c>
      <c r="K513" s="7" t="str">
        <f t="shared" si="44"/>
        <v>High</v>
      </c>
      <c r="L513" s="4">
        <v>333.48</v>
      </c>
      <c r="M513" s="4">
        <v>0.11899999999999999</v>
      </c>
      <c r="N513" s="4">
        <v>12</v>
      </c>
      <c r="O513" s="4">
        <f t="shared" si="42"/>
        <v>28098.68448</v>
      </c>
      <c r="P513">
        <f t="shared" si="43"/>
        <v>2700.12</v>
      </c>
      <c r="Q513" s="4">
        <f t="shared" si="45"/>
        <v>25398.564480000001</v>
      </c>
      <c r="R513" s="16">
        <f t="shared" si="46"/>
        <v>0.90390582157246957</v>
      </c>
    </row>
    <row r="514" spans="1:18" x14ac:dyDescent="0.3">
      <c r="A514" t="s">
        <v>1125</v>
      </c>
      <c r="B514" s="6">
        <v>45575</v>
      </c>
      <c r="C514" s="2">
        <v>45576</v>
      </c>
      <c r="D514" s="4">
        <f t="shared" si="47"/>
        <v>1</v>
      </c>
      <c r="E514" s="4" t="str">
        <f>TEXT(Data!B514,"MMM-YYYY")</f>
        <v>Jun-2023</v>
      </c>
      <c r="F514" t="s">
        <v>39</v>
      </c>
      <c r="G514" t="s">
        <v>55</v>
      </c>
      <c r="H514" t="s">
        <v>49</v>
      </c>
      <c r="I514" t="s">
        <v>22</v>
      </c>
      <c r="J514" s="4">
        <v>1389.46</v>
      </c>
      <c r="K514" s="7" t="str">
        <f t="shared" si="44"/>
        <v>High</v>
      </c>
      <c r="L514" s="4">
        <v>1784.7</v>
      </c>
      <c r="M514" s="4">
        <v>0.14599999999999999</v>
      </c>
      <c r="N514" s="4">
        <v>33</v>
      </c>
      <c r="O514" s="4">
        <f t="shared" ref="O514:O577" si="48">(L540*N514)*(1-M514)</f>
        <v>40152.022679999995</v>
      </c>
      <c r="P514">
        <f t="shared" ref="P514:P577" si="49">(J514*N514)</f>
        <v>45852.18</v>
      </c>
      <c r="Q514" s="4">
        <f t="shared" si="45"/>
        <v>-5700.1573200000057</v>
      </c>
      <c r="R514" s="16">
        <f t="shared" si="46"/>
        <v>-0.14196438783242904</v>
      </c>
    </row>
    <row r="515" spans="1:18" x14ac:dyDescent="0.3">
      <c r="A515" t="s">
        <v>1127</v>
      </c>
      <c r="B515" s="6">
        <v>45078</v>
      </c>
      <c r="C515" s="2">
        <v>45085</v>
      </c>
      <c r="D515" s="4">
        <f t="shared" si="47"/>
        <v>7</v>
      </c>
      <c r="E515" s="4" t="str">
        <f>TEXT(Data!B515,"MMM-YYYY")</f>
        <v>Jan-2025</v>
      </c>
      <c r="F515" t="s">
        <v>48</v>
      </c>
      <c r="G515" t="s">
        <v>28</v>
      </c>
      <c r="H515" t="s">
        <v>75</v>
      </c>
      <c r="I515" t="s">
        <v>42</v>
      </c>
      <c r="J515" s="4">
        <v>804.17</v>
      </c>
      <c r="K515" s="7" t="str">
        <f t="shared" ref="K515:K578" si="50">IF(L515&lt;50, "Low", IF(L515&lt;200, "Medium", "High"))</f>
        <v>High</v>
      </c>
      <c r="L515" s="4">
        <v>1072.29</v>
      </c>
      <c r="M515" s="4">
        <v>3.2000000000000001E-2</v>
      </c>
      <c r="N515" s="4">
        <v>5</v>
      </c>
      <c r="O515" s="4">
        <f t="shared" si="48"/>
        <v>11222.701599999999</v>
      </c>
      <c r="P515">
        <f t="shared" si="49"/>
        <v>4020.85</v>
      </c>
      <c r="Q515" s="4">
        <f t="shared" ref="Q515:Q578" si="51">(O515-P515)</f>
        <v>7201.8515999999981</v>
      </c>
      <c r="R515" s="16">
        <f t="shared" ref="R515:R578" si="52">(Q515/O515)</f>
        <v>0.64172174015568584</v>
      </c>
    </row>
    <row r="516" spans="1:18" x14ac:dyDescent="0.3">
      <c r="A516" t="s">
        <v>1129</v>
      </c>
      <c r="B516" s="6">
        <v>45661</v>
      </c>
      <c r="C516" s="2">
        <v>45662</v>
      </c>
      <c r="D516" s="4">
        <f t="shared" si="47"/>
        <v>1</v>
      </c>
      <c r="E516" s="4" t="str">
        <f>TEXT(Data!B516,"MMM-YYYY")</f>
        <v>Aug-2025</v>
      </c>
      <c r="F516" t="s">
        <v>27</v>
      </c>
      <c r="G516" t="s">
        <v>20</v>
      </c>
      <c r="H516" t="s">
        <v>34</v>
      </c>
      <c r="I516" t="s">
        <v>22</v>
      </c>
      <c r="J516" s="4">
        <v>1428.33</v>
      </c>
      <c r="K516" s="7" t="str">
        <f t="shared" si="50"/>
        <v>High</v>
      </c>
      <c r="L516" s="4">
        <v>3028.05</v>
      </c>
      <c r="M516" s="4">
        <v>0</v>
      </c>
      <c r="N516" s="4">
        <v>11</v>
      </c>
      <c r="O516" s="4">
        <f t="shared" si="48"/>
        <v>4033.7</v>
      </c>
      <c r="P516">
        <f t="shared" si="49"/>
        <v>15711.63</v>
      </c>
      <c r="Q516" s="4">
        <f t="shared" si="51"/>
        <v>-11677.93</v>
      </c>
      <c r="R516" s="16">
        <f t="shared" si="52"/>
        <v>-2.8950913553313335</v>
      </c>
    </row>
    <row r="517" spans="1:18" x14ac:dyDescent="0.3">
      <c r="A517" t="s">
        <v>1131</v>
      </c>
      <c r="B517" s="6">
        <v>45874</v>
      </c>
      <c r="C517" s="2">
        <v>45897</v>
      </c>
      <c r="D517" s="4">
        <f t="shared" ref="D517:D580" si="53">DATEDIF(B517,C517, "MD")</f>
        <v>23</v>
      </c>
      <c r="E517" s="4" t="str">
        <f>TEXT(Data!B517,"MMM-YYYY")</f>
        <v>Sep-2023</v>
      </c>
      <c r="F517" t="s">
        <v>39</v>
      </c>
      <c r="G517" t="s">
        <v>55</v>
      </c>
      <c r="H517" t="s">
        <v>126</v>
      </c>
      <c r="I517" t="s">
        <v>57</v>
      </c>
      <c r="J517" s="4">
        <v>638.54</v>
      </c>
      <c r="K517" s="7" t="str">
        <f t="shared" si="50"/>
        <v>High</v>
      </c>
      <c r="L517" s="4">
        <v>987.24</v>
      </c>
      <c r="M517" s="4">
        <v>0</v>
      </c>
      <c r="N517" s="4">
        <v>11</v>
      </c>
      <c r="O517" s="4">
        <f t="shared" si="48"/>
        <v>30771.51</v>
      </c>
      <c r="P517">
        <f t="shared" si="49"/>
        <v>7023.94</v>
      </c>
      <c r="Q517" s="4">
        <f t="shared" si="51"/>
        <v>23747.57</v>
      </c>
      <c r="R517" s="16">
        <f t="shared" si="52"/>
        <v>0.77173885844406076</v>
      </c>
    </row>
    <row r="518" spans="1:18" x14ac:dyDescent="0.3">
      <c r="A518" t="s">
        <v>1133</v>
      </c>
      <c r="B518" s="6">
        <v>45199</v>
      </c>
      <c r="C518" s="2">
        <v>45229</v>
      </c>
      <c r="D518" s="4">
        <f t="shared" si="53"/>
        <v>0</v>
      </c>
      <c r="E518" s="4" t="str">
        <f>TEXT(Data!B518,"MMM-YYYY")</f>
        <v>May-2025</v>
      </c>
      <c r="F518" t="s">
        <v>105</v>
      </c>
      <c r="G518" t="s">
        <v>28</v>
      </c>
      <c r="H518" t="s">
        <v>145</v>
      </c>
      <c r="I518" t="s">
        <v>30</v>
      </c>
      <c r="J518" s="4">
        <v>649.13</v>
      </c>
      <c r="K518" s="7" t="str">
        <f t="shared" si="50"/>
        <v>High</v>
      </c>
      <c r="L518" s="4">
        <v>975.43</v>
      </c>
      <c r="M518" s="4">
        <v>0.157</v>
      </c>
      <c r="N518" s="4">
        <v>27</v>
      </c>
      <c r="O518" s="4">
        <f t="shared" si="48"/>
        <v>50294.07125999999</v>
      </c>
      <c r="P518">
        <f t="shared" si="49"/>
        <v>17526.509999999998</v>
      </c>
      <c r="Q518" s="4">
        <f t="shared" si="51"/>
        <v>32767.561259999991</v>
      </c>
      <c r="R518" s="16">
        <f t="shared" si="52"/>
        <v>0.65151936280133227</v>
      </c>
    </row>
    <row r="519" spans="1:18" x14ac:dyDescent="0.3">
      <c r="A519" t="s">
        <v>1135</v>
      </c>
      <c r="B519" s="6">
        <v>45794</v>
      </c>
      <c r="C519" s="2">
        <v>45807</v>
      </c>
      <c r="D519" s="4">
        <f t="shared" si="53"/>
        <v>13</v>
      </c>
      <c r="E519" s="4" t="str">
        <f>TEXT(Data!B519,"MMM-YYYY")</f>
        <v>May-2024</v>
      </c>
      <c r="F519" t="s">
        <v>48</v>
      </c>
      <c r="G519" t="s">
        <v>55</v>
      </c>
      <c r="H519" t="s">
        <v>84</v>
      </c>
      <c r="I519" t="s">
        <v>81</v>
      </c>
      <c r="J519" s="4">
        <v>66.400000000000006</v>
      </c>
      <c r="K519" s="7" t="str">
        <f t="shared" si="50"/>
        <v>Medium</v>
      </c>
      <c r="L519" s="4">
        <v>141.43</v>
      </c>
      <c r="M519" s="4">
        <v>0.107</v>
      </c>
      <c r="N519" s="4">
        <v>8</v>
      </c>
      <c r="O519" s="4">
        <f t="shared" si="48"/>
        <v>5994.1017599999996</v>
      </c>
      <c r="P519">
        <f t="shared" si="49"/>
        <v>531.20000000000005</v>
      </c>
      <c r="Q519" s="4">
        <f t="shared" si="51"/>
        <v>5462.9017599999997</v>
      </c>
      <c r="R519" s="16">
        <f t="shared" si="52"/>
        <v>0.91137954921873066</v>
      </c>
    </row>
    <row r="520" spans="1:18" x14ac:dyDescent="0.3">
      <c r="A520" t="s">
        <v>1137</v>
      </c>
      <c r="B520" s="6">
        <v>45413</v>
      </c>
      <c r="C520" s="2">
        <v>45438</v>
      </c>
      <c r="D520" s="4">
        <f t="shared" si="53"/>
        <v>25</v>
      </c>
      <c r="E520" s="4" t="str">
        <f>TEXT(Data!B520,"MMM-YYYY")</f>
        <v>May-2023</v>
      </c>
      <c r="F520" t="s">
        <v>39</v>
      </c>
      <c r="G520" t="s">
        <v>20</v>
      </c>
      <c r="H520" t="s">
        <v>56</v>
      </c>
      <c r="I520" t="s">
        <v>35</v>
      </c>
      <c r="J520" s="4">
        <v>930.71</v>
      </c>
      <c r="K520" s="7" t="str">
        <f t="shared" si="50"/>
        <v>High</v>
      </c>
      <c r="L520" s="4">
        <v>1625.42</v>
      </c>
      <c r="M520" s="4">
        <v>0.13800000000000001</v>
      </c>
      <c r="N520" s="4">
        <v>7</v>
      </c>
      <c r="O520" s="4">
        <f t="shared" si="48"/>
        <v>6873.6311000000005</v>
      </c>
      <c r="P520">
        <f t="shared" si="49"/>
        <v>6514.97</v>
      </c>
      <c r="Q520" s="4">
        <f t="shared" si="51"/>
        <v>358.66110000000026</v>
      </c>
      <c r="R520" s="16">
        <f t="shared" si="52"/>
        <v>5.2179276830844216E-2</v>
      </c>
    </row>
    <row r="521" spans="1:18" x14ac:dyDescent="0.3">
      <c r="A521" t="s">
        <v>1139</v>
      </c>
      <c r="B521" s="6">
        <v>45047</v>
      </c>
      <c r="C521" s="2">
        <v>45064</v>
      </c>
      <c r="D521" s="4">
        <f t="shared" si="53"/>
        <v>17</v>
      </c>
      <c r="E521" s="4" t="str">
        <f>TEXT(Data!B521,"MMM-YYYY")</f>
        <v>Jul-2024</v>
      </c>
      <c r="F521" t="s">
        <v>19</v>
      </c>
      <c r="G521" t="s">
        <v>98</v>
      </c>
      <c r="H521" t="s">
        <v>84</v>
      </c>
      <c r="I521" t="s">
        <v>22</v>
      </c>
      <c r="J521" s="4">
        <v>327.97</v>
      </c>
      <c r="K521" s="7" t="str">
        <f t="shared" si="50"/>
        <v>High</v>
      </c>
      <c r="L521" s="4">
        <v>299.94</v>
      </c>
      <c r="M521" s="4">
        <v>4.9000000000000002E-2</v>
      </c>
      <c r="N521" s="4">
        <v>3</v>
      </c>
      <c r="O521" s="4">
        <f t="shared" si="48"/>
        <v>4884.4215899999999</v>
      </c>
      <c r="P521">
        <f t="shared" si="49"/>
        <v>983.91000000000008</v>
      </c>
      <c r="Q521" s="4">
        <f t="shared" si="51"/>
        <v>3900.5115900000001</v>
      </c>
      <c r="R521" s="16">
        <f t="shared" si="52"/>
        <v>0.79856161433435968</v>
      </c>
    </row>
    <row r="522" spans="1:18" x14ac:dyDescent="0.3">
      <c r="A522" t="s">
        <v>1141</v>
      </c>
      <c r="B522" s="6">
        <v>45482</v>
      </c>
      <c r="C522" s="2">
        <v>45512</v>
      </c>
      <c r="D522" s="4">
        <f t="shared" si="53"/>
        <v>30</v>
      </c>
      <c r="E522" s="4" t="str">
        <f>TEXT(Data!B522,"MMM-YYYY")</f>
        <v>May-2023</v>
      </c>
      <c r="F522" t="s">
        <v>19</v>
      </c>
      <c r="G522" t="s">
        <v>98</v>
      </c>
      <c r="H522" t="s">
        <v>29</v>
      </c>
      <c r="I522" t="s">
        <v>22</v>
      </c>
      <c r="J522" s="4">
        <v>1062.3800000000001</v>
      </c>
      <c r="K522" s="7" t="str">
        <f t="shared" si="50"/>
        <v>High</v>
      </c>
      <c r="L522" s="4">
        <v>1503.96</v>
      </c>
      <c r="M522" s="4">
        <v>0.18</v>
      </c>
      <c r="N522" s="4">
        <v>6</v>
      </c>
      <c r="O522" s="4">
        <f t="shared" si="48"/>
        <v>5187.1068000000005</v>
      </c>
      <c r="P522">
        <f t="shared" si="49"/>
        <v>6374.2800000000007</v>
      </c>
      <c r="Q522" s="4">
        <f t="shared" si="51"/>
        <v>-1187.1732000000002</v>
      </c>
      <c r="R522" s="16">
        <f t="shared" si="52"/>
        <v>-0.22887001285572142</v>
      </c>
    </row>
    <row r="523" spans="1:18" x14ac:dyDescent="0.3">
      <c r="A523" t="s">
        <v>1143</v>
      </c>
      <c r="B523" s="6">
        <v>45056</v>
      </c>
      <c r="C523" s="2">
        <v>45073</v>
      </c>
      <c r="D523" s="4">
        <f t="shared" si="53"/>
        <v>17</v>
      </c>
      <c r="E523" s="4" t="str">
        <f>TEXT(Data!B523,"MMM-YYYY")</f>
        <v>Jul-2024</v>
      </c>
      <c r="F523" t="s">
        <v>48</v>
      </c>
      <c r="G523" t="s">
        <v>20</v>
      </c>
      <c r="H523" t="s">
        <v>110</v>
      </c>
      <c r="I523" t="s">
        <v>57</v>
      </c>
      <c r="J523" s="4">
        <v>1286.1600000000001</v>
      </c>
      <c r="K523" s="7" t="str">
        <f t="shared" si="50"/>
        <v>High</v>
      </c>
      <c r="L523" s="4">
        <v>3101.11</v>
      </c>
      <c r="M523" s="4">
        <v>0.1</v>
      </c>
      <c r="N523" s="4">
        <v>23</v>
      </c>
      <c r="O523" s="4">
        <f t="shared" si="48"/>
        <v>50740.254000000001</v>
      </c>
      <c r="P523">
        <f t="shared" si="49"/>
        <v>29581.68</v>
      </c>
      <c r="Q523" s="4">
        <f t="shared" si="51"/>
        <v>21158.574000000001</v>
      </c>
      <c r="R523" s="16">
        <f t="shared" si="52"/>
        <v>0.41699779429562966</v>
      </c>
    </row>
    <row r="524" spans="1:18" x14ac:dyDescent="0.3">
      <c r="A524" t="s">
        <v>1145</v>
      </c>
      <c r="B524" s="6">
        <v>45482</v>
      </c>
      <c r="C524" s="2">
        <v>45485</v>
      </c>
      <c r="D524" s="4">
        <f t="shared" si="53"/>
        <v>3</v>
      </c>
      <c r="E524" s="4" t="str">
        <f>TEXT(Data!B524,"MMM-YYYY")</f>
        <v>Apr-2024</v>
      </c>
      <c r="F524" t="s">
        <v>62</v>
      </c>
      <c r="G524" t="s">
        <v>20</v>
      </c>
      <c r="H524" t="s">
        <v>145</v>
      </c>
      <c r="I524" t="s">
        <v>81</v>
      </c>
      <c r="J524" s="4">
        <v>748.39</v>
      </c>
      <c r="K524" s="7" t="str">
        <f t="shared" si="50"/>
        <v>High</v>
      </c>
      <c r="L524" s="4">
        <v>979.42</v>
      </c>
      <c r="M524" s="4">
        <v>0</v>
      </c>
      <c r="N524" s="4">
        <v>23</v>
      </c>
      <c r="O524" s="4">
        <f t="shared" si="48"/>
        <v>28777.83</v>
      </c>
      <c r="P524">
        <f t="shared" si="49"/>
        <v>17212.97</v>
      </c>
      <c r="Q524" s="4">
        <f t="shared" si="51"/>
        <v>11564.86</v>
      </c>
      <c r="R524" s="16">
        <f t="shared" si="52"/>
        <v>0.401866992751017</v>
      </c>
    </row>
    <row r="525" spans="1:18" x14ac:dyDescent="0.3">
      <c r="A525" t="s">
        <v>1147</v>
      </c>
      <c r="B525" s="6">
        <v>45406</v>
      </c>
      <c r="C525" s="2">
        <v>45422</v>
      </c>
      <c r="D525" s="4">
        <f t="shared" si="53"/>
        <v>16</v>
      </c>
      <c r="E525" s="4" t="str">
        <f>TEXT(Data!B525,"MMM-YYYY")</f>
        <v>Jan-2024</v>
      </c>
      <c r="F525" t="s">
        <v>39</v>
      </c>
      <c r="G525" t="s">
        <v>28</v>
      </c>
      <c r="H525" t="s">
        <v>126</v>
      </c>
      <c r="I525" t="s">
        <v>64</v>
      </c>
      <c r="J525" s="4">
        <v>513.30999999999995</v>
      </c>
      <c r="K525" s="7" t="str">
        <f t="shared" si="50"/>
        <v>High</v>
      </c>
      <c r="L525" s="4">
        <v>1186.26</v>
      </c>
      <c r="M525" s="4">
        <v>9.4E-2</v>
      </c>
      <c r="N525" s="4">
        <v>15</v>
      </c>
      <c r="O525" s="4">
        <f t="shared" si="48"/>
        <v>15014.232</v>
      </c>
      <c r="P525">
        <f t="shared" si="49"/>
        <v>7699.65</v>
      </c>
      <c r="Q525" s="4">
        <f t="shared" si="51"/>
        <v>7314.5820000000003</v>
      </c>
      <c r="R525" s="16">
        <f t="shared" si="52"/>
        <v>0.48717656687335059</v>
      </c>
    </row>
    <row r="526" spans="1:18" x14ac:dyDescent="0.3">
      <c r="A526" t="s">
        <v>1149</v>
      </c>
      <c r="B526" s="6">
        <v>45304</v>
      </c>
      <c r="C526" s="2">
        <v>45306</v>
      </c>
      <c r="D526" s="4">
        <f t="shared" si="53"/>
        <v>2</v>
      </c>
      <c r="E526" s="4" t="str">
        <f>TEXT(Data!B526,"MMM-YYYY")</f>
        <v>Apr-2024</v>
      </c>
      <c r="F526" t="s">
        <v>39</v>
      </c>
      <c r="G526" t="s">
        <v>98</v>
      </c>
      <c r="H526" t="s">
        <v>63</v>
      </c>
      <c r="I526" t="s">
        <v>22</v>
      </c>
      <c r="J526" s="4">
        <v>1061.3699999999999</v>
      </c>
      <c r="K526" s="7" t="str">
        <f t="shared" si="50"/>
        <v>High</v>
      </c>
      <c r="L526" s="4">
        <v>1938.33</v>
      </c>
      <c r="M526" s="4">
        <v>0.17</v>
      </c>
      <c r="N526" s="4">
        <v>4</v>
      </c>
      <c r="O526" s="4">
        <f t="shared" si="48"/>
        <v>7912.9211999999989</v>
      </c>
      <c r="P526">
        <f t="shared" si="49"/>
        <v>4245.4799999999996</v>
      </c>
      <c r="Q526" s="4">
        <f t="shared" si="51"/>
        <v>3667.4411999999993</v>
      </c>
      <c r="R526" s="16">
        <f t="shared" si="52"/>
        <v>0.46347500591816837</v>
      </c>
    </row>
    <row r="527" spans="1:18" x14ac:dyDescent="0.3">
      <c r="A527" t="s">
        <v>1151</v>
      </c>
      <c r="B527" s="6">
        <v>45398</v>
      </c>
      <c r="C527" s="2">
        <v>45409</v>
      </c>
      <c r="D527" s="4">
        <f t="shared" si="53"/>
        <v>11</v>
      </c>
      <c r="E527" s="4" t="str">
        <f>TEXT(Data!B527,"MMM-YYYY")</f>
        <v>Feb-2025</v>
      </c>
      <c r="F527" t="s">
        <v>105</v>
      </c>
      <c r="G527" t="s">
        <v>28</v>
      </c>
      <c r="H527" t="s">
        <v>145</v>
      </c>
      <c r="I527" t="s">
        <v>30</v>
      </c>
      <c r="J527" s="4">
        <v>401.3</v>
      </c>
      <c r="K527" s="7" t="str">
        <f t="shared" si="50"/>
        <v>High</v>
      </c>
      <c r="L527" s="4">
        <v>826.47</v>
      </c>
      <c r="M527" s="4">
        <v>0.22500000000000001</v>
      </c>
      <c r="N527" s="4">
        <v>13</v>
      </c>
      <c r="O527" s="4">
        <f t="shared" si="48"/>
        <v>2146.5795000000003</v>
      </c>
      <c r="P527">
        <f t="shared" si="49"/>
        <v>5216.9000000000005</v>
      </c>
      <c r="Q527" s="4">
        <f t="shared" si="51"/>
        <v>-3070.3205000000003</v>
      </c>
      <c r="R527" s="16">
        <f t="shared" si="52"/>
        <v>-1.4303316043034977</v>
      </c>
    </row>
    <row r="528" spans="1:18" x14ac:dyDescent="0.3">
      <c r="A528" t="s">
        <v>1153</v>
      </c>
      <c r="B528" s="6">
        <v>45695</v>
      </c>
      <c r="C528" s="2">
        <v>45704</v>
      </c>
      <c r="D528" s="4">
        <f t="shared" si="53"/>
        <v>9</v>
      </c>
      <c r="E528" s="4" t="str">
        <f>TEXT(Data!B528,"MMM-YYYY")</f>
        <v>Jan-2023</v>
      </c>
      <c r="F528" t="s">
        <v>62</v>
      </c>
      <c r="G528" t="s">
        <v>55</v>
      </c>
      <c r="H528" t="s">
        <v>21</v>
      </c>
      <c r="I528" t="s">
        <v>30</v>
      </c>
      <c r="J528" s="4">
        <v>90.68</v>
      </c>
      <c r="K528" s="7" t="str">
        <f t="shared" si="50"/>
        <v>Medium</v>
      </c>
      <c r="L528" s="4">
        <v>118.17</v>
      </c>
      <c r="M528" s="4">
        <v>0.13500000000000001</v>
      </c>
      <c r="N528" s="4">
        <v>21</v>
      </c>
      <c r="O528" s="4">
        <f t="shared" si="48"/>
        <v>36886.575600000004</v>
      </c>
      <c r="P528">
        <f t="shared" si="49"/>
        <v>1904.2800000000002</v>
      </c>
      <c r="Q528" s="4">
        <f t="shared" si="51"/>
        <v>34982.295600000005</v>
      </c>
      <c r="R528" s="16">
        <f t="shared" si="52"/>
        <v>0.94837471440422894</v>
      </c>
    </row>
    <row r="529" spans="1:18" x14ac:dyDescent="0.3">
      <c r="A529" t="s">
        <v>1155</v>
      </c>
      <c r="B529" s="6">
        <v>44938</v>
      </c>
      <c r="C529" s="2">
        <v>44952</v>
      </c>
      <c r="D529" s="4">
        <f t="shared" si="53"/>
        <v>14</v>
      </c>
      <c r="E529" s="4" t="str">
        <f>TEXT(Data!B529,"MMM-YYYY")</f>
        <v>Jun-2024</v>
      </c>
      <c r="F529" t="s">
        <v>39</v>
      </c>
      <c r="G529" t="s">
        <v>20</v>
      </c>
      <c r="H529" t="s">
        <v>110</v>
      </c>
      <c r="I529" t="s">
        <v>30</v>
      </c>
      <c r="J529" s="4">
        <v>1083.0899999999999</v>
      </c>
      <c r="K529" s="7" t="str">
        <f t="shared" si="50"/>
        <v>High</v>
      </c>
      <c r="L529" s="4">
        <v>1425.87</v>
      </c>
      <c r="M529" s="4">
        <v>0</v>
      </c>
      <c r="N529" s="4">
        <v>8</v>
      </c>
      <c r="O529" s="4">
        <f t="shared" si="48"/>
        <v>7653.6</v>
      </c>
      <c r="P529">
        <f t="shared" si="49"/>
        <v>8664.7199999999993</v>
      </c>
      <c r="Q529" s="4">
        <f t="shared" si="51"/>
        <v>-1011.119999999999</v>
      </c>
      <c r="R529" s="16">
        <f t="shared" si="52"/>
        <v>-0.13211037942928805</v>
      </c>
    </row>
    <row r="530" spans="1:18" x14ac:dyDescent="0.3">
      <c r="A530" t="s">
        <v>1157</v>
      </c>
      <c r="B530" s="6">
        <v>45448</v>
      </c>
      <c r="C530" s="2">
        <v>45466</v>
      </c>
      <c r="D530" s="4">
        <f t="shared" si="53"/>
        <v>18</v>
      </c>
      <c r="E530" s="4" t="str">
        <f>TEXT(Data!B530,"MMM-YYYY")</f>
        <v>Aug-2023</v>
      </c>
      <c r="F530" t="s">
        <v>48</v>
      </c>
      <c r="G530" t="s">
        <v>55</v>
      </c>
      <c r="H530" t="s">
        <v>145</v>
      </c>
      <c r="I530" t="s">
        <v>57</v>
      </c>
      <c r="J530" s="4">
        <v>1208.74</v>
      </c>
      <c r="K530" s="7" t="str">
        <f t="shared" si="50"/>
        <v>High</v>
      </c>
      <c r="L530" s="4">
        <v>1594.78</v>
      </c>
      <c r="M530" s="4">
        <v>5.8999999999999997E-2</v>
      </c>
      <c r="N530" s="4">
        <v>39</v>
      </c>
      <c r="O530" s="4">
        <f t="shared" si="48"/>
        <v>53128.40832000001</v>
      </c>
      <c r="P530">
        <f t="shared" si="49"/>
        <v>47140.86</v>
      </c>
      <c r="Q530" s="4">
        <f t="shared" si="51"/>
        <v>5987.548320000009</v>
      </c>
      <c r="R530" s="16">
        <f t="shared" si="52"/>
        <v>0.11269956148387032</v>
      </c>
    </row>
    <row r="531" spans="1:18" x14ac:dyDescent="0.3">
      <c r="A531" t="s">
        <v>1159</v>
      </c>
      <c r="B531" s="6">
        <v>45162</v>
      </c>
      <c r="C531" s="2">
        <v>45189</v>
      </c>
      <c r="D531" s="4">
        <f t="shared" si="53"/>
        <v>27</v>
      </c>
      <c r="E531" s="4" t="str">
        <f>TEXT(Data!B531,"MMM-YYYY")</f>
        <v>Jan-2024</v>
      </c>
      <c r="F531" t="s">
        <v>62</v>
      </c>
      <c r="G531" t="s">
        <v>40</v>
      </c>
      <c r="H531" t="s">
        <v>110</v>
      </c>
      <c r="I531" t="s">
        <v>30</v>
      </c>
      <c r="J531" s="4">
        <v>1399.64</v>
      </c>
      <c r="K531" s="7" t="str">
        <f t="shared" si="50"/>
        <v>High</v>
      </c>
      <c r="L531" s="4">
        <v>3342.11</v>
      </c>
      <c r="M531" s="4">
        <v>0</v>
      </c>
      <c r="N531" s="4">
        <v>10</v>
      </c>
      <c r="O531" s="4">
        <f t="shared" si="48"/>
        <v>29496.199999999997</v>
      </c>
      <c r="P531">
        <f t="shared" si="49"/>
        <v>13996.400000000001</v>
      </c>
      <c r="Q531" s="4">
        <f t="shared" si="51"/>
        <v>15499.799999999996</v>
      </c>
      <c r="R531" s="16">
        <f t="shared" si="52"/>
        <v>0.52548463869922213</v>
      </c>
    </row>
    <row r="532" spans="1:18" x14ac:dyDescent="0.3">
      <c r="A532" t="s">
        <v>1161</v>
      </c>
      <c r="B532" s="6">
        <v>45316</v>
      </c>
      <c r="C532" s="2">
        <v>45330</v>
      </c>
      <c r="D532" s="4">
        <f t="shared" si="53"/>
        <v>14</v>
      </c>
      <c r="E532" s="4" t="str">
        <f>TEXT(Data!B532,"MMM-YYYY")</f>
        <v>Mar-2025</v>
      </c>
      <c r="F532" t="s">
        <v>48</v>
      </c>
      <c r="G532" t="s">
        <v>40</v>
      </c>
      <c r="H532" t="s">
        <v>34</v>
      </c>
      <c r="I532" t="s">
        <v>35</v>
      </c>
      <c r="J532" s="4">
        <v>937.16</v>
      </c>
      <c r="K532" s="7" t="str">
        <f t="shared" si="50"/>
        <v>High</v>
      </c>
      <c r="L532" s="4">
        <v>1069.77</v>
      </c>
      <c r="M532" s="4">
        <v>3.7999999999999999E-2</v>
      </c>
      <c r="N532" s="4">
        <v>9</v>
      </c>
      <c r="O532" s="4">
        <f t="shared" si="48"/>
        <v>22342.575059999999</v>
      </c>
      <c r="P532">
        <f t="shared" si="49"/>
        <v>8434.44</v>
      </c>
      <c r="Q532" s="4">
        <f t="shared" si="51"/>
        <v>13908.135059999999</v>
      </c>
      <c r="R532" s="16">
        <f t="shared" si="52"/>
        <v>0.62249472241450754</v>
      </c>
    </row>
    <row r="533" spans="1:18" x14ac:dyDescent="0.3">
      <c r="A533" t="s">
        <v>1163</v>
      </c>
      <c r="B533" s="6">
        <v>45727</v>
      </c>
      <c r="C533" s="2">
        <v>45742</v>
      </c>
      <c r="D533" s="4">
        <f t="shared" si="53"/>
        <v>15</v>
      </c>
      <c r="E533" s="4" t="str">
        <f>TEXT(Data!B533,"MMM-YYYY")</f>
        <v>Apr-2025</v>
      </c>
      <c r="F533" t="s">
        <v>62</v>
      </c>
      <c r="G533" t="s">
        <v>28</v>
      </c>
      <c r="H533" t="s">
        <v>34</v>
      </c>
      <c r="I533" t="s">
        <v>42</v>
      </c>
      <c r="J533" s="4">
        <v>116.97</v>
      </c>
      <c r="K533" s="7" t="str">
        <f t="shared" si="50"/>
        <v>Medium</v>
      </c>
      <c r="L533" s="4">
        <v>140.82</v>
      </c>
      <c r="M533" s="4">
        <v>0.122</v>
      </c>
      <c r="N533" s="4">
        <v>5</v>
      </c>
      <c r="O533" s="4">
        <f t="shared" si="48"/>
        <v>8687.4149000000016</v>
      </c>
      <c r="P533">
        <f t="shared" si="49"/>
        <v>584.85</v>
      </c>
      <c r="Q533" s="4">
        <f t="shared" si="51"/>
        <v>8102.5649000000012</v>
      </c>
      <c r="R533" s="16">
        <f t="shared" si="52"/>
        <v>0.93267847723032082</v>
      </c>
    </row>
    <row r="534" spans="1:18" x14ac:dyDescent="0.3">
      <c r="A534" t="s">
        <v>1165</v>
      </c>
      <c r="B534" s="6">
        <v>45769</v>
      </c>
      <c r="C534" s="2">
        <v>45789</v>
      </c>
      <c r="D534" s="4">
        <f t="shared" si="53"/>
        <v>20</v>
      </c>
      <c r="E534" s="4" t="str">
        <f>TEXT(Data!B534,"MMM-YYYY")</f>
        <v>Aug-2023</v>
      </c>
      <c r="F534" t="s">
        <v>105</v>
      </c>
      <c r="G534" t="s">
        <v>40</v>
      </c>
      <c r="H534" t="s">
        <v>95</v>
      </c>
      <c r="I534" t="s">
        <v>64</v>
      </c>
      <c r="J534" s="4">
        <v>59.51</v>
      </c>
      <c r="K534" s="7" t="str">
        <f t="shared" si="50"/>
        <v>Medium</v>
      </c>
      <c r="L534" s="4">
        <v>67.040000000000006</v>
      </c>
      <c r="M534" s="4">
        <v>0.114</v>
      </c>
      <c r="N534" s="4">
        <v>9</v>
      </c>
      <c r="O534" s="4">
        <f t="shared" si="48"/>
        <v>11813.082300000002</v>
      </c>
      <c r="P534">
        <f t="shared" si="49"/>
        <v>535.59</v>
      </c>
      <c r="Q534" s="4">
        <f t="shared" si="51"/>
        <v>11277.492300000002</v>
      </c>
      <c r="R534" s="16">
        <f t="shared" si="52"/>
        <v>0.95466128260191674</v>
      </c>
    </row>
    <row r="535" spans="1:18" x14ac:dyDescent="0.3">
      <c r="A535" t="s">
        <v>1167</v>
      </c>
      <c r="B535" s="6">
        <v>45155</v>
      </c>
      <c r="C535" s="2">
        <v>45172</v>
      </c>
      <c r="D535" s="4">
        <f t="shared" si="53"/>
        <v>17</v>
      </c>
      <c r="E535" s="4" t="str">
        <f>TEXT(Data!B535,"MMM-YYYY")</f>
        <v>Jun-2025</v>
      </c>
      <c r="F535" t="s">
        <v>105</v>
      </c>
      <c r="G535" t="s">
        <v>20</v>
      </c>
      <c r="H535" t="s">
        <v>75</v>
      </c>
      <c r="I535" t="s">
        <v>42</v>
      </c>
      <c r="J535" s="4">
        <v>676.37</v>
      </c>
      <c r="K535" s="7" t="str">
        <f t="shared" si="50"/>
        <v>High</v>
      </c>
      <c r="L535" s="4">
        <v>1276.67</v>
      </c>
      <c r="M535" s="4">
        <v>6.6000000000000003E-2</v>
      </c>
      <c r="N535" s="4">
        <v>10</v>
      </c>
      <c r="O535" s="4">
        <f t="shared" si="48"/>
        <v>15494.3128</v>
      </c>
      <c r="P535">
        <f t="shared" si="49"/>
        <v>6763.7</v>
      </c>
      <c r="Q535" s="4">
        <f t="shared" si="51"/>
        <v>8730.612799999999</v>
      </c>
      <c r="R535" s="16">
        <f t="shared" si="52"/>
        <v>0.56347208893317291</v>
      </c>
    </row>
    <row r="536" spans="1:18" x14ac:dyDescent="0.3">
      <c r="A536" t="s">
        <v>1169</v>
      </c>
      <c r="B536" s="6">
        <v>45832</v>
      </c>
      <c r="C536" s="2">
        <v>45852</v>
      </c>
      <c r="D536" s="4">
        <f t="shared" si="53"/>
        <v>20</v>
      </c>
      <c r="E536" s="4" t="str">
        <f>TEXT(Data!B536,"MMM-YYYY")</f>
        <v>Jan-2025</v>
      </c>
      <c r="F536" t="s">
        <v>105</v>
      </c>
      <c r="G536" t="s">
        <v>40</v>
      </c>
      <c r="H536" t="s">
        <v>29</v>
      </c>
      <c r="I536" t="s">
        <v>57</v>
      </c>
      <c r="J536" s="4">
        <v>1151.06</v>
      </c>
      <c r="K536" s="7" t="str">
        <f t="shared" si="50"/>
        <v>High</v>
      </c>
      <c r="L536" s="4">
        <v>2821.36</v>
      </c>
      <c r="M536" s="4">
        <v>0.248</v>
      </c>
      <c r="N536" s="4">
        <v>20</v>
      </c>
      <c r="O536" s="4">
        <f t="shared" si="48"/>
        <v>9059.1936000000005</v>
      </c>
      <c r="P536">
        <f t="shared" si="49"/>
        <v>23021.199999999997</v>
      </c>
      <c r="Q536" s="4">
        <f t="shared" si="51"/>
        <v>-13962.006399999997</v>
      </c>
      <c r="R536" s="16">
        <f t="shared" si="52"/>
        <v>-1.5411974858336173</v>
      </c>
    </row>
    <row r="537" spans="1:18" x14ac:dyDescent="0.3">
      <c r="A537" t="s">
        <v>1171</v>
      </c>
      <c r="B537" s="6">
        <v>45667</v>
      </c>
      <c r="C537" s="2">
        <v>45694</v>
      </c>
      <c r="D537" s="4">
        <f t="shared" si="53"/>
        <v>27</v>
      </c>
      <c r="E537" s="4" t="str">
        <f>TEXT(Data!B537,"MMM-YYYY")</f>
        <v>Jul-2023</v>
      </c>
      <c r="F537" t="s">
        <v>39</v>
      </c>
      <c r="G537" t="s">
        <v>20</v>
      </c>
      <c r="H537" t="s">
        <v>56</v>
      </c>
      <c r="I537" t="s">
        <v>57</v>
      </c>
      <c r="J537" s="4">
        <v>725.62</v>
      </c>
      <c r="K537" s="7" t="str">
        <f t="shared" si="50"/>
        <v>High</v>
      </c>
      <c r="L537" s="4">
        <v>1559.19</v>
      </c>
      <c r="M537" s="4">
        <v>0.19</v>
      </c>
      <c r="N537" s="4">
        <v>12</v>
      </c>
      <c r="O537" s="4">
        <f t="shared" si="48"/>
        <v>5128.6608000000006</v>
      </c>
      <c r="P537">
        <f t="shared" si="49"/>
        <v>8707.44</v>
      </c>
      <c r="Q537" s="4">
        <f t="shared" si="51"/>
        <v>-3578.7791999999999</v>
      </c>
      <c r="R537" s="16">
        <f t="shared" si="52"/>
        <v>-0.69779994028850567</v>
      </c>
    </row>
    <row r="538" spans="1:18" x14ac:dyDescent="0.3">
      <c r="A538" t="s">
        <v>1173</v>
      </c>
      <c r="B538" s="6">
        <v>45108</v>
      </c>
      <c r="C538" s="2">
        <v>45118</v>
      </c>
      <c r="D538" s="4">
        <f t="shared" si="53"/>
        <v>10</v>
      </c>
      <c r="E538" s="4" t="str">
        <f>TEXT(Data!B538,"MMM-YYYY")</f>
        <v>Aug-2024</v>
      </c>
      <c r="F538" t="s">
        <v>19</v>
      </c>
      <c r="G538" t="s">
        <v>98</v>
      </c>
      <c r="H538" t="s">
        <v>84</v>
      </c>
      <c r="I538" t="s">
        <v>35</v>
      </c>
      <c r="J538" s="4">
        <v>479.5</v>
      </c>
      <c r="K538" s="7" t="str">
        <f t="shared" si="50"/>
        <v>High</v>
      </c>
      <c r="L538" s="4">
        <v>656.66</v>
      </c>
      <c r="M538" s="4">
        <v>0.14899999999999999</v>
      </c>
      <c r="N538" s="4">
        <v>14</v>
      </c>
      <c r="O538" s="4">
        <f t="shared" si="48"/>
        <v>21944.3966</v>
      </c>
      <c r="P538">
        <f t="shared" si="49"/>
        <v>6713</v>
      </c>
      <c r="Q538" s="4">
        <f t="shared" si="51"/>
        <v>15231.3966</v>
      </c>
      <c r="R538" s="16">
        <f t="shared" si="52"/>
        <v>0.69409047228029042</v>
      </c>
    </row>
    <row r="539" spans="1:18" x14ac:dyDescent="0.3">
      <c r="A539" t="s">
        <v>1175</v>
      </c>
      <c r="B539" s="6">
        <v>45520</v>
      </c>
      <c r="C539" s="2">
        <v>45530</v>
      </c>
      <c r="D539" s="4">
        <f t="shared" si="53"/>
        <v>10</v>
      </c>
      <c r="E539" s="4" t="str">
        <f>TEXT(Data!B539,"MMM-YYYY")</f>
        <v>Jul-2023</v>
      </c>
      <c r="F539" t="s">
        <v>19</v>
      </c>
      <c r="G539" t="s">
        <v>55</v>
      </c>
      <c r="H539" t="s">
        <v>49</v>
      </c>
      <c r="I539" t="s">
        <v>57</v>
      </c>
      <c r="J539" s="4">
        <v>1291.7</v>
      </c>
      <c r="K539" s="7" t="str">
        <f t="shared" si="50"/>
        <v>High</v>
      </c>
      <c r="L539" s="4">
        <v>2657.84</v>
      </c>
      <c r="M539" s="4">
        <v>8.6999999999999994E-2</v>
      </c>
      <c r="N539" s="4">
        <v>21</v>
      </c>
      <c r="O539" s="4">
        <f t="shared" si="48"/>
        <v>31548.788040000003</v>
      </c>
      <c r="P539">
        <f t="shared" si="49"/>
        <v>27125.7</v>
      </c>
      <c r="Q539" s="4">
        <f t="shared" si="51"/>
        <v>4423.0880400000024</v>
      </c>
      <c r="R539" s="16">
        <f t="shared" si="52"/>
        <v>0.14019835038962727</v>
      </c>
    </row>
    <row r="540" spans="1:18" x14ac:dyDescent="0.3">
      <c r="A540" t="s">
        <v>1176</v>
      </c>
      <c r="B540" s="6">
        <v>45114</v>
      </c>
      <c r="C540" s="2">
        <v>45120</v>
      </c>
      <c r="D540" s="4">
        <f t="shared" si="53"/>
        <v>6</v>
      </c>
      <c r="E540" s="4" t="str">
        <f>TEXT(Data!B540,"MMM-YYYY")</f>
        <v>Dec-2023</v>
      </c>
      <c r="F540" t="s">
        <v>62</v>
      </c>
      <c r="G540" t="s">
        <v>40</v>
      </c>
      <c r="H540" t="s">
        <v>56</v>
      </c>
      <c r="I540" t="s">
        <v>81</v>
      </c>
      <c r="J540" s="4">
        <v>612.59</v>
      </c>
      <c r="K540" s="7" t="str">
        <f t="shared" si="50"/>
        <v>High</v>
      </c>
      <c r="L540" s="4">
        <v>1424.74</v>
      </c>
      <c r="M540" s="4">
        <v>4.3999999999999997E-2</v>
      </c>
      <c r="N540" s="4">
        <v>15</v>
      </c>
      <c r="O540" s="4">
        <f t="shared" si="48"/>
        <v>10428.334800000001</v>
      </c>
      <c r="P540">
        <f t="shared" si="49"/>
        <v>9188.85</v>
      </c>
      <c r="Q540" s="4">
        <f t="shared" si="51"/>
        <v>1239.4848000000002</v>
      </c>
      <c r="R540" s="16">
        <f t="shared" si="52"/>
        <v>0.11885740377265219</v>
      </c>
    </row>
    <row r="541" spans="1:18" x14ac:dyDescent="0.3">
      <c r="A541" t="s">
        <v>1178</v>
      </c>
      <c r="B541" s="6">
        <v>45288</v>
      </c>
      <c r="C541" s="2">
        <v>45292</v>
      </c>
      <c r="D541" s="4">
        <f t="shared" si="53"/>
        <v>4</v>
      </c>
      <c r="E541" s="4" t="str">
        <f>TEXT(Data!B541,"MMM-YYYY")</f>
        <v>Jan-2023</v>
      </c>
      <c r="F541" t="s">
        <v>27</v>
      </c>
      <c r="G541" t="s">
        <v>55</v>
      </c>
      <c r="H541" t="s">
        <v>75</v>
      </c>
      <c r="I541" t="s">
        <v>30</v>
      </c>
      <c r="J541" s="4">
        <v>1141.8</v>
      </c>
      <c r="K541" s="7" t="str">
        <f t="shared" si="50"/>
        <v>High</v>
      </c>
      <c r="L541" s="4">
        <v>2318.7399999999998</v>
      </c>
      <c r="M541" s="4">
        <v>0.107</v>
      </c>
      <c r="N541" s="4">
        <v>32</v>
      </c>
      <c r="O541" s="4">
        <f t="shared" si="48"/>
        <v>35256.783040000002</v>
      </c>
      <c r="P541">
        <f t="shared" si="49"/>
        <v>36537.599999999999</v>
      </c>
      <c r="Q541" s="4">
        <f t="shared" si="51"/>
        <v>-1280.8169599999965</v>
      </c>
      <c r="R541" s="16">
        <f t="shared" si="52"/>
        <v>-3.6328242385213268E-2</v>
      </c>
    </row>
    <row r="542" spans="1:18" x14ac:dyDescent="0.3">
      <c r="A542" t="s">
        <v>1180</v>
      </c>
      <c r="B542" s="6">
        <v>44952</v>
      </c>
      <c r="C542" s="2">
        <v>44972</v>
      </c>
      <c r="D542" s="4">
        <f t="shared" si="53"/>
        <v>20</v>
      </c>
      <c r="E542" s="4" t="str">
        <f>TEXT(Data!B542,"MMM-YYYY")</f>
        <v>Jul-2023</v>
      </c>
      <c r="F542" t="s">
        <v>62</v>
      </c>
      <c r="G542" t="s">
        <v>28</v>
      </c>
      <c r="H542" t="s">
        <v>68</v>
      </c>
      <c r="I542" t="s">
        <v>35</v>
      </c>
      <c r="J542" s="4">
        <v>492.62</v>
      </c>
      <c r="K542" s="7" t="str">
        <f t="shared" si="50"/>
        <v>High</v>
      </c>
      <c r="L542" s="4">
        <v>366.7</v>
      </c>
      <c r="M542" s="4">
        <v>8.8999999999999996E-2</v>
      </c>
      <c r="N542" s="4">
        <v>10</v>
      </c>
      <c r="O542" s="4">
        <f t="shared" si="48"/>
        <v>14063.653600000001</v>
      </c>
      <c r="P542">
        <f t="shared" si="49"/>
        <v>4926.2</v>
      </c>
      <c r="Q542" s="4">
        <f t="shared" si="51"/>
        <v>9137.4536000000007</v>
      </c>
      <c r="R542" s="16">
        <f t="shared" si="52"/>
        <v>0.6497211791393952</v>
      </c>
    </row>
    <row r="543" spans="1:18" x14ac:dyDescent="0.3">
      <c r="A543" t="s">
        <v>1182</v>
      </c>
      <c r="B543" s="6">
        <v>45115</v>
      </c>
      <c r="C543" s="2">
        <v>45116</v>
      </c>
      <c r="D543" s="4">
        <f t="shared" si="53"/>
        <v>1</v>
      </c>
      <c r="E543" s="4" t="str">
        <f>TEXT(Data!B543,"MMM-YYYY")</f>
        <v>Jun-2024</v>
      </c>
      <c r="F543" t="s">
        <v>48</v>
      </c>
      <c r="G543" t="s">
        <v>28</v>
      </c>
      <c r="H543" t="s">
        <v>145</v>
      </c>
      <c r="I543" t="s">
        <v>57</v>
      </c>
      <c r="J543" s="4">
        <v>1258.72</v>
      </c>
      <c r="K543" s="7" t="str">
        <f t="shared" si="50"/>
        <v>High</v>
      </c>
      <c r="L543" s="4">
        <v>2797.41</v>
      </c>
      <c r="M543" s="4">
        <v>0</v>
      </c>
      <c r="N543" s="4">
        <v>7</v>
      </c>
      <c r="O543" s="4">
        <f t="shared" si="48"/>
        <v>14806.33</v>
      </c>
      <c r="P543">
        <f t="shared" si="49"/>
        <v>8811.0400000000009</v>
      </c>
      <c r="Q543" s="4">
        <f t="shared" si="51"/>
        <v>5995.2899999999991</v>
      </c>
      <c r="R543" s="16">
        <f t="shared" si="52"/>
        <v>0.40491397935882822</v>
      </c>
    </row>
    <row r="544" spans="1:18" x14ac:dyDescent="0.3">
      <c r="A544" t="s">
        <v>1184</v>
      </c>
      <c r="B544" s="6">
        <v>45450</v>
      </c>
      <c r="C544" s="2">
        <v>45452</v>
      </c>
      <c r="D544" s="4">
        <f t="shared" si="53"/>
        <v>2</v>
      </c>
      <c r="E544" s="4" t="str">
        <f>TEXT(Data!B544,"MMM-YYYY")</f>
        <v>Feb-2023</v>
      </c>
      <c r="F544" t="s">
        <v>19</v>
      </c>
      <c r="G544" t="s">
        <v>20</v>
      </c>
      <c r="H544" t="s">
        <v>68</v>
      </c>
      <c r="I544" t="s">
        <v>64</v>
      </c>
      <c r="J544" s="4">
        <v>1370.28</v>
      </c>
      <c r="K544" s="7" t="str">
        <f t="shared" si="50"/>
        <v>High</v>
      </c>
      <c r="L544" s="4">
        <v>2209.66</v>
      </c>
      <c r="M544" s="4">
        <v>0.13300000000000001</v>
      </c>
      <c r="N544" s="4">
        <v>16</v>
      </c>
      <c r="O544" s="4">
        <f t="shared" si="48"/>
        <v>25485.499680000001</v>
      </c>
      <c r="P544">
        <f t="shared" si="49"/>
        <v>21924.48</v>
      </c>
      <c r="Q544" s="4">
        <f t="shared" si="51"/>
        <v>3561.0196800000012</v>
      </c>
      <c r="R544" s="16">
        <f t="shared" si="52"/>
        <v>0.13972728511164123</v>
      </c>
    </row>
    <row r="545" spans="1:18" x14ac:dyDescent="0.3">
      <c r="A545" t="s">
        <v>1186</v>
      </c>
      <c r="B545" s="6">
        <v>44968</v>
      </c>
      <c r="C545" s="2">
        <v>44969</v>
      </c>
      <c r="D545" s="4">
        <f t="shared" si="53"/>
        <v>1</v>
      </c>
      <c r="E545" s="4" t="str">
        <f>TEXT(Data!B545,"MMM-YYYY")</f>
        <v>Jul-2023</v>
      </c>
      <c r="F545" t="s">
        <v>39</v>
      </c>
      <c r="G545" t="s">
        <v>98</v>
      </c>
      <c r="H545" t="s">
        <v>145</v>
      </c>
      <c r="I545" t="s">
        <v>81</v>
      </c>
      <c r="J545" s="4">
        <v>944.61</v>
      </c>
      <c r="K545" s="7" t="str">
        <f t="shared" si="50"/>
        <v>High</v>
      </c>
      <c r="L545" s="4">
        <v>839.04</v>
      </c>
      <c r="M545" s="4">
        <v>5.8999999999999997E-2</v>
      </c>
      <c r="N545" s="4">
        <v>6</v>
      </c>
      <c r="O545" s="4">
        <f t="shared" si="48"/>
        <v>16141.518779999999</v>
      </c>
      <c r="P545">
        <f t="shared" si="49"/>
        <v>5667.66</v>
      </c>
      <c r="Q545" s="4">
        <f t="shared" si="51"/>
        <v>10473.858779999999</v>
      </c>
      <c r="R545" s="16">
        <f t="shared" si="52"/>
        <v>0.64887690698458544</v>
      </c>
    </row>
    <row r="546" spans="1:18" x14ac:dyDescent="0.3">
      <c r="A546" t="s">
        <v>1188</v>
      </c>
      <c r="B546" s="6">
        <v>45108</v>
      </c>
      <c r="C546" s="2">
        <v>45115</v>
      </c>
      <c r="D546" s="4">
        <f t="shared" si="53"/>
        <v>7</v>
      </c>
      <c r="E546" s="4" t="str">
        <f>TEXT(Data!B546,"MMM-YYYY")</f>
        <v>Aug-2025</v>
      </c>
      <c r="F546" t="s">
        <v>62</v>
      </c>
      <c r="G546" t="s">
        <v>55</v>
      </c>
      <c r="H546" t="s">
        <v>126</v>
      </c>
      <c r="I546" t="s">
        <v>57</v>
      </c>
      <c r="J546" s="4">
        <v>460.21</v>
      </c>
      <c r="K546" s="7" t="str">
        <f t="shared" si="50"/>
        <v>High</v>
      </c>
      <c r="L546" s="4">
        <v>1139.1500000000001</v>
      </c>
      <c r="M546" s="4">
        <v>0.115</v>
      </c>
      <c r="N546" s="4">
        <v>14</v>
      </c>
      <c r="O546" s="4">
        <f t="shared" si="48"/>
        <v>3592.1088</v>
      </c>
      <c r="P546">
        <f t="shared" si="49"/>
        <v>6442.94</v>
      </c>
      <c r="Q546" s="4">
        <f t="shared" si="51"/>
        <v>-2850.8311999999996</v>
      </c>
      <c r="R546" s="16">
        <f t="shared" si="52"/>
        <v>-0.79363720831618456</v>
      </c>
    </row>
    <row r="547" spans="1:18" x14ac:dyDescent="0.3">
      <c r="A547" t="s">
        <v>1190</v>
      </c>
      <c r="B547" s="6">
        <v>45889</v>
      </c>
      <c r="C547" s="2">
        <v>45895</v>
      </c>
      <c r="D547" s="4">
        <f t="shared" si="53"/>
        <v>6</v>
      </c>
      <c r="E547" s="4" t="str">
        <f>TEXT(Data!B547,"MMM-YYYY")</f>
        <v>Mar-2024</v>
      </c>
      <c r="F547" t="s">
        <v>19</v>
      </c>
      <c r="G547" t="s">
        <v>20</v>
      </c>
      <c r="H547" t="s">
        <v>110</v>
      </c>
      <c r="I547" t="s">
        <v>35</v>
      </c>
      <c r="J547" s="4">
        <v>1304.95</v>
      </c>
      <c r="K547" s="7" t="str">
        <f t="shared" si="50"/>
        <v>High</v>
      </c>
      <c r="L547" s="4">
        <v>1712.03</v>
      </c>
      <c r="M547" s="4">
        <v>0.21199999999999999</v>
      </c>
      <c r="N547" s="4">
        <v>8</v>
      </c>
      <c r="O547" s="4">
        <f t="shared" si="48"/>
        <v>6286.3488000000007</v>
      </c>
      <c r="P547">
        <f t="shared" si="49"/>
        <v>10439.6</v>
      </c>
      <c r="Q547" s="4">
        <f t="shared" si="51"/>
        <v>-4153.2511999999997</v>
      </c>
      <c r="R547" s="16">
        <f t="shared" si="52"/>
        <v>-0.66067781666839731</v>
      </c>
    </row>
    <row r="548" spans="1:18" x14ac:dyDescent="0.3">
      <c r="A548" t="s">
        <v>1192</v>
      </c>
      <c r="B548" s="6">
        <v>45355</v>
      </c>
      <c r="C548" s="2">
        <v>45367</v>
      </c>
      <c r="D548" s="4">
        <f t="shared" si="53"/>
        <v>12</v>
      </c>
      <c r="E548" s="4" t="str">
        <f>TEXT(Data!B548,"MMM-YYYY")</f>
        <v>Sep-2023</v>
      </c>
      <c r="F548" t="s">
        <v>105</v>
      </c>
      <c r="G548" t="s">
        <v>55</v>
      </c>
      <c r="H548" t="s">
        <v>110</v>
      </c>
      <c r="I548" t="s">
        <v>64</v>
      </c>
      <c r="J548" s="4">
        <v>441.08</v>
      </c>
      <c r="K548" s="7" t="str">
        <f t="shared" si="50"/>
        <v>High</v>
      </c>
      <c r="L548" s="4">
        <v>1054.29</v>
      </c>
      <c r="M548" s="4">
        <v>0.23699999999999999</v>
      </c>
      <c r="N548" s="4">
        <v>6</v>
      </c>
      <c r="O548" s="4">
        <f t="shared" si="48"/>
        <v>216.49362000000002</v>
      </c>
      <c r="P548">
        <f t="shared" si="49"/>
        <v>2646.48</v>
      </c>
      <c r="Q548" s="4">
        <f t="shared" si="51"/>
        <v>-2429.9863799999998</v>
      </c>
      <c r="R548" s="16">
        <f t="shared" si="52"/>
        <v>-11.224286332317782</v>
      </c>
    </row>
    <row r="549" spans="1:18" x14ac:dyDescent="0.3">
      <c r="A549" t="s">
        <v>1194</v>
      </c>
      <c r="B549" s="6">
        <v>45177</v>
      </c>
      <c r="C549" s="2">
        <v>45201</v>
      </c>
      <c r="D549" s="4">
        <f t="shared" si="53"/>
        <v>24</v>
      </c>
      <c r="E549" s="4" t="str">
        <f>TEXT(Data!B549,"MMM-YYYY")</f>
        <v>Feb-2023</v>
      </c>
      <c r="F549" t="s">
        <v>27</v>
      </c>
      <c r="G549" t="s">
        <v>98</v>
      </c>
      <c r="H549" t="s">
        <v>75</v>
      </c>
      <c r="I549" t="s">
        <v>81</v>
      </c>
      <c r="J549" s="4">
        <v>1299.03</v>
      </c>
      <c r="K549" s="7" t="str">
        <f t="shared" si="50"/>
        <v>High</v>
      </c>
      <c r="L549" s="4">
        <v>2451.2199999999998</v>
      </c>
      <c r="M549" s="4">
        <v>0.20799999999999999</v>
      </c>
      <c r="N549" s="4">
        <v>8</v>
      </c>
      <c r="O549" s="4">
        <f t="shared" si="48"/>
        <v>4778.8646400000007</v>
      </c>
      <c r="P549">
        <f t="shared" si="49"/>
        <v>10392.24</v>
      </c>
      <c r="Q549" s="4">
        <f t="shared" si="51"/>
        <v>-5613.3753599999991</v>
      </c>
      <c r="R549" s="16">
        <f t="shared" si="52"/>
        <v>-1.1746253101657214</v>
      </c>
    </row>
    <row r="550" spans="1:18" x14ac:dyDescent="0.3">
      <c r="A550" t="s">
        <v>1196</v>
      </c>
      <c r="B550" s="6">
        <v>44985</v>
      </c>
      <c r="C550" s="2">
        <v>44991</v>
      </c>
      <c r="D550" s="4">
        <f t="shared" si="53"/>
        <v>6</v>
      </c>
      <c r="E550" s="4" t="str">
        <f>TEXT(Data!B550,"MMM-YYYY")</f>
        <v>Jul-2024</v>
      </c>
      <c r="F550" t="s">
        <v>62</v>
      </c>
      <c r="G550" t="s">
        <v>40</v>
      </c>
      <c r="H550" t="s">
        <v>145</v>
      </c>
      <c r="I550" t="s">
        <v>30</v>
      </c>
      <c r="J550" s="4">
        <v>880.02</v>
      </c>
      <c r="K550" s="7" t="str">
        <f t="shared" si="50"/>
        <v>High</v>
      </c>
      <c r="L550" s="4">
        <v>1251.21</v>
      </c>
      <c r="M550" s="4">
        <v>0.123</v>
      </c>
      <c r="N550" s="4">
        <v>29</v>
      </c>
      <c r="O550" s="4">
        <f t="shared" si="48"/>
        <v>22927.340840000001</v>
      </c>
      <c r="P550">
        <f t="shared" si="49"/>
        <v>25520.579999999998</v>
      </c>
      <c r="Q550" s="4">
        <f t="shared" si="51"/>
        <v>-2593.2391599999974</v>
      </c>
      <c r="R550" s="16">
        <f t="shared" si="52"/>
        <v>-0.1131068438375428</v>
      </c>
    </row>
    <row r="551" spans="1:18" x14ac:dyDescent="0.3">
      <c r="A551" t="s">
        <v>1198</v>
      </c>
      <c r="B551" s="6">
        <v>45486</v>
      </c>
      <c r="C551" s="2">
        <v>45507</v>
      </c>
      <c r="D551" s="4">
        <f t="shared" si="53"/>
        <v>21</v>
      </c>
      <c r="E551" s="4" t="str">
        <f>TEXT(Data!B551,"MMM-YYYY")</f>
        <v>Dec-2024</v>
      </c>
      <c r="F551" t="s">
        <v>19</v>
      </c>
      <c r="G551" t="s">
        <v>40</v>
      </c>
      <c r="H551" t="s">
        <v>110</v>
      </c>
      <c r="I551" t="s">
        <v>64</v>
      </c>
      <c r="J551" s="4">
        <v>702.98</v>
      </c>
      <c r="K551" s="7" t="str">
        <f t="shared" si="50"/>
        <v>High</v>
      </c>
      <c r="L551" s="4">
        <v>1104.8</v>
      </c>
      <c r="M551" s="4">
        <v>0.17499999999999999</v>
      </c>
      <c r="N551" s="4">
        <v>12</v>
      </c>
      <c r="O551" s="4">
        <f t="shared" si="48"/>
        <v>1119.492</v>
      </c>
      <c r="P551">
        <f t="shared" si="49"/>
        <v>8435.76</v>
      </c>
      <c r="Q551" s="4">
        <f t="shared" si="51"/>
        <v>-7316.268</v>
      </c>
      <c r="R551" s="16">
        <f t="shared" si="52"/>
        <v>-6.5353463892551265</v>
      </c>
    </row>
    <row r="552" spans="1:18" x14ac:dyDescent="0.3">
      <c r="A552" t="s">
        <v>1200</v>
      </c>
      <c r="B552" s="6">
        <v>45633</v>
      </c>
      <c r="C552" s="2">
        <v>45652</v>
      </c>
      <c r="D552" s="4">
        <f t="shared" si="53"/>
        <v>19</v>
      </c>
      <c r="E552" s="4" t="str">
        <f>TEXT(Data!B552,"MMM-YYYY")</f>
        <v>Aug-2025</v>
      </c>
      <c r="F552" t="s">
        <v>105</v>
      </c>
      <c r="G552" t="s">
        <v>28</v>
      </c>
      <c r="H552" t="s">
        <v>145</v>
      </c>
      <c r="I552" t="s">
        <v>35</v>
      </c>
      <c r="J552" s="4">
        <v>1035.24</v>
      </c>
      <c r="K552" s="7" t="str">
        <f t="shared" si="50"/>
        <v>High</v>
      </c>
      <c r="L552" s="4">
        <v>2383.41</v>
      </c>
      <c r="M552" s="4">
        <v>0.17</v>
      </c>
      <c r="N552" s="4">
        <v>15</v>
      </c>
      <c r="O552" s="4">
        <f t="shared" si="48"/>
        <v>10814.319</v>
      </c>
      <c r="P552">
        <f t="shared" si="49"/>
        <v>15528.6</v>
      </c>
      <c r="Q552" s="4">
        <f t="shared" si="51"/>
        <v>-4714.2810000000009</v>
      </c>
      <c r="R552" s="16">
        <f t="shared" si="52"/>
        <v>-0.43592953009801183</v>
      </c>
    </row>
    <row r="553" spans="1:18" x14ac:dyDescent="0.3">
      <c r="A553" t="s">
        <v>1202</v>
      </c>
      <c r="B553" s="6">
        <v>45875</v>
      </c>
      <c r="C553" s="2">
        <v>45892</v>
      </c>
      <c r="D553" s="4">
        <f t="shared" si="53"/>
        <v>17</v>
      </c>
      <c r="E553" s="4" t="str">
        <f>TEXT(Data!B553,"MMM-YYYY")</f>
        <v>Mar-2023</v>
      </c>
      <c r="F553" t="s">
        <v>48</v>
      </c>
      <c r="G553" t="s">
        <v>55</v>
      </c>
      <c r="H553" t="s">
        <v>75</v>
      </c>
      <c r="I553" t="s">
        <v>64</v>
      </c>
      <c r="J553" s="4">
        <v>86.64</v>
      </c>
      <c r="K553" s="7" t="str">
        <f t="shared" si="50"/>
        <v>High</v>
      </c>
      <c r="L553" s="4">
        <v>213.06</v>
      </c>
      <c r="M553" s="4">
        <v>0.21199999999999999</v>
      </c>
      <c r="N553" s="4">
        <v>11</v>
      </c>
      <c r="O553" s="4">
        <f t="shared" si="48"/>
        <v>3015.5971999999997</v>
      </c>
      <c r="P553">
        <f t="shared" si="49"/>
        <v>953.04</v>
      </c>
      <c r="Q553" s="4">
        <f t="shared" si="51"/>
        <v>2062.5571999999997</v>
      </c>
      <c r="R553" s="16">
        <f t="shared" si="52"/>
        <v>0.68396309692819712</v>
      </c>
    </row>
    <row r="554" spans="1:18" x14ac:dyDescent="0.3">
      <c r="A554" t="s">
        <v>1204</v>
      </c>
      <c r="B554" s="6">
        <v>44988</v>
      </c>
      <c r="C554" s="2">
        <v>45005</v>
      </c>
      <c r="D554" s="4">
        <f t="shared" si="53"/>
        <v>17</v>
      </c>
      <c r="E554" s="4" t="str">
        <f>TEXT(Data!B554,"MMM-YYYY")</f>
        <v>Feb-2025</v>
      </c>
      <c r="F554" t="s">
        <v>62</v>
      </c>
      <c r="G554" t="s">
        <v>28</v>
      </c>
      <c r="H554" t="s">
        <v>145</v>
      </c>
      <c r="I554" t="s">
        <v>35</v>
      </c>
      <c r="J554" s="4">
        <v>1171.17</v>
      </c>
      <c r="K554" s="7" t="str">
        <f t="shared" si="50"/>
        <v>High</v>
      </c>
      <c r="L554" s="4">
        <v>2030.64</v>
      </c>
      <c r="M554" s="4">
        <v>0.157</v>
      </c>
      <c r="N554" s="4">
        <v>11</v>
      </c>
      <c r="O554" s="4">
        <f t="shared" si="48"/>
        <v>10310.463239999999</v>
      </c>
      <c r="P554">
        <f t="shared" si="49"/>
        <v>12882.87</v>
      </c>
      <c r="Q554" s="4">
        <f t="shared" si="51"/>
        <v>-2572.4067600000017</v>
      </c>
      <c r="R554" s="16">
        <f t="shared" si="52"/>
        <v>-0.24949478021707217</v>
      </c>
    </row>
    <row r="555" spans="1:18" x14ac:dyDescent="0.3">
      <c r="A555" t="s">
        <v>1206</v>
      </c>
      <c r="B555" s="6">
        <v>45704</v>
      </c>
      <c r="C555" s="2">
        <v>45733</v>
      </c>
      <c r="D555" s="4">
        <f t="shared" si="53"/>
        <v>1</v>
      </c>
      <c r="E555" s="4" t="str">
        <f>TEXT(Data!B555,"MMM-YYYY")</f>
        <v>Feb-2025</v>
      </c>
      <c r="F555" t="s">
        <v>48</v>
      </c>
      <c r="G555" t="s">
        <v>20</v>
      </c>
      <c r="H555" t="s">
        <v>49</v>
      </c>
      <c r="I555" t="s">
        <v>81</v>
      </c>
      <c r="J555" s="4">
        <v>730.42</v>
      </c>
      <c r="K555" s="7" t="str">
        <f t="shared" si="50"/>
        <v>High</v>
      </c>
      <c r="L555" s="4">
        <v>956.7</v>
      </c>
      <c r="M555" s="4">
        <v>4.2000000000000003E-2</v>
      </c>
      <c r="N555" s="4">
        <v>22</v>
      </c>
      <c r="O555" s="4">
        <f t="shared" si="48"/>
        <v>6907.0267199999998</v>
      </c>
      <c r="P555">
        <f t="shared" si="49"/>
        <v>16069.24</v>
      </c>
      <c r="Q555" s="4">
        <f t="shared" si="51"/>
        <v>-9162.2132799999999</v>
      </c>
      <c r="R555" s="16">
        <f t="shared" si="52"/>
        <v>-1.3265061293986133</v>
      </c>
    </row>
    <row r="556" spans="1:18" x14ac:dyDescent="0.3">
      <c r="A556" t="s">
        <v>1208</v>
      </c>
      <c r="B556" s="6">
        <v>45703</v>
      </c>
      <c r="C556" s="2">
        <v>45717</v>
      </c>
      <c r="D556" s="4">
        <f t="shared" si="53"/>
        <v>14</v>
      </c>
      <c r="E556" s="4" t="str">
        <f>TEXT(Data!B556,"MMM-YYYY")</f>
        <v>Aug-2024</v>
      </c>
      <c r="F556" t="s">
        <v>27</v>
      </c>
      <c r="G556" t="s">
        <v>98</v>
      </c>
      <c r="H556" t="s">
        <v>49</v>
      </c>
      <c r="I556" t="s">
        <v>81</v>
      </c>
      <c r="J556" s="4">
        <v>1162.8599999999999</v>
      </c>
      <c r="K556" s="7" t="str">
        <f t="shared" si="50"/>
        <v>High</v>
      </c>
      <c r="L556" s="4">
        <v>1447.68</v>
      </c>
      <c r="M556" s="4">
        <v>8.6999999999999994E-2</v>
      </c>
      <c r="N556" s="4">
        <v>12</v>
      </c>
      <c r="O556" s="4">
        <f t="shared" si="48"/>
        <v>5326.0402800000002</v>
      </c>
      <c r="P556">
        <f t="shared" si="49"/>
        <v>13954.32</v>
      </c>
      <c r="Q556" s="4">
        <f t="shared" si="51"/>
        <v>-8628.2797199999986</v>
      </c>
      <c r="R556" s="16">
        <f t="shared" si="52"/>
        <v>-1.6200177367040112</v>
      </c>
    </row>
    <row r="557" spans="1:18" x14ac:dyDescent="0.3">
      <c r="A557" t="s">
        <v>1210</v>
      </c>
      <c r="B557" s="6">
        <v>45535</v>
      </c>
      <c r="C557" s="2">
        <v>45561</v>
      </c>
      <c r="D557" s="4">
        <f t="shared" si="53"/>
        <v>26</v>
      </c>
      <c r="E557" s="4" t="str">
        <f>TEXT(Data!B557,"MMM-YYYY")</f>
        <v>May-2023</v>
      </c>
      <c r="F557" t="s">
        <v>27</v>
      </c>
      <c r="G557" t="s">
        <v>28</v>
      </c>
      <c r="H557" t="s">
        <v>34</v>
      </c>
      <c r="I557" t="s">
        <v>42</v>
      </c>
      <c r="J557" s="4">
        <v>1189.03</v>
      </c>
      <c r="K557" s="7" t="str">
        <f t="shared" si="50"/>
        <v>High</v>
      </c>
      <c r="L557" s="4">
        <v>2949.62</v>
      </c>
      <c r="M557" s="4">
        <v>0.125</v>
      </c>
      <c r="N557" s="4">
        <v>13</v>
      </c>
      <c r="O557" s="4">
        <f t="shared" si="48"/>
        <v>23507.575000000001</v>
      </c>
      <c r="P557">
        <f t="shared" si="49"/>
        <v>15457.39</v>
      </c>
      <c r="Q557" s="4">
        <f t="shared" si="51"/>
        <v>8050.1850000000013</v>
      </c>
      <c r="R557" s="16">
        <f t="shared" si="52"/>
        <v>0.34245067813247437</v>
      </c>
    </row>
    <row r="558" spans="1:18" x14ac:dyDescent="0.3">
      <c r="A558" t="s">
        <v>1212</v>
      </c>
      <c r="B558" s="6">
        <v>45053</v>
      </c>
      <c r="C558" s="2">
        <v>45066</v>
      </c>
      <c r="D558" s="4">
        <f t="shared" si="53"/>
        <v>13</v>
      </c>
      <c r="E558" s="4" t="str">
        <f>TEXT(Data!B558,"MMM-YYYY")</f>
        <v>May-2025</v>
      </c>
      <c r="F558" t="s">
        <v>105</v>
      </c>
      <c r="G558" t="s">
        <v>20</v>
      </c>
      <c r="H558" t="s">
        <v>145</v>
      </c>
      <c r="I558" t="s">
        <v>81</v>
      </c>
      <c r="J558" s="4">
        <v>1443.28</v>
      </c>
      <c r="K558" s="7" t="str">
        <f t="shared" si="50"/>
        <v>High</v>
      </c>
      <c r="L558" s="4">
        <v>2580.5700000000002</v>
      </c>
      <c r="M558" s="4">
        <v>0</v>
      </c>
      <c r="N558" s="4">
        <v>18</v>
      </c>
      <c r="O558" s="4">
        <f t="shared" si="48"/>
        <v>1551.6000000000001</v>
      </c>
      <c r="P558">
        <f t="shared" si="49"/>
        <v>25979.040000000001</v>
      </c>
      <c r="Q558" s="4">
        <f t="shared" si="51"/>
        <v>-24427.440000000002</v>
      </c>
      <c r="R558" s="16">
        <f t="shared" si="52"/>
        <v>-15.74338747099768</v>
      </c>
    </row>
    <row r="559" spans="1:18" x14ac:dyDescent="0.3">
      <c r="A559" t="s">
        <v>1214</v>
      </c>
      <c r="B559" s="6">
        <v>45791</v>
      </c>
      <c r="C559" s="2">
        <v>45789</v>
      </c>
      <c r="D559" s="4">
        <f>DATEDIF(C559,B559, "MD")</f>
        <v>2</v>
      </c>
      <c r="E559" s="4" t="str">
        <f>TEXT(Data!B559,"MMM-YYYY")</f>
        <v>Mar-2024</v>
      </c>
      <c r="F559" t="s">
        <v>39</v>
      </c>
      <c r="G559" t="s">
        <v>55</v>
      </c>
      <c r="H559" t="s">
        <v>84</v>
      </c>
      <c r="I559" t="s">
        <v>30</v>
      </c>
      <c r="J559" s="4">
        <v>883.5</v>
      </c>
      <c r="K559" s="7" t="str">
        <f t="shared" si="50"/>
        <v>High</v>
      </c>
      <c r="L559" s="4">
        <v>1978.91</v>
      </c>
      <c r="M559" s="4">
        <v>5.3999999999999999E-2</v>
      </c>
      <c r="N559" s="4">
        <v>27</v>
      </c>
      <c r="O559" s="4">
        <f t="shared" si="48"/>
        <v>58944.550499999998</v>
      </c>
      <c r="P559">
        <f t="shared" si="49"/>
        <v>23854.5</v>
      </c>
      <c r="Q559" s="4">
        <f t="shared" si="51"/>
        <v>35090.050499999998</v>
      </c>
      <c r="R559" s="16">
        <f t="shared" si="52"/>
        <v>0.59530610043416987</v>
      </c>
    </row>
    <row r="560" spans="1:18" x14ac:dyDescent="0.3">
      <c r="A560" t="s">
        <v>1216</v>
      </c>
      <c r="B560" s="6">
        <v>45362</v>
      </c>
      <c r="C560" s="2">
        <v>45380</v>
      </c>
      <c r="D560" s="4">
        <f t="shared" si="53"/>
        <v>18</v>
      </c>
      <c r="E560" s="4" t="str">
        <f>TEXT(Data!B560,"MMM-YYYY")</f>
        <v>May-2024</v>
      </c>
      <c r="F560" t="s">
        <v>19</v>
      </c>
      <c r="G560" t="s">
        <v>20</v>
      </c>
      <c r="H560" t="s">
        <v>110</v>
      </c>
      <c r="I560" t="s">
        <v>64</v>
      </c>
      <c r="J560" s="4">
        <v>710.98</v>
      </c>
      <c r="K560" s="7" t="str">
        <f t="shared" si="50"/>
        <v>High</v>
      </c>
      <c r="L560" s="4">
        <v>1481.45</v>
      </c>
      <c r="M560" s="4">
        <v>0.21099999999999999</v>
      </c>
      <c r="N560" s="4">
        <v>9</v>
      </c>
      <c r="O560" s="4">
        <f t="shared" si="48"/>
        <v>7902.0638099999996</v>
      </c>
      <c r="P560">
        <f t="shared" si="49"/>
        <v>6398.82</v>
      </c>
      <c r="Q560" s="4">
        <f t="shared" si="51"/>
        <v>1503.2438099999999</v>
      </c>
      <c r="R560" s="16">
        <f t="shared" si="52"/>
        <v>0.19023432942893434</v>
      </c>
    </row>
    <row r="561" spans="1:18" x14ac:dyDescent="0.3">
      <c r="A561" t="s">
        <v>1218</v>
      </c>
      <c r="B561" s="6">
        <v>45430</v>
      </c>
      <c r="C561" s="2">
        <v>45434</v>
      </c>
      <c r="D561" s="4">
        <f t="shared" si="53"/>
        <v>4</v>
      </c>
      <c r="E561" s="4" t="str">
        <f>TEXT(Data!B561,"MMM-YYYY")</f>
        <v>Jan-2024</v>
      </c>
      <c r="F561" t="s">
        <v>19</v>
      </c>
      <c r="G561" t="s">
        <v>98</v>
      </c>
      <c r="H561" t="s">
        <v>92</v>
      </c>
      <c r="I561" t="s">
        <v>81</v>
      </c>
      <c r="J561" s="4">
        <v>857.42</v>
      </c>
      <c r="K561" s="7" t="str">
        <f t="shared" si="50"/>
        <v>High</v>
      </c>
      <c r="L561" s="4">
        <v>1658.92</v>
      </c>
      <c r="M561" s="4">
        <v>0.122</v>
      </c>
      <c r="N561" s="4">
        <v>9</v>
      </c>
      <c r="O561" s="4">
        <f t="shared" si="48"/>
        <v>8897.572979999999</v>
      </c>
      <c r="P561">
        <f t="shared" si="49"/>
        <v>7716.78</v>
      </c>
      <c r="Q561" s="4">
        <f t="shared" si="51"/>
        <v>1180.7929799999993</v>
      </c>
      <c r="R561" s="16">
        <f t="shared" si="52"/>
        <v>0.13270955828675871</v>
      </c>
    </row>
    <row r="562" spans="1:18" x14ac:dyDescent="0.3">
      <c r="A562" t="s">
        <v>1220</v>
      </c>
      <c r="B562" s="6">
        <v>45299</v>
      </c>
      <c r="C562" s="2">
        <v>45303</v>
      </c>
      <c r="D562" s="4">
        <f t="shared" si="53"/>
        <v>4</v>
      </c>
      <c r="E562" s="4" t="str">
        <f>TEXT(Data!B562,"MMM-YYYY")</f>
        <v>Oct-2024</v>
      </c>
      <c r="F562" t="s">
        <v>19</v>
      </c>
      <c r="G562" t="s">
        <v>98</v>
      </c>
      <c r="H562" t="s">
        <v>63</v>
      </c>
      <c r="I562" t="s">
        <v>30</v>
      </c>
      <c r="J562" s="4">
        <v>802.32</v>
      </c>
      <c r="K562" s="7" t="str">
        <f t="shared" si="50"/>
        <v>High</v>
      </c>
      <c r="L562" s="4">
        <v>602.34</v>
      </c>
      <c r="M562" s="4">
        <v>0.12</v>
      </c>
      <c r="N562" s="4">
        <v>25</v>
      </c>
      <c r="O562" s="4">
        <f t="shared" si="48"/>
        <v>2719.64</v>
      </c>
      <c r="P562">
        <f t="shared" si="49"/>
        <v>20058</v>
      </c>
      <c r="Q562" s="4">
        <f t="shared" si="51"/>
        <v>-17338.36</v>
      </c>
      <c r="R562" s="16">
        <f t="shared" si="52"/>
        <v>-6.3752408406995045</v>
      </c>
    </row>
    <row r="563" spans="1:18" x14ac:dyDescent="0.3">
      <c r="A563" t="s">
        <v>1222</v>
      </c>
      <c r="B563" s="6">
        <v>45590</v>
      </c>
      <c r="C563" s="2">
        <v>45601</v>
      </c>
      <c r="D563" s="4">
        <f t="shared" si="53"/>
        <v>11</v>
      </c>
      <c r="E563" s="4" t="str">
        <f>TEXT(Data!B563,"MMM-YYYY")</f>
        <v>Nov-2024</v>
      </c>
      <c r="F563" t="s">
        <v>19</v>
      </c>
      <c r="G563" t="s">
        <v>55</v>
      </c>
      <c r="H563" t="s">
        <v>126</v>
      </c>
      <c r="I563" t="s">
        <v>22</v>
      </c>
      <c r="J563" s="4">
        <v>446.66</v>
      </c>
      <c r="K563" s="7" t="str">
        <f t="shared" si="50"/>
        <v>High</v>
      </c>
      <c r="L563" s="4">
        <v>527.64</v>
      </c>
      <c r="M563" s="4">
        <v>0.14499999999999999</v>
      </c>
      <c r="N563" s="4">
        <v>15</v>
      </c>
      <c r="O563" s="4">
        <f t="shared" si="48"/>
        <v>22209.693749999999</v>
      </c>
      <c r="P563">
        <f t="shared" si="49"/>
        <v>6699.9000000000005</v>
      </c>
      <c r="Q563" s="4">
        <f t="shared" si="51"/>
        <v>15509.793749999997</v>
      </c>
      <c r="R563" s="16">
        <f t="shared" si="52"/>
        <v>0.6983344266059498</v>
      </c>
    </row>
    <row r="564" spans="1:18" x14ac:dyDescent="0.3">
      <c r="A564" t="s">
        <v>1224</v>
      </c>
      <c r="B564" s="6">
        <v>45626</v>
      </c>
      <c r="C564" s="2">
        <v>45645</v>
      </c>
      <c r="D564" s="4">
        <f t="shared" si="53"/>
        <v>19</v>
      </c>
      <c r="E564" s="4" t="str">
        <f>TEXT(Data!B564,"MMM-YYYY")</f>
        <v>Apr-2023</v>
      </c>
      <c r="F564" t="s">
        <v>19</v>
      </c>
      <c r="G564" t="s">
        <v>28</v>
      </c>
      <c r="H564" t="s">
        <v>49</v>
      </c>
      <c r="I564" t="s">
        <v>42</v>
      </c>
      <c r="J564" s="4">
        <v>1195.98</v>
      </c>
      <c r="K564" s="7" t="str">
        <f t="shared" si="50"/>
        <v>High</v>
      </c>
      <c r="L564" s="4">
        <v>1841.9</v>
      </c>
      <c r="M564" s="4">
        <v>5.5E-2</v>
      </c>
      <c r="N564" s="4">
        <v>19</v>
      </c>
      <c r="O564" s="4">
        <f t="shared" si="48"/>
        <v>54978.38955</v>
      </c>
      <c r="P564">
        <f t="shared" si="49"/>
        <v>22723.62</v>
      </c>
      <c r="Q564" s="4">
        <f t="shared" si="51"/>
        <v>32254.769550000001</v>
      </c>
      <c r="R564" s="16">
        <f t="shared" si="52"/>
        <v>0.58668087250293055</v>
      </c>
    </row>
    <row r="565" spans="1:18" x14ac:dyDescent="0.3">
      <c r="A565" t="s">
        <v>1226</v>
      </c>
      <c r="B565" s="6">
        <v>45029</v>
      </c>
      <c r="C565" s="2">
        <v>45048</v>
      </c>
      <c r="D565" s="4">
        <f t="shared" si="53"/>
        <v>19</v>
      </c>
      <c r="E565" s="4" t="str">
        <f>TEXT(Data!B565,"MMM-YYYY")</f>
        <v>Feb-2025</v>
      </c>
      <c r="F565" t="s">
        <v>48</v>
      </c>
      <c r="G565" t="s">
        <v>55</v>
      </c>
      <c r="H565" t="s">
        <v>63</v>
      </c>
      <c r="I565" t="s">
        <v>64</v>
      </c>
      <c r="J565" s="4">
        <v>671.05</v>
      </c>
      <c r="K565" s="7" t="str">
        <f t="shared" si="50"/>
        <v>High</v>
      </c>
      <c r="L565" s="4">
        <v>1645.48</v>
      </c>
      <c r="M565" s="4">
        <v>0.13700000000000001</v>
      </c>
      <c r="N565" s="4">
        <v>6</v>
      </c>
      <c r="O565" s="4">
        <f t="shared" si="48"/>
        <v>11393.722979999999</v>
      </c>
      <c r="P565">
        <f t="shared" si="49"/>
        <v>4026.2999999999997</v>
      </c>
      <c r="Q565" s="4">
        <f t="shared" si="51"/>
        <v>7367.4229799999994</v>
      </c>
      <c r="R565" s="16">
        <f t="shared" si="52"/>
        <v>0.64662121353419111</v>
      </c>
    </row>
    <row r="566" spans="1:18" x14ac:dyDescent="0.3">
      <c r="A566" t="s">
        <v>1228</v>
      </c>
      <c r="B566" s="6">
        <v>45692</v>
      </c>
      <c r="C566" s="2">
        <v>45696</v>
      </c>
      <c r="D566" s="4">
        <f t="shared" si="53"/>
        <v>4</v>
      </c>
      <c r="E566" s="4" t="str">
        <f>TEXT(Data!B566,"MMM-YYYY")</f>
        <v>Jan-2024</v>
      </c>
      <c r="F566" t="s">
        <v>105</v>
      </c>
      <c r="G566" t="s">
        <v>40</v>
      </c>
      <c r="H566" t="s">
        <v>49</v>
      </c>
      <c r="I566" t="s">
        <v>35</v>
      </c>
      <c r="J566" s="4">
        <v>586.21</v>
      </c>
      <c r="K566" s="7" t="str">
        <f t="shared" si="50"/>
        <v>High</v>
      </c>
      <c r="L566" s="4">
        <v>727.22</v>
      </c>
      <c r="M566" s="4">
        <v>6.8000000000000005E-2</v>
      </c>
      <c r="N566" s="4">
        <v>15</v>
      </c>
      <c r="O566" s="4">
        <f t="shared" si="48"/>
        <v>8408.8302000000003</v>
      </c>
      <c r="P566">
        <f t="shared" si="49"/>
        <v>8793.1500000000015</v>
      </c>
      <c r="Q566" s="4">
        <f t="shared" si="51"/>
        <v>-384.31980000000112</v>
      </c>
      <c r="R566" s="16">
        <f t="shared" si="52"/>
        <v>-4.5704312117041096E-2</v>
      </c>
    </row>
    <row r="567" spans="1:18" x14ac:dyDescent="0.3">
      <c r="A567" t="s">
        <v>1230</v>
      </c>
      <c r="B567" s="6">
        <v>45315</v>
      </c>
      <c r="C567" s="2">
        <v>45326</v>
      </c>
      <c r="D567" s="4">
        <f t="shared" si="53"/>
        <v>11</v>
      </c>
      <c r="E567" s="4" t="str">
        <f>TEXT(Data!B567,"MMM-YYYY")</f>
        <v>Feb-2024</v>
      </c>
      <c r="F567" t="s">
        <v>48</v>
      </c>
      <c r="G567" t="s">
        <v>20</v>
      </c>
      <c r="H567" t="s">
        <v>56</v>
      </c>
      <c r="I567" t="s">
        <v>57</v>
      </c>
      <c r="J567" s="4">
        <v>525.34</v>
      </c>
      <c r="K567" s="7" t="str">
        <f t="shared" si="50"/>
        <v>High</v>
      </c>
      <c r="L567" s="4">
        <v>1233.79</v>
      </c>
      <c r="M567" s="4">
        <v>0.14299999999999999</v>
      </c>
      <c r="N567" s="4">
        <v>4</v>
      </c>
      <c r="O567" s="4">
        <f t="shared" si="48"/>
        <v>3248.9555599999999</v>
      </c>
      <c r="P567">
        <f t="shared" si="49"/>
        <v>2101.36</v>
      </c>
      <c r="Q567" s="4">
        <f t="shared" si="51"/>
        <v>1147.5955599999998</v>
      </c>
      <c r="R567" s="16">
        <f t="shared" si="52"/>
        <v>0.35321983905498533</v>
      </c>
    </row>
    <row r="568" spans="1:18" x14ac:dyDescent="0.3">
      <c r="A568" t="s">
        <v>1232</v>
      </c>
      <c r="B568" s="6">
        <v>45330</v>
      </c>
      <c r="C568" s="2">
        <v>45331</v>
      </c>
      <c r="D568" s="4">
        <f t="shared" si="53"/>
        <v>1</v>
      </c>
      <c r="E568" s="4" t="str">
        <f>TEXT(Data!B568,"MMM-YYYY")</f>
        <v>Jun-2025</v>
      </c>
      <c r="F568" t="s">
        <v>19</v>
      </c>
      <c r="G568" t="s">
        <v>98</v>
      </c>
      <c r="H568" t="s">
        <v>84</v>
      </c>
      <c r="I568" t="s">
        <v>22</v>
      </c>
      <c r="J568" s="4">
        <v>1233.52</v>
      </c>
      <c r="K568" s="7" t="str">
        <f t="shared" si="50"/>
        <v>High</v>
      </c>
      <c r="L568" s="4">
        <v>1543.76</v>
      </c>
      <c r="M568" s="4">
        <v>0.126</v>
      </c>
      <c r="N568" s="4">
        <v>13</v>
      </c>
      <c r="O568" s="4">
        <f t="shared" si="48"/>
        <v>26490.27576</v>
      </c>
      <c r="P568">
        <f t="shared" si="49"/>
        <v>16035.76</v>
      </c>
      <c r="Q568" s="4">
        <f t="shared" si="51"/>
        <v>10454.51576</v>
      </c>
      <c r="R568" s="16">
        <f t="shared" si="52"/>
        <v>0.39465484824382968</v>
      </c>
    </row>
    <row r="569" spans="1:18" x14ac:dyDescent="0.3">
      <c r="A569" t="s">
        <v>1234</v>
      </c>
      <c r="B569" s="6">
        <v>45834</v>
      </c>
      <c r="C569" s="2">
        <v>45849</v>
      </c>
      <c r="D569" s="4">
        <f t="shared" si="53"/>
        <v>15</v>
      </c>
      <c r="E569" s="4" t="str">
        <f>TEXT(Data!B569,"MMM-YYYY")</f>
        <v>Nov-2024</v>
      </c>
      <c r="F569" t="s">
        <v>62</v>
      </c>
      <c r="G569" t="s">
        <v>28</v>
      </c>
      <c r="H569" t="s">
        <v>75</v>
      </c>
      <c r="I569" t="s">
        <v>57</v>
      </c>
      <c r="J569" s="4">
        <v>1170.1500000000001</v>
      </c>
      <c r="K569" s="7" t="str">
        <f t="shared" si="50"/>
        <v>High</v>
      </c>
      <c r="L569" s="4">
        <v>2115.19</v>
      </c>
      <c r="M569" s="4">
        <v>9.1999999999999998E-2</v>
      </c>
      <c r="N569" s="4">
        <v>23</v>
      </c>
      <c r="O569" s="4">
        <f t="shared" si="48"/>
        <v>29597.640160000003</v>
      </c>
      <c r="P569">
        <f t="shared" si="49"/>
        <v>26913.45</v>
      </c>
      <c r="Q569" s="4">
        <f t="shared" si="51"/>
        <v>2684.1901600000019</v>
      </c>
      <c r="R569" s="16">
        <f t="shared" si="52"/>
        <v>9.0689330145569333E-2</v>
      </c>
    </row>
    <row r="570" spans="1:18" x14ac:dyDescent="0.3">
      <c r="A570" t="s">
        <v>1236</v>
      </c>
      <c r="B570" s="6">
        <v>45600</v>
      </c>
      <c r="C570" s="2">
        <v>45603</v>
      </c>
      <c r="D570" s="4">
        <f t="shared" si="53"/>
        <v>3</v>
      </c>
      <c r="E570" s="4" t="str">
        <f>TEXT(Data!B570,"MMM-YYYY")</f>
        <v>Feb-2024</v>
      </c>
      <c r="F570" t="s">
        <v>19</v>
      </c>
      <c r="G570" t="s">
        <v>28</v>
      </c>
      <c r="H570" t="s">
        <v>68</v>
      </c>
      <c r="I570" t="s">
        <v>64</v>
      </c>
      <c r="J570" s="4">
        <v>740.68</v>
      </c>
      <c r="K570" s="7" t="str">
        <f t="shared" si="50"/>
        <v>High</v>
      </c>
      <c r="L570" s="4">
        <v>1837.19</v>
      </c>
      <c r="M570" s="4">
        <v>0.19700000000000001</v>
      </c>
      <c r="N570" s="4">
        <v>17</v>
      </c>
      <c r="O570" s="4">
        <f t="shared" si="48"/>
        <v>9548.8744999999999</v>
      </c>
      <c r="P570">
        <f t="shared" si="49"/>
        <v>12591.56</v>
      </c>
      <c r="Q570" s="4">
        <f t="shared" si="51"/>
        <v>-3042.6854999999996</v>
      </c>
      <c r="R570" s="16">
        <f t="shared" si="52"/>
        <v>-0.31864336472324561</v>
      </c>
    </row>
    <row r="571" spans="1:18" x14ac:dyDescent="0.3">
      <c r="A571" t="s">
        <v>1238</v>
      </c>
      <c r="B571" s="6">
        <v>45342</v>
      </c>
      <c r="C571" s="2">
        <v>45342</v>
      </c>
      <c r="D571" s="4">
        <f t="shared" si="53"/>
        <v>0</v>
      </c>
      <c r="E571" s="4" t="str">
        <f>TEXT(Data!B571,"MMM-YYYY")</f>
        <v>Apr-2025</v>
      </c>
      <c r="F571" t="s">
        <v>105</v>
      </c>
      <c r="G571" t="s">
        <v>28</v>
      </c>
      <c r="H571" t="s">
        <v>21</v>
      </c>
      <c r="I571" t="s">
        <v>35</v>
      </c>
      <c r="J571" s="4">
        <v>1407.05</v>
      </c>
      <c r="K571" s="7" t="str">
        <f t="shared" si="50"/>
        <v>High</v>
      </c>
      <c r="L571" s="4">
        <v>2858.93</v>
      </c>
      <c r="M571" s="4">
        <v>0</v>
      </c>
      <c r="N571" s="4">
        <v>12</v>
      </c>
      <c r="O571" s="4">
        <f t="shared" si="48"/>
        <v>21446.400000000001</v>
      </c>
      <c r="P571">
        <f t="shared" si="49"/>
        <v>16884.599999999999</v>
      </c>
      <c r="Q571" s="4">
        <f t="shared" si="51"/>
        <v>4561.8000000000029</v>
      </c>
      <c r="R571" s="16">
        <f t="shared" si="52"/>
        <v>0.2127070277529097</v>
      </c>
    </row>
    <row r="572" spans="1:18" x14ac:dyDescent="0.3">
      <c r="A572" t="s">
        <v>1240</v>
      </c>
      <c r="B572" s="6">
        <v>45760</v>
      </c>
      <c r="C572" s="2">
        <v>45761</v>
      </c>
      <c r="D572" s="4">
        <f t="shared" si="53"/>
        <v>1</v>
      </c>
      <c r="E572" s="4" t="str">
        <f>TEXT(Data!B572,"MMM-YYYY")</f>
        <v>Jun-2023</v>
      </c>
      <c r="F572" t="s">
        <v>105</v>
      </c>
      <c r="G572" t="s">
        <v>28</v>
      </c>
      <c r="H572" t="s">
        <v>41</v>
      </c>
      <c r="I572" t="s">
        <v>22</v>
      </c>
      <c r="J572" s="4">
        <v>138.9</v>
      </c>
      <c r="K572" s="7" t="str">
        <f t="shared" si="50"/>
        <v>High</v>
      </c>
      <c r="L572" s="4">
        <v>289.92</v>
      </c>
      <c r="M572" s="4">
        <v>2.9000000000000001E-2</v>
      </c>
      <c r="N572" s="4">
        <v>12</v>
      </c>
      <c r="O572" s="4">
        <f t="shared" si="48"/>
        <v>19793.834999999999</v>
      </c>
      <c r="P572">
        <f t="shared" si="49"/>
        <v>1666.8000000000002</v>
      </c>
      <c r="Q572" s="4">
        <f t="shared" si="51"/>
        <v>18127.035</v>
      </c>
      <c r="R572" s="16">
        <f t="shared" si="52"/>
        <v>0.91579196249741401</v>
      </c>
    </row>
    <row r="573" spans="1:18" x14ac:dyDescent="0.3">
      <c r="A573" t="s">
        <v>1242</v>
      </c>
      <c r="B573" s="6">
        <v>45078</v>
      </c>
      <c r="C573" s="2">
        <v>45078</v>
      </c>
      <c r="D573" s="4">
        <f t="shared" si="53"/>
        <v>0</v>
      </c>
      <c r="E573" s="4" t="str">
        <f>TEXT(Data!B573,"MMM-YYYY")</f>
        <v>Mar-2025</v>
      </c>
      <c r="F573" t="s">
        <v>19</v>
      </c>
      <c r="G573" t="s">
        <v>20</v>
      </c>
      <c r="H573" t="s">
        <v>63</v>
      </c>
      <c r="I573" t="s">
        <v>81</v>
      </c>
      <c r="J573" s="4">
        <v>669.37</v>
      </c>
      <c r="K573" s="7" t="str">
        <f t="shared" si="50"/>
        <v>High</v>
      </c>
      <c r="L573" s="4">
        <v>997.2</v>
      </c>
      <c r="M573" s="4">
        <v>8.2000000000000003E-2</v>
      </c>
      <c r="N573" s="4">
        <v>5</v>
      </c>
      <c r="O573" s="4">
        <f t="shared" si="48"/>
        <v>3326.373</v>
      </c>
      <c r="P573">
        <f t="shared" si="49"/>
        <v>3346.85</v>
      </c>
      <c r="Q573" s="4">
        <f t="shared" si="51"/>
        <v>-20.476999999999862</v>
      </c>
      <c r="R573" s="16">
        <f t="shared" si="52"/>
        <v>-6.1559542480653434E-3</v>
      </c>
    </row>
    <row r="574" spans="1:18" x14ac:dyDescent="0.3">
      <c r="A574" t="s">
        <v>1244</v>
      </c>
      <c r="B574" s="6">
        <v>45740</v>
      </c>
      <c r="C574" s="2">
        <v>45751</v>
      </c>
      <c r="D574" s="4">
        <f t="shared" si="53"/>
        <v>11</v>
      </c>
      <c r="E574" s="4" t="str">
        <f>TEXT(Data!B574,"MMM-YYYY")</f>
        <v>Jan-2024</v>
      </c>
      <c r="F574" t="s">
        <v>27</v>
      </c>
      <c r="G574" t="s">
        <v>40</v>
      </c>
      <c r="H574" t="s">
        <v>29</v>
      </c>
      <c r="I574" t="s">
        <v>42</v>
      </c>
      <c r="J574" s="4">
        <v>23.83</v>
      </c>
      <c r="K574" s="7" t="str">
        <f t="shared" si="50"/>
        <v>Low</v>
      </c>
      <c r="L574" s="4">
        <v>47.29</v>
      </c>
      <c r="M574" s="4">
        <v>6.4000000000000001E-2</v>
      </c>
      <c r="N574" s="4">
        <v>19</v>
      </c>
      <c r="O574" s="4">
        <f t="shared" si="48"/>
        <v>24114.036959999998</v>
      </c>
      <c r="P574">
        <f t="shared" si="49"/>
        <v>452.77</v>
      </c>
      <c r="Q574" s="4">
        <f t="shared" si="51"/>
        <v>23661.266959999997</v>
      </c>
      <c r="R574" s="16">
        <f t="shared" si="52"/>
        <v>0.98122379920247083</v>
      </c>
    </row>
    <row r="575" spans="1:18" x14ac:dyDescent="0.3">
      <c r="A575" t="s">
        <v>1246</v>
      </c>
      <c r="B575" s="6">
        <v>45293</v>
      </c>
      <c r="C575" s="2">
        <v>45293</v>
      </c>
      <c r="D575" s="4">
        <f t="shared" si="53"/>
        <v>0</v>
      </c>
      <c r="E575" s="4" t="str">
        <f>TEXT(Data!B575,"MMM-YYYY")</f>
        <v>Dec-2023</v>
      </c>
      <c r="F575" t="s">
        <v>27</v>
      </c>
      <c r="G575" t="s">
        <v>98</v>
      </c>
      <c r="H575" t="s">
        <v>75</v>
      </c>
      <c r="I575" t="s">
        <v>57</v>
      </c>
      <c r="J575" s="4">
        <v>444.41</v>
      </c>
      <c r="K575" s="7" t="str">
        <f t="shared" si="50"/>
        <v>High</v>
      </c>
      <c r="L575" s="4">
        <v>754.24</v>
      </c>
      <c r="M575" s="4">
        <v>0.20699999999999999</v>
      </c>
      <c r="N575" s="4">
        <v>32</v>
      </c>
      <c r="O575" s="4">
        <f t="shared" si="48"/>
        <v>6980.1763200000005</v>
      </c>
      <c r="P575">
        <f t="shared" si="49"/>
        <v>14221.12</v>
      </c>
      <c r="Q575" s="4">
        <f t="shared" si="51"/>
        <v>-7240.9436800000003</v>
      </c>
      <c r="R575" s="16">
        <f t="shared" si="52"/>
        <v>-1.0373582769324659</v>
      </c>
    </row>
    <row r="576" spans="1:18" x14ac:dyDescent="0.3">
      <c r="A576" t="s">
        <v>1248</v>
      </c>
      <c r="B576" s="6">
        <v>45279</v>
      </c>
      <c r="C576" s="2">
        <v>45292</v>
      </c>
      <c r="D576" s="4">
        <f t="shared" si="53"/>
        <v>13</v>
      </c>
      <c r="E576" s="4" t="str">
        <f>TEXT(Data!B576,"MMM-YYYY")</f>
        <v>Apr-2023</v>
      </c>
      <c r="F576" t="s">
        <v>105</v>
      </c>
      <c r="G576" t="s">
        <v>20</v>
      </c>
      <c r="H576" t="s">
        <v>95</v>
      </c>
      <c r="I576" t="s">
        <v>64</v>
      </c>
      <c r="J576" s="4">
        <v>856.1</v>
      </c>
      <c r="K576" s="7" t="str">
        <f t="shared" si="50"/>
        <v>High</v>
      </c>
      <c r="L576" s="4">
        <v>901.48</v>
      </c>
      <c r="M576" s="4">
        <v>5.6000000000000001E-2</v>
      </c>
      <c r="N576" s="4">
        <v>17</v>
      </c>
      <c r="O576" s="4">
        <f t="shared" si="48"/>
        <v>28925.557119999998</v>
      </c>
      <c r="P576">
        <f t="shared" si="49"/>
        <v>14553.7</v>
      </c>
      <c r="Q576" s="4">
        <f t="shared" si="51"/>
        <v>14371.857119999997</v>
      </c>
      <c r="R576" s="16">
        <f t="shared" si="52"/>
        <v>0.49685670911634278</v>
      </c>
    </row>
    <row r="577" spans="1:18" x14ac:dyDescent="0.3">
      <c r="A577" t="s">
        <v>1250</v>
      </c>
      <c r="B577" s="6">
        <v>45042</v>
      </c>
      <c r="C577" s="2">
        <v>45042</v>
      </c>
      <c r="D577" s="4">
        <f t="shared" si="53"/>
        <v>0</v>
      </c>
      <c r="E577" s="4" t="str">
        <f>TEXT(Data!B577,"MMM-YYYY")</f>
        <v>Aug-2025</v>
      </c>
      <c r="F577" t="s">
        <v>48</v>
      </c>
      <c r="G577" t="s">
        <v>98</v>
      </c>
      <c r="H577" t="s">
        <v>110</v>
      </c>
      <c r="I577" t="s">
        <v>22</v>
      </c>
      <c r="J577" s="4">
        <v>81.489999999999995</v>
      </c>
      <c r="K577" s="7" t="str">
        <f t="shared" si="50"/>
        <v>Medium</v>
      </c>
      <c r="L577" s="4">
        <v>113.08</v>
      </c>
      <c r="M577" s="4">
        <v>0.121</v>
      </c>
      <c r="N577" s="4">
        <v>5</v>
      </c>
      <c r="O577" s="4">
        <f t="shared" si="48"/>
        <v>5580.6830999999993</v>
      </c>
      <c r="P577">
        <f t="shared" si="49"/>
        <v>407.45</v>
      </c>
      <c r="Q577" s="4">
        <f t="shared" si="51"/>
        <v>5173.2330999999995</v>
      </c>
      <c r="R577" s="16">
        <f t="shared" si="52"/>
        <v>0.92698922467036338</v>
      </c>
    </row>
    <row r="578" spans="1:18" x14ac:dyDescent="0.3">
      <c r="A578" t="s">
        <v>1252</v>
      </c>
      <c r="B578" s="6">
        <v>45872</v>
      </c>
      <c r="C578" s="2">
        <v>45885</v>
      </c>
      <c r="D578" s="4">
        <f t="shared" si="53"/>
        <v>13</v>
      </c>
      <c r="E578" s="4" t="str">
        <f>TEXT(Data!B578,"MMM-YYYY")</f>
        <v>Aug-2023</v>
      </c>
      <c r="F578" t="s">
        <v>105</v>
      </c>
      <c r="G578" t="s">
        <v>55</v>
      </c>
      <c r="H578" t="s">
        <v>68</v>
      </c>
      <c r="I578" t="s">
        <v>35</v>
      </c>
      <c r="J578" s="4">
        <v>698.66</v>
      </c>
      <c r="K578" s="7" t="str">
        <f t="shared" si="50"/>
        <v>High</v>
      </c>
      <c r="L578" s="4">
        <v>868.62</v>
      </c>
      <c r="M578" s="4">
        <v>7.1999999999999995E-2</v>
      </c>
      <c r="N578" s="4">
        <v>15</v>
      </c>
      <c r="O578" s="4">
        <f t="shared" ref="O578:O633" si="54">(L604*N578)*(1-M578)</f>
        <v>7960.848</v>
      </c>
      <c r="P578">
        <f t="shared" ref="P578:P633" si="55">(J578*N578)</f>
        <v>10479.9</v>
      </c>
      <c r="Q578" s="4">
        <f t="shared" si="51"/>
        <v>-2519.0519999999997</v>
      </c>
      <c r="R578" s="16">
        <f t="shared" si="52"/>
        <v>-0.31643010895321699</v>
      </c>
    </row>
    <row r="579" spans="1:18" x14ac:dyDescent="0.3">
      <c r="A579" t="s">
        <v>1254</v>
      </c>
      <c r="B579" s="6">
        <v>45140</v>
      </c>
      <c r="C579" s="2">
        <v>45157</v>
      </c>
      <c r="D579" s="4">
        <f t="shared" si="53"/>
        <v>17</v>
      </c>
      <c r="E579" s="4" t="str">
        <f>TEXT(Data!B579,"MMM-YYYY")</f>
        <v>Jun-2023</v>
      </c>
      <c r="F579" t="s">
        <v>19</v>
      </c>
      <c r="G579" t="s">
        <v>28</v>
      </c>
      <c r="H579" t="s">
        <v>84</v>
      </c>
      <c r="I579" t="s">
        <v>35</v>
      </c>
      <c r="J579" s="4">
        <v>175.38</v>
      </c>
      <c r="K579" s="7" t="str">
        <f t="shared" ref="K579:K633" si="56">IF(L579&lt;50, "Low", IF(L579&lt;200, "Medium", "High"))</f>
        <v>High</v>
      </c>
      <c r="L579" s="4">
        <v>347.9</v>
      </c>
      <c r="M579" s="4">
        <v>7.1999999999999995E-2</v>
      </c>
      <c r="N579" s="4">
        <v>43</v>
      </c>
      <c r="O579" s="4">
        <f t="shared" si="54"/>
        <v>109937.11616000001</v>
      </c>
      <c r="P579">
        <f t="shared" si="55"/>
        <v>7541.34</v>
      </c>
      <c r="Q579" s="4">
        <f t="shared" ref="Q579:Q633" si="57">(O579-P579)</f>
        <v>102395.77616000001</v>
      </c>
      <c r="R579" s="16">
        <f t="shared" ref="R579:R633" si="58">(Q579/O579)</f>
        <v>0.93140314878712571</v>
      </c>
    </row>
    <row r="580" spans="1:18" x14ac:dyDescent="0.3">
      <c r="A580" t="s">
        <v>1256</v>
      </c>
      <c r="B580" s="6">
        <v>45092</v>
      </c>
      <c r="C580" s="2">
        <v>45119</v>
      </c>
      <c r="D580" s="4">
        <f t="shared" si="53"/>
        <v>27</v>
      </c>
      <c r="E580" s="4" t="str">
        <f>TEXT(Data!B580,"MMM-YYYY")</f>
        <v>Nov-2024</v>
      </c>
      <c r="F580" t="s">
        <v>48</v>
      </c>
      <c r="G580" t="s">
        <v>98</v>
      </c>
      <c r="H580" t="s">
        <v>34</v>
      </c>
      <c r="I580" t="s">
        <v>81</v>
      </c>
      <c r="J580" s="4">
        <v>751.28</v>
      </c>
      <c r="K580" s="7" t="str">
        <f t="shared" si="56"/>
        <v>High</v>
      </c>
      <c r="L580" s="4">
        <v>1111.8800000000001</v>
      </c>
      <c r="M580" s="4">
        <v>0.13500000000000001</v>
      </c>
      <c r="N580" s="4">
        <v>7</v>
      </c>
      <c r="O580" s="4">
        <f t="shared" si="54"/>
        <v>5827.9980499999992</v>
      </c>
      <c r="P580">
        <f t="shared" si="55"/>
        <v>5258.96</v>
      </c>
      <c r="Q580" s="4">
        <f t="shared" si="57"/>
        <v>569.0380499999992</v>
      </c>
      <c r="R580" s="16">
        <f t="shared" si="58"/>
        <v>9.7638682291597417E-2</v>
      </c>
    </row>
    <row r="581" spans="1:18" x14ac:dyDescent="0.3">
      <c r="A581" t="s">
        <v>1258</v>
      </c>
      <c r="B581" s="6">
        <v>45607</v>
      </c>
      <c r="C581" s="2">
        <v>45620</v>
      </c>
      <c r="D581" s="4">
        <f t="shared" ref="D581:D633" si="59">DATEDIF(B581,C581, "MD")</f>
        <v>13</v>
      </c>
      <c r="E581" s="4" t="str">
        <f>TEXT(Data!B581,"MMM-YYYY")</f>
        <v>Jul-2025</v>
      </c>
      <c r="F581" t="s">
        <v>19</v>
      </c>
      <c r="G581" t="s">
        <v>20</v>
      </c>
      <c r="H581" t="s">
        <v>63</v>
      </c>
      <c r="I581" t="s">
        <v>35</v>
      </c>
      <c r="J581" s="4">
        <v>164.53</v>
      </c>
      <c r="K581" s="7" t="str">
        <f t="shared" si="56"/>
        <v>High</v>
      </c>
      <c r="L581" s="4">
        <v>327.72</v>
      </c>
      <c r="M581" s="4">
        <v>6.7000000000000004E-2</v>
      </c>
      <c r="N581" s="4">
        <v>14</v>
      </c>
      <c r="O581" s="4">
        <f t="shared" si="54"/>
        <v>8728.9427399999986</v>
      </c>
      <c r="P581">
        <f t="shared" si="55"/>
        <v>2303.42</v>
      </c>
      <c r="Q581" s="4">
        <f t="shared" si="57"/>
        <v>6425.5227399999985</v>
      </c>
      <c r="R581" s="16">
        <f t="shared" si="58"/>
        <v>0.73611695383855846</v>
      </c>
    </row>
    <row r="582" spans="1:18" x14ac:dyDescent="0.3">
      <c r="A582" t="s">
        <v>1260</v>
      </c>
      <c r="B582" s="6">
        <v>45849</v>
      </c>
      <c r="C582" s="2">
        <v>45872</v>
      </c>
      <c r="D582" s="4">
        <f t="shared" si="59"/>
        <v>23</v>
      </c>
      <c r="E582" s="4" t="str">
        <f>TEXT(Data!B582,"MMM-YYYY")</f>
        <v>Jun-2023</v>
      </c>
      <c r="F582" t="s">
        <v>62</v>
      </c>
      <c r="G582" t="s">
        <v>20</v>
      </c>
      <c r="H582" t="s">
        <v>21</v>
      </c>
      <c r="I582" t="s">
        <v>42</v>
      </c>
      <c r="J582" s="4">
        <v>389.93</v>
      </c>
      <c r="K582" s="7" t="str">
        <f t="shared" si="56"/>
        <v>High</v>
      </c>
      <c r="L582" s="4">
        <v>486.13</v>
      </c>
      <c r="M582" s="4">
        <v>0.13200000000000001</v>
      </c>
      <c r="N582" s="4">
        <v>17</v>
      </c>
      <c r="O582" s="4">
        <f t="shared" si="54"/>
        <v>20722.29348</v>
      </c>
      <c r="P582">
        <f t="shared" si="55"/>
        <v>6628.81</v>
      </c>
      <c r="Q582" s="4">
        <f t="shared" si="57"/>
        <v>14093.483479999999</v>
      </c>
      <c r="R582" s="16">
        <f t="shared" si="58"/>
        <v>0.6801121455789747</v>
      </c>
    </row>
    <row r="583" spans="1:18" x14ac:dyDescent="0.3">
      <c r="A583" t="s">
        <v>1262</v>
      </c>
      <c r="B583" s="6">
        <v>45080</v>
      </c>
      <c r="C583" s="2">
        <v>45108</v>
      </c>
      <c r="D583" s="4">
        <f t="shared" si="59"/>
        <v>28</v>
      </c>
      <c r="E583" s="4" t="str">
        <f>TEXT(Data!B583,"MMM-YYYY")</f>
        <v>Jan-2023</v>
      </c>
      <c r="F583" t="s">
        <v>62</v>
      </c>
      <c r="G583" t="s">
        <v>40</v>
      </c>
      <c r="H583" t="s">
        <v>75</v>
      </c>
      <c r="I583" t="s">
        <v>22</v>
      </c>
      <c r="J583" s="4">
        <v>860.4</v>
      </c>
      <c r="K583" s="7" t="str">
        <f t="shared" si="56"/>
        <v>High</v>
      </c>
      <c r="L583" s="4">
        <v>2066.6</v>
      </c>
      <c r="M583" s="4">
        <v>0.01</v>
      </c>
      <c r="N583" s="4">
        <v>3</v>
      </c>
      <c r="O583" s="4">
        <f t="shared" si="54"/>
        <v>10661.9733</v>
      </c>
      <c r="P583">
        <f t="shared" si="55"/>
        <v>2581.1999999999998</v>
      </c>
      <c r="Q583" s="4">
        <f t="shared" si="57"/>
        <v>8080.7732999999998</v>
      </c>
      <c r="R583" s="16">
        <f t="shared" si="58"/>
        <v>0.7579059778737206</v>
      </c>
    </row>
    <row r="584" spans="1:18" x14ac:dyDescent="0.3">
      <c r="A584" t="s">
        <v>1264</v>
      </c>
      <c r="B584" s="6">
        <v>44955</v>
      </c>
      <c r="C584" s="2">
        <v>44963</v>
      </c>
      <c r="D584" s="4">
        <f t="shared" si="59"/>
        <v>8</v>
      </c>
      <c r="E584" s="4" t="str">
        <f>TEXT(Data!B584,"MMM-YYYY")</f>
        <v>Sep-2024</v>
      </c>
      <c r="F584" t="s">
        <v>19</v>
      </c>
      <c r="G584" t="s">
        <v>40</v>
      </c>
      <c r="H584" t="s">
        <v>145</v>
      </c>
      <c r="I584" t="s">
        <v>64</v>
      </c>
      <c r="J584" s="4">
        <v>41.84</v>
      </c>
      <c r="K584" s="7" t="str">
        <f t="shared" si="56"/>
        <v>Medium</v>
      </c>
      <c r="L584" s="4">
        <v>86.2</v>
      </c>
      <c r="M584" s="4">
        <v>0.22600000000000001</v>
      </c>
      <c r="N584" s="4">
        <v>27</v>
      </c>
      <c r="O584" s="4">
        <f t="shared" si="54"/>
        <v>4879.8919799999994</v>
      </c>
      <c r="P584">
        <f t="shared" si="55"/>
        <v>1129.68</v>
      </c>
      <c r="Q584" s="4">
        <f t="shared" si="57"/>
        <v>3750.2119799999991</v>
      </c>
      <c r="R584" s="16">
        <f t="shared" si="58"/>
        <v>0.76850307247989524</v>
      </c>
    </row>
    <row r="585" spans="1:18" x14ac:dyDescent="0.3">
      <c r="A585" t="s">
        <v>1266</v>
      </c>
      <c r="B585" s="6">
        <v>45541</v>
      </c>
      <c r="C585" s="2">
        <v>45539</v>
      </c>
      <c r="D585" s="4">
        <f>DATEDIF(C585,B585, "MD")</f>
        <v>2</v>
      </c>
      <c r="E585" s="4" t="str">
        <f>TEXT(Data!B585,"MMM-YYYY")</f>
        <v>Aug-2024</v>
      </c>
      <c r="F585" t="s">
        <v>19</v>
      </c>
      <c r="G585" t="s">
        <v>98</v>
      </c>
      <c r="H585" t="s">
        <v>75</v>
      </c>
      <c r="I585" t="s">
        <v>57</v>
      </c>
      <c r="J585" s="4">
        <v>1368.17</v>
      </c>
      <c r="K585" s="7" t="str">
        <f t="shared" si="56"/>
        <v>High</v>
      </c>
      <c r="L585" s="4">
        <v>2307.75</v>
      </c>
      <c r="M585" s="4">
        <v>0.16300000000000001</v>
      </c>
      <c r="N585" s="4">
        <v>21</v>
      </c>
      <c r="O585" s="4">
        <f t="shared" si="54"/>
        <v>2183.9422500000001</v>
      </c>
      <c r="P585">
        <f t="shared" si="55"/>
        <v>28731.57</v>
      </c>
      <c r="Q585" s="4">
        <f t="shared" si="57"/>
        <v>-26547.62775</v>
      </c>
      <c r="R585" s="16">
        <f t="shared" si="58"/>
        <v>-12.155828639699607</v>
      </c>
    </row>
    <row r="586" spans="1:18" x14ac:dyDescent="0.3">
      <c r="A586" t="s">
        <v>1268</v>
      </c>
      <c r="B586" s="6">
        <v>45507</v>
      </c>
      <c r="C586" s="2">
        <v>45513</v>
      </c>
      <c r="D586" s="4">
        <f t="shared" si="59"/>
        <v>6</v>
      </c>
      <c r="E586" s="4" t="str">
        <f>TEXT(Data!B586,"MMM-YYYY")</f>
        <v>Apr-2025</v>
      </c>
      <c r="F586" t="s">
        <v>48</v>
      </c>
      <c r="G586" t="s">
        <v>40</v>
      </c>
      <c r="H586" t="s">
        <v>92</v>
      </c>
      <c r="I586" t="s">
        <v>57</v>
      </c>
      <c r="J586" s="4">
        <v>643.21</v>
      </c>
      <c r="K586" s="7" t="str">
        <f t="shared" si="56"/>
        <v>High</v>
      </c>
      <c r="L586" s="4">
        <v>1112.81</v>
      </c>
      <c r="M586" s="4">
        <v>0.14099999999999999</v>
      </c>
      <c r="N586" s="4">
        <v>4</v>
      </c>
      <c r="O586" s="4">
        <f t="shared" si="54"/>
        <v>4918.1873199999991</v>
      </c>
      <c r="P586">
        <f t="shared" si="55"/>
        <v>2572.84</v>
      </c>
      <c r="Q586" s="4">
        <f t="shared" si="57"/>
        <v>2345.3473199999989</v>
      </c>
      <c r="R586" s="16">
        <f t="shared" si="58"/>
        <v>0.47687230424562183</v>
      </c>
    </row>
    <row r="587" spans="1:18" x14ac:dyDescent="0.3">
      <c r="A587" t="s">
        <v>1270</v>
      </c>
      <c r="B587" s="6">
        <v>45764</v>
      </c>
      <c r="C587" s="2">
        <v>45764</v>
      </c>
      <c r="D587" s="4">
        <f t="shared" si="59"/>
        <v>0</v>
      </c>
      <c r="E587" s="4" t="str">
        <f>TEXT(Data!B587,"MMM-YYYY")</f>
        <v>May-2023</v>
      </c>
      <c r="F587" t="s">
        <v>19</v>
      </c>
      <c r="G587" t="s">
        <v>55</v>
      </c>
      <c r="H587" t="s">
        <v>49</v>
      </c>
      <c r="I587" t="s">
        <v>42</v>
      </c>
      <c r="J587" s="4">
        <v>719.41</v>
      </c>
      <c r="K587" s="7" t="str">
        <f t="shared" si="56"/>
        <v>High</v>
      </c>
      <c r="L587" s="4">
        <v>1125.99</v>
      </c>
      <c r="M587" s="4">
        <v>4.1000000000000002E-2</v>
      </c>
      <c r="N587" s="4">
        <v>21</v>
      </c>
      <c r="O587" s="4">
        <f t="shared" si="54"/>
        <v>32132.177279999996</v>
      </c>
      <c r="P587">
        <f t="shared" si="55"/>
        <v>15107.609999999999</v>
      </c>
      <c r="Q587" s="4">
        <f t="shared" si="57"/>
        <v>17024.567279999996</v>
      </c>
      <c r="R587" s="16">
        <f t="shared" si="58"/>
        <v>0.52982924660373332</v>
      </c>
    </row>
    <row r="588" spans="1:18" x14ac:dyDescent="0.3">
      <c r="A588" t="s">
        <v>1272</v>
      </c>
      <c r="B588" s="6">
        <v>45049</v>
      </c>
      <c r="C588" s="2">
        <v>45062</v>
      </c>
      <c r="D588" s="4">
        <f t="shared" si="59"/>
        <v>13</v>
      </c>
      <c r="E588" s="4" t="str">
        <f>TEXT(Data!B588,"MMM-YYYY")</f>
        <v>Mar-2024</v>
      </c>
      <c r="F588" t="s">
        <v>19</v>
      </c>
      <c r="G588" t="s">
        <v>40</v>
      </c>
      <c r="H588" t="s">
        <v>49</v>
      </c>
      <c r="I588" t="s">
        <v>42</v>
      </c>
      <c r="J588" s="4">
        <v>64.5</v>
      </c>
      <c r="K588" s="7" t="str">
        <f t="shared" si="56"/>
        <v>Medium</v>
      </c>
      <c r="L588" s="4">
        <v>123.62</v>
      </c>
      <c r="M588" s="4">
        <v>0</v>
      </c>
      <c r="N588" s="4">
        <v>3</v>
      </c>
      <c r="O588" s="4">
        <f t="shared" si="54"/>
        <v>3085.38</v>
      </c>
      <c r="P588">
        <f t="shared" si="55"/>
        <v>193.5</v>
      </c>
      <c r="Q588" s="4">
        <f t="shared" si="57"/>
        <v>2891.88</v>
      </c>
      <c r="R588" s="16">
        <f t="shared" si="58"/>
        <v>0.93728487252785719</v>
      </c>
    </row>
    <row r="589" spans="1:18" x14ac:dyDescent="0.3">
      <c r="A589" t="s">
        <v>1274</v>
      </c>
      <c r="B589" s="6">
        <v>45364</v>
      </c>
      <c r="C589" s="2">
        <v>45388</v>
      </c>
      <c r="D589" s="4">
        <f t="shared" si="59"/>
        <v>24</v>
      </c>
      <c r="E589" s="4" t="str">
        <f>TEXT(Data!B589,"MMM-YYYY")</f>
        <v>Jun-2024</v>
      </c>
      <c r="F589" t="s">
        <v>48</v>
      </c>
      <c r="G589" t="s">
        <v>55</v>
      </c>
      <c r="H589" t="s">
        <v>49</v>
      </c>
      <c r="I589" t="s">
        <v>22</v>
      </c>
      <c r="J589" s="4">
        <v>1232.78</v>
      </c>
      <c r="K589" s="7" t="str">
        <f t="shared" si="56"/>
        <v>High</v>
      </c>
      <c r="L589" s="4">
        <v>1731.75</v>
      </c>
      <c r="M589" s="4">
        <v>9.2999999999999999E-2</v>
      </c>
      <c r="N589" s="4">
        <v>16</v>
      </c>
      <c r="O589" s="4">
        <f t="shared" si="54"/>
        <v>46878.839200000002</v>
      </c>
      <c r="P589">
        <f t="shared" si="55"/>
        <v>19724.48</v>
      </c>
      <c r="Q589" s="4">
        <f t="shared" si="57"/>
        <v>27154.359200000003</v>
      </c>
      <c r="R589" s="16">
        <f t="shared" si="58"/>
        <v>0.5792455543566446</v>
      </c>
    </row>
    <row r="590" spans="1:18" x14ac:dyDescent="0.3">
      <c r="A590" t="s">
        <v>1276</v>
      </c>
      <c r="B590" s="6">
        <v>45459</v>
      </c>
      <c r="C590" s="2">
        <v>45464</v>
      </c>
      <c r="D590" s="4">
        <f t="shared" si="59"/>
        <v>5</v>
      </c>
      <c r="E590" s="4" t="str">
        <f>TEXT(Data!B590,"MMM-YYYY")</f>
        <v>Feb-2025</v>
      </c>
      <c r="F590" t="s">
        <v>62</v>
      </c>
      <c r="G590" t="s">
        <v>55</v>
      </c>
      <c r="H590" t="s">
        <v>84</v>
      </c>
      <c r="I590" t="s">
        <v>42</v>
      </c>
      <c r="J590" s="4">
        <v>1367.13</v>
      </c>
      <c r="K590" s="7" t="str">
        <f t="shared" si="56"/>
        <v>High</v>
      </c>
      <c r="L590" s="4">
        <v>3062.01</v>
      </c>
      <c r="M590" s="4">
        <v>0.10299999999999999</v>
      </c>
      <c r="N590" s="4">
        <v>25</v>
      </c>
      <c r="O590" s="4">
        <f t="shared" si="54"/>
        <v>62557.004249999998</v>
      </c>
      <c r="P590">
        <f t="shared" si="55"/>
        <v>34178.25</v>
      </c>
      <c r="Q590" s="4">
        <f t="shared" si="57"/>
        <v>28378.754249999998</v>
      </c>
      <c r="R590" s="16">
        <f t="shared" si="58"/>
        <v>0.45364631171576603</v>
      </c>
    </row>
    <row r="591" spans="1:18" x14ac:dyDescent="0.3">
      <c r="A591" t="s">
        <v>1278</v>
      </c>
      <c r="B591" s="6">
        <v>45703</v>
      </c>
      <c r="C591" s="2">
        <v>45715</v>
      </c>
      <c r="D591" s="4">
        <f t="shared" si="59"/>
        <v>12</v>
      </c>
      <c r="E591" s="4" t="str">
        <f>TEXT(Data!B591,"MMM-YYYY")</f>
        <v>Apr-2023</v>
      </c>
      <c r="F591" t="s">
        <v>39</v>
      </c>
      <c r="G591" t="s">
        <v>98</v>
      </c>
      <c r="H591" t="s">
        <v>95</v>
      </c>
      <c r="I591" t="s">
        <v>81</v>
      </c>
      <c r="J591" s="4">
        <v>1027.26</v>
      </c>
      <c r="K591" s="7" t="str">
        <f t="shared" si="56"/>
        <v>High</v>
      </c>
      <c r="L591" s="4">
        <v>2200.41</v>
      </c>
      <c r="M591" s="4">
        <v>8.7999999999999995E-2</v>
      </c>
      <c r="N591" s="4">
        <v>6</v>
      </c>
      <c r="O591" s="4">
        <f t="shared" si="54"/>
        <v>10384.433280000001</v>
      </c>
      <c r="P591">
        <f t="shared" si="55"/>
        <v>6163.5599999999995</v>
      </c>
      <c r="Q591" s="4">
        <f t="shared" si="57"/>
        <v>4220.8732800000016</v>
      </c>
      <c r="R591" s="16">
        <f t="shared" si="58"/>
        <v>0.40646159171047236</v>
      </c>
    </row>
    <row r="592" spans="1:18" x14ac:dyDescent="0.3">
      <c r="A592" t="s">
        <v>1280</v>
      </c>
      <c r="B592" s="6">
        <v>45019</v>
      </c>
      <c r="C592" s="2">
        <v>45032</v>
      </c>
      <c r="D592" s="4">
        <f t="shared" si="59"/>
        <v>13</v>
      </c>
      <c r="E592" s="4" t="str">
        <f>TEXT(Data!B592,"MMM-YYYY")</f>
        <v>Aug-2025</v>
      </c>
      <c r="F592" t="s">
        <v>39</v>
      </c>
      <c r="G592" t="s">
        <v>40</v>
      </c>
      <c r="H592" t="s">
        <v>110</v>
      </c>
      <c r="I592" t="s">
        <v>81</v>
      </c>
      <c r="J592" s="4">
        <v>790.54</v>
      </c>
      <c r="K592" s="7" t="str">
        <f t="shared" si="56"/>
        <v>High</v>
      </c>
      <c r="L592" s="4">
        <v>601.49</v>
      </c>
      <c r="M592" s="4">
        <v>0</v>
      </c>
      <c r="N592" s="4">
        <v>15</v>
      </c>
      <c r="O592" s="4">
        <f t="shared" si="54"/>
        <v>13537.050000000001</v>
      </c>
      <c r="P592">
        <f t="shared" si="55"/>
        <v>11858.099999999999</v>
      </c>
      <c r="Q592" s="4">
        <f t="shared" si="57"/>
        <v>1678.9500000000025</v>
      </c>
      <c r="R592" s="16">
        <f t="shared" si="58"/>
        <v>0.12402628342216379</v>
      </c>
    </row>
    <row r="593" spans="1:18" x14ac:dyDescent="0.3">
      <c r="A593" t="s">
        <v>1282</v>
      </c>
      <c r="B593" s="6">
        <v>45899</v>
      </c>
      <c r="C593" s="2">
        <v>45922</v>
      </c>
      <c r="D593" s="4">
        <f t="shared" si="59"/>
        <v>23</v>
      </c>
      <c r="E593" s="4" t="str">
        <f>TEXT(Data!B593,"MMM-YYYY")</f>
        <v>Feb-2023</v>
      </c>
      <c r="F593" t="s">
        <v>19</v>
      </c>
      <c r="G593" t="s">
        <v>98</v>
      </c>
      <c r="H593" t="s">
        <v>63</v>
      </c>
      <c r="I593" t="s">
        <v>22</v>
      </c>
      <c r="J593" s="4">
        <v>663.9</v>
      </c>
      <c r="K593" s="7" t="str">
        <f t="shared" si="56"/>
        <v>High</v>
      </c>
      <c r="L593" s="4">
        <v>947.77</v>
      </c>
      <c r="M593" s="4">
        <v>0.17399999999999999</v>
      </c>
      <c r="N593" s="4">
        <v>15</v>
      </c>
      <c r="O593" s="4">
        <f t="shared" si="54"/>
        <v>-417.04740000000004</v>
      </c>
      <c r="P593">
        <f t="shared" si="55"/>
        <v>9958.5</v>
      </c>
      <c r="Q593" s="4">
        <f t="shared" si="57"/>
        <v>-10375.547399999999</v>
      </c>
      <c r="R593" s="16">
        <f t="shared" si="58"/>
        <v>24.878580708092169</v>
      </c>
    </row>
    <row r="594" spans="1:18" x14ac:dyDescent="0.3">
      <c r="A594" t="s">
        <v>1284</v>
      </c>
      <c r="B594" s="6">
        <v>44984</v>
      </c>
      <c r="C594" s="2">
        <v>44983</v>
      </c>
      <c r="D594" s="4">
        <f>DATEDIF(C594,B594, "MD")</f>
        <v>1</v>
      </c>
      <c r="E594" s="4" t="str">
        <f>TEXT(Data!B594,"MMM-YYYY")</f>
        <v>Jul-2024</v>
      </c>
      <c r="F594" t="s">
        <v>39</v>
      </c>
      <c r="G594" t="s">
        <v>28</v>
      </c>
      <c r="H594" t="s">
        <v>49</v>
      </c>
      <c r="I594" t="s">
        <v>35</v>
      </c>
      <c r="J594" s="4">
        <v>1015.91</v>
      </c>
      <c r="K594" s="7" t="str">
        <f t="shared" si="56"/>
        <v>High</v>
      </c>
      <c r="L594" s="4">
        <v>2331.48</v>
      </c>
      <c r="M594" s="4">
        <v>0.14599999999999999</v>
      </c>
      <c r="N594" s="4">
        <v>26</v>
      </c>
      <c r="O594" s="4">
        <f t="shared" si="54"/>
        <v>24128.64272</v>
      </c>
      <c r="P594">
        <f t="shared" si="55"/>
        <v>26413.66</v>
      </c>
      <c r="Q594" s="4">
        <f t="shared" si="57"/>
        <v>-2285.01728</v>
      </c>
      <c r="R594" s="16">
        <f t="shared" si="58"/>
        <v>-9.4701442866737429E-2</v>
      </c>
    </row>
    <row r="595" spans="1:18" x14ac:dyDescent="0.3">
      <c r="A595" t="s">
        <v>1286</v>
      </c>
      <c r="B595" s="6">
        <v>45504</v>
      </c>
      <c r="C595" s="2">
        <v>45519</v>
      </c>
      <c r="D595" s="4">
        <f t="shared" si="59"/>
        <v>15</v>
      </c>
      <c r="E595" s="4" t="str">
        <f>TEXT(Data!B595,"MMM-YYYY")</f>
        <v>Jun-2025</v>
      </c>
      <c r="F595" t="s">
        <v>19</v>
      </c>
      <c r="G595" t="s">
        <v>40</v>
      </c>
      <c r="H595" t="s">
        <v>84</v>
      </c>
      <c r="I595" t="s">
        <v>64</v>
      </c>
      <c r="J595" s="4">
        <v>1252.52</v>
      </c>
      <c r="K595" s="7" t="str">
        <f t="shared" si="56"/>
        <v>High</v>
      </c>
      <c r="L595" s="4">
        <v>1417.24</v>
      </c>
      <c r="M595" s="4">
        <v>0.192</v>
      </c>
      <c r="N595" s="4">
        <v>5</v>
      </c>
      <c r="O595" s="4">
        <f t="shared" si="54"/>
        <v>4083.4300000000003</v>
      </c>
      <c r="P595">
        <f t="shared" si="55"/>
        <v>6262.6</v>
      </c>
      <c r="Q595" s="4">
        <f t="shared" si="57"/>
        <v>-2179.17</v>
      </c>
      <c r="R595" s="16">
        <f t="shared" si="58"/>
        <v>-0.53366165209150151</v>
      </c>
    </row>
    <row r="596" spans="1:18" x14ac:dyDescent="0.3">
      <c r="A596" t="s">
        <v>1288</v>
      </c>
      <c r="B596" s="6">
        <v>45823</v>
      </c>
      <c r="C596" s="2">
        <v>45850</v>
      </c>
      <c r="D596" s="4">
        <f t="shared" si="59"/>
        <v>27</v>
      </c>
      <c r="E596" s="4" t="str">
        <f>TEXT(Data!B596,"MMM-YYYY")</f>
        <v>Jun-2024</v>
      </c>
      <c r="F596" t="s">
        <v>48</v>
      </c>
      <c r="G596" t="s">
        <v>98</v>
      </c>
      <c r="H596" t="s">
        <v>21</v>
      </c>
      <c r="I596" t="s">
        <v>81</v>
      </c>
      <c r="J596" s="4">
        <v>318.83</v>
      </c>
      <c r="K596" s="7" t="str">
        <f t="shared" si="56"/>
        <v>High</v>
      </c>
      <c r="L596" s="4">
        <v>699.5</v>
      </c>
      <c r="M596" s="4">
        <v>0.08</v>
      </c>
      <c r="N596" s="4">
        <v>13</v>
      </c>
      <c r="O596" s="4">
        <f t="shared" si="54"/>
        <v>4921.3008</v>
      </c>
      <c r="P596">
        <f t="shared" si="55"/>
        <v>4144.79</v>
      </c>
      <c r="Q596" s="4">
        <f t="shared" si="57"/>
        <v>776.51080000000002</v>
      </c>
      <c r="R596" s="16">
        <f t="shared" si="58"/>
        <v>0.15778568137919957</v>
      </c>
    </row>
    <row r="597" spans="1:18" x14ac:dyDescent="0.3">
      <c r="A597" t="s">
        <v>1290</v>
      </c>
      <c r="B597" s="6">
        <v>45473</v>
      </c>
      <c r="C597" s="2">
        <v>45494</v>
      </c>
      <c r="D597" s="4">
        <f t="shared" si="59"/>
        <v>21</v>
      </c>
      <c r="E597" s="4" t="str">
        <f>TEXT(Data!B597,"MMM-YYYY")</f>
        <v>Feb-2025</v>
      </c>
      <c r="F597" t="s">
        <v>62</v>
      </c>
      <c r="G597" t="s">
        <v>20</v>
      </c>
      <c r="H597" t="s">
        <v>95</v>
      </c>
      <c r="I597" t="s">
        <v>57</v>
      </c>
      <c r="J597" s="4">
        <v>753.43</v>
      </c>
      <c r="K597" s="7" t="str">
        <f t="shared" si="56"/>
        <v>High</v>
      </c>
      <c r="L597" s="4">
        <v>1787.2</v>
      </c>
      <c r="M597" s="4">
        <v>7.2999999999999995E-2</v>
      </c>
      <c r="N597" s="4">
        <v>9</v>
      </c>
      <c r="O597" s="4">
        <f t="shared" si="54"/>
        <v>3448.4956200000001</v>
      </c>
      <c r="P597">
        <f t="shared" si="55"/>
        <v>6780.87</v>
      </c>
      <c r="Q597" s="4">
        <f t="shared" si="57"/>
        <v>-3332.3743799999997</v>
      </c>
      <c r="R597" s="16">
        <f t="shared" si="58"/>
        <v>-0.9663269863744236</v>
      </c>
    </row>
    <row r="598" spans="1:18" x14ac:dyDescent="0.3">
      <c r="A598" t="s">
        <v>1292</v>
      </c>
      <c r="B598" s="6">
        <v>45705</v>
      </c>
      <c r="C598" s="2">
        <v>45703</v>
      </c>
      <c r="D598" s="4">
        <f>DATEDIF(C598,B598, "MD")</f>
        <v>2</v>
      </c>
      <c r="E598" s="4" t="str">
        <f>TEXT(Data!B598,"MMM-YYYY")</f>
        <v>Jan-2023</v>
      </c>
      <c r="F598" t="s">
        <v>62</v>
      </c>
      <c r="G598" t="s">
        <v>20</v>
      </c>
      <c r="H598" t="s">
        <v>145</v>
      </c>
      <c r="I598" t="s">
        <v>22</v>
      </c>
      <c r="J598" s="4">
        <v>1133.47</v>
      </c>
      <c r="K598" s="7" t="str">
        <f t="shared" si="56"/>
        <v>High</v>
      </c>
      <c r="L598" s="4">
        <v>1698.75</v>
      </c>
      <c r="M598" s="4">
        <v>4.2999999999999997E-2</v>
      </c>
      <c r="N598" s="4">
        <v>5</v>
      </c>
      <c r="O598" s="4">
        <f t="shared" si="54"/>
        <v>7459.2886500000004</v>
      </c>
      <c r="P598">
        <f t="shared" si="55"/>
        <v>5667.35</v>
      </c>
      <c r="Q598" s="4">
        <f t="shared" si="57"/>
        <v>1791.9386500000001</v>
      </c>
      <c r="R598" s="16">
        <f t="shared" si="58"/>
        <v>0.24022916045754578</v>
      </c>
    </row>
    <row r="599" spans="1:18" x14ac:dyDescent="0.3">
      <c r="A599" t="s">
        <v>1294</v>
      </c>
      <c r="B599" s="6">
        <v>44933</v>
      </c>
      <c r="C599" s="2">
        <v>44956</v>
      </c>
      <c r="D599" s="4">
        <f t="shared" si="59"/>
        <v>23</v>
      </c>
      <c r="E599" s="4" t="str">
        <f>TEXT(Data!B599,"MMM-YYYY")</f>
        <v>Mar-2025</v>
      </c>
      <c r="F599" t="s">
        <v>48</v>
      </c>
      <c r="G599" t="s">
        <v>28</v>
      </c>
      <c r="H599" t="s">
        <v>75</v>
      </c>
      <c r="I599" t="s">
        <v>30</v>
      </c>
      <c r="J599" s="4">
        <v>299.02</v>
      </c>
      <c r="K599" s="7" t="str">
        <f t="shared" si="56"/>
        <v>High</v>
      </c>
      <c r="L599" s="4">
        <v>724.7</v>
      </c>
      <c r="M599" s="4">
        <v>0.14000000000000001</v>
      </c>
      <c r="N599" s="4">
        <v>5</v>
      </c>
      <c r="O599" s="4">
        <f t="shared" si="54"/>
        <v>3702.9880000000003</v>
      </c>
      <c r="P599">
        <f t="shared" si="55"/>
        <v>1495.1</v>
      </c>
      <c r="Q599" s="4">
        <f t="shared" si="57"/>
        <v>2207.8880000000004</v>
      </c>
      <c r="R599" s="16">
        <f t="shared" si="58"/>
        <v>0.59624497837962209</v>
      </c>
    </row>
    <row r="600" spans="1:18" x14ac:dyDescent="0.3">
      <c r="A600" t="s">
        <v>1296</v>
      </c>
      <c r="B600" s="6">
        <v>45726</v>
      </c>
      <c r="C600" s="2">
        <v>45751</v>
      </c>
      <c r="D600" s="4">
        <f t="shared" si="59"/>
        <v>25</v>
      </c>
      <c r="E600" s="4" t="str">
        <f>TEXT(Data!B600,"MMM-YYYY")</f>
        <v>Aug-2024</v>
      </c>
      <c r="F600" t="s">
        <v>19</v>
      </c>
      <c r="G600" t="s">
        <v>98</v>
      </c>
      <c r="H600" t="s">
        <v>92</v>
      </c>
      <c r="I600" t="s">
        <v>30</v>
      </c>
      <c r="J600" s="4">
        <v>783.72</v>
      </c>
      <c r="K600" s="7" t="str">
        <f t="shared" si="56"/>
        <v>High</v>
      </c>
      <c r="L600" s="4">
        <v>1355.94</v>
      </c>
      <c r="M600" s="4">
        <v>0.187</v>
      </c>
      <c r="N600" s="4">
        <v>4</v>
      </c>
      <c r="O600" s="4">
        <f t="shared" si="54"/>
        <v>7467.4049999999997</v>
      </c>
      <c r="P600">
        <f t="shared" si="55"/>
        <v>3134.88</v>
      </c>
      <c r="Q600" s="4">
        <f t="shared" si="57"/>
        <v>4332.5249999999996</v>
      </c>
      <c r="R600" s="16">
        <f t="shared" si="58"/>
        <v>0.58019151231251009</v>
      </c>
    </row>
    <row r="601" spans="1:18" x14ac:dyDescent="0.3">
      <c r="A601" t="s">
        <v>1298</v>
      </c>
      <c r="B601" s="6">
        <v>45521</v>
      </c>
      <c r="C601" s="2">
        <v>45519</v>
      </c>
      <c r="D601" s="4">
        <f>DATEDIF(C601,B601, "MD")</f>
        <v>2</v>
      </c>
      <c r="E601" s="4" t="str">
        <f>TEXT(Data!B601,"MMM-YYYY")</f>
        <v>Mar-2024</v>
      </c>
      <c r="F601" t="s">
        <v>48</v>
      </c>
      <c r="G601" t="s">
        <v>98</v>
      </c>
      <c r="H601" t="s">
        <v>110</v>
      </c>
      <c r="I601" t="s">
        <v>64</v>
      </c>
      <c r="J601" s="4">
        <v>165.3</v>
      </c>
      <c r="K601" s="7" t="str">
        <f t="shared" si="56"/>
        <v>High</v>
      </c>
      <c r="L601" s="4">
        <v>275.07</v>
      </c>
      <c r="M601" s="4">
        <v>0.13300000000000001</v>
      </c>
      <c r="N601" s="4">
        <v>25</v>
      </c>
      <c r="O601" s="4">
        <f t="shared" si="54"/>
        <v>57148.305</v>
      </c>
      <c r="P601">
        <f t="shared" si="55"/>
        <v>4132.5</v>
      </c>
      <c r="Q601" s="4">
        <f t="shared" si="57"/>
        <v>53015.805</v>
      </c>
      <c r="R601" s="16">
        <f t="shared" si="58"/>
        <v>0.92768814403156841</v>
      </c>
    </row>
    <row r="602" spans="1:18" x14ac:dyDescent="0.3">
      <c r="A602" t="s">
        <v>1300</v>
      </c>
      <c r="B602" s="6">
        <v>45360</v>
      </c>
      <c r="C602" s="2">
        <v>45373</v>
      </c>
      <c r="D602" s="4">
        <f t="shared" si="59"/>
        <v>13</v>
      </c>
      <c r="E602" s="4" t="str">
        <f>TEXT(Data!B602,"MMM-YYYY")</f>
        <v>Aug-2024</v>
      </c>
      <c r="F602" t="s">
        <v>48</v>
      </c>
      <c r="G602" t="s">
        <v>28</v>
      </c>
      <c r="H602" t="s">
        <v>63</v>
      </c>
      <c r="I602" t="s">
        <v>57</v>
      </c>
      <c r="J602" s="4">
        <v>985.45</v>
      </c>
      <c r="K602" s="7" t="str">
        <f t="shared" si="56"/>
        <v>High</v>
      </c>
      <c r="L602" s="4">
        <v>1802.44</v>
      </c>
      <c r="M602" s="4">
        <v>8.9999999999999993E-3</v>
      </c>
      <c r="N602" s="4">
        <v>19</v>
      </c>
      <c r="O602" s="4">
        <f t="shared" si="54"/>
        <v>18416.456609999997</v>
      </c>
      <c r="P602">
        <f t="shared" si="55"/>
        <v>18723.55</v>
      </c>
      <c r="Q602" s="4">
        <f t="shared" si="57"/>
        <v>-307.09339000000182</v>
      </c>
      <c r="R602" s="16">
        <f t="shared" si="58"/>
        <v>-1.6674944399089911E-2</v>
      </c>
    </row>
    <row r="603" spans="1:18" x14ac:dyDescent="0.3">
      <c r="A603" t="s">
        <v>1302</v>
      </c>
      <c r="B603" s="6">
        <v>45523</v>
      </c>
      <c r="C603" s="2">
        <v>45537</v>
      </c>
      <c r="D603" s="4">
        <f t="shared" si="59"/>
        <v>14</v>
      </c>
      <c r="E603" s="4" t="str">
        <f>TEXT(Data!B603,"MMM-YYYY")</f>
        <v>Aug-2025</v>
      </c>
      <c r="F603" t="s">
        <v>48</v>
      </c>
      <c r="G603" t="s">
        <v>55</v>
      </c>
      <c r="H603" t="s">
        <v>21</v>
      </c>
      <c r="I603" t="s">
        <v>30</v>
      </c>
      <c r="J603" s="4">
        <v>1337.01</v>
      </c>
      <c r="K603" s="7" t="str">
        <f t="shared" si="56"/>
        <v>High</v>
      </c>
      <c r="L603" s="4">
        <v>1269.78</v>
      </c>
      <c r="M603" s="4">
        <v>0.16</v>
      </c>
      <c r="N603" s="4">
        <v>7</v>
      </c>
      <c r="O603" s="4">
        <f t="shared" si="54"/>
        <v>3208.8335999999999</v>
      </c>
      <c r="P603">
        <f t="shared" si="55"/>
        <v>9359.07</v>
      </c>
      <c r="Q603" s="4">
        <f t="shared" si="57"/>
        <v>-6150.2363999999998</v>
      </c>
      <c r="R603" s="16">
        <f t="shared" si="58"/>
        <v>-1.916657940754547</v>
      </c>
    </row>
    <row r="604" spans="1:18" x14ac:dyDescent="0.3">
      <c r="A604" t="s">
        <v>1304</v>
      </c>
      <c r="B604" s="6">
        <v>45880</v>
      </c>
      <c r="C604" s="2">
        <v>45897</v>
      </c>
      <c r="D604" s="4">
        <f t="shared" si="59"/>
        <v>17</v>
      </c>
      <c r="E604" s="4" t="str">
        <f>TEXT(Data!B604,"MMM-YYYY")</f>
        <v>May-2025</v>
      </c>
      <c r="F604" t="s">
        <v>27</v>
      </c>
      <c r="G604" t="s">
        <v>28</v>
      </c>
      <c r="H604" t="s">
        <v>84</v>
      </c>
      <c r="I604" t="s">
        <v>35</v>
      </c>
      <c r="J604" s="4">
        <v>416.16</v>
      </c>
      <c r="K604" s="7" t="str">
        <f t="shared" si="56"/>
        <v>High</v>
      </c>
      <c r="L604" s="4">
        <v>571.9</v>
      </c>
      <c r="M604" s="4">
        <v>7.0999999999999994E-2</v>
      </c>
      <c r="N604" s="4">
        <v>2</v>
      </c>
      <c r="O604" s="4">
        <f t="shared" si="54"/>
        <v>2667.2333200000003</v>
      </c>
      <c r="P604">
        <f t="shared" si="55"/>
        <v>832.32</v>
      </c>
      <c r="Q604" s="4">
        <f t="shared" si="57"/>
        <v>1834.9133200000001</v>
      </c>
      <c r="R604" s="16">
        <f t="shared" si="58"/>
        <v>0.6879463098488886</v>
      </c>
    </row>
    <row r="605" spans="1:18" x14ac:dyDescent="0.3">
      <c r="A605" t="s">
        <v>1306</v>
      </c>
      <c r="B605" s="6">
        <v>45793</v>
      </c>
      <c r="C605" s="2">
        <v>45795</v>
      </c>
      <c r="D605" s="4">
        <f t="shared" si="59"/>
        <v>2</v>
      </c>
      <c r="E605" s="4" t="str">
        <f>TEXT(Data!B605,"MMM-YYYY")</f>
        <v>Apr-2023</v>
      </c>
      <c r="F605" t="s">
        <v>105</v>
      </c>
      <c r="G605" t="s">
        <v>20</v>
      </c>
      <c r="H605" t="s">
        <v>29</v>
      </c>
      <c r="I605" t="s">
        <v>30</v>
      </c>
      <c r="J605" s="4">
        <v>1144.3800000000001</v>
      </c>
      <c r="K605" s="7" t="str">
        <f t="shared" si="56"/>
        <v>High</v>
      </c>
      <c r="L605" s="4">
        <v>2755.04</v>
      </c>
      <c r="M605" s="4">
        <v>0.15</v>
      </c>
      <c r="N605" s="4">
        <v>17</v>
      </c>
      <c r="O605" s="4">
        <f t="shared" si="54"/>
        <v>34640.985000000001</v>
      </c>
      <c r="P605">
        <f t="shared" si="55"/>
        <v>19454.460000000003</v>
      </c>
      <c r="Q605" s="4">
        <f t="shared" si="57"/>
        <v>15186.524999999998</v>
      </c>
      <c r="R605" s="16">
        <f t="shared" si="58"/>
        <v>0.4383976090749151</v>
      </c>
    </row>
    <row r="606" spans="1:18" x14ac:dyDescent="0.3">
      <c r="A606" t="s">
        <v>1308</v>
      </c>
      <c r="B606" s="6">
        <v>45026</v>
      </c>
      <c r="C606" s="2">
        <v>45041</v>
      </c>
      <c r="D606" s="4">
        <f t="shared" si="59"/>
        <v>15</v>
      </c>
      <c r="E606" s="4" t="str">
        <f>TEXT(Data!B606,"MMM-YYYY")</f>
        <v>Sep-2023</v>
      </c>
      <c r="F606" t="s">
        <v>62</v>
      </c>
      <c r="G606" t="s">
        <v>20</v>
      </c>
      <c r="H606" t="s">
        <v>145</v>
      </c>
      <c r="I606" t="s">
        <v>30</v>
      </c>
      <c r="J606" s="4">
        <v>405.66</v>
      </c>
      <c r="K606" s="7" t="str">
        <f t="shared" si="56"/>
        <v>High</v>
      </c>
      <c r="L606" s="4">
        <v>962.51</v>
      </c>
      <c r="M606" s="4">
        <v>0.19</v>
      </c>
      <c r="N606" s="4">
        <v>7</v>
      </c>
      <c r="O606" s="4">
        <f t="shared" si="54"/>
        <v>10511.386199999999</v>
      </c>
      <c r="P606">
        <f t="shared" si="55"/>
        <v>2839.6200000000003</v>
      </c>
      <c r="Q606" s="4">
        <f t="shared" si="57"/>
        <v>7671.7661999999982</v>
      </c>
      <c r="R606" s="16">
        <f t="shared" si="58"/>
        <v>0.72985294746377016</v>
      </c>
    </row>
    <row r="607" spans="1:18" x14ac:dyDescent="0.3">
      <c r="A607" t="s">
        <v>1310</v>
      </c>
      <c r="B607" s="6">
        <v>45186</v>
      </c>
      <c r="C607" s="2">
        <v>45201</v>
      </c>
      <c r="D607" s="4">
        <f t="shared" si="59"/>
        <v>15</v>
      </c>
      <c r="E607" s="4" t="str">
        <f>TEXT(Data!B607,"MMM-YYYY")</f>
        <v>Apr-2023</v>
      </c>
      <c r="F607" t="s">
        <v>62</v>
      </c>
      <c r="G607" t="s">
        <v>20</v>
      </c>
      <c r="H607" t="s">
        <v>56</v>
      </c>
      <c r="I607" t="s">
        <v>57</v>
      </c>
      <c r="J607" s="4">
        <v>689.33</v>
      </c>
      <c r="K607" s="7" t="str">
        <f t="shared" si="56"/>
        <v>High</v>
      </c>
      <c r="L607" s="4">
        <v>668.27</v>
      </c>
      <c r="M607" s="4">
        <v>0.186</v>
      </c>
      <c r="N607" s="4">
        <v>13</v>
      </c>
      <c r="O607" s="4">
        <f t="shared" si="54"/>
        <v>486.56036000000006</v>
      </c>
      <c r="P607">
        <f t="shared" si="55"/>
        <v>8961.2900000000009</v>
      </c>
      <c r="Q607" s="4">
        <f t="shared" si="57"/>
        <v>-8474.7296400000014</v>
      </c>
      <c r="R607" s="16">
        <f t="shared" si="58"/>
        <v>-17.417632706453933</v>
      </c>
    </row>
    <row r="608" spans="1:18" x14ac:dyDescent="0.3">
      <c r="A608" t="s">
        <v>1312</v>
      </c>
      <c r="B608" s="6">
        <v>45038</v>
      </c>
      <c r="C608" s="2">
        <v>45060</v>
      </c>
      <c r="D608" s="4">
        <f t="shared" si="59"/>
        <v>22</v>
      </c>
      <c r="E608" s="4" t="str">
        <f>TEXT(Data!B608,"MMM-YYYY")</f>
        <v>Jun-2025</v>
      </c>
      <c r="F608" t="s">
        <v>105</v>
      </c>
      <c r="G608" t="s">
        <v>20</v>
      </c>
      <c r="H608" t="s">
        <v>75</v>
      </c>
      <c r="I608" t="s">
        <v>81</v>
      </c>
      <c r="J608" s="4">
        <v>1209.22</v>
      </c>
      <c r="K608" s="7" t="str">
        <f t="shared" si="56"/>
        <v>High</v>
      </c>
      <c r="L608" s="4">
        <v>1404.33</v>
      </c>
      <c r="M608" s="4">
        <v>0.10299999999999999</v>
      </c>
      <c r="N608" s="4">
        <v>11</v>
      </c>
      <c r="O608" s="4">
        <f t="shared" si="54"/>
        <v>0</v>
      </c>
      <c r="P608">
        <f t="shared" si="55"/>
        <v>13301.42</v>
      </c>
      <c r="Q608" s="4">
        <f t="shared" si="57"/>
        <v>-13301.42</v>
      </c>
      <c r="R608" s="16" t="e">
        <f t="shared" si="58"/>
        <v>#DIV/0!</v>
      </c>
    </row>
    <row r="609" spans="1:18" x14ac:dyDescent="0.3">
      <c r="A609" t="s">
        <v>1314</v>
      </c>
      <c r="B609" s="6">
        <v>45827</v>
      </c>
      <c r="C609" s="2">
        <v>45829</v>
      </c>
      <c r="D609" s="4">
        <f t="shared" si="59"/>
        <v>2</v>
      </c>
      <c r="E609" s="4" t="str">
        <f>TEXT(Data!B609,"MMM-YYYY")</f>
        <v>Nov-2024</v>
      </c>
      <c r="F609" t="s">
        <v>62</v>
      </c>
      <c r="G609" t="s">
        <v>1364</v>
      </c>
      <c r="H609" t="s">
        <v>92</v>
      </c>
      <c r="I609" t="s">
        <v>42</v>
      </c>
      <c r="J609" s="4">
        <v>1466.27</v>
      </c>
      <c r="K609" s="7" t="str">
        <f t="shared" si="56"/>
        <v>High</v>
      </c>
      <c r="L609" s="4">
        <v>3589.89</v>
      </c>
      <c r="M609" s="4">
        <v>9.7000000000000003E-2</v>
      </c>
      <c r="N609" s="4">
        <v>9</v>
      </c>
      <c r="O609" s="4">
        <f t="shared" si="54"/>
        <v>0</v>
      </c>
      <c r="P609">
        <f t="shared" si="55"/>
        <v>13196.43</v>
      </c>
      <c r="Q609" s="4">
        <f t="shared" si="57"/>
        <v>-13196.43</v>
      </c>
      <c r="R609" s="16" t="e">
        <f t="shared" si="58"/>
        <v>#DIV/0!</v>
      </c>
    </row>
    <row r="610" spans="1:18" x14ac:dyDescent="0.3">
      <c r="A610" t="s">
        <v>1316</v>
      </c>
      <c r="B610" s="6">
        <v>45623</v>
      </c>
      <c r="C610" s="2">
        <v>45650</v>
      </c>
      <c r="D610" s="4">
        <f t="shared" si="59"/>
        <v>27</v>
      </c>
      <c r="E610" s="4" t="str">
        <f>TEXT(Data!B610,"MMM-YYYY")</f>
        <v>Jan-2024</v>
      </c>
      <c r="F610" t="s">
        <v>19</v>
      </c>
      <c r="G610" t="s">
        <v>55</v>
      </c>
      <c r="H610" t="s">
        <v>56</v>
      </c>
      <c r="I610" t="s">
        <v>30</v>
      </c>
      <c r="J610" s="4">
        <v>143.33000000000001</v>
      </c>
      <c r="K610" s="7" t="str">
        <f t="shared" si="56"/>
        <v>High</v>
      </c>
      <c r="L610" s="4">
        <v>233.51</v>
      </c>
      <c r="M610" s="4">
        <v>0.16300000000000001</v>
      </c>
      <c r="N610" s="4">
        <v>14</v>
      </c>
      <c r="O610" s="4">
        <f t="shared" si="54"/>
        <v>0</v>
      </c>
      <c r="P610">
        <f t="shared" si="55"/>
        <v>2006.6200000000001</v>
      </c>
      <c r="Q610" s="4">
        <f t="shared" si="57"/>
        <v>-2006.6200000000001</v>
      </c>
      <c r="R610" s="16" t="e">
        <f t="shared" si="58"/>
        <v>#DIV/0!</v>
      </c>
    </row>
    <row r="611" spans="1:18" x14ac:dyDescent="0.3">
      <c r="A611" t="s">
        <v>1318</v>
      </c>
      <c r="B611" s="6">
        <v>45319</v>
      </c>
      <c r="C611" s="2">
        <v>45318</v>
      </c>
      <c r="D611" s="4">
        <f>DATEDIF(C611,B611, "MD")</f>
        <v>1</v>
      </c>
      <c r="E611" s="4" t="str">
        <f>TEXT(Data!B611,"MMM-YYYY")</f>
        <v>Apr-2023</v>
      </c>
      <c r="F611" t="s">
        <v>105</v>
      </c>
      <c r="G611" t="s">
        <v>98</v>
      </c>
      <c r="H611" t="s">
        <v>68</v>
      </c>
      <c r="I611" t="s">
        <v>22</v>
      </c>
      <c r="J611" s="4">
        <v>109.75</v>
      </c>
      <c r="K611" s="7" t="str">
        <f t="shared" si="56"/>
        <v>Medium</v>
      </c>
      <c r="L611" s="4">
        <v>124.25</v>
      </c>
      <c r="M611" s="4">
        <v>0.12</v>
      </c>
      <c r="N611" s="4">
        <v>19</v>
      </c>
      <c r="O611" s="4">
        <f t="shared" si="54"/>
        <v>0</v>
      </c>
      <c r="P611">
        <f t="shared" si="55"/>
        <v>2085.25</v>
      </c>
      <c r="Q611" s="4">
        <f t="shared" si="57"/>
        <v>-2085.25</v>
      </c>
      <c r="R611" s="16" t="e">
        <f t="shared" si="58"/>
        <v>#DIV/0!</v>
      </c>
    </row>
    <row r="612" spans="1:18" x14ac:dyDescent="0.3">
      <c r="A612" t="s">
        <v>1320</v>
      </c>
      <c r="B612" s="6">
        <v>45032</v>
      </c>
      <c r="C612" s="2">
        <v>45039</v>
      </c>
      <c r="D612" s="4">
        <f t="shared" si="59"/>
        <v>7</v>
      </c>
      <c r="E612" s="4" t="str">
        <f>TEXT(Data!B612,"MMM-YYYY")</f>
        <v>Feb-2024</v>
      </c>
      <c r="F612" t="s">
        <v>19</v>
      </c>
      <c r="G612" t="s">
        <v>55</v>
      </c>
      <c r="H612" t="s">
        <v>68</v>
      </c>
      <c r="I612" t="s">
        <v>30</v>
      </c>
      <c r="J612" s="4">
        <v>1099.1500000000001</v>
      </c>
      <c r="K612" s="7" t="str">
        <f t="shared" si="56"/>
        <v>High</v>
      </c>
      <c r="L612" s="4">
        <v>1431.37</v>
      </c>
      <c r="M612" s="4">
        <v>0.104</v>
      </c>
      <c r="N612" s="4">
        <v>8</v>
      </c>
      <c r="O612" s="4">
        <f t="shared" si="54"/>
        <v>0</v>
      </c>
      <c r="P612">
        <f t="shared" si="55"/>
        <v>8793.2000000000007</v>
      </c>
      <c r="Q612" s="4">
        <f t="shared" si="57"/>
        <v>-8793.2000000000007</v>
      </c>
      <c r="R612" s="16" t="e">
        <f t="shared" si="58"/>
        <v>#DIV/0!</v>
      </c>
    </row>
    <row r="613" spans="1:18" x14ac:dyDescent="0.3">
      <c r="A613" t="s">
        <v>1322</v>
      </c>
      <c r="B613" s="6">
        <v>45323</v>
      </c>
      <c r="C613" s="2">
        <v>45323</v>
      </c>
      <c r="D613" s="4">
        <f t="shared" si="59"/>
        <v>0</v>
      </c>
      <c r="E613" s="4" t="str">
        <f>TEXT(Data!B613,"MMM-YYYY")</f>
        <v>Oct-2024</v>
      </c>
      <c r="F613" t="s">
        <v>48</v>
      </c>
      <c r="G613" t="s">
        <v>55</v>
      </c>
      <c r="H613" t="s">
        <v>92</v>
      </c>
      <c r="I613" t="s">
        <v>30</v>
      </c>
      <c r="J613" s="4">
        <v>714.43</v>
      </c>
      <c r="K613" s="7" t="str">
        <f t="shared" si="56"/>
        <v>High</v>
      </c>
      <c r="L613" s="4">
        <v>1595.52</v>
      </c>
      <c r="M613" s="4">
        <v>0.19400000000000001</v>
      </c>
      <c r="N613" s="4">
        <v>14</v>
      </c>
      <c r="O613" s="4">
        <f t="shared" si="54"/>
        <v>0</v>
      </c>
      <c r="P613">
        <f t="shared" si="55"/>
        <v>10002.019999999999</v>
      </c>
      <c r="Q613" s="4">
        <f t="shared" si="57"/>
        <v>-10002.019999999999</v>
      </c>
      <c r="R613" s="16" t="e">
        <f t="shared" si="58"/>
        <v>#DIV/0!</v>
      </c>
    </row>
    <row r="614" spans="1:18" x14ac:dyDescent="0.3">
      <c r="A614" t="s">
        <v>1324</v>
      </c>
      <c r="B614" s="6">
        <v>45584</v>
      </c>
      <c r="C614" s="2">
        <v>45602</v>
      </c>
      <c r="D614" s="4">
        <f t="shared" si="59"/>
        <v>18</v>
      </c>
      <c r="E614" s="4" t="str">
        <f>TEXT(Data!B614,"MMM-YYYY")</f>
        <v>Jun-2024</v>
      </c>
      <c r="F614" t="s">
        <v>27</v>
      </c>
      <c r="G614" t="s">
        <v>1364</v>
      </c>
      <c r="H614" t="s">
        <v>21</v>
      </c>
      <c r="I614" t="s">
        <v>64</v>
      </c>
      <c r="J614" s="4">
        <v>942.02</v>
      </c>
      <c r="K614" s="7" t="str">
        <f t="shared" si="56"/>
        <v>High</v>
      </c>
      <c r="L614" s="4">
        <v>1028.46</v>
      </c>
      <c r="M614" s="4">
        <v>0</v>
      </c>
      <c r="N614" s="4">
        <v>9</v>
      </c>
      <c r="O614" s="4">
        <f t="shared" si="54"/>
        <v>0</v>
      </c>
      <c r="P614">
        <f t="shared" si="55"/>
        <v>8478.18</v>
      </c>
      <c r="Q614" s="4">
        <f t="shared" si="57"/>
        <v>-8478.18</v>
      </c>
      <c r="R614" s="16" t="e">
        <f t="shared" si="58"/>
        <v>#DIV/0!</v>
      </c>
    </row>
    <row r="615" spans="1:18" x14ac:dyDescent="0.3">
      <c r="A615" t="s">
        <v>1326</v>
      </c>
      <c r="B615" s="6">
        <v>45468</v>
      </c>
      <c r="C615" s="2">
        <v>45473</v>
      </c>
      <c r="D615" s="4">
        <f t="shared" si="59"/>
        <v>5</v>
      </c>
      <c r="E615" s="4" t="str">
        <f>TEXT(Data!B615,"MMM-YYYY")</f>
        <v>Jul-2023</v>
      </c>
      <c r="F615" t="s">
        <v>27</v>
      </c>
      <c r="G615" t="s">
        <v>98</v>
      </c>
      <c r="H615" t="s">
        <v>110</v>
      </c>
      <c r="I615" t="s">
        <v>35</v>
      </c>
      <c r="J615" s="4">
        <v>1323.55</v>
      </c>
      <c r="K615" s="7" t="str">
        <f t="shared" si="56"/>
        <v>High</v>
      </c>
      <c r="L615" s="4">
        <v>3230.35</v>
      </c>
      <c r="M615" s="4">
        <v>2.1999999999999999E-2</v>
      </c>
      <c r="N615" s="4">
        <v>26</v>
      </c>
      <c r="O615" s="4">
        <f t="shared" si="54"/>
        <v>0</v>
      </c>
      <c r="P615">
        <f t="shared" si="55"/>
        <v>34412.299999999996</v>
      </c>
      <c r="Q615" s="4">
        <f t="shared" si="57"/>
        <v>-34412.299999999996</v>
      </c>
      <c r="R615" s="16" t="e">
        <f t="shared" si="58"/>
        <v>#DIV/0!</v>
      </c>
    </row>
    <row r="616" spans="1:18" x14ac:dyDescent="0.3">
      <c r="A616" t="s">
        <v>1328</v>
      </c>
      <c r="B616" s="6">
        <v>45137</v>
      </c>
      <c r="C616" s="2">
        <v>45157</v>
      </c>
      <c r="D616" s="4">
        <f t="shared" si="59"/>
        <v>20</v>
      </c>
      <c r="E616" s="4" t="str">
        <f>TEXT(Data!B616,"MMM-YYYY")</f>
        <v>Mar-2025</v>
      </c>
      <c r="F616" t="s">
        <v>105</v>
      </c>
      <c r="G616" t="s">
        <v>40</v>
      </c>
      <c r="H616" t="s">
        <v>41</v>
      </c>
      <c r="I616" t="s">
        <v>35</v>
      </c>
      <c r="J616" s="4">
        <v>1418.51</v>
      </c>
      <c r="K616" s="7" t="str">
        <f t="shared" si="56"/>
        <v>High</v>
      </c>
      <c r="L616" s="4">
        <v>2789.61</v>
      </c>
      <c r="M616" s="4">
        <v>0.17100000000000001</v>
      </c>
      <c r="N616" s="4">
        <v>8</v>
      </c>
      <c r="O616" s="4">
        <f t="shared" si="54"/>
        <v>0</v>
      </c>
      <c r="P616">
        <f t="shared" si="55"/>
        <v>11348.08</v>
      </c>
      <c r="Q616" s="4">
        <f t="shared" si="57"/>
        <v>-11348.08</v>
      </c>
      <c r="R616" s="16" t="e">
        <f t="shared" si="58"/>
        <v>#DIV/0!</v>
      </c>
    </row>
    <row r="617" spans="1:18" x14ac:dyDescent="0.3">
      <c r="A617" t="s">
        <v>1330</v>
      </c>
      <c r="B617" s="6">
        <v>45727</v>
      </c>
      <c r="C617" s="2">
        <v>45743</v>
      </c>
      <c r="D617" s="4">
        <f t="shared" si="59"/>
        <v>16</v>
      </c>
      <c r="E617" s="4" t="str">
        <f>TEXT(Data!B617,"MMM-YYYY")</f>
        <v>Oct-2023</v>
      </c>
      <c r="F617" t="s">
        <v>105</v>
      </c>
      <c r="G617" t="s">
        <v>55</v>
      </c>
      <c r="H617" t="s">
        <v>56</v>
      </c>
      <c r="I617" t="s">
        <v>30</v>
      </c>
      <c r="J617" s="4">
        <v>1317.58</v>
      </c>
      <c r="K617" s="7" t="str">
        <f t="shared" si="56"/>
        <v>High</v>
      </c>
      <c r="L617" s="4">
        <v>1897.74</v>
      </c>
      <c r="M617" s="4">
        <v>8.1000000000000003E-2</v>
      </c>
      <c r="N617" s="4">
        <v>6</v>
      </c>
      <c r="O617" s="4">
        <f t="shared" si="54"/>
        <v>0</v>
      </c>
      <c r="P617">
        <f t="shared" si="55"/>
        <v>7905.48</v>
      </c>
      <c r="Q617" s="4">
        <f t="shared" si="57"/>
        <v>-7905.48</v>
      </c>
      <c r="R617" s="16" t="e">
        <f t="shared" si="58"/>
        <v>#DIV/0!</v>
      </c>
    </row>
    <row r="618" spans="1:18" x14ac:dyDescent="0.3">
      <c r="A618" t="s">
        <v>1332</v>
      </c>
      <c r="B618" s="6">
        <v>45208</v>
      </c>
      <c r="C618" s="2">
        <v>45210</v>
      </c>
      <c r="D618" s="4">
        <f t="shared" si="59"/>
        <v>2</v>
      </c>
      <c r="E618" s="4" t="str">
        <f>TEXT(Data!B618,"MMM-YYYY")</f>
        <v>Dec-2024</v>
      </c>
      <c r="F618" t="s">
        <v>27</v>
      </c>
      <c r="G618" t="s">
        <v>40</v>
      </c>
      <c r="H618" t="s">
        <v>95</v>
      </c>
      <c r="I618" t="s">
        <v>35</v>
      </c>
      <c r="J618" s="4">
        <v>391.16</v>
      </c>
      <c r="K618" s="7" t="str">
        <f t="shared" si="56"/>
        <v>High</v>
      </c>
      <c r="L618" s="4">
        <v>902.47</v>
      </c>
      <c r="M618" s="4">
        <v>4.0000000000000001E-3</v>
      </c>
      <c r="N618" s="4">
        <v>12</v>
      </c>
      <c r="O618" s="4">
        <f t="shared" si="54"/>
        <v>0</v>
      </c>
      <c r="P618">
        <f t="shared" si="55"/>
        <v>4693.92</v>
      </c>
      <c r="Q618" s="4">
        <f t="shared" si="57"/>
        <v>-4693.92</v>
      </c>
      <c r="R618" s="16" t="e">
        <f t="shared" si="58"/>
        <v>#DIV/0!</v>
      </c>
    </row>
    <row r="619" spans="1:18" x14ac:dyDescent="0.3">
      <c r="A619" t="s">
        <v>1334</v>
      </c>
      <c r="B619" s="6">
        <v>45643</v>
      </c>
      <c r="C619" s="2">
        <v>45673</v>
      </c>
      <c r="D619" s="4">
        <f t="shared" si="59"/>
        <v>30</v>
      </c>
      <c r="E619" s="4" t="str">
        <f>TEXT(Data!B619,"MMM-YYYY")</f>
        <v>Jul-2025</v>
      </c>
      <c r="F619" t="s">
        <v>19</v>
      </c>
      <c r="G619" t="s">
        <v>20</v>
      </c>
      <c r="H619" t="s">
        <v>145</v>
      </c>
      <c r="I619" t="s">
        <v>64</v>
      </c>
      <c r="J619" s="4">
        <v>722.87</v>
      </c>
      <c r="K619" s="7" t="str">
        <f t="shared" si="56"/>
        <v>Low</v>
      </c>
      <c r="L619" s="4">
        <v>-33.659999999999997</v>
      </c>
      <c r="M619" s="4">
        <v>0.10199999999999999</v>
      </c>
      <c r="N619" s="4">
        <v>28</v>
      </c>
      <c r="O619" s="4">
        <f t="shared" si="54"/>
        <v>0</v>
      </c>
      <c r="P619">
        <f t="shared" si="55"/>
        <v>20240.36</v>
      </c>
      <c r="Q619" s="4">
        <f t="shared" si="57"/>
        <v>-20240.36</v>
      </c>
      <c r="R619" s="16" t="e">
        <f t="shared" si="58"/>
        <v>#DIV/0!</v>
      </c>
    </row>
    <row r="620" spans="1:18" x14ac:dyDescent="0.3">
      <c r="A620" t="s">
        <v>1336</v>
      </c>
      <c r="B620" s="6">
        <v>45849</v>
      </c>
      <c r="C620" s="2">
        <v>45854</v>
      </c>
      <c r="D620" s="4">
        <f t="shared" si="59"/>
        <v>5</v>
      </c>
      <c r="E620" s="4" t="str">
        <f>TEXT(Data!B620,"MMM-YYYY")</f>
        <v>Oct-2024</v>
      </c>
      <c r="F620" t="s">
        <v>105</v>
      </c>
      <c r="G620" t="s">
        <v>28</v>
      </c>
      <c r="H620" t="s">
        <v>95</v>
      </c>
      <c r="I620" t="s">
        <v>30</v>
      </c>
      <c r="J620" s="4">
        <v>930.03</v>
      </c>
      <c r="K620" s="7" t="str">
        <f t="shared" si="56"/>
        <v>High</v>
      </c>
      <c r="L620" s="4">
        <v>1086.68</v>
      </c>
      <c r="M620" s="4">
        <v>0.109</v>
      </c>
      <c r="N620" s="4">
        <v>26</v>
      </c>
      <c r="O620" s="4">
        <f t="shared" si="54"/>
        <v>0</v>
      </c>
      <c r="P620">
        <f t="shared" si="55"/>
        <v>24180.78</v>
      </c>
      <c r="Q620" s="4">
        <f t="shared" si="57"/>
        <v>-24180.78</v>
      </c>
      <c r="R620" s="16" t="e">
        <f t="shared" si="58"/>
        <v>#DIV/0!</v>
      </c>
    </row>
    <row r="621" spans="1:18" x14ac:dyDescent="0.3">
      <c r="A621" t="s">
        <v>1338</v>
      </c>
      <c r="B621" s="6">
        <v>45578</v>
      </c>
      <c r="C621" s="2">
        <v>45589</v>
      </c>
      <c r="D621" s="4">
        <f t="shared" si="59"/>
        <v>11</v>
      </c>
      <c r="E621" s="4" t="str">
        <f>TEXT(Data!B621,"MMM-YYYY")</f>
        <v>Sep-2023</v>
      </c>
      <c r="F621" t="s">
        <v>27</v>
      </c>
      <c r="G621" t="s">
        <v>55</v>
      </c>
      <c r="H621" t="s">
        <v>84</v>
      </c>
      <c r="I621" t="s">
        <v>22</v>
      </c>
      <c r="J621" s="4">
        <v>816.7</v>
      </c>
      <c r="K621" s="7" t="str">
        <f t="shared" si="56"/>
        <v>High</v>
      </c>
      <c r="L621" s="4">
        <v>1010.75</v>
      </c>
      <c r="M621" s="4">
        <v>4.7E-2</v>
      </c>
      <c r="N621" s="4">
        <v>43</v>
      </c>
      <c r="O621" s="4">
        <f t="shared" si="54"/>
        <v>0</v>
      </c>
      <c r="P621">
        <f t="shared" si="55"/>
        <v>35118.1</v>
      </c>
      <c r="Q621" s="4">
        <f t="shared" si="57"/>
        <v>-35118.1</v>
      </c>
      <c r="R621" s="16" t="e">
        <f t="shared" si="58"/>
        <v>#DIV/0!</v>
      </c>
    </row>
    <row r="622" spans="1:18" x14ac:dyDescent="0.3">
      <c r="A622" t="s">
        <v>1340</v>
      </c>
      <c r="B622" s="6">
        <v>45177</v>
      </c>
      <c r="C622" s="2">
        <v>45183</v>
      </c>
      <c r="D622" s="4">
        <f t="shared" si="59"/>
        <v>6</v>
      </c>
      <c r="E622" s="4" t="str">
        <f>TEXT(Data!B622,"MMM-YYYY")</f>
        <v>Apr-2025</v>
      </c>
      <c r="F622" t="s">
        <v>27</v>
      </c>
      <c r="G622" t="s">
        <v>98</v>
      </c>
      <c r="H622" t="s">
        <v>34</v>
      </c>
      <c r="I622" t="s">
        <v>81</v>
      </c>
      <c r="J622" s="4">
        <v>251.03</v>
      </c>
      <c r="K622" s="7" t="str">
        <f t="shared" si="56"/>
        <v>High</v>
      </c>
      <c r="L622" s="4">
        <v>411.48</v>
      </c>
      <c r="M622" s="4">
        <v>0.16500000000000001</v>
      </c>
      <c r="N622" s="4">
        <v>3</v>
      </c>
      <c r="O622" s="4">
        <f t="shared" si="54"/>
        <v>0</v>
      </c>
      <c r="P622">
        <f t="shared" si="55"/>
        <v>753.09</v>
      </c>
      <c r="Q622" s="4">
        <f t="shared" si="57"/>
        <v>-753.09</v>
      </c>
      <c r="R622" s="16" t="e">
        <f t="shared" si="58"/>
        <v>#DIV/0!</v>
      </c>
    </row>
    <row r="623" spans="1:18" x14ac:dyDescent="0.3">
      <c r="A623" t="s">
        <v>1342</v>
      </c>
      <c r="B623" s="6">
        <v>45764</v>
      </c>
      <c r="C623" s="2">
        <v>45780</v>
      </c>
      <c r="D623" s="4">
        <f t="shared" si="59"/>
        <v>16</v>
      </c>
      <c r="E623" s="4" t="str">
        <f>TEXT(Data!B623,"MMM-YYYY")</f>
        <v>Jul-2024</v>
      </c>
      <c r="F623" t="s">
        <v>48</v>
      </c>
      <c r="G623" t="s">
        <v>40</v>
      </c>
      <c r="H623" t="s">
        <v>29</v>
      </c>
      <c r="I623" t="s">
        <v>35</v>
      </c>
      <c r="J623" s="4">
        <v>168.68</v>
      </c>
      <c r="K623" s="7" t="str">
        <f t="shared" si="56"/>
        <v>High</v>
      </c>
      <c r="L623" s="4">
        <v>413.34</v>
      </c>
      <c r="M623" s="4">
        <v>0.186</v>
      </c>
      <c r="N623" s="4">
        <v>7</v>
      </c>
      <c r="O623" s="4">
        <f t="shared" si="54"/>
        <v>0</v>
      </c>
      <c r="P623">
        <f t="shared" si="55"/>
        <v>1180.76</v>
      </c>
      <c r="Q623" s="4">
        <f t="shared" si="57"/>
        <v>-1180.76</v>
      </c>
      <c r="R623" s="16" t="e">
        <f t="shared" si="58"/>
        <v>#DIV/0!</v>
      </c>
    </row>
    <row r="624" spans="1:18" x14ac:dyDescent="0.3">
      <c r="A624" t="s">
        <v>1344</v>
      </c>
      <c r="B624" s="6">
        <v>45501</v>
      </c>
      <c r="C624" s="2">
        <v>45527</v>
      </c>
      <c r="D624" s="4">
        <f t="shared" si="59"/>
        <v>26</v>
      </c>
      <c r="E624" s="4" t="str">
        <f>TEXT(Data!B624,"MMM-YYYY")</f>
        <v>Jul-2025</v>
      </c>
      <c r="F624" t="s">
        <v>19</v>
      </c>
      <c r="G624" t="s">
        <v>20</v>
      </c>
      <c r="H624" t="s">
        <v>29</v>
      </c>
      <c r="I624" t="s">
        <v>35</v>
      </c>
      <c r="J624" s="4">
        <v>1339.24</v>
      </c>
      <c r="K624" s="7" t="str">
        <f t="shared" si="56"/>
        <v>High</v>
      </c>
      <c r="L624" s="4">
        <v>1558.89</v>
      </c>
      <c r="M624" s="4">
        <v>0.192</v>
      </c>
      <c r="N624" s="4">
        <v>24</v>
      </c>
      <c r="O624" s="4">
        <f t="shared" si="54"/>
        <v>0</v>
      </c>
      <c r="P624">
        <f t="shared" si="55"/>
        <v>32141.760000000002</v>
      </c>
      <c r="Q624" s="4">
        <f t="shared" si="57"/>
        <v>-32141.760000000002</v>
      </c>
      <c r="R624" s="16" t="e">
        <f t="shared" si="58"/>
        <v>#DIV/0!</v>
      </c>
    </row>
    <row r="625" spans="1:18" x14ac:dyDescent="0.3">
      <c r="A625" t="s">
        <v>1346</v>
      </c>
      <c r="B625" s="6">
        <v>45857</v>
      </c>
      <c r="C625" s="2">
        <v>45869</v>
      </c>
      <c r="D625" s="4">
        <f t="shared" si="59"/>
        <v>12</v>
      </c>
      <c r="E625" s="4" t="str">
        <f>TEXT(Data!B625,"MMM-YYYY")</f>
        <v>Aug-2023</v>
      </c>
      <c r="F625" t="s">
        <v>62</v>
      </c>
      <c r="G625" t="s">
        <v>40</v>
      </c>
      <c r="H625" t="s">
        <v>68</v>
      </c>
      <c r="I625" t="s">
        <v>81</v>
      </c>
      <c r="J625" s="4">
        <v>619.64</v>
      </c>
      <c r="K625" s="7" t="str">
        <f t="shared" si="56"/>
        <v>High</v>
      </c>
      <c r="L625" s="4">
        <v>861.16</v>
      </c>
      <c r="M625" s="4">
        <v>0.113</v>
      </c>
      <c r="N625" s="4">
        <v>14</v>
      </c>
      <c r="O625" s="4">
        <f t="shared" si="54"/>
        <v>0</v>
      </c>
      <c r="P625">
        <f t="shared" si="55"/>
        <v>8674.9599999999991</v>
      </c>
      <c r="Q625" s="4">
        <f t="shared" si="57"/>
        <v>-8674.9599999999991</v>
      </c>
      <c r="R625" s="16" t="e">
        <f t="shared" si="58"/>
        <v>#DIV/0!</v>
      </c>
    </row>
    <row r="626" spans="1:18" x14ac:dyDescent="0.3">
      <c r="A626" t="s">
        <v>1348</v>
      </c>
      <c r="B626" s="6">
        <v>45141</v>
      </c>
      <c r="C626" s="2">
        <v>45140</v>
      </c>
      <c r="D626" s="4">
        <f>DATEDIF(C626,B626, "MD")</f>
        <v>1</v>
      </c>
      <c r="E626" s="4" t="str">
        <f>TEXT(Data!B626,"MMM-YYYY")</f>
        <v>Nov-2023</v>
      </c>
      <c r="F626" t="s">
        <v>39</v>
      </c>
      <c r="G626" t="s">
        <v>98</v>
      </c>
      <c r="H626" t="s">
        <v>29</v>
      </c>
      <c r="I626" t="s">
        <v>35</v>
      </c>
      <c r="J626" s="4">
        <v>1021.97</v>
      </c>
      <c r="K626" s="7" t="str">
        <f t="shared" si="56"/>
        <v>High</v>
      </c>
      <c r="L626" s="4">
        <v>2296.25</v>
      </c>
      <c r="M626" s="4">
        <v>0.161</v>
      </c>
      <c r="N626" s="4">
        <v>26</v>
      </c>
      <c r="O626" s="4">
        <f t="shared" si="54"/>
        <v>0</v>
      </c>
      <c r="P626">
        <f t="shared" si="55"/>
        <v>26571.22</v>
      </c>
      <c r="Q626" s="4">
        <f t="shared" si="57"/>
        <v>-26571.22</v>
      </c>
      <c r="R626" s="16" t="e">
        <f t="shared" si="58"/>
        <v>#DIV/0!</v>
      </c>
    </row>
    <row r="627" spans="1:18" x14ac:dyDescent="0.3">
      <c r="A627" t="s">
        <v>1350</v>
      </c>
      <c r="B627" s="6">
        <v>45249</v>
      </c>
      <c r="C627" s="2">
        <v>45272</v>
      </c>
      <c r="D627" s="4">
        <f t="shared" si="59"/>
        <v>23</v>
      </c>
      <c r="E627" s="4" t="str">
        <f>TEXT(Data!B627,"MMM-YYYY")</f>
        <v>Dec-2023</v>
      </c>
      <c r="F627" t="s">
        <v>62</v>
      </c>
      <c r="G627" t="s">
        <v>98</v>
      </c>
      <c r="H627" t="s">
        <v>21</v>
      </c>
      <c r="I627" t="s">
        <v>35</v>
      </c>
      <c r="J627" s="4">
        <v>1349.04</v>
      </c>
      <c r="K627" s="7" t="str">
        <f t="shared" si="56"/>
        <v>High</v>
      </c>
      <c r="L627" s="4">
        <v>2636.6</v>
      </c>
      <c r="M627" s="4">
        <v>0.114</v>
      </c>
      <c r="N627" s="4">
        <v>14</v>
      </c>
      <c r="O627" s="4">
        <f t="shared" si="54"/>
        <v>0</v>
      </c>
      <c r="P627">
        <f t="shared" si="55"/>
        <v>18886.559999999998</v>
      </c>
      <c r="Q627" s="4">
        <f t="shared" si="57"/>
        <v>-18886.559999999998</v>
      </c>
      <c r="R627" s="16" t="e">
        <f t="shared" si="58"/>
        <v>#DIV/0!</v>
      </c>
    </row>
    <row r="628" spans="1:18" x14ac:dyDescent="0.3">
      <c r="A628" t="s">
        <v>1352</v>
      </c>
      <c r="B628" s="6">
        <v>45282</v>
      </c>
      <c r="C628" s="2">
        <v>45307</v>
      </c>
      <c r="D628" s="4">
        <f t="shared" si="59"/>
        <v>25</v>
      </c>
      <c r="E628" s="4" t="str">
        <f>TEXT(Data!B628,"MMM-YYYY")</f>
        <v>Aug-2023</v>
      </c>
      <c r="F628" t="s">
        <v>62</v>
      </c>
      <c r="G628" t="s">
        <v>20</v>
      </c>
      <c r="H628" t="s">
        <v>75</v>
      </c>
      <c r="I628" t="s">
        <v>22</v>
      </c>
      <c r="J628" s="4">
        <v>1346.81</v>
      </c>
      <c r="K628" s="7" t="str">
        <f t="shared" si="56"/>
        <v>High</v>
      </c>
      <c r="L628" s="4">
        <v>978.09</v>
      </c>
      <c r="M628" s="4">
        <v>0.159</v>
      </c>
      <c r="N628" s="4">
        <v>17</v>
      </c>
      <c r="O628" s="4">
        <f t="shared" si="54"/>
        <v>0</v>
      </c>
      <c r="P628">
        <f t="shared" si="55"/>
        <v>22895.77</v>
      </c>
      <c r="Q628" s="4">
        <f t="shared" si="57"/>
        <v>-22895.77</v>
      </c>
      <c r="R628" s="16" t="e">
        <f t="shared" si="58"/>
        <v>#DIV/0!</v>
      </c>
    </row>
    <row r="629" spans="1:18" x14ac:dyDescent="0.3">
      <c r="A629" t="s">
        <v>1354</v>
      </c>
      <c r="B629" s="6">
        <v>45141</v>
      </c>
      <c r="C629" s="2">
        <v>45168</v>
      </c>
      <c r="D629" s="4">
        <f t="shared" si="59"/>
        <v>27</v>
      </c>
      <c r="E629" s="4" t="str">
        <f>TEXT(Data!B629,"MMM-YYYY")</f>
        <v>Jun-2023</v>
      </c>
      <c r="F629" t="s">
        <v>48</v>
      </c>
      <c r="G629" t="s">
        <v>55</v>
      </c>
      <c r="H629" t="s">
        <v>126</v>
      </c>
      <c r="I629" t="s">
        <v>64</v>
      </c>
      <c r="J629" s="4">
        <v>226.04</v>
      </c>
      <c r="K629" s="7" t="str">
        <f t="shared" si="56"/>
        <v>High</v>
      </c>
      <c r="L629" s="4">
        <v>545.72</v>
      </c>
      <c r="M629" s="4">
        <v>0.151</v>
      </c>
      <c r="N629" s="4">
        <v>11</v>
      </c>
      <c r="O629" s="4">
        <f t="shared" si="54"/>
        <v>0</v>
      </c>
      <c r="P629">
        <f t="shared" si="55"/>
        <v>2486.44</v>
      </c>
      <c r="Q629" s="4">
        <f t="shared" si="57"/>
        <v>-2486.44</v>
      </c>
      <c r="R629" s="16" t="e">
        <f t="shared" si="58"/>
        <v>#DIV/0!</v>
      </c>
    </row>
    <row r="630" spans="1:18" x14ac:dyDescent="0.3">
      <c r="A630" t="s">
        <v>1356</v>
      </c>
      <c r="B630" s="6">
        <v>45100</v>
      </c>
      <c r="C630" s="2">
        <v>45125</v>
      </c>
      <c r="D630" s="4">
        <f t="shared" si="59"/>
        <v>25</v>
      </c>
      <c r="E630" s="4" t="str">
        <f>TEXT(Data!B630,"MMM-YYYY")</f>
        <v>Dec-2023</v>
      </c>
      <c r="F630" t="s">
        <v>105</v>
      </c>
      <c r="G630" t="s">
        <v>28</v>
      </c>
      <c r="H630" t="s">
        <v>126</v>
      </c>
      <c r="I630" t="s">
        <v>42</v>
      </c>
      <c r="J630" s="4">
        <v>807.02</v>
      </c>
      <c r="K630" s="7" t="str">
        <f t="shared" si="56"/>
        <v>High</v>
      </c>
      <c r="L630" s="4">
        <v>1435.54</v>
      </c>
      <c r="M630" s="4">
        <v>0</v>
      </c>
      <c r="N630" s="4">
        <v>23</v>
      </c>
      <c r="O630" s="4">
        <f t="shared" si="54"/>
        <v>0</v>
      </c>
      <c r="P630">
        <f t="shared" si="55"/>
        <v>18561.46</v>
      </c>
      <c r="Q630" s="4">
        <f t="shared" si="57"/>
        <v>-18561.46</v>
      </c>
      <c r="R630" s="16" t="e">
        <f t="shared" si="58"/>
        <v>#DIV/0!</v>
      </c>
    </row>
    <row r="631" spans="1:18" x14ac:dyDescent="0.3">
      <c r="A631" t="s">
        <v>1358</v>
      </c>
      <c r="B631" s="6">
        <v>45267</v>
      </c>
      <c r="C631" s="2">
        <v>45293</v>
      </c>
      <c r="D631" s="4">
        <f t="shared" si="59"/>
        <v>26</v>
      </c>
      <c r="E631" s="4" t="str">
        <f>TEXT(Data!B631,"MMM-YYYY")</f>
        <v>Nov-2023</v>
      </c>
      <c r="F631" t="s">
        <v>105</v>
      </c>
      <c r="G631" t="s">
        <v>55</v>
      </c>
      <c r="H631" t="s">
        <v>63</v>
      </c>
      <c r="I631" t="s">
        <v>22</v>
      </c>
      <c r="J631" s="4">
        <v>1071.99</v>
      </c>
      <c r="K631" s="7" t="str">
        <f t="shared" si="56"/>
        <v>High</v>
      </c>
      <c r="L631" s="4">
        <v>2397.3000000000002</v>
      </c>
      <c r="M631" s="4">
        <v>6.2E-2</v>
      </c>
      <c r="N631" s="4">
        <v>18</v>
      </c>
      <c r="O631" s="4">
        <f t="shared" si="54"/>
        <v>0</v>
      </c>
      <c r="P631">
        <f t="shared" si="55"/>
        <v>19295.82</v>
      </c>
      <c r="Q631" s="4">
        <f t="shared" si="57"/>
        <v>-19295.82</v>
      </c>
      <c r="R631" s="16" t="e">
        <f t="shared" si="58"/>
        <v>#DIV/0!</v>
      </c>
    </row>
    <row r="632" spans="1:18" x14ac:dyDescent="0.3">
      <c r="A632" t="s">
        <v>1360</v>
      </c>
      <c r="B632" s="6">
        <v>45249</v>
      </c>
      <c r="C632" s="2">
        <v>45279</v>
      </c>
      <c r="D632" s="4">
        <f t="shared" si="59"/>
        <v>0</v>
      </c>
      <c r="E632" s="4" t="str">
        <f>TEXT(Data!B632,"MMM-YYYY")</f>
        <v>Feb-2025</v>
      </c>
      <c r="F632" t="s">
        <v>48</v>
      </c>
      <c r="G632" t="s">
        <v>20</v>
      </c>
      <c r="H632" t="s">
        <v>1364</v>
      </c>
      <c r="I632" t="s">
        <v>42</v>
      </c>
      <c r="J632" s="4">
        <v>807.11</v>
      </c>
      <c r="K632" s="7" t="str">
        <f t="shared" si="56"/>
        <v>High</v>
      </c>
      <c r="L632" s="4">
        <v>1853.86</v>
      </c>
      <c r="M632" s="4">
        <v>0.13900000000000001</v>
      </c>
      <c r="N632" s="4">
        <v>8</v>
      </c>
      <c r="O632" s="4">
        <f t="shared" si="54"/>
        <v>0</v>
      </c>
      <c r="P632">
        <f t="shared" si="55"/>
        <v>6456.88</v>
      </c>
      <c r="Q632" s="4">
        <f t="shared" si="57"/>
        <v>-6456.88</v>
      </c>
      <c r="R632" s="16" t="e">
        <f t="shared" si="58"/>
        <v>#DIV/0!</v>
      </c>
    </row>
    <row r="633" spans="1:18" x14ac:dyDescent="0.3">
      <c r="A633" t="s">
        <v>1362</v>
      </c>
      <c r="B633" s="6">
        <v>45716</v>
      </c>
      <c r="C633" s="2">
        <v>45726</v>
      </c>
      <c r="D633" s="4">
        <f t="shared" si="59"/>
        <v>10</v>
      </c>
      <c r="E633" s="4" t="str">
        <f>TEXT(Data!B633,"MMM-YYYY")</f>
        <v>Feb-2025</v>
      </c>
      <c r="F633" t="s">
        <v>27</v>
      </c>
      <c r="G633" t="s">
        <v>55</v>
      </c>
      <c r="H633" t="s">
        <v>126</v>
      </c>
      <c r="I633" t="s">
        <v>57</v>
      </c>
      <c r="J633" s="4">
        <v>51.86</v>
      </c>
      <c r="K633" s="7" t="str">
        <f t="shared" si="56"/>
        <v>Low</v>
      </c>
      <c r="L633" s="4">
        <v>45.98</v>
      </c>
      <c r="M633" s="4">
        <v>0.17299999999999999</v>
      </c>
      <c r="N633" s="4">
        <v>7</v>
      </c>
      <c r="O633" s="4">
        <f t="shared" si="54"/>
        <v>0</v>
      </c>
      <c r="P633">
        <f t="shared" si="55"/>
        <v>363.02</v>
      </c>
      <c r="Q633" s="4">
        <f t="shared" si="57"/>
        <v>-363.02</v>
      </c>
      <c r="R633" s="16" t="e">
        <f t="shared" si="58"/>
        <v>#DIV/0!</v>
      </c>
    </row>
  </sheetData>
  <conditionalFormatting sqref="L1:L633">
    <cfRule type="cellIs" dxfId="24" priority="1" operator="lessThan">
      <formula>0</formula>
    </cfRule>
  </conditionalFormatting>
  <dataValidations count="1">
    <dataValidation type="date" operator="greaterThanOrEqual" allowBlank="1" showInputMessage="1" showErrorMessage="1" error="Invalid Date ;Required date cannot be before the order date" sqref="C2:C633" xr:uid="{E9C34EB9-C892-4010-BF65-B4E66A0D6423}">
      <formula1>B2</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ACB6-C8FD-47A4-A729-DF532A993C55}">
  <dimension ref="A1:K20"/>
  <sheetViews>
    <sheetView workbookViewId="0">
      <selection activeCell="B20" sqref="B20"/>
    </sheetView>
  </sheetViews>
  <sheetFormatPr defaultRowHeight="14.4" x14ac:dyDescent="0.3"/>
  <cols>
    <col min="1" max="1" width="12.5546875" bestFit="1" customWidth="1"/>
    <col min="2" max="2" width="20" bestFit="1" customWidth="1"/>
    <col min="3" max="3" width="15.44140625" bestFit="1" customWidth="1"/>
    <col min="4" max="4" width="17.21875" bestFit="1" customWidth="1"/>
    <col min="5" max="5" width="17.21875" customWidth="1"/>
    <col min="6" max="6" width="24.77734375" bestFit="1" customWidth="1"/>
    <col min="7" max="7" width="22.77734375" customWidth="1"/>
    <col min="8" max="8" width="9.44140625" customWidth="1"/>
    <col min="9" max="9" width="15.77734375" customWidth="1"/>
    <col min="10" max="10" width="12.5546875" customWidth="1"/>
  </cols>
  <sheetData>
    <row r="1" spans="1:11" x14ac:dyDescent="0.3">
      <c r="A1" s="8" t="s">
        <v>1371</v>
      </c>
      <c r="B1" t="s">
        <v>1412</v>
      </c>
    </row>
    <row r="3" spans="1:11" x14ac:dyDescent="0.3">
      <c r="A3" s="8" t="s">
        <v>1376</v>
      </c>
      <c r="B3" t="s">
        <v>1419</v>
      </c>
      <c r="C3" t="s">
        <v>1421</v>
      </c>
      <c r="D3" t="s">
        <v>1423</v>
      </c>
      <c r="E3" s="14" t="s">
        <v>1427</v>
      </c>
      <c r="F3" s="14" t="s">
        <v>1420</v>
      </c>
      <c r="G3" s="14" t="s">
        <v>1422</v>
      </c>
      <c r="H3" s="14" t="s">
        <v>1424</v>
      </c>
      <c r="I3" s="14" t="s">
        <v>1425</v>
      </c>
      <c r="J3" s="14" t="s">
        <v>1426</v>
      </c>
    </row>
    <row r="4" spans="1:11" x14ac:dyDescent="0.3">
      <c r="A4" s="9" t="s">
        <v>75</v>
      </c>
      <c r="B4">
        <v>599376.01998999983</v>
      </c>
      <c r="C4">
        <v>46</v>
      </c>
      <c r="D4">
        <v>4160.9699900000087</v>
      </c>
      <c r="E4" s="9" t="s">
        <v>68</v>
      </c>
      <c r="F4" s="4">
        <f>GETPIVOTDATA("Sum of Gross Revenue",$A$3,"Salesperson","O. Wang")/GETPIVOTDATA("Count of OrderID",$A$3,"Salesperson","O. Wang")</f>
        <v>17388.643956216212</v>
      </c>
      <c r="G4" s="15">
        <f>GETPIVOTDATA("Count of OrderID",$A$3,"Salesperson","A. Patel")/12</f>
        <v>3.8333333333333335</v>
      </c>
      <c r="H4">
        <f>GETPIVOTDATA("Sum of Gross Profit",$A$3,"Salesperson","A. Patel")/G4</f>
        <v>1085.4704321739152</v>
      </c>
      <c r="I4">
        <f>_xlfn.RANK.EQ(GETPIVOTDATA("Sum of Gross Revenue",$A$3,"Salesperson","A. Patel"),B4:B19,0)</f>
        <v>10</v>
      </c>
      <c r="J4">
        <f>_xlfn.RANK.EQ(GETPIVOTDATA("Sum of Gross Revenue",$A$3,"Salesperson","A. Patel"),B4:B19,1)</f>
        <v>7</v>
      </c>
      <c r="K4" t="str">
        <f>IF(_xlfn.RANK.EQ(G4,G4:G19,0)&gt;=3,"Top 3 ","")</f>
        <v xml:space="preserve">Top 3 </v>
      </c>
    </row>
    <row r="5" spans="1:11" x14ac:dyDescent="0.3">
      <c r="A5" s="9" t="s">
        <v>56</v>
      </c>
      <c r="B5">
        <v>779292.78272999986</v>
      </c>
      <c r="C5">
        <v>48</v>
      </c>
      <c r="D5">
        <v>201527.09272999997</v>
      </c>
      <c r="E5" s="9" t="s">
        <v>1364</v>
      </c>
      <c r="F5" s="4">
        <f>GETPIVOTDATA("Sum of Gross Revenue",$A$3,"Salesperson","Not Provided")/GETPIVOTDATA("Count of OrderID",$A$3,"Salesperson","Not Provided")</f>
        <v>24051.574898749997</v>
      </c>
      <c r="G5">
        <f>GETPIVOTDATA("Count of OrderID",$A$3,"Salesperson","B. Chen")/12</f>
        <v>4</v>
      </c>
      <c r="H5">
        <f>GETPIVOTDATA("Sum of Gross Profit",$A$3,"Salesperson","B. Chen")/G5</f>
        <v>50381.773182499994</v>
      </c>
    </row>
    <row r="6" spans="1:11" x14ac:dyDescent="0.3">
      <c r="A6" s="9" t="s">
        <v>21</v>
      </c>
      <c r="B6">
        <v>536935.05088</v>
      </c>
      <c r="C6">
        <v>37</v>
      </c>
      <c r="D6">
        <v>77518.21087999997</v>
      </c>
      <c r="E6" s="9" t="s">
        <v>126</v>
      </c>
      <c r="F6" s="4">
        <f>GETPIVOTDATA("Sum of Gross Revenue",$A$3,"Salesperson","N. Brown")/GETPIVOTDATA("Count of OrderID",$A$3,"Salesperson","N. Brown")</f>
        <v>16290.509833750004</v>
      </c>
      <c r="G6" s="15">
        <f>GETPIVOTDATA("Count of OrderID",$A$3,"Salesperson","C. Otieno")/12</f>
        <v>3.0833333333333335</v>
      </c>
      <c r="H6">
        <f>GETPIVOTDATA("Sum of Gross Profit",$A$3,"Salesperson","C. Otieno")/G6</f>
        <v>25141.041366486475</v>
      </c>
    </row>
    <row r="7" spans="1:11" x14ac:dyDescent="0.3">
      <c r="A7" s="9" t="s">
        <v>145</v>
      </c>
      <c r="B7">
        <v>562621.59604999982</v>
      </c>
      <c r="C7">
        <v>38</v>
      </c>
      <c r="D7">
        <v>136878.33605000004</v>
      </c>
      <c r="E7" s="9" t="s">
        <v>110</v>
      </c>
      <c r="F7" s="4">
        <f>GETPIVOTDATA("Sum of Gross Revenue",$A$3,"Salesperson","M. Rossi")/GETPIVOTDATA("Count of OrderID",$A$3,"Salesperson","M. Rossi")</f>
        <v>15999.650141874998</v>
      </c>
      <c r="G7" s="15">
        <f>GETPIVOTDATA("Count of OrderID",$A$3,"Salesperson","D. Smith")/12</f>
        <v>3.1666666666666665</v>
      </c>
      <c r="H7">
        <f>GETPIVOTDATA("Sum of Gross Profit",$A$3,"Salesperson","D. Smith")/G7</f>
        <v>43224.737700000012</v>
      </c>
    </row>
    <row r="8" spans="1:11" x14ac:dyDescent="0.3">
      <c r="A8" s="9" t="s">
        <v>63</v>
      </c>
      <c r="B8">
        <v>482522.34341000003</v>
      </c>
      <c r="C8">
        <v>34</v>
      </c>
      <c r="D8">
        <v>143657.24340999994</v>
      </c>
      <c r="E8" s="9" t="s">
        <v>49</v>
      </c>
      <c r="F8" s="4">
        <f>GETPIVOTDATA("Sum of Gross Revenue",$A$3,"Salesperson","L. Okafor")/GETPIVOTDATA("Count of OrderID",$A$3,"Salesperson","L. Okafor")</f>
        <v>15871.240650434778</v>
      </c>
      <c r="G8" s="15">
        <f>GETPIVOTDATA("Count of OrderID",$A$3,"Salesperson","E. Garcia")/12</f>
        <v>2.8333333333333335</v>
      </c>
      <c r="H8">
        <f>GETPIVOTDATA("Sum of Gross Profit",$A$3,"Salesperson","E. Garcia")/G8</f>
        <v>50702.556497647034</v>
      </c>
    </row>
    <row r="9" spans="1:11" x14ac:dyDescent="0.3">
      <c r="A9" s="9" t="s">
        <v>84</v>
      </c>
      <c r="B9">
        <v>1090799.73303</v>
      </c>
      <c r="C9">
        <v>51</v>
      </c>
      <c r="D9">
        <v>529895.57303000009</v>
      </c>
      <c r="E9" s="9" t="s">
        <v>95</v>
      </c>
      <c r="F9" s="4">
        <f>GETPIVOTDATA("Sum of Gross Revenue",$A$3,"Salesperson","K. Singh")/GETPIVOTDATA("Count of OrderID",$A$3,"Salesperson","K. Singh")</f>
        <v>20529.390231136364</v>
      </c>
      <c r="G9" s="15">
        <f>GETPIVOTDATA("Count of OrderID",$A$3,"Salesperson","F. Müller")/12</f>
        <v>4.25</v>
      </c>
      <c r="H9">
        <f>GETPIVOTDATA("Sum of Gross Profit",$A$3,"Salesperson","F. Müller")/G9</f>
        <v>124681.31130117649</v>
      </c>
    </row>
    <row r="10" spans="1:11" x14ac:dyDescent="0.3">
      <c r="A10" s="9" t="s">
        <v>41</v>
      </c>
      <c r="B10">
        <v>623151.51997999987</v>
      </c>
      <c r="C10">
        <v>30</v>
      </c>
      <c r="D10">
        <v>284939.67998000002</v>
      </c>
      <c r="E10" s="9" t="s">
        <v>29</v>
      </c>
      <c r="F10" s="4">
        <f>GETPIVOTDATA("Sum of Gross Revenue",$A$3,"Salesperson","J. Njeri")/GETPIVOTDATA("Count of OrderID",$A$3,"Salesperson","J. Njeri")</f>
        <v>15450.870679999998</v>
      </c>
      <c r="G10" s="15">
        <f>GETPIVOTDATA("Count of OrderID",$A$3,"Salesperson","G. Dubois")/12</f>
        <v>2.5</v>
      </c>
      <c r="H10">
        <f>GETPIVOTDATA("Sum of Gross Profit",$A$3,"Salesperson","G. Dubois")/G10</f>
        <v>113975.871992</v>
      </c>
    </row>
    <row r="11" spans="1:11" x14ac:dyDescent="0.3">
      <c r="A11" s="9" t="s">
        <v>92</v>
      </c>
      <c r="B11">
        <v>679594.41445000016</v>
      </c>
      <c r="C11">
        <v>45</v>
      </c>
      <c r="D11">
        <v>119046.92444999995</v>
      </c>
      <c r="E11" s="9" t="s">
        <v>34</v>
      </c>
      <c r="F11" s="4">
        <f>GETPIVOTDATA("Sum of Gross Revenue",$A$3,"Salesperson","I. Johnson")/GETPIVOTDATA("Count of OrderID",$A$3,"Salesperson","I. Johnson")</f>
        <v>15426.493877894738</v>
      </c>
      <c r="G11" s="15">
        <f>GETPIVOTDATA("Count of OrderID",$A$3,"Salesperson","H. Kim")/12</f>
        <v>3.75</v>
      </c>
      <c r="H11">
        <f>GETPIVOTDATA("Sum of Gross Profit",$A$3,"Salesperson","H. Kim")/G11</f>
        <v>31745.846519999985</v>
      </c>
    </row>
    <row r="12" spans="1:11" x14ac:dyDescent="0.3">
      <c r="A12" s="9" t="s">
        <v>34</v>
      </c>
      <c r="B12">
        <v>586206.76736000006</v>
      </c>
      <c r="C12">
        <v>38</v>
      </c>
      <c r="D12">
        <v>185062.78736000002</v>
      </c>
      <c r="E12" s="9" t="s">
        <v>92</v>
      </c>
      <c r="F12" s="4">
        <f>GETPIVOTDATA("Sum of Gross Revenue",$A$3,"Salesperson","H. Kim")/GETPIVOTDATA("Count of OrderID",$A$3,"Salesperson","H. Kim")</f>
        <v>15102.098098888893</v>
      </c>
      <c r="G12" s="15">
        <f>GETPIVOTDATA("Count of OrderID",$A$3,"Salesperson","I. Johnson")/12</f>
        <v>3.1666666666666665</v>
      </c>
      <c r="H12">
        <f>GETPIVOTDATA("Sum of Gross Profit",$A$3,"Salesperson","I. Johnson")/G12</f>
        <v>58440.880218947379</v>
      </c>
    </row>
    <row r="13" spans="1:11" x14ac:dyDescent="0.3">
      <c r="A13" s="9" t="s">
        <v>29</v>
      </c>
      <c r="B13">
        <v>772543.53399999987</v>
      </c>
      <c r="C13">
        <v>50</v>
      </c>
      <c r="D13">
        <v>243271.98399999997</v>
      </c>
      <c r="E13" s="9" t="s">
        <v>41</v>
      </c>
      <c r="F13" s="4">
        <f>GETPIVOTDATA("Sum of Gross Revenue",$A$3,"Salesperson","G. Dubois")/GETPIVOTDATA("Count of OrderID",$A$3,"Salesperson","G. Dubois")</f>
        <v>20771.717332666663</v>
      </c>
      <c r="G13" s="15">
        <f>GETPIVOTDATA("Count of OrderID",$A$3,"Salesperson","J. Njeri")/12</f>
        <v>4.166666666666667</v>
      </c>
      <c r="H13">
        <f>GETPIVOTDATA("Sum of Gross Profit",$A$3,"Salesperson","J. Njeri")/G13</f>
        <v>58385.276159999987</v>
      </c>
    </row>
    <row r="14" spans="1:11" x14ac:dyDescent="0.3">
      <c r="A14" s="9" t="s">
        <v>95</v>
      </c>
      <c r="B14">
        <v>903293.17016999994</v>
      </c>
      <c r="C14">
        <v>44</v>
      </c>
      <c r="D14">
        <v>298707.31016999995</v>
      </c>
      <c r="E14" s="9" t="s">
        <v>84</v>
      </c>
      <c r="F14" s="4">
        <f>GETPIVOTDATA("Sum of Gross Revenue",$A$3,"Salesperson","F. Müller")/GETPIVOTDATA("Count of OrderID",$A$3,"Salesperson","F. Müller")</f>
        <v>21388.230059411766</v>
      </c>
      <c r="G14" s="15">
        <f>GETPIVOTDATA("Count of OrderID",$A$3,"Salesperson","K. Singh")/12</f>
        <v>3.6666666666666665</v>
      </c>
      <c r="H14">
        <f>GETPIVOTDATA("Sum of Gross Profit",$A$3,"Salesperson","K. Singh")/G14</f>
        <v>81465.630046363629</v>
      </c>
    </row>
    <row r="15" spans="1:11" x14ac:dyDescent="0.3">
      <c r="A15" s="9" t="s">
        <v>49</v>
      </c>
      <c r="B15">
        <v>730077.06991999981</v>
      </c>
      <c r="C15">
        <v>46</v>
      </c>
      <c r="D15">
        <v>146755.09991999998</v>
      </c>
      <c r="E15" s="9" t="s">
        <v>63</v>
      </c>
      <c r="F15" s="4">
        <f>GETPIVOTDATA("Sum of Gross Revenue",$A$3,"Salesperson","E. Garcia")/GETPIVOTDATA("Count of OrderID",$A$3,"Salesperson","E. Garcia")</f>
        <v>14191.833629705883</v>
      </c>
      <c r="G15" s="15">
        <f>GETPIVOTDATA("Count of OrderID",$A$3,"Salesperson","L. Okafor")/12</f>
        <v>3.8333333333333335</v>
      </c>
      <c r="H15">
        <f>GETPIVOTDATA("Sum of Gross Profit",$A$3,"Salesperson","L. Okafor")/G15</f>
        <v>38283.93910956521</v>
      </c>
    </row>
    <row r="16" spans="1:11" x14ac:dyDescent="0.3">
      <c r="A16" s="9" t="s">
        <v>110</v>
      </c>
      <c r="B16">
        <v>767983.20680999989</v>
      </c>
      <c r="C16">
        <v>48</v>
      </c>
      <c r="D16">
        <v>104341.27681000004</v>
      </c>
      <c r="E16" s="9" t="s">
        <v>145</v>
      </c>
      <c r="F16" s="4">
        <f>GETPIVOTDATA("Sum of Gross Revenue",$A$3,"Salesperson","D. Smith")/GETPIVOTDATA("Count of OrderID",$A$3,"Salesperson","D. Smith")</f>
        <v>14805.831474999995</v>
      </c>
      <c r="G16" s="15">
        <f>GETPIVOTDATA("Count of OrderID",$A$3,"Salesperson","M. Rossi")/12</f>
        <v>4</v>
      </c>
      <c r="H16">
        <f>GETPIVOTDATA("Sum of Gross Profit",$A$3,"Salesperson","M. Rossi")/G16</f>
        <v>26085.31920250001</v>
      </c>
    </row>
    <row r="17" spans="1:11" x14ac:dyDescent="0.3">
      <c r="A17" s="9" t="s">
        <v>126</v>
      </c>
      <c r="B17">
        <v>521296.31468000013</v>
      </c>
      <c r="C17">
        <v>32</v>
      </c>
      <c r="D17">
        <v>243617.63468000002</v>
      </c>
      <c r="E17" s="9" t="s">
        <v>21</v>
      </c>
      <c r="F17" s="4">
        <f>GETPIVOTDATA("Sum of Gross Revenue",$A$3,"Salesperson","C. Otieno")/GETPIVOTDATA("Count of OrderID",$A$3,"Salesperson","C. Otieno")</f>
        <v>14511.758131891891</v>
      </c>
      <c r="G17" s="15">
        <f>GETPIVOTDATA("Count of OrderID",$A$3,"Salesperson","N. Brown")/12</f>
        <v>2.6666666666666665</v>
      </c>
      <c r="H17">
        <f>GETPIVOTDATA("Sum of Gross Profit",$A$3,"Salesperson","N. Brown")/G17</f>
        <v>91356.613005000007</v>
      </c>
    </row>
    <row r="18" spans="1:11" x14ac:dyDescent="0.3">
      <c r="A18" s="9" t="s">
        <v>1364</v>
      </c>
      <c r="B18">
        <v>192412.59918999998</v>
      </c>
      <c r="C18">
        <v>8</v>
      </c>
      <c r="D18">
        <v>43483.749190000002</v>
      </c>
      <c r="E18" s="9" t="s">
        <v>56</v>
      </c>
      <c r="F18" s="4">
        <f>GETPIVOTDATA("Sum of Gross Revenue",$A$3,"Salesperson","B. Chen")/GETPIVOTDATA("Count of OrderID",$A$3,"Salesperson","B. Chen")</f>
        <v>16235.266306874997</v>
      </c>
      <c r="G18" s="15">
        <f>GETPIVOTDATA("Count of OrderID",$A$3,"Salesperson","Not Provided")/12</f>
        <v>0.66666666666666663</v>
      </c>
      <c r="H18">
        <f>GETPIVOTDATA("Sum of Gross Profit",$A$3,"Salesperson","Not Provided")/G18</f>
        <v>65225.623785000003</v>
      </c>
    </row>
    <row r="19" spans="1:11" x14ac:dyDescent="0.3">
      <c r="A19" s="9" t="s">
        <v>68</v>
      </c>
      <c r="B19">
        <v>643379.82637999987</v>
      </c>
      <c r="C19">
        <v>37</v>
      </c>
      <c r="D19">
        <v>180874.36638000002</v>
      </c>
      <c r="E19" s="9" t="s">
        <v>75</v>
      </c>
      <c r="F19" s="4">
        <f>GETPIVOTDATA("Sum of Gross Revenue",$A$3,"Salesperson","A. Patel")/GETPIVOTDATA("Count of OrderID",$A$3,"Salesperson","A. Patel")</f>
        <v>13029.913478043474</v>
      </c>
      <c r="G19" s="15">
        <f>GETPIVOTDATA("Count of OrderID",$A$3,"Salesperson","O. Wang")/12</f>
        <v>3.0833333333333335</v>
      </c>
      <c r="H19">
        <f>GETPIVOTDATA("Sum of Gross Profit",$A$3,"Salesperson","O. Wang")/G19</f>
        <v>58661.956663783785</v>
      </c>
      <c r="K19" t="str">
        <f>IF(_xlfn.RANK.EQ(G4,G4:G19,0)&gt;=1, "Bottom 3", "" )</f>
        <v>Bottom 3</v>
      </c>
    </row>
    <row r="20" spans="1:11" x14ac:dyDescent="0.3">
      <c r="A20" s="9" t="s">
        <v>1377</v>
      </c>
      <c r="B20">
        <v>10471485.949030001</v>
      </c>
      <c r="C20">
        <v>632</v>
      </c>
      <c r="D20">
        <v>2943738.239029998</v>
      </c>
      <c r="F20" s="4">
        <f>GETPIVOTDATA("Sum of Gross Revenue",$A$3)/GETPIVOTDATA("Count of OrderID",$A$3)</f>
        <v>16568.806881376582</v>
      </c>
      <c r="G20" s="15">
        <f>GETPIVOTDATA("Count of OrderID",$A$3)/12</f>
        <v>52.666666666666664</v>
      </c>
      <c r="H20">
        <f>GETPIVOTDATA("Sum of Gross Profit",$A$3)/G20</f>
        <v>55893.764032215156</v>
      </c>
    </row>
  </sheetData>
  <sortState xmlns:xlrd2="http://schemas.microsoft.com/office/spreadsheetml/2017/richdata2" ref="E4:F19">
    <sortCondition descending="1" ref="E3:E19"/>
  </sortState>
  <conditionalFormatting sqref="E4:E19">
    <cfRule type="colorScale" priority="6">
      <colorScale>
        <cfvo type="min"/>
        <cfvo type="percentile" val="50"/>
        <cfvo type="max"/>
        <color rgb="FFF8696B"/>
        <color rgb="FFFCFCFF"/>
        <color rgb="FF63BE7B"/>
      </colorScale>
    </cfRule>
  </conditionalFormatting>
  <conditionalFormatting sqref="F4:F19">
    <cfRule type="top10" dxfId="23" priority="2" bottom="1" rank="3"/>
    <cfRule type="top10" dxfId="22" priority="3" rank="3"/>
  </conditionalFormatting>
  <conditionalFormatting sqref="F4:F20">
    <cfRule type="top10" dxfId="21" priority="1" bottom="1" rank="3"/>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4289E-4A3E-4D76-BBBB-36B152B8E6B6}">
  <dimension ref="A1:W633"/>
  <sheetViews>
    <sheetView topLeftCell="A229" workbookViewId="0">
      <selection sqref="A1:W632"/>
    </sheetView>
  </sheetViews>
  <sheetFormatPr defaultRowHeight="14.4" x14ac:dyDescent="0.3"/>
  <cols>
    <col min="1" max="1" width="16.21875" bestFit="1" customWidth="1"/>
    <col min="2" max="2" width="10.21875" style="6" bestFit="1" customWidth="1"/>
    <col min="3" max="3" width="12.44140625" bestFit="1" customWidth="1"/>
    <col min="4" max="6" width="14.44140625" style="4" customWidth="1"/>
    <col min="7" max="7" width="8.44140625" bestFit="1" customWidth="1"/>
    <col min="8" max="8" width="14" bestFit="1" customWidth="1"/>
    <col min="9" max="9" width="12.44140625" bestFit="1" customWidth="1"/>
    <col min="10" max="10" width="16.77734375" bestFit="1" customWidth="1"/>
    <col min="11" max="11" width="11.21875" bestFit="1" customWidth="1"/>
    <col min="12" max="12" width="11" bestFit="1" customWidth="1"/>
    <col min="13" max="13" width="15.21875" bestFit="1" customWidth="1"/>
    <col min="14" max="14" width="10" bestFit="1" customWidth="1"/>
    <col min="15" max="15" width="8.21875" style="4" bestFit="1" customWidth="1"/>
    <col min="16" max="16" width="8.21875" style="4" customWidth="1"/>
    <col min="17" max="17" width="8.77734375" style="4" bestFit="1" customWidth="1"/>
    <col min="18" max="18" width="11" style="4" bestFit="1" customWidth="1"/>
    <col min="19" max="19" width="8.21875" style="4" bestFit="1" customWidth="1"/>
    <col min="20" max="20" width="14.5546875" customWidth="1"/>
    <col min="21" max="21" width="13.77734375" customWidth="1"/>
    <col min="22" max="22" width="11.77734375" customWidth="1"/>
    <col min="23" max="23" width="16.21875" customWidth="1"/>
  </cols>
  <sheetData>
    <row r="1" spans="1:23" x14ac:dyDescent="0.3">
      <c r="A1" s="34" t="s">
        <v>15</v>
      </c>
      <c r="B1" s="35">
        <v>45362</v>
      </c>
      <c r="C1" s="36">
        <v>45388</v>
      </c>
      <c r="D1" s="37">
        <f>DATEDIF(B1,C1, "MD")</f>
        <v>26</v>
      </c>
      <c r="E1" s="37" t="str">
        <f>TEXT(Data!B1,"MMM-YYYY")</f>
        <v>Mar-2024</v>
      </c>
      <c r="F1" s="37" t="str">
        <f>"Q"&amp;ROUNDUP(MONTH(B1)/3,0)&amp;"-"&amp;YEAR(B1)</f>
        <v>Q1-2024</v>
      </c>
      <c r="G1" s="32" t="s">
        <v>16</v>
      </c>
      <c r="H1" s="32" t="s">
        <v>17</v>
      </c>
      <c r="I1" s="32" t="s">
        <v>18</v>
      </c>
      <c r="J1" s="32" t="s">
        <v>19</v>
      </c>
      <c r="K1" s="32" t="s">
        <v>20</v>
      </c>
      <c r="L1" s="32" t="s">
        <v>21</v>
      </c>
      <c r="M1" s="32" t="s">
        <v>22</v>
      </c>
      <c r="N1" s="32" t="s">
        <v>23</v>
      </c>
      <c r="O1" s="37">
        <v>279.24</v>
      </c>
      <c r="P1" s="38" t="str">
        <f>IF(Q1&lt;50, "Low", IF(Q1&lt;200, "Medium", "High"))</f>
        <v>High</v>
      </c>
      <c r="Q1" s="37">
        <v>608.9</v>
      </c>
      <c r="R1" s="37">
        <v>0.112</v>
      </c>
      <c r="S1" s="37">
        <v>9</v>
      </c>
      <c r="T1" s="37">
        <f t="shared" ref="T1:T64" si="0">(Q27*S1)*(1-R1)</f>
        <v>1403.9546399999999</v>
      </c>
      <c r="U1" s="32">
        <f t="shared" ref="U1:U64" si="1">(O1*S1)</f>
        <v>2513.16</v>
      </c>
      <c r="V1" s="37">
        <f>(T1-U1)</f>
        <v>-1109.2053599999999</v>
      </c>
      <c r="W1" s="39">
        <f>IF(T1=0, 0, V1/T1)</f>
        <v>-0.79005783263766982</v>
      </c>
    </row>
    <row r="2" spans="1:23" x14ac:dyDescent="0.3">
      <c r="A2" s="40" t="s">
        <v>24</v>
      </c>
      <c r="B2" s="41">
        <v>45588</v>
      </c>
      <c r="C2" s="42">
        <v>45587</v>
      </c>
      <c r="D2" s="43">
        <f>DATEDIF(C2, B2, "MD")</f>
        <v>1</v>
      </c>
      <c r="E2" s="43" t="str">
        <f>TEXT(Data!B2,"MMM-YYYY")</f>
        <v>Oct-2024</v>
      </c>
      <c r="F2" s="43" t="str">
        <f t="shared" ref="F2:F65" si="2">"Q"&amp;ROUNDUP(MONTH(B2)/3,0)&amp;"-"&amp;YEAR(B2)</f>
        <v>Q4-2024</v>
      </c>
      <c r="G2" s="33" t="s">
        <v>16</v>
      </c>
      <c r="H2" s="33" t="s">
        <v>25</v>
      </c>
      <c r="I2" s="33" t="s">
        <v>26</v>
      </c>
      <c r="J2" s="33" t="s">
        <v>27</v>
      </c>
      <c r="K2" s="33" t="s">
        <v>28</v>
      </c>
      <c r="L2" s="33" t="s">
        <v>29</v>
      </c>
      <c r="M2" s="33" t="s">
        <v>30</v>
      </c>
      <c r="N2" s="33" t="s">
        <v>31</v>
      </c>
      <c r="O2" s="43">
        <v>1084.3900000000001</v>
      </c>
      <c r="P2" s="44" t="str">
        <f t="shared" ref="P2:P65" si="3">IF(Q2&lt;50, "Low", IF(Q2&lt;200, "Medium", "High"))</f>
        <v>High</v>
      </c>
      <c r="Q2" s="43">
        <v>759.33</v>
      </c>
      <c r="R2" s="43">
        <v>0.23699999999999999</v>
      </c>
      <c r="S2" s="43">
        <v>31</v>
      </c>
      <c r="T2" s="43">
        <f t="shared" si="0"/>
        <v>17934.41419</v>
      </c>
      <c r="U2" s="33">
        <f t="shared" si="1"/>
        <v>33616.090000000004</v>
      </c>
      <c r="V2" s="43">
        <f t="shared" ref="V2:V65" si="4">(T2-U2)</f>
        <v>-15681.675810000004</v>
      </c>
      <c r="W2" s="45">
        <f t="shared" ref="W2:W65" si="5">IF(T2=0, 0, V2/T2)</f>
        <v>-0.87439018882166253</v>
      </c>
    </row>
    <row r="3" spans="1:23" x14ac:dyDescent="0.3">
      <c r="A3" s="34" t="s">
        <v>32</v>
      </c>
      <c r="B3" s="35">
        <v>44985</v>
      </c>
      <c r="C3" s="36">
        <v>45010</v>
      </c>
      <c r="D3" s="37">
        <f t="shared" ref="D3:D66" si="6">DATEDIF(B3,C3, "MD")</f>
        <v>25</v>
      </c>
      <c r="E3" s="37" t="str">
        <f>TEXT(Data!B3,"MMM-YYYY")</f>
        <v>Feb-2023</v>
      </c>
      <c r="F3" s="37" t="str">
        <f t="shared" si="2"/>
        <v>Q1-2023</v>
      </c>
      <c r="G3" s="32" t="s">
        <v>16</v>
      </c>
      <c r="H3" s="32" t="s">
        <v>17</v>
      </c>
      <c r="I3" s="32" t="s">
        <v>33</v>
      </c>
      <c r="J3" s="32" t="s">
        <v>19</v>
      </c>
      <c r="K3" s="32" t="s">
        <v>20</v>
      </c>
      <c r="L3" s="32" t="s">
        <v>34</v>
      </c>
      <c r="M3" s="32" t="s">
        <v>35</v>
      </c>
      <c r="N3" s="32" t="s">
        <v>36</v>
      </c>
      <c r="O3" s="37">
        <v>1460.76</v>
      </c>
      <c r="P3" s="38" t="str">
        <f t="shared" si="3"/>
        <v>Low</v>
      </c>
      <c r="Q3" s="37">
        <v>-30.66</v>
      </c>
      <c r="R3" s="37">
        <v>0.13100000000000001</v>
      </c>
      <c r="S3" s="37">
        <v>12</v>
      </c>
      <c r="T3" s="37">
        <f t="shared" si="0"/>
        <v>4534.0944</v>
      </c>
      <c r="U3" s="32">
        <f t="shared" si="1"/>
        <v>17529.12</v>
      </c>
      <c r="V3" s="37">
        <f t="shared" si="4"/>
        <v>-12995.025599999999</v>
      </c>
      <c r="W3" s="39">
        <f t="shared" si="5"/>
        <v>-2.8660686023652264</v>
      </c>
    </row>
    <row r="4" spans="1:23" x14ac:dyDescent="0.3">
      <c r="A4" s="40" t="s">
        <v>37</v>
      </c>
      <c r="B4" s="41">
        <v>45745</v>
      </c>
      <c r="C4" s="42">
        <v>45749</v>
      </c>
      <c r="D4" s="43">
        <f t="shared" si="6"/>
        <v>4</v>
      </c>
      <c r="E4" s="43" t="str">
        <f>TEXT(Data!B4,"MMM-YYYY")</f>
        <v>Mar-2025</v>
      </c>
      <c r="F4" s="43" t="str">
        <f t="shared" si="2"/>
        <v>Q1-2025</v>
      </c>
      <c r="G4" s="33" t="s">
        <v>16</v>
      </c>
      <c r="H4" s="33" t="s">
        <v>25</v>
      </c>
      <c r="I4" s="33" t="s">
        <v>38</v>
      </c>
      <c r="J4" s="33" t="s">
        <v>39</v>
      </c>
      <c r="K4" s="33" t="s">
        <v>40</v>
      </c>
      <c r="L4" s="33" t="s">
        <v>41</v>
      </c>
      <c r="M4" s="33" t="s">
        <v>42</v>
      </c>
      <c r="N4" s="33" t="s">
        <v>43</v>
      </c>
      <c r="O4" s="43">
        <v>259.93</v>
      </c>
      <c r="P4" s="44" t="str">
        <f t="shared" si="3"/>
        <v>High</v>
      </c>
      <c r="Q4" s="43">
        <v>255.94</v>
      </c>
      <c r="R4" s="43">
        <v>7.1999999999999995E-2</v>
      </c>
      <c r="S4" s="43">
        <v>22</v>
      </c>
      <c r="T4" s="43">
        <f t="shared" si="0"/>
        <v>34016.730880000003</v>
      </c>
      <c r="U4" s="33">
        <f t="shared" si="1"/>
        <v>5718.46</v>
      </c>
      <c r="V4" s="43">
        <f t="shared" si="4"/>
        <v>28298.270880000004</v>
      </c>
      <c r="W4" s="45">
        <f t="shared" si="5"/>
        <v>0.83189272301994943</v>
      </c>
    </row>
    <row r="5" spans="1:23" x14ac:dyDescent="0.3">
      <c r="A5" s="34" t="s">
        <v>44</v>
      </c>
      <c r="B5" s="35">
        <v>45266</v>
      </c>
      <c r="C5" s="36">
        <v>45291</v>
      </c>
      <c r="D5" s="37">
        <f t="shared" si="6"/>
        <v>25</v>
      </c>
      <c r="E5" s="37" t="str">
        <f>TEXT(Data!B5,"MMM-YYYY")</f>
        <v>Dec-2023</v>
      </c>
      <c r="F5" s="37" t="str">
        <f t="shared" si="2"/>
        <v>Q4-2023</v>
      </c>
      <c r="G5" s="32" t="s">
        <v>45</v>
      </c>
      <c r="H5" s="32" t="s">
        <v>46</v>
      </c>
      <c r="I5" s="32" t="s">
        <v>47</v>
      </c>
      <c r="J5" s="32" t="s">
        <v>48</v>
      </c>
      <c r="K5" s="32" t="s">
        <v>20</v>
      </c>
      <c r="L5" s="32" t="s">
        <v>49</v>
      </c>
      <c r="M5" s="32" t="s">
        <v>30</v>
      </c>
      <c r="N5" s="32" t="s">
        <v>50</v>
      </c>
      <c r="O5" s="37">
        <v>663.03</v>
      </c>
      <c r="P5" s="38" t="str">
        <f t="shared" si="3"/>
        <v>High</v>
      </c>
      <c r="Q5" s="37">
        <v>813.51</v>
      </c>
      <c r="R5" s="37">
        <v>0.10199999999999999</v>
      </c>
      <c r="S5" s="37">
        <v>15</v>
      </c>
      <c r="T5" s="37">
        <f t="shared" si="0"/>
        <v>8510.0765999999985</v>
      </c>
      <c r="U5" s="32">
        <f t="shared" si="1"/>
        <v>9945.4499999999989</v>
      </c>
      <c r="V5" s="37">
        <f t="shared" si="4"/>
        <v>-1435.3734000000004</v>
      </c>
      <c r="W5" s="39">
        <f t="shared" si="5"/>
        <v>-0.16866750647109341</v>
      </c>
    </row>
    <row r="6" spans="1:23" x14ac:dyDescent="0.3">
      <c r="A6" s="40" t="s">
        <v>51</v>
      </c>
      <c r="B6" s="41">
        <v>44928</v>
      </c>
      <c r="C6" s="42">
        <v>44931</v>
      </c>
      <c r="D6" s="43">
        <f t="shared" si="6"/>
        <v>3</v>
      </c>
      <c r="E6" s="43" t="str">
        <f>TEXT(Data!B6,"MMM-YYYY")</f>
        <v>Jan-2023</v>
      </c>
      <c r="F6" s="43" t="str">
        <f t="shared" si="2"/>
        <v>Q1-2023</v>
      </c>
      <c r="G6" s="33" t="s">
        <v>52</v>
      </c>
      <c r="H6" s="33" t="s">
        <v>53</v>
      </c>
      <c r="I6" s="33" t="s">
        <v>54</v>
      </c>
      <c r="J6" s="33" t="s">
        <v>19</v>
      </c>
      <c r="K6" s="33" t="s">
        <v>55</v>
      </c>
      <c r="L6" s="33" t="s">
        <v>56</v>
      </c>
      <c r="M6" s="33" t="s">
        <v>57</v>
      </c>
      <c r="N6" s="33" t="s">
        <v>58</v>
      </c>
      <c r="O6" s="43">
        <v>315.87</v>
      </c>
      <c r="P6" s="44" t="str">
        <f t="shared" si="3"/>
        <v>High</v>
      </c>
      <c r="Q6" s="43">
        <v>591.67999999999995</v>
      </c>
      <c r="R6" s="43">
        <v>0</v>
      </c>
      <c r="S6" s="43">
        <v>7</v>
      </c>
      <c r="T6" s="43">
        <f t="shared" si="0"/>
        <v>12558.49</v>
      </c>
      <c r="U6" s="33">
        <f t="shared" si="1"/>
        <v>2211.09</v>
      </c>
      <c r="V6" s="43">
        <f t="shared" si="4"/>
        <v>10347.4</v>
      </c>
      <c r="W6" s="45">
        <f t="shared" si="5"/>
        <v>0.82393663569425946</v>
      </c>
    </row>
    <row r="7" spans="1:23" x14ac:dyDescent="0.3">
      <c r="A7" s="34" t="s">
        <v>59</v>
      </c>
      <c r="B7" s="35">
        <v>45653</v>
      </c>
      <c r="C7" s="36">
        <v>45671</v>
      </c>
      <c r="D7" s="37">
        <f t="shared" si="6"/>
        <v>18</v>
      </c>
      <c r="E7" s="37" t="str">
        <f>TEXT(Data!B7,"MMM-YYYY")</f>
        <v>Dec-2024</v>
      </c>
      <c r="F7" s="37" t="str">
        <f t="shared" si="2"/>
        <v>Q4-2024</v>
      </c>
      <c r="G7" s="32" t="s">
        <v>45</v>
      </c>
      <c r="H7" s="32" t="s">
        <v>60</v>
      </c>
      <c r="I7" s="32" t="s">
        <v>61</v>
      </c>
      <c r="J7" s="32" t="s">
        <v>62</v>
      </c>
      <c r="K7" s="32" t="s">
        <v>40</v>
      </c>
      <c r="L7" s="32" t="s">
        <v>63</v>
      </c>
      <c r="M7" s="32" t="s">
        <v>64</v>
      </c>
      <c r="N7" s="32" t="s">
        <v>65</v>
      </c>
      <c r="O7" s="37">
        <v>586.07000000000005</v>
      </c>
      <c r="P7" s="38" t="str">
        <f t="shared" si="3"/>
        <v>High</v>
      </c>
      <c r="Q7" s="37">
        <v>845.97</v>
      </c>
      <c r="R7" s="37">
        <v>0.14699999999999999</v>
      </c>
      <c r="S7" s="37">
        <v>4</v>
      </c>
      <c r="T7" s="37">
        <f t="shared" si="0"/>
        <v>8983.864239999999</v>
      </c>
      <c r="U7" s="32">
        <f t="shared" si="1"/>
        <v>2344.2800000000002</v>
      </c>
      <c r="V7" s="37">
        <f t="shared" si="4"/>
        <v>6639.5842399999983</v>
      </c>
      <c r="W7" s="39">
        <f t="shared" si="5"/>
        <v>0.73905660889639613</v>
      </c>
    </row>
    <row r="8" spans="1:23" x14ac:dyDescent="0.3">
      <c r="A8" s="40" t="s">
        <v>66</v>
      </c>
      <c r="B8" s="41">
        <v>44941</v>
      </c>
      <c r="C8" s="42">
        <v>44939</v>
      </c>
      <c r="D8" s="43">
        <f>DATEDIF(C8,B8, "MD")</f>
        <v>2</v>
      </c>
      <c r="E8" s="43" t="str">
        <f>TEXT(Data!B8,"MMM-YYYY")</f>
        <v>Jan-2023</v>
      </c>
      <c r="F8" s="43" t="str">
        <f t="shared" si="2"/>
        <v>Q1-2023</v>
      </c>
      <c r="G8" s="33" t="s">
        <v>16</v>
      </c>
      <c r="H8" s="33" t="s">
        <v>25</v>
      </c>
      <c r="I8" s="33" t="s">
        <v>67</v>
      </c>
      <c r="J8" s="33" t="s">
        <v>27</v>
      </c>
      <c r="K8" s="33" t="s">
        <v>28</v>
      </c>
      <c r="L8" s="33" t="s">
        <v>68</v>
      </c>
      <c r="M8" s="33" t="s">
        <v>30</v>
      </c>
      <c r="N8" s="33" t="s">
        <v>69</v>
      </c>
      <c r="O8" s="43">
        <v>28.38</v>
      </c>
      <c r="P8" s="44" t="str">
        <f t="shared" si="3"/>
        <v>Low</v>
      </c>
      <c r="Q8" s="43">
        <v>47.22</v>
      </c>
      <c r="R8" s="43">
        <v>0.19400000000000001</v>
      </c>
      <c r="S8" s="43">
        <v>18</v>
      </c>
      <c r="T8" s="43">
        <f t="shared" si="0"/>
        <v>19177.399799999999</v>
      </c>
      <c r="U8" s="33">
        <f t="shared" si="1"/>
        <v>510.84</v>
      </c>
      <c r="V8" s="43">
        <f t="shared" si="4"/>
        <v>18666.559799999999</v>
      </c>
      <c r="W8" s="45">
        <f t="shared" si="5"/>
        <v>0.97336239504168864</v>
      </c>
    </row>
    <row r="9" spans="1:23" x14ac:dyDescent="0.3">
      <c r="A9" s="34" t="s">
        <v>70</v>
      </c>
      <c r="B9" s="35">
        <v>45416</v>
      </c>
      <c r="C9" s="36">
        <v>45441</v>
      </c>
      <c r="D9" s="37">
        <f t="shared" si="6"/>
        <v>25</v>
      </c>
      <c r="E9" s="37" t="str">
        <f>TEXT(Data!B9,"MMM-YYYY")</f>
        <v>May-2024</v>
      </c>
      <c r="F9" s="37" t="str">
        <f t="shared" si="2"/>
        <v>Q2-2024</v>
      </c>
      <c r="G9" s="32" t="s">
        <v>16</v>
      </c>
      <c r="H9" s="32" t="s">
        <v>25</v>
      </c>
      <c r="I9" s="32" t="s">
        <v>67</v>
      </c>
      <c r="J9" s="32" t="s">
        <v>39</v>
      </c>
      <c r="K9" s="32" t="s">
        <v>40</v>
      </c>
      <c r="L9" s="32" t="s">
        <v>68</v>
      </c>
      <c r="M9" s="32" t="s">
        <v>64</v>
      </c>
      <c r="N9" s="32" t="s">
        <v>71</v>
      </c>
      <c r="O9" s="37">
        <v>1295.3399999999999</v>
      </c>
      <c r="P9" s="38" t="str">
        <f t="shared" si="3"/>
        <v>High</v>
      </c>
      <c r="Q9" s="37">
        <v>2530.81</v>
      </c>
      <c r="R9" s="37">
        <v>3.1E-2</v>
      </c>
      <c r="S9" s="37">
        <v>6</v>
      </c>
      <c r="T9" s="37">
        <f t="shared" si="0"/>
        <v>17656.36218</v>
      </c>
      <c r="U9" s="32">
        <f t="shared" si="1"/>
        <v>7772.0399999999991</v>
      </c>
      <c r="V9" s="37">
        <f t="shared" si="4"/>
        <v>9884.322180000001</v>
      </c>
      <c r="W9" s="39">
        <f t="shared" si="5"/>
        <v>0.55981646044825306</v>
      </c>
    </row>
    <row r="10" spans="1:23" x14ac:dyDescent="0.3">
      <c r="A10" s="40" t="s">
        <v>72</v>
      </c>
      <c r="B10" s="41">
        <v>45798</v>
      </c>
      <c r="C10" s="42">
        <v>45817</v>
      </c>
      <c r="D10" s="43">
        <f t="shared" si="6"/>
        <v>19</v>
      </c>
      <c r="E10" s="43" t="str">
        <f>TEXT(Data!B10,"MMM-YYYY")</f>
        <v>May-2025</v>
      </c>
      <c r="F10" s="43" t="str">
        <f t="shared" si="2"/>
        <v>Q2-2025</v>
      </c>
      <c r="G10" s="33" t="s">
        <v>52</v>
      </c>
      <c r="H10" s="33" t="s">
        <v>73</v>
      </c>
      <c r="I10" s="33" t="s">
        <v>74</v>
      </c>
      <c r="J10" s="33" t="s">
        <v>39</v>
      </c>
      <c r="K10" s="33" t="s">
        <v>28</v>
      </c>
      <c r="L10" s="33" t="s">
        <v>75</v>
      </c>
      <c r="M10" s="33" t="s">
        <v>22</v>
      </c>
      <c r="N10" s="33" t="s">
        <v>76</v>
      </c>
      <c r="O10" s="43">
        <v>1331.38</v>
      </c>
      <c r="P10" s="44" t="str">
        <f t="shared" si="3"/>
        <v>High</v>
      </c>
      <c r="Q10" s="43">
        <v>2309.56</v>
      </c>
      <c r="R10" s="43">
        <v>0.14899999999999999</v>
      </c>
      <c r="S10" s="43">
        <v>31</v>
      </c>
      <c r="T10" s="43">
        <f t="shared" si="0"/>
        <v>5259.5799699999998</v>
      </c>
      <c r="U10" s="33">
        <f t="shared" si="1"/>
        <v>41272.780000000006</v>
      </c>
      <c r="V10" s="43">
        <f t="shared" si="4"/>
        <v>-36013.200030000007</v>
      </c>
      <c r="W10" s="45">
        <f t="shared" si="5"/>
        <v>-6.8471627459635354</v>
      </c>
    </row>
    <row r="11" spans="1:23" x14ac:dyDescent="0.3">
      <c r="A11" s="34" t="s">
        <v>77</v>
      </c>
      <c r="B11" s="35">
        <v>45319</v>
      </c>
      <c r="C11" s="36">
        <v>45331</v>
      </c>
      <c r="D11" s="37">
        <f t="shared" si="6"/>
        <v>12</v>
      </c>
      <c r="E11" s="37" t="str">
        <f>TEXT(Data!B11,"MMM-YYYY")</f>
        <v>Jan-2024</v>
      </c>
      <c r="F11" s="37" t="str">
        <f t="shared" si="2"/>
        <v>Q1-2024</v>
      </c>
      <c r="G11" s="32" t="s">
        <v>78</v>
      </c>
      <c r="H11" s="32" t="s">
        <v>79</v>
      </c>
      <c r="I11" s="32" t="s">
        <v>80</v>
      </c>
      <c r="J11" s="32" t="s">
        <v>19</v>
      </c>
      <c r="K11" s="32" t="s">
        <v>28</v>
      </c>
      <c r="L11" s="32" t="s">
        <v>41</v>
      </c>
      <c r="M11" s="32" t="s">
        <v>81</v>
      </c>
      <c r="N11" s="32" t="s">
        <v>82</v>
      </c>
      <c r="O11" s="37">
        <v>644.16999999999996</v>
      </c>
      <c r="P11" s="38" t="str">
        <f t="shared" si="3"/>
        <v>High</v>
      </c>
      <c r="Q11" s="37">
        <v>700.12</v>
      </c>
      <c r="R11" s="37">
        <v>6.0000000000000001E-3</v>
      </c>
      <c r="S11" s="37">
        <v>23</v>
      </c>
      <c r="T11" s="37">
        <f t="shared" si="0"/>
        <v>21204.733619999999</v>
      </c>
      <c r="U11" s="32">
        <f t="shared" si="1"/>
        <v>14815.91</v>
      </c>
      <c r="V11" s="37">
        <f t="shared" si="4"/>
        <v>6388.8236199999992</v>
      </c>
      <c r="W11" s="39">
        <f t="shared" si="5"/>
        <v>0.30129233097152197</v>
      </c>
    </row>
    <row r="12" spans="1:23" x14ac:dyDescent="0.3">
      <c r="A12" s="40" t="s">
        <v>83</v>
      </c>
      <c r="B12" s="41">
        <v>45660</v>
      </c>
      <c r="C12" s="42">
        <v>45680</v>
      </c>
      <c r="D12" s="43">
        <f t="shared" si="6"/>
        <v>20</v>
      </c>
      <c r="E12" s="43" t="str">
        <f>TEXT(Data!B12,"MMM-YYYY")</f>
        <v>Jan-2025</v>
      </c>
      <c r="F12" s="43" t="str">
        <f t="shared" si="2"/>
        <v>Q1-2025</v>
      </c>
      <c r="G12" s="33" t="s">
        <v>45</v>
      </c>
      <c r="H12" s="33" t="s">
        <v>46</v>
      </c>
      <c r="I12" s="33" t="s">
        <v>47</v>
      </c>
      <c r="J12" s="33" t="s">
        <v>19</v>
      </c>
      <c r="K12" s="33" t="s">
        <v>55</v>
      </c>
      <c r="L12" s="33" t="s">
        <v>84</v>
      </c>
      <c r="M12" s="33" t="s">
        <v>42</v>
      </c>
      <c r="N12" s="33" t="s">
        <v>85</v>
      </c>
      <c r="O12" s="43">
        <v>908.6</v>
      </c>
      <c r="P12" s="44" t="str">
        <f t="shared" si="3"/>
        <v>High</v>
      </c>
      <c r="Q12" s="43">
        <v>691.37</v>
      </c>
      <c r="R12" s="43">
        <v>0.25</v>
      </c>
      <c r="S12" s="43">
        <v>20</v>
      </c>
      <c r="T12" s="43">
        <f t="shared" si="0"/>
        <v>26031.15</v>
      </c>
      <c r="U12" s="33">
        <f t="shared" si="1"/>
        <v>18172</v>
      </c>
      <c r="V12" s="43">
        <f t="shared" si="4"/>
        <v>7859.1500000000015</v>
      </c>
      <c r="W12" s="45">
        <f t="shared" si="5"/>
        <v>0.30191328466087747</v>
      </c>
    </row>
    <row r="13" spans="1:23" x14ac:dyDescent="0.3">
      <c r="A13" s="34" t="s">
        <v>86</v>
      </c>
      <c r="B13" s="35">
        <v>45722</v>
      </c>
      <c r="C13" s="36">
        <v>45747</v>
      </c>
      <c r="D13" s="37">
        <f t="shared" si="6"/>
        <v>25</v>
      </c>
      <c r="E13" s="37" t="str">
        <f>TEXT(Data!B13,"MMM-YYYY")</f>
        <v>Mar-2025</v>
      </c>
      <c r="F13" s="37" t="str">
        <f t="shared" si="2"/>
        <v>Q1-2025</v>
      </c>
      <c r="G13" s="32" t="s">
        <v>52</v>
      </c>
      <c r="H13" s="32" t="s">
        <v>73</v>
      </c>
      <c r="I13" s="32" t="s">
        <v>87</v>
      </c>
      <c r="J13" s="32" t="s">
        <v>39</v>
      </c>
      <c r="K13" s="32" t="s">
        <v>28</v>
      </c>
      <c r="L13" s="32" t="s">
        <v>29</v>
      </c>
      <c r="M13" s="32" t="s">
        <v>22</v>
      </c>
      <c r="N13" s="32" t="s">
        <v>88</v>
      </c>
      <c r="O13" s="37">
        <v>331.57</v>
      </c>
      <c r="P13" s="38" t="str">
        <f t="shared" si="3"/>
        <v>High</v>
      </c>
      <c r="Q13" s="37">
        <v>548.4</v>
      </c>
      <c r="R13" s="37">
        <v>9.4E-2</v>
      </c>
      <c r="S13" s="37">
        <v>10</v>
      </c>
      <c r="T13" s="37">
        <f t="shared" si="0"/>
        <v>12644.498400000002</v>
      </c>
      <c r="U13" s="32">
        <f t="shared" si="1"/>
        <v>3315.7</v>
      </c>
      <c r="V13" s="37">
        <f t="shared" si="4"/>
        <v>9328.7984000000033</v>
      </c>
      <c r="W13" s="39">
        <f t="shared" si="5"/>
        <v>0.73777528415045723</v>
      </c>
    </row>
    <row r="14" spans="1:23" x14ac:dyDescent="0.3">
      <c r="A14" s="40" t="s">
        <v>89</v>
      </c>
      <c r="B14" s="41">
        <v>45311</v>
      </c>
      <c r="C14" s="42">
        <v>45335</v>
      </c>
      <c r="D14" s="43">
        <f t="shared" si="6"/>
        <v>24</v>
      </c>
      <c r="E14" s="43" t="str">
        <f>TEXT(Data!B14,"MMM-YYYY")</f>
        <v>Jan-2024</v>
      </c>
      <c r="F14" s="43" t="str">
        <f t="shared" si="2"/>
        <v>Q1-2024</v>
      </c>
      <c r="G14" s="33" t="s">
        <v>78</v>
      </c>
      <c r="H14" s="33" t="s">
        <v>90</v>
      </c>
      <c r="I14" s="33" t="s">
        <v>91</v>
      </c>
      <c r="J14" s="33" t="s">
        <v>19</v>
      </c>
      <c r="K14" s="33" t="s">
        <v>20</v>
      </c>
      <c r="L14" s="33" t="s">
        <v>92</v>
      </c>
      <c r="M14" s="33" t="s">
        <v>30</v>
      </c>
      <c r="N14" s="33" t="s">
        <v>93</v>
      </c>
      <c r="O14" s="43">
        <v>643.53</v>
      </c>
      <c r="P14" s="44" t="str">
        <f t="shared" si="3"/>
        <v>High</v>
      </c>
      <c r="Q14" s="43">
        <v>1439.01</v>
      </c>
      <c r="R14" s="43">
        <v>0</v>
      </c>
      <c r="S14" s="43">
        <v>15</v>
      </c>
      <c r="T14" s="43">
        <f t="shared" si="0"/>
        <v>6816.3</v>
      </c>
      <c r="U14" s="33">
        <f t="shared" si="1"/>
        <v>9652.9499999999989</v>
      </c>
      <c r="V14" s="43">
        <f t="shared" si="4"/>
        <v>-2836.6499999999987</v>
      </c>
      <c r="W14" s="45">
        <f t="shared" si="5"/>
        <v>-0.4161568592931647</v>
      </c>
    </row>
    <row r="15" spans="1:23" x14ac:dyDescent="0.3">
      <c r="A15" s="34" t="s">
        <v>94</v>
      </c>
      <c r="B15" s="35">
        <v>45901</v>
      </c>
      <c r="C15" s="36">
        <v>45930</v>
      </c>
      <c r="D15" s="37">
        <f t="shared" si="6"/>
        <v>29</v>
      </c>
      <c r="E15" s="37" t="str">
        <f>TEXT(Data!B15,"MMM-YYYY")</f>
        <v>Sep-2025</v>
      </c>
      <c r="F15" s="37" t="str">
        <f t="shared" si="2"/>
        <v>Q3-2025</v>
      </c>
      <c r="G15" s="32" t="s">
        <v>52</v>
      </c>
      <c r="H15" s="32" t="s">
        <v>73</v>
      </c>
      <c r="I15" s="32" t="s">
        <v>87</v>
      </c>
      <c r="J15" s="32" t="s">
        <v>27</v>
      </c>
      <c r="K15" s="32" t="s">
        <v>20</v>
      </c>
      <c r="L15" s="32" t="s">
        <v>95</v>
      </c>
      <c r="M15" s="32" t="s">
        <v>81</v>
      </c>
      <c r="N15" s="32" t="s">
        <v>96</v>
      </c>
      <c r="O15" s="37">
        <v>780.59</v>
      </c>
      <c r="P15" s="38" t="str">
        <f t="shared" si="3"/>
        <v>High</v>
      </c>
      <c r="Q15" s="37">
        <v>631.57000000000005</v>
      </c>
      <c r="R15" s="37">
        <v>0</v>
      </c>
      <c r="S15" s="37">
        <v>12</v>
      </c>
      <c r="T15" s="37">
        <f t="shared" si="0"/>
        <v>18971.64</v>
      </c>
      <c r="U15" s="32">
        <f t="shared" si="1"/>
        <v>9367.08</v>
      </c>
      <c r="V15" s="37">
        <f t="shared" si="4"/>
        <v>9604.56</v>
      </c>
      <c r="W15" s="39">
        <f t="shared" si="5"/>
        <v>0.50625881579030596</v>
      </c>
    </row>
    <row r="16" spans="1:23" x14ac:dyDescent="0.3">
      <c r="A16" s="40" t="s">
        <v>97</v>
      </c>
      <c r="B16" s="41">
        <v>45039</v>
      </c>
      <c r="C16" s="42">
        <v>45038</v>
      </c>
      <c r="D16" s="43">
        <f>DATEDIF(C16, B16, "MD")</f>
        <v>1</v>
      </c>
      <c r="E16" s="43" t="str">
        <f>TEXT(Data!B16,"MMM-YYYY")</f>
        <v>Apr-2023</v>
      </c>
      <c r="F16" s="43" t="str">
        <f t="shared" si="2"/>
        <v>Q2-2023</v>
      </c>
      <c r="G16" s="33" t="s">
        <v>16</v>
      </c>
      <c r="H16" s="33" t="s">
        <v>17</v>
      </c>
      <c r="I16" s="33" t="s">
        <v>33</v>
      </c>
      <c r="J16" s="33" t="s">
        <v>62</v>
      </c>
      <c r="K16" s="33" t="s">
        <v>98</v>
      </c>
      <c r="L16" s="33" t="s">
        <v>63</v>
      </c>
      <c r="M16" s="33" t="s">
        <v>57</v>
      </c>
      <c r="N16" s="33" t="s">
        <v>99</v>
      </c>
      <c r="O16" s="43">
        <v>756.51</v>
      </c>
      <c r="P16" s="44" t="str">
        <f t="shared" si="3"/>
        <v>High</v>
      </c>
      <c r="Q16" s="43">
        <v>850.8</v>
      </c>
      <c r="R16" s="43">
        <v>7.3999999999999996E-2</v>
      </c>
      <c r="S16" s="43">
        <v>9</v>
      </c>
      <c r="T16" s="43">
        <f t="shared" si="0"/>
        <v>14666.089860000002</v>
      </c>
      <c r="U16" s="33">
        <f t="shared" si="1"/>
        <v>6808.59</v>
      </c>
      <c r="V16" s="43">
        <f t="shared" si="4"/>
        <v>7857.4998600000017</v>
      </c>
      <c r="W16" s="45">
        <f t="shared" si="5"/>
        <v>0.53575969702943038</v>
      </c>
    </row>
    <row r="17" spans="1:23" x14ac:dyDescent="0.3">
      <c r="A17" s="34" t="s">
        <v>100</v>
      </c>
      <c r="B17" s="35">
        <v>45636</v>
      </c>
      <c r="C17" s="36">
        <v>45665</v>
      </c>
      <c r="D17" s="37">
        <f t="shared" si="6"/>
        <v>29</v>
      </c>
      <c r="E17" s="37" t="str">
        <f>TEXT(Data!B17,"MMM-YYYY")</f>
        <v>Dec-2024</v>
      </c>
      <c r="F17" s="37" t="str">
        <f t="shared" si="2"/>
        <v>Q4-2024</v>
      </c>
      <c r="G17" s="32" t="s">
        <v>78</v>
      </c>
      <c r="H17" s="32" t="s">
        <v>90</v>
      </c>
      <c r="I17" s="32" t="s">
        <v>91</v>
      </c>
      <c r="J17" s="32" t="s">
        <v>62</v>
      </c>
      <c r="K17" s="32" t="s">
        <v>20</v>
      </c>
      <c r="L17" s="32" t="s">
        <v>95</v>
      </c>
      <c r="M17" s="32" t="s">
        <v>30</v>
      </c>
      <c r="N17" s="32" t="s">
        <v>101</v>
      </c>
      <c r="O17" s="37">
        <v>891.08</v>
      </c>
      <c r="P17" s="38" t="str">
        <f t="shared" si="3"/>
        <v>High</v>
      </c>
      <c r="Q17" s="37">
        <v>1040.0999999999999</v>
      </c>
      <c r="R17" s="37">
        <v>0.109</v>
      </c>
      <c r="S17" s="37">
        <v>28</v>
      </c>
      <c r="T17" s="37">
        <f t="shared" si="0"/>
        <v>79945.865999999995</v>
      </c>
      <c r="U17" s="32">
        <f t="shared" si="1"/>
        <v>24950.240000000002</v>
      </c>
      <c r="V17" s="37">
        <f t="shared" si="4"/>
        <v>54995.625999999989</v>
      </c>
      <c r="W17" s="39">
        <f t="shared" si="5"/>
        <v>0.68791081705212864</v>
      </c>
    </row>
    <row r="18" spans="1:23" x14ac:dyDescent="0.3">
      <c r="A18" s="40" t="s">
        <v>102</v>
      </c>
      <c r="B18" s="41">
        <v>45908</v>
      </c>
      <c r="C18" s="42">
        <v>45916</v>
      </c>
      <c r="D18" s="43">
        <f t="shared" si="6"/>
        <v>8</v>
      </c>
      <c r="E18" s="43" t="str">
        <f>TEXT(Data!B18,"MMM-YYYY")</f>
        <v>Sep-2025</v>
      </c>
      <c r="F18" s="43" t="str">
        <f t="shared" si="2"/>
        <v>Q3-2025</v>
      </c>
      <c r="G18" s="33" t="s">
        <v>45</v>
      </c>
      <c r="H18" s="33" t="s">
        <v>46</v>
      </c>
      <c r="I18" s="33" t="s">
        <v>47</v>
      </c>
      <c r="J18" s="33" t="s">
        <v>19</v>
      </c>
      <c r="K18" s="33" t="s">
        <v>55</v>
      </c>
      <c r="L18" s="33" t="s">
        <v>21</v>
      </c>
      <c r="M18" s="33" t="s">
        <v>42</v>
      </c>
      <c r="N18" s="33" t="s">
        <v>103</v>
      </c>
      <c r="O18" s="43">
        <v>1225.57</v>
      </c>
      <c r="P18" s="44" t="str">
        <f t="shared" si="3"/>
        <v>High</v>
      </c>
      <c r="Q18" s="43">
        <v>2705.57</v>
      </c>
      <c r="R18" s="43">
        <v>0.183</v>
      </c>
      <c r="S18" s="43">
        <v>16</v>
      </c>
      <c r="T18" s="43">
        <f t="shared" si="0"/>
        <v>14842.34096</v>
      </c>
      <c r="U18" s="33">
        <f t="shared" si="1"/>
        <v>19609.12</v>
      </c>
      <c r="V18" s="43">
        <f t="shared" si="4"/>
        <v>-4766.7790399999994</v>
      </c>
      <c r="W18" s="45">
        <f t="shared" si="5"/>
        <v>-0.32116086356232038</v>
      </c>
    </row>
    <row r="19" spans="1:23" x14ac:dyDescent="0.3">
      <c r="A19" s="34" t="s">
        <v>104</v>
      </c>
      <c r="B19" s="35">
        <v>45858</v>
      </c>
      <c r="C19" s="36">
        <v>45874</v>
      </c>
      <c r="D19" s="37">
        <f t="shared" si="6"/>
        <v>16</v>
      </c>
      <c r="E19" s="37" t="str">
        <f>TEXT(Data!B19,"MMM-YYYY")</f>
        <v>Jul-2025</v>
      </c>
      <c r="F19" s="37" t="str">
        <f t="shared" si="2"/>
        <v>Q3-2025</v>
      </c>
      <c r="G19" s="32" t="s">
        <v>52</v>
      </c>
      <c r="H19" s="32" t="s">
        <v>73</v>
      </c>
      <c r="I19" s="32" t="s">
        <v>87</v>
      </c>
      <c r="J19" s="32" t="s">
        <v>105</v>
      </c>
      <c r="K19" s="32" t="s">
        <v>40</v>
      </c>
      <c r="L19" s="32" t="s">
        <v>41</v>
      </c>
      <c r="M19" s="32" t="s">
        <v>81</v>
      </c>
      <c r="N19" s="32" t="s">
        <v>106</v>
      </c>
      <c r="O19" s="37">
        <v>1068.17</v>
      </c>
      <c r="P19" s="38" t="str">
        <f t="shared" si="3"/>
        <v>High</v>
      </c>
      <c r="Q19" s="37">
        <v>2375.37</v>
      </c>
      <c r="R19" s="37">
        <v>0.109</v>
      </c>
      <c r="S19" s="37">
        <v>18</v>
      </c>
      <c r="T19" s="37">
        <f t="shared" si="0"/>
        <v>15979.62168</v>
      </c>
      <c r="U19" s="32">
        <f t="shared" si="1"/>
        <v>19227.060000000001</v>
      </c>
      <c r="V19" s="37">
        <f t="shared" si="4"/>
        <v>-3247.4383200000011</v>
      </c>
      <c r="W19" s="39">
        <f t="shared" si="5"/>
        <v>-0.20322372988745258</v>
      </c>
    </row>
    <row r="20" spans="1:23" x14ac:dyDescent="0.3">
      <c r="A20" s="40" t="s">
        <v>107</v>
      </c>
      <c r="B20" s="41">
        <v>45798</v>
      </c>
      <c r="C20" s="42">
        <v>45796</v>
      </c>
      <c r="D20" s="43">
        <f>DATEDIF(C20,B20, "MD")</f>
        <v>2</v>
      </c>
      <c r="E20" s="43" t="str">
        <f>TEXT(Data!B20,"MMM-YYYY")</f>
        <v>May-2025</v>
      </c>
      <c r="F20" s="43" t="str">
        <f t="shared" si="2"/>
        <v>Q2-2025</v>
      </c>
      <c r="G20" s="33" t="s">
        <v>78</v>
      </c>
      <c r="H20" s="33" t="s">
        <v>108</v>
      </c>
      <c r="I20" s="33" t="s">
        <v>109</v>
      </c>
      <c r="J20" s="33" t="s">
        <v>105</v>
      </c>
      <c r="K20" s="33" t="s">
        <v>28</v>
      </c>
      <c r="L20" s="33" t="s">
        <v>110</v>
      </c>
      <c r="M20" s="33" t="s">
        <v>57</v>
      </c>
      <c r="N20" s="33" t="s">
        <v>111</v>
      </c>
      <c r="O20" s="43">
        <v>1015.16</v>
      </c>
      <c r="P20" s="44" t="str">
        <f t="shared" si="3"/>
        <v>High</v>
      </c>
      <c r="Q20" s="43">
        <v>2148.14</v>
      </c>
      <c r="R20" s="43">
        <v>3.7999999999999999E-2</v>
      </c>
      <c r="S20" s="43">
        <v>19</v>
      </c>
      <c r="T20" s="43">
        <f t="shared" si="0"/>
        <v>25535.279900000001</v>
      </c>
      <c r="U20" s="33">
        <f t="shared" si="1"/>
        <v>19288.04</v>
      </c>
      <c r="V20" s="43">
        <f t="shared" si="4"/>
        <v>6247.2399000000005</v>
      </c>
      <c r="W20" s="45">
        <f t="shared" si="5"/>
        <v>0.24465131866441769</v>
      </c>
    </row>
    <row r="21" spans="1:23" x14ac:dyDescent="0.3">
      <c r="A21" s="34" t="s">
        <v>112</v>
      </c>
      <c r="B21" s="35">
        <v>45498</v>
      </c>
      <c r="C21" s="36">
        <v>45497</v>
      </c>
      <c r="D21" s="37">
        <f>DATEDIF(C21,B21, "MD")</f>
        <v>1</v>
      </c>
      <c r="E21" s="37" t="str">
        <f>TEXT(Data!B21,"MMM-YYYY")</f>
        <v>Jul-2024</v>
      </c>
      <c r="F21" s="37" t="str">
        <f t="shared" si="2"/>
        <v>Q3-2024</v>
      </c>
      <c r="G21" s="32" t="s">
        <v>16</v>
      </c>
      <c r="H21" s="32" t="s">
        <v>17</v>
      </c>
      <c r="I21" s="32" t="s">
        <v>113</v>
      </c>
      <c r="J21" s="32" t="s">
        <v>39</v>
      </c>
      <c r="K21" s="32" t="s">
        <v>98</v>
      </c>
      <c r="L21" s="32" t="s">
        <v>29</v>
      </c>
      <c r="M21" s="32" t="s">
        <v>57</v>
      </c>
      <c r="N21" s="32" t="s">
        <v>114</v>
      </c>
      <c r="O21" s="37">
        <v>1494.4</v>
      </c>
      <c r="P21" s="38" t="str">
        <f t="shared" si="3"/>
        <v>High</v>
      </c>
      <c r="Q21" s="37">
        <v>3661.07</v>
      </c>
      <c r="R21" s="37">
        <v>7.1999999999999995E-2</v>
      </c>
      <c r="S21" s="37">
        <v>7</v>
      </c>
      <c r="T21" s="37">
        <f t="shared" si="0"/>
        <v>3565.5894400000002</v>
      </c>
      <c r="U21" s="32">
        <f t="shared" si="1"/>
        <v>10460.800000000001</v>
      </c>
      <c r="V21" s="37">
        <f t="shared" si="4"/>
        <v>-6895.2105600000014</v>
      </c>
      <c r="W21" s="39">
        <f t="shared" si="5"/>
        <v>-1.9338206700544864</v>
      </c>
    </row>
    <row r="22" spans="1:23" x14ac:dyDescent="0.3">
      <c r="A22" s="40" t="s">
        <v>115</v>
      </c>
      <c r="B22" s="41">
        <v>45057</v>
      </c>
      <c r="C22" s="42">
        <v>45074</v>
      </c>
      <c r="D22" s="43">
        <f t="shared" si="6"/>
        <v>17</v>
      </c>
      <c r="E22" s="43" t="str">
        <f>TEXT(Data!B22,"MMM-YYYY")</f>
        <v>May-2023</v>
      </c>
      <c r="F22" s="43" t="str">
        <f t="shared" si="2"/>
        <v>Q2-2023</v>
      </c>
      <c r="G22" s="33" t="s">
        <v>45</v>
      </c>
      <c r="H22" s="33" t="s">
        <v>116</v>
      </c>
      <c r="I22" s="33" t="s">
        <v>117</v>
      </c>
      <c r="J22" s="33" t="s">
        <v>105</v>
      </c>
      <c r="K22" s="33" t="s">
        <v>40</v>
      </c>
      <c r="L22" s="33" t="s">
        <v>63</v>
      </c>
      <c r="M22" s="33" t="s">
        <v>35</v>
      </c>
      <c r="N22" s="33" t="s">
        <v>118</v>
      </c>
      <c r="O22" s="43">
        <v>1331.19</v>
      </c>
      <c r="P22" s="44" t="str">
        <f t="shared" si="3"/>
        <v>High</v>
      </c>
      <c r="Q22" s="43">
        <v>2903.09</v>
      </c>
      <c r="R22" s="43">
        <v>0.14299999999999999</v>
      </c>
      <c r="S22" s="43">
        <v>8</v>
      </c>
      <c r="T22" s="43">
        <f t="shared" si="0"/>
        <v>24160.543999999998</v>
      </c>
      <c r="U22" s="33">
        <f t="shared" si="1"/>
        <v>10649.52</v>
      </c>
      <c r="V22" s="43">
        <f t="shared" si="4"/>
        <v>13511.023999999998</v>
      </c>
      <c r="W22" s="45">
        <f t="shared" si="5"/>
        <v>0.55921853415221112</v>
      </c>
    </row>
    <row r="23" spans="1:23" x14ac:dyDescent="0.3">
      <c r="A23" s="34" t="s">
        <v>119</v>
      </c>
      <c r="B23" s="35">
        <v>45822</v>
      </c>
      <c r="C23" s="36">
        <v>45837</v>
      </c>
      <c r="D23" s="37">
        <f t="shared" si="6"/>
        <v>15</v>
      </c>
      <c r="E23" s="37" t="str">
        <f>TEXT(Data!B23,"MMM-YYYY")</f>
        <v>Jun-2025</v>
      </c>
      <c r="F23" s="37" t="str">
        <f t="shared" si="2"/>
        <v>Q2-2025</v>
      </c>
      <c r="G23" s="32" t="s">
        <v>16</v>
      </c>
      <c r="H23" s="32" t="s">
        <v>25</v>
      </c>
      <c r="I23" s="32" t="s">
        <v>26</v>
      </c>
      <c r="J23" s="32" t="s">
        <v>48</v>
      </c>
      <c r="K23" s="32" t="s">
        <v>40</v>
      </c>
      <c r="L23" s="32" t="s">
        <v>110</v>
      </c>
      <c r="M23" s="32" t="s">
        <v>81</v>
      </c>
      <c r="N23" s="32" t="s">
        <v>120</v>
      </c>
      <c r="O23" s="37">
        <v>730.99</v>
      </c>
      <c r="P23" s="38" t="str">
        <f t="shared" si="3"/>
        <v>High</v>
      </c>
      <c r="Q23" s="37">
        <v>1242.8399999999999</v>
      </c>
      <c r="R23" s="37">
        <v>0.12</v>
      </c>
      <c r="S23" s="37">
        <v>10</v>
      </c>
      <c r="T23" s="37">
        <f t="shared" si="0"/>
        <v>16065.367999999999</v>
      </c>
      <c r="U23" s="32">
        <f t="shared" si="1"/>
        <v>7309.9</v>
      </c>
      <c r="V23" s="37">
        <f t="shared" si="4"/>
        <v>8755.4679999999989</v>
      </c>
      <c r="W23" s="39">
        <f t="shared" si="5"/>
        <v>0.54499019256826231</v>
      </c>
    </row>
    <row r="24" spans="1:23" x14ac:dyDescent="0.3">
      <c r="A24" s="40" t="s">
        <v>121</v>
      </c>
      <c r="B24" s="41">
        <v>45430</v>
      </c>
      <c r="C24" s="42">
        <v>45435</v>
      </c>
      <c r="D24" s="43">
        <f t="shared" si="6"/>
        <v>5</v>
      </c>
      <c r="E24" s="43" t="str">
        <f>TEXT(Data!B24,"MMM-YYYY")</f>
        <v>May-2024</v>
      </c>
      <c r="F24" s="43" t="str">
        <f t="shared" si="2"/>
        <v>Q2-2024</v>
      </c>
      <c r="G24" s="33" t="s">
        <v>52</v>
      </c>
      <c r="H24" s="33" t="s">
        <v>122</v>
      </c>
      <c r="I24" s="33" t="s">
        <v>123</v>
      </c>
      <c r="J24" s="33" t="s">
        <v>105</v>
      </c>
      <c r="K24" s="33" t="s">
        <v>20</v>
      </c>
      <c r="L24" s="33" t="s">
        <v>92</v>
      </c>
      <c r="M24" s="33" t="s">
        <v>57</v>
      </c>
      <c r="N24" s="33" t="s">
        <v>124</v>
      </c>
      <c r="O24" s="43">
        <v>1274.5899999999999</v>
      </c>
      <c r="P24" s="44" t="str">
        <f t="shared" si="3"/>
        <v>High</v>
      </c>
      <c r="Q24" s="43">
        <v>2553.69</v>
      </c>
      <c r="R24" s="43">
        <v>0.01</v>
      </c>
      <c r="S24" s="43">
        <v>8</v>
      </c>
      <c r="T24" s="43">
        <f t="shared" si="0"/>
        <v>14187.650399999999</v>
      </c>
      <c r="U24" s="33">
        <f t="shared" si="1"/>
        <v>10196.719999999999</v>
      </c>
      <c r="V24" s="43">
        <f t="shared" si="4"/>
        <v>3990.9303999999993</v>
      </c>
      <c r="W24" s="45">
        <f t="shared" si="5"/>
        <v>0.28129607704458237</v>
      </c>
    </row>
    <row r="25" spans="1:23" x14ac:dyDescent="0.3">
      <c r="A25" s="34" t="s">
        <v>125</v>
      </c>
      <c r="B25" s="35">
        <v>44964</v>
      </c>
      <c r="C25" s="36">
        <v>44969</v>
      </c>
      <c r="D25" s="37">
        <f t="shared" si="6"/>
        <v>5</v>
      </c>
      <c r="E25" s="37" t="str">
        <f>TEXT(Data!B25,"MMM-YYYY")</f>
        <v>Feb-2023</v>
      </c>
      <c r="F25" s="37" t="str">
        <f t="shared" si="2"/>
        <v>Q1-2023</v>
      </c>
      <c r="G25" s="32" t="s">
        <v>52</v>
      </c>
      <c r="H25" s="32" t="s">
        <v>73</v>
      </c>
      <c r="I25" s="32" t="s">
        <v>74</v>
      </c>
      <c r="J25" s="32" t="s">
        <v>27</v>
      </c>
      <c r="K25" s="32" t="s">
        <v>28</v>
      </c>
      <c r="L25" s="32" t="s">
        <v>126</v>
      </c>
      <c r="M25" s="32" t="s">
        <v>22</v>
      </c>
      <c r="N25" s="32" t="s">
        <v>127</v>
      </c>
      <c r="O25" s="37">
        <v>948.55</v>
      </c>
      <c r="P25" s="38" t="str">
        <f t="shared" si="3"/>
        <v>High</v>
      </c>
      <c r="Q25" s="37">
        <v>2089.16</v>
      </c>
      <c r="R25" s="37">
        <v>7.0000000000000001E-3</v>
      </c>
      <c r="S25" s="37">
        <v>12</v>
      </c>
      <c r="T25" s="37">
        <f t="shared" si="0"/>
        <v>31336.100999999999</v>
      </c>
      <c r="U25" s="32">
        <f t="shared" si="1"/>
        <v>11382.599999999999</v>
      </c>
      <c r="V25" s="37">
        <f t="shared" si="4"/>
        <v>19953.501</v>
      </c>
      <c r="W25" s="39">
        <f t="shared" si="5"/>
        <v>0.63675761703729516</v>
      </c>
    </row>
    <row r="26" spans="1:23" x14ac:dyDescent="0.3">
      <c r="A26" s="40" t="s">
        <v>128</v>
      </c>
      <c r="B26" s="41">
        <v>45473</v>
      </c>
      <c r="C26" s="42">
        <v>45487</v>
      </c>
      <c r="D26" s="43">
        <f t="shared" si="6"/>
        <v>14</v>
      </c>
      <c r="E26" s="43" t="str">
        <f>TEXT(Data!B26,"MMM-YYYY")</f>
        <v>Jun-2024</v>
      </c>
      <c r="F26" s="43" t="str">
        <f t="shared" si="2"/>
        <v>Q2-2024</v>
      </c>
      <c r="G26" s="33" t="s">
        <v>52</v>
      </c>
      <c r="H26" s="33" t="s">
        <v>73</v>
      </c>
      <c r="I26" s="33" t="s">
        <v>87</v>
      </c>
      <c r="J26" s="33" t="s">
        <v>27</v>
      </c>
      <c r="K26" s="33" t="s">
        <v>20</v>
      </c>
      <c r="L26" s="33" t="s">
        <v>21</v>
      </c>
      <c r="M26" s="33" t="s">
        <v>81</v>
      </c>
      <c r="N26" s="33" t="s">
        <v>129</v>
      </c>
      <c r="O26" s="43">
        <v>1491.85</v>
      </c>
      <c r="P26" s="44" t="str">
        <f t="shared" si="3"/>
        <v>High</v>
      </c>
      <c r="Q26" s="43">
        <v>2583.02</v>
      </c>
      <c r="R26" s="43">
        <v>0.16800000000000001</v>
      </c>
      <c r="S26" s="43">
        <v>4</v>
      </c>
      <c r="T26" s="43">
        <f t="shared" si="0"/>
        <v>353.76639999999998</v>
      </c>
      <c r="U26" s="33">
        <f t="shared" si="1"/>
        <v>5967.4</v>
      </c>
      <c r="V26" s="43">
        <f t="shared" si="4"/>
        <v>-5613.6335999999992</v>
      </c>
      <c r="W26" s="45">
        <f t="shared" si="5"/>
        <v>-15.868193248426079</v>
      </c>
    </row>
    <row r="27" spans="1:23" x14ac:dyDescent="0.3">
      <c r="A27" s="34" t="s">
        <v>130</v>
      </c>
      <c r="B27" s="35">
        <v>45626</v>
      </c>
      <c r="C27" s="36">
        <v>45656</v>
      </c>
      <c r="D27" s="37">
        <f t="shared" si="6"/>
        <v>0</v>
      </c>
      <c r="E27" s="37" t="str">
        <f>TEXT(Data!B27,"MMM-YYYY")</f>
        <v>Nov-2024</v>
      </c>
      <c r="F27" s="37" t="str">
        <f t="shared" si="2"/>
        <v>Q4-2024</v>
      </c>
      <c r="G27" s="32" t="s">
        <v>78</v>
      </c>
      <c r="H27" s="32" t="s">
        <v>90</v>
      </c>
      <c r="I27" s="32" t="s">
        <v>91</v>
      </c>
      <c r="J27" s="32" t="s">
        <v>48</v>
      </c>
      <c r="K27" s="32" t="s">
        <v>40</v>
      </c>
      <c r="L27" s="32" t="s">
        <v>84</v>
      </c>
      <c r="M27" s="32" t="s">
        <v>30</v>
      </c>
      <c r="N27" s="32" t="s">
        <v>131</v>
      </c>
      <c r="O27" s="37">
        <v>117.64</v>
      </c>
      <c r="P27" s="38" t="str">
        <f t="shared" si="3"/>
        <v>Medium</v>
      </c>
      <c r="Q27" s="37">
        <v>175.67</v>
      </c>
      <c r="R27" s="37">
        <v>0</v>
      </c>
      <c r="S27" s="37">
        <v>10</v>
      </c>
      <c r="T27" s="37">
        <f t="shared" si="0"/>
        <v>3857.2000000000003</v>
      </c>
      <c r="U27" s="32">
        <f t="shared" si="1"/>
        <v>1176.4000000000001</v>
      </c>
      <c r="V27" s="37">
        <f t="shared" si="4"/>
        <v>2680.8</v>
      </c>
      <c r="W27" s="39">
        <f t="shared" si="5"/>
        <v>0.69501192574924819</v>
      </c>
    </row>
    <row r="28" spans="1:23" x14ac:dyDescent="0.3">
      <c r="A28" s="40" t="s">
        <v>132</v>
      </c>
      <c r="B28" s="41">
        <v>45492</v>
      </c>
      <c r="C28" s="42">
        <v>45492</v>
      </c>
      <c r="D28" s="43">
        <f t="shared" si="6"/>
        <v>0</v>
      </c>
      <c r="E28" s="43" t="str">
        <f>TEXT(Data!B28,"MMM-YYYY")</f>
        <v>Jul-2024</v>
      </c>
      <c r="F28" s="43" t="str">
        <f t="shared" si="2"/>
        <v>Q3-2024</v>
      </c>
      <c r="G28" s="33" t="s">
        <v>16</v>
      </c>
      <c r="H28" s="33" t="s">
        <v>17</v>
      </c>
      <c r="I28" s="33" t="s">
        <v>18</v>
      </c>
      <c r="J28" s="33" t="s">
        <v>62</v>
      </c>
      <c r="K28" s="33" t="s">
        <v>20</v>
      </c>
      <c r="L28" s="33" t="s">
        <v>75</v>
      </c>
      <c r="M28" s="33" t="s">
        <v>42</v>
      </c>
      <c r="N28" s="33" t="s">
        <v>133</v>
      </c>
      <c r="O28" s="43">
        <v>857.24</v>
      </c>
      <c r="P28" s="44" t="str">
        <f t="shared" si="3"/>
        <v>High</v>
      </c>
      <c r="Q28" s="43">
        <v>758.23</v>
      </c>
      <c r="R28" s="43">
        <v>0.125</v>
      </c>
      <c r="S28" s="43">
        <v>6</v>
      </c>
      <c r="T28" s="43">
        <f t="shared" si="0"/>
        <v>1243.5675000000001</v>
      </c>
      <c r="U28" s="33">
        <f t="shared" si="1"/>
        <v>5143.4400000000005</v>
      </c>
      <c r="V28" s="43">
        <f t="shared" si="4"/>
        <v>-3899.8725000000004</v>
      </c>
      <c r="W28" s="45">
        <f t="shared" si="5"/>
        <v>-3.1360360414694015</v>
      </c>
    </row>
    <row r="29" spans="1:23" x14ac:dyDescent="0.3">
      <c r="A29" s="34" t="s">
        <v>134</v>
      </c>
      <c r="B29" s="35">
        <v>45030</v>
      </c>
      <c r="C29" s="36">
        <v>45060</v>
      </c>
      <c r="D29" s="37">
        <f t="shared" si="6"/>
        <v>0</v>
      </c>
      <c r="E29" s="37" t="str">
        <f>TEXT(Data!B29,"MMM-YYYY")</f>
        <v>Apr-2023</v>
      </c>
      <c r="F29" s="37" t="str">
        <f t="shared" si="2"/>
        <v>Q2-2023</v>
      </c>
      <c r="G29" s="32" t="s">
        <v>16</v>
      </c>
      <c r="H29" s="32" t="s">
        <v>17</v>
      </c>
      <c r="I29" s="32" t="s">
        <v>135</v>
      </c>
      <c r="J29" s="32" t="s">
        <v>48</v>
      </c>
      <c r="K29" s="32" t="s">
        <v>40</v>
      </c>
      <c r="L29" s="32" t="s">
        <v>110</v>
      </c>
      <c r="M29" s="32" t="s">
        <v>42</v>
      </c>
      <c r="N29" s="32" t="s">
        <v>136</v>
      </c>
      <c r="O29" s="37">
        <v>209.25</v>
      </c>
      <c r="P29" s="38" t="str">
        <f t="shared" si="3"/>
        <v>High</v>
      </c>
      <c r="Q29" s="37">
        <v>434.8</v>
      </c>
      <c r="R29" s="37">
        <v>0</v>
      </c>
      <c r="S29" s="37">
        <v>9</v>
      </c>
      <c r="T29" s="37">
        <f t="shared" si="0"/>
        <v>377.09999999999997</v>
      </c>
      <c r="U29" s="32">
        <f t="shared" si="1"/>
        <v>1883.25</v>
      </c>
      <c r="V29" s="37">
        <f t="shared" si="4"/>
        <v>-1506.15</v>
      </c>
      <c r="W29" s="39">
        <f t="shared" si="5"/>
        <v>-3.9940334128878288</v>
      </c>
    </row>
    <row r="30" spans="1:23" x14ac:dyDescent="0.3">
      <c r="A30" s="40" t="s">
        <v>137</v>
      </c>
      <c r="B30" s="41">
        <v>45754</v>
      </c>
      <c r="C30" s="42">
        <v>45758</v>
      </c>
      <c r="D30" s="43">
        <f t="shared" si="6"/>
        <v>4</v>
      </c>
      <c r="E30" s="43" t="str">
        <f>TEXT(Data!B30,"MMM-YYYY")</f>
        <v>Apr-2025</v>
      </c>
      <c r="F30" s="43" t="str">
        <f t="shared" si="2"/>
        <v>Q2-2025</v>
      </c>
      <c r="G30" s="33" t="s">
        <v>78</v>
      </c>
      <c r="H30" s="33" t="s">
        <v>90</v>
      </c>
      <c r="I30" s="33" t="s">
        <v>138</v>
      </c>
      <c r="J30" s="33" t="s">
        <v>27</v>
      </c>
      <c r="K30" s="33" t="s">
        <v>20</v>
      </c>
      <c r="L30" s="33" t="s">
        <v>63</v>
      </c>
      <c r="M30" s="33" t="s">
        <v>35</v>
      </c>
      <c r="N30" s="33" t="s">
        <v>139</v>
      </c>
      <c r="O30" s="43">
        <v>754.77</v>
      </c>
      <c r="P30" s="44" t="str">
        <f t="shared" si="3"/>
        <v>High</v>
      </c>
      <c r="Q30" s="43">
        <v>1666.18</v>
      </c>
      <c r="R30" s="43">
        <v>0.13900000000000001</v>
      </c>
      <c r="S30" s="43">
        <v>14</v>
      </c>
      <c r="T30" s="43">
        <f t="shared" si="0"/>
        <v>11781.338519999999</v>
      </c>
      <c r="U30" s="33">
        <f t="shared" si="1"/>
        <v>10566.779999999999</v>
      </c>
      <c r="V30" s="43">
        <f t="shared" si="4"/>
        <v>1214.5585200000005</v>
      </c>
      <c r="W30" s="45">
        <f t="shared" si="5"/>
        <v>0.10309172577786183</v>
      </c>
    </row>
    <row r="31" spans="1:23" x14ac:dyDescent="0.3">
      <c r="A31" s="34" t="s">
        <v>140</v>
      </c>
      <c r="B31" s="35">
        <v>45653</v>
      </c>
      <c r="C31" s="36">
        <v>45672</v>
      </c>
      <c r="D31" s="37">
        <f t="shared" si="6"/>
        <v>19</v>
      </c>
      <c r="E31" s="37" t="str">
        <f>TEXT(Data!B31,"MMM-YYYY")</f>
        <v>Dec-2024</v>
      </c>
      <c r="F31" s="37" t="str">
        <f t="shared" si="2"/>
        <v>Q4-2024</v>
      </c>
      <c r="G31" s="32" t="s">
        <v>45</v>
      </c>
      <c r="H31" s="32" t="s">
        <v>60</v>
      </c>
      <c r="I31" s="32" t="s">
        <v>141</v>
      </c>
      <c r="J31" s="32" t="s">
        <v>39</v>
      </c>
      <c r="K31" s="32" t="s">
        <v>55</v>
      </c>
      <c r="L31" s="32" t="s">
        <v>41</v>
      </c>
      <c r="M31" s="32" t="s">
        <v>22</v>
      </c>
      <c r="N31" s="32" t="s">
        <v>142</v>
      </c>
      <c r="O31" s="37">
        <v>495.59</v>
      </c>
      <c r="P31" s="38" t="str">
        <f t="shared" si="3"/>
        <v>High</v>
      </c>
      <c r="Q31" s="37">
        <v>631.78</v>
      </c>
      <c r="R31" s="37">
        <v>8.6999999999999994E-2</v>
      </c>
      <c r="S31" s="37">
        <v>17</v>
      </c>
      <c r="T31" s="37">
        <f t="shared" si="0"/>
        <v>43367.691729999999</v>
      </c>
      <c r="U31" s="32">
        <f t="shared" si="1"/>
        <v>8425.0299999999988</v>
      </c>
      <c r="V31" s="37">
        <f t="shared" si="4"/>
        <v>34942.66173</v>
      </c>
      <c r="W31" s="39">
        <f t="shared" si="5"/>
        <v>0.8057302645376464</v>
      </c>
    </row>
    <row r="32" spans="1:23" x14ac:dyDescent="0.3">
      <c r="A32" s="40" t="s">
        <v>143</v>
      </c>
      <c r="B32" s="41">
        <v>44980</v>
      </c>
      <c r="C32" s="42">
        <v>45010</v>
      </c>
      <c r="D32" s="43">
        <f t="shared" si="6"/>
        <v>2</v>
      </c>
      <c r="E32" s="43" t="str">
        <f>TEXT(Data!B32,"MMM-YYYY")</f>
        <v>Feb-2023</v>
      </c>
      <c r="F32" s="43" t="str">
        <f t="shared" si="2"/>
        <v>Q1-2023</v>
      </c>
      <c r="G32" s="33" t="s">
        <v>52</v>
      </c>
      <c r="H32" s="33" t="s">
        <v>53</v>
      </c>
      <c r="I32" s="33" t="s">
        <v>144</v>
      </c>
      <c r="J32" s="33" t="s">
        <v>105</v>
      </c>
      <c r="K32" s="33" t="s">
        <v>28</v>
      </c>
      <c r="L32" s="33" t="s">
        <v>145</v>
      </c>
      <c r="M32" s="33" t="s">
        <v>42</v>
      </c>
      <c r="N32" s="33" t="s">
        <v>146</v>
      </c>
      <c r="O32" s="43">
        <v>1242.6600000000001</v>
      </c>
      <c r="P32" s="44" t="str">
        <f t="shared" si="3"/>
        <v>High</v>
      </c>
      <c r="Q32" s="43">
        <v>1794.07</v>
      </c>
      <c r="R32" s="43">
        <v>8.8999999999999996E-2</v>
      </c>
      <c r="S32" s="43">
        <v>16</v>
      </c>
      <c r="T32" s="43">
        <f t="shared" si="0"/>
        <v>10231.623200000002</v>
      </c>
      <c r="U32" s="33">
        <f t="shared" si="1"/>
        <v>19882.560000000001</v>
      </c>
      <c r="V32" s="43">
        <f t="shared" si="4"/>
        <v>-9650.9367999999995</v>
      </c>
      <c r="W32" s="45">
        <f t="shared" si="5"/>
        <v>-0.94324591624914389</v>
      </c>
    </row>
    <row r="33" spans="1:23" x14ac:dyDescent="0.3">
      <c r="A33" s="34" t="s">
        <v>147</v>
      </c>
      <c r="B33" s="35">
        <v>45862</v>
      </c>
      <c r="C33" s="36">
        <v>45875</v>
      </c>
      <c r="D33" s="37">
        <f t="shared" si="6"/>
        <v>13</v>
      </c>
      <c r="E33" s="37" t="str">
        <f>TEXT(Data!B33,"MMM-YYYY")</f>
        <v>Jul-2025</v>
      </c>
      <c r="F33" s="37" t="str">
        <f t="shared" si="2"/>
        <v>Q3-2025</v>
      </c>
      <c r="G33" s="32" t="s">
        <v>16</v>
      </c>
      <c r="H33" s="32" t="s">
        <v>148</v>
      </c>
      <c r="I33" s="32" t="s">
        <v>149</v>
      </c>
      <c r="J33" s="32" t="s">
        <v>27</v>
      </c>
      <c r="K33" s="32" t="s">
        <v>40</v>
      </c>
      <c r="L33" s="32" t="s">
        <v>145</v>
      </c>
      <c r="M33" s="32" t="s">
        <v>35</v>
      </c>
      <c r="N33" s="32" t="s">
        <v>150</v>
      </c>
      <c r="O33" s="37">
        <v>1463.9</v>
      </c>
      <c r="P33" s="38" t="str">
        <f t="shared" si="3"/>
        <v>High</v>
      </c>
      <c r="Q33" s="37">
        <v>2633.02</v>
      </c>
      <c r="R33" s="37">
        <v>8.4000000000000005E-2</v>
      </c>
      <c r="S33" s="37">
        <v>4</v>
      </c>
      <c r="T33" s="37">
        <f t="shared" si="0"/>
        <v>-19.309279999999998</v>
      </c>
      <c r="U33" s="32">
        <f t="shared" si="1"/>
        <v>5855.6</v>
      </c>
      <c r="V33" s="37">
        <f t="shared" si="4"/>
        <v>-5874.9092800000008</v>
      </c>
      <c r="W33" s="39">
        <f t="shared" si="5"/>
        <v>304.25315081660227</v>
      </c>
    </row>
    <row r="34" spans="1:23" x14ac:dyDescent="0.3">
      <c r="A34" s="40" t="s">
        <v>151</v>
      </c>
      <c r="B34" s="41">
        <v>45400</v>
      </c>
      <c r="C34" s="42">
        <v>45420</v>
      </c>
      <c r="D34" s="43">
        <f t="shared" si="6"/>
        <v>20</v>
      </c>
      <c r="E34" s="43" t="str">
        <f>TEXT(Data!B34,"MMM-YYYY")</f>
        <v>Apr-2024</v>
      </c>
      <c r="F34" s="43" t="str">
        <f t="shared" si="2"/>
        <v>Q2-2024</v>
      </c>
      <c r="G34" s="33" t="s">
        <v>78</v>
      </c>
      <c r="H34" s="33" t="s">
        <v>108</v>
      </c>
      <c r="I34" s="33" t="s">
        <v>152</v>
      </c>
      <c r="J34" s="33" t="s">
        <v>39</v>
      </c>
      <c r="K34" s="33" t="s">
        <v>1364</v>
      </c>
      <c r="L34" s="33" t="s">
        <v>145</v>
      </c>
      <c r="M34" s="33" t="s">
        <v>57</v>
      </c>
      <c r="N34" s="33" t="s">
        <v>153</v>
      </c>
      <c r="O34" s="43">
        <v>645.33000000000004</v>
      </c>
      <c r="P34" s="44" t="str">
        <f t="shared" si="3"/>
        <v>High</v>
      </c>
      <c r="Q34" s="43">
        <v>1321.85</v>
      </c>
      <c r="R34" s="43">
        <v>0</v>
      </c>
      <c r="S34" s="43">
        <v>10</v>
      </c>
      <c r="T34" s="43">
        <f t="shared" si="0"/>
        <v>14370.599999999999</v>
      </c>
      <c r="U34" s="33">
        <f t="shared" si="1"/>
        <v>6453.3</v>
      </c>
      <c r="V34" s="43">
        <f t="shared" si="4"/>
        <v>7917.2999999999984</v>
      </c>
      <c r="W34" s="45">
        <f t="shared" si="5"/>
        <v>0.55093733038286496</v>
      </c>
    </row>
    <row r="35" spans="1:23" x14ac:dyDescent="0.3">
      <c r="A35" s="34" t="s">
        <v>154</v>
      </c>
      <c r="B35" s="35">
        <v>45527</v>
      </c>
      <c r="C35" s="36">
        <v>45525</v>
      </c>
      <c r="D35" s="37">
        <f>DATEDIF(C35,B35, "MD")</f>
        <v>2</v>
      </c>
      <c r="E35" s="37" t="str">
        <f>TEXT(Data!B35,"MMM-YYYY")</f>
        <v>Aug-2024</v>
      </c>
      <c r="F35" s="37" t="str">
        <f t="shared" si="2"/>
        <v>Q3-2024</v>
      </c>
      <c r="G35" s="32" t="s">
        <v>16</v>
      </c>
      <c r="H35" s="32" t="s">
        <v>148</v>
      </c>
      <c r="I35" s="32" t="s">
        <v>149</v>
      </c>
      <c r="J35" s="32" t="s">
        <v>27</v>
      </c>
      <c r="K35" s="32" t="s">
        <v>20</v>
      </c>
      <c r="L35" s="32" t="s">
        <v>63</v>
      </c>
      <c r="M35" s="32" t="s">
        <v>22</v>
      </c>
      <c r="N35" s="32" t="s">
        <v>155</v>
      </c>
      <c r="O35" s="37">
        <v>1432.52</v>
      </c>
      <c r="P35" s="38" t="str">
        <f t="shared" si="3"/>
        <v>High</v>
      </c>
      <c r="Q35" s="37">
        <v>3036.87</v>
      </c>
      <c r="R35" s="37">
        <v>0</v>
      </c>
      <c r="S35" s="37">
        <v>9</v>
      </c>
      <c r="T35" s="37">
        <f t="shared" si="0"/>
        <v>17207.010000000002</v>
      </c>
      <c r="U35" s="32">
        <f t="shared" si="1"/>
        <v>12892.68</v>
      </c>
      <c r="V35" s="37">
        <f t="shared" si="4"/>
        <v>4314.3300000000017</v>
      </c>
      <c r="W35" s="39">
        <f t="shared" si="5"/>
        <v>0.25073095209452434</v>
      </c>
    </row>
    <row r="36" spans="1:23" x14ac:dyDescent="0.3">
      <c r="A36" s="40" t="s">
        <v>156</v>
      </c>
      <c r="B36" s="41">
        <v>45012</v>
      </c>
      <c r="C36" s="42">
        <v>45038</v>
      </c>
      <c r="D36" s="43">
        <f t="shared" si="6"/>
        <v>26</v>
      </c>
      <c r="E36" s="43" t="str">
        <f>TEXT(Data!B36,"MMM-YYYY")</f>
        <v>Mar-2023</v>
      </c>
      <c r="F36" s="43" t="str">
        <f t="shared" si="2"/>
        <v>Q1-2023</v>
      </c>
      <c r="G36" s="33" t="s">
        <v>45</v>
      </c>
      <c r="H36" s="33" t="s">
        <v>60</v>
      </c>
      <c r="I36" s="33" t="s">
        <v>141</v>
      </c>
      <c r="J36" s="33" t="s">
        <v>39</v>
      </c>
      <c r="K36" s="33" t="s">
        <v>40</v>
      </c>
      <c r="L36" s="33" t="s">
        <v>29</v>
      </c>
      <c r="M36" s="33" t="s">
        <v>30</v>
      </c>
      <c r="N36" s="33" t="s">
        <v>157</v>
      </c>
      <c r="O36" s="43">
        <v>178.53</v>
      </c>
      <c r="P36" s="44" t="str">
        <f t="shared" si="3"/>
        <v>Medium</v>
      </c>
      <c r="Q36" s="43">
        <v>199.37</v>
      </c>
      <c r="R36" s="43">
        <v>0.10100000000000001</v>
      </c>
      <c r="S36" s="43">
        <v>37</v>
      </c>
      <c r="T36" s="43">
        <f t="shared" si="0"/>
        <v>86276.904139999999</v>
      </c>
      <c r="U36" s="33">
        <f t="shared" si="1"/>
        <v>6605.61</v>
      </c>
      <c r="V36" s="43">
        <f t="shared" si="4"/>
        <v>79671.294139999998</v>
      </c>
      <c r="W36" s="45">
        <f t="shared" si="5"/>
        <v>0.92343709981432354</v>
      </c>
    </row>
    <row r="37" spans="1:23" x14ac:dyDescent="0.3">
      <c r="A37" s="34" t="s">
        <v>158</v>
      </c>
      <c r="B37" s="35">
        <v>45358</v>
      </c>
      <c r="C37" s="36">
        <v>45376</v>
      </c>
      <c r="D37" s="37">
        <f t="shared" si="6"/>
        <v>18</v>
      </c>
      <c r="E37" s="37" t="str">
        <f>TEXT(Data!B37,"MMM-YYYY")</f>
        <v>Mar-2024</v>
      </c>
      <c r="F37" s="37" t="str">
        <f t="shared" si="2"/>
        <v>Q1-2024</v>
      </c>
      <c r="G37" s="32" t="s">
        <v>78</v>
      </c>
      <c r="H37" s="32" t="s">
        <v>79</v>
      </c>
      <c r="I37" s="32" t="s">
        <v>159</v>
      </c>
      <c r="J37" s="32" t="s">
        <v>19</v>
      </c>
      <c r="K37" s="32" t="s">
        <v>28</v>
      </c>
      <c r="L37" s="32" t="s">
        <v>56</v>
      </c>
      <c r="M37" s="32" t="s">
        <v>22</v>
      </c>
      <c r="N37" s="32" t="s">
        <v>160</v>
      </c>
      <c r="O37" s="37">
        <v>712.84</v>
      </c>
      <c r="P37" s="38" t="str">
        <f t="shared" si="3"/>
        <v>High</v>
      </c>
      <c r="Q37" s="37">
        <v>927.51</v>
      </c>
      <c r="R37" s="37">
        <v>0.24299999999999999</v>
      </c>
      <c r="S37" s="37">
        <v>27</v>
      </c>
      <c r="T37" s="37">
        <f t="shared" si="0"/>
        <v>25427.751119999997</v>
      </c>
      <c r="U37" s="32">
        <f t="shared" si="1"/>
        <v>19246.68</v>
      </c>
      <c r="V37" s="37">
        <f t="shared" si="4"/>
        <v>6181.0711199999969</v>
      </c>
      <c r="W37" s="39">
        <f t="shared" si="5"/>
        <v>0.24308367227718869</v>
      </c>
    </row>
    <row r="38" spans="1:23" x14ac:dyDescent="0.3">
      <c r="A38" s="40" t="s">
        <v>161</v>
      </c>
      <c r="B38" s="41">
        <v>45832</v>
      </c>
      <c r="C38" s="42">
        <v>45848</v>
      </c>
      <c r="D38" s="43">
        <f t="shared" si="6"/>
        <v>16</v>
      </c>
      <c r="E38" s="43" t="str">
        <f>TEXT(Data!B38,"MMM-YYYY")</f>
        <v>Jun-2025</v>
      </c>
      <c r="F38" s="43" t="str">
        <f t="shared" si="2"/>
        <v>Q2-2025</v>
      </c>
      <c r="G38" s="33" t="s">
        <v>45</v>
      </c>
      <c r="H38" s="33" t="s">
        <v>116</v>
      </c>
      <c r="I38" s="33" t="s">
        <v>162</v>
      </c>
      <c r="J38" s="33" t="s">
        <v>105</v>
      </c>
      <c r="K38" s="33" t="s">
        <v>98</v>
      </c>
      <c r="L38" s="33" t="s">
        <v>126</v>
      </c>
      <c r="M38" s="33" t="s">
        <v>22</v>
      </c>
      <c r="N38" s="33" t="s">
        <v>163</v>
      </c>
      <c r="O38" s="43">
        <v>757.19</v>
      </c>
      <c r="P38" s="44" t="str">
        <f t="shared" si="3"/>
        <v>High</v>
      </c>
      <c r="Q38" s="43">
        <v>1735.41</v>
      </c>
      <c r="R38" s="43">
        <v>0.13600000000000001</v>
      </c>
      <c r="S38" s="43">
        <v>8</v>
      </c>
      <c r="T38" s="43">
        <f t="shared" si="0"/>
        <v>13219.269119999999</v>
      </c>
      <c r="U38" s="33">
        <f t="shared" si="1"/>
        <v>6057.52</v>
      </c>
      <c r="V38" s="43">
        <f t="shared" si="4"/>
        <v>7161.7491199999986</v>
      </c>
      <c r="W38" s="45">
        <f t="shared" si="5"/>
        <v>0.54176589151700383</v>
      </c>
    </row>
    <row r="39" spans="1:23" x14ac:dyDescent="0.3">
      <c r="A39" s="34" t="s">
        <v>164</v>
      </c>
      <c r="B39" s="35">
        <v>45401</v>
      </c>
      <c r="C39" s="36">
        <v>45418</v>
      </c>
      <c r="D39" s="37">
        <f t="shared" si="6"/>
        <v>17</v>
      </c>
      <c r="E39" s="37" t="str">
        <f>TEXT(Data!B39,"MMM-YYYY")</f>
        <v>Apr-2024</v>
      </c>
      <c r="F39" s="37" t="str">
        <f t="shared" si="2"/>
        <v>Q2-2024</v>
      </c>
      <c r="G39" s="32" t="s">
        <v>16</v>
      </c>
      <c r="H39" s="32" t="s">
        <v>25</v>
      </c>
      <c r="I39" s="32" t="s">
        <v>26</v>
      </c>
      <c r="J39" s="32" t="s">
        <v>39</v>
      </c>
      <c r="K39" s="32" t="s">
        <v>28</v>
      </c>
      <c r="L39" s="32" t="s">
        <v>75</v>
      </c>
      <c r="M39" s="32" t="s">
        <v>30</v>
      </c>
      <c r="N39" s="32" t="s">
        <v>165</v>
      </c>
      <c r="O39" s="37">
        <v>865.33</v>
      </c>
      <c r="P39" s="38" t="str">
        <f t="shared" si="3"/>
        <v>High</v>
      </c>
      <c r="Q39" s="37">
        <v>1395.64</v>
      </c>
      <c r="R39" s="37">
        <v>0.17499999999999999</v>
      </c>
      <c r="S39" s="37">
        <v>13</v>
      </c>
      <c r="T39" s="37">
        <f t="shared" si="0"/>
        <v>8106.7057499999992</v>
      </c>
      <c r="U39" s="32">
        <f t="shared" si="1"/>
        <v>11249.29</v>
      </c>
      <c r="V39" s="37">
        <f t="shared" si="4"/>
        <v>-3142.5842500000017</v>
      </c>
      <c r="W39" s="39">
        <f t="shared" si="5"/>
        <v>-0.38765243822991874</v>
      </c>
    </row>
    <row r="40" spans="1:23" x14ac:dyDescent="0.3">
      <c r="A40" s="40" t="s">
        <v>166</v>
      </c>
      <c r="B40" s="41">
        <v>45094</v>
      </c>
      <c r="C40" s="42">
        <v>45101</v>
      </c>
      <c r="D40" s="43">
        <f t="shared" si="6"/>
        <v>7</v>
      </c>
      <c r="E40" s="43" t="str">
        <f>TEXT(Data!B40,"MMM-YYYY")</f>
        <v>Jun-2023</v>
      </c>
      <c r="F40" s="43" t="str">
        <f t="shared" si="2"/>
        <v>Q2-2023</v>
      </c>
      <c r="G40" s="33" t="s">
        <v>52</v>
      </c>
      <c r="H40" s="33" t="s">
        <v>122</v>
      </c>
      <c r="I40" s="33" t="s">
        <v>167</v>
      </c>
      <c r="J40" s="33" t="s">
        <v>19</v>
      </c>
      <c r="K40" s="33" t="s">
        <v>20</v>
      </c>
      <c r="L40" s="33" t="s">
        <v>34</v>
      </c>
      <c r="M40" s="33" t="s">
        <v>30</v>
      </c>
      <c r="N40" s="33" t="s">
        <v>168</v>
      </c>
      <c r="O40" s="43">
        <v>313.99</v>
      </c>
      <c r="P40" s="44" t="str">
        <f t="shared" si="3"/>
        <v>High</v>
      </c>
      <c r="Q40" s="43">
        <v>454.42</v>
      </c>
      <c r="R40" s="43">
        <v>0.129</v>
      </c>
      <c r="S40" s="43">
        <v>9</v>
      </c>
      <c r="T40" s="43">
        <f t="shared" si="0"/>
        <v>8980.9071300000014</v>
      </c>
      <c r="U40" s="33">
        <f t="shared" si="1"/>
        <v>2825.91</v>
      </c>
      <c r="V40" s="43">
        <f t="shared" si="4"/>
        <v>6154.9971300000016</v>
      </c>
      <c r="W40" s="45">
        <f t="shared" si="5"/>
        <v>0.68534247608904963</v>
      </c>
    </row>
    <row r="41" spans="1:23" x14ac:dyDescent="0.3">
      <c r="A41" s="34" t="s">
        <v>169</v>
      </c>
      <c r="B41" s="35">
        <v>45531</v>
      </c>
      <c r="C41" s="36">
        <v>45554</v>
      </c>
      <c r="D41" s="37">
        <f t="shared" si="6"/>
        <v>23</v>
      </c>
      <c r="E41" s="37" t="str">
        <f>TEXT(Data!B41,"MMM-YYYY")</f>
        <v>Aug-2024</v>
      </c>
      <c r="F41" s="37" t="str">
        <f t="shared" si="2"/>
        <v>Q3-2024</v>
      </c>
      <c r="G41" s="32" t="s">
        <v>78</v>
      </c>
      <c r="H41" s="32" t="s">
        <v>79</v>
      </c>
      <c r="I41" s="32" t="s">
        <v>80</v>
      </c>
      <c r="J41" s="32" t="s">
        <v>62</v>
      </c>
      <c r="K41" s="32" t="s">
        <v>98</v>
      </c>
      <c r="L41" s="32" t="s">
        <v>145</v>
      </c>
      <c r="M41" s="32" t="s">
        <v>64</v>
      </c>
      <c r="N41" s="32" t="s">
        <v>170</v>
      </c>
      <c r="O41" s="37">
        <v>1024.01</v>
      </c>
      <c r="P41" s="38" t="str">
        <f t="shared" si="3"/>
        <v>High</v>
      </c>
      <c r="Q41" s="37">
        <v>1580.97</v>
      </c>
      <c r="R41" s="37">
        <v>3.6999999999999998E-2</v>
      </c>
      <c r="S41" s="37">
        <v>27</v>
      </c>
      <c r="T41" s="37">
        <f t="shared" si="0"/>
        <v>32087.834099999996</v>
      </c>
      <c r="U41" s="32">
        <f t="shared" si="1"/>
        <v>27648.27</v>
      </c>
      <c r="V41" s="37">
        <f t="shared" si="4"/>
        <v>4439.564099999996</v>
      </c>
      <c r="W41" s="39">
        <f t="shared" si="5"/>
        <v>0.13835661472707492</v>
      </c>
    </row>
    <row r="42" spans="1:23" x14ac:dyDescent="0.3">
      <c r="A42" s="40" t="s">
        <v>171</v>
      </c>
      <c r="B42" s="41">
        <v>45302</v>
      </c>
      <c r="C42" s="42">
        <v>45324</v>
      </c>
      <c r="D42" s="43">
        <f t="shared" si="6"/>
        <v>22</v>
      </c>
      <c r="E42" s="43" t="str">
        <f>TEXT(Data!B42,"MMM-YYYY")</f>
        <v>Jan-2024</v>
      </c>
      <c r="F42" s="43" t="str">
        <f t="shared" si="2"/>
        <v>Q1-2024</v>
      </c>
      <c r="G42" s="33" t="s">
        <v>16</v>
      </c>
      <c r="H42" s="33" t="s">
        <v>148</v>
      </c>
      <c r="I42" s="33" t="s">
        <v>172</v>
      </c>
      <c r="J42" s="33" t="s">
        <v>48</v>
      </c>
      <c r="K42" s="33" t="s">
        <v>28</v>
      </c>
      <c r="L42" s="33" t="s">
        <v>95</v>
      </c>
      <c r="M42" s="33" t="s">
        <v>35</v>
      </c>
      <c r="N42" s="33" t="s">
        <v>173</v>
      </c>
      <c r="O42" s="43">
        <v>1206.2</v>
      </c>
      <c r="P42" s="44" t="str">
        <f t="shared" si="3"/>
        <v>High</v>
      </c>
      <c r="Q42" s="43">
        <v>1759.79</v>
      </c>
      <c r="R42" s="43">
        <v>0</v>
      </c>
      <c r="S42" s="43">
        <v>6</v>
      </c>
      <c r="T42" s="43">
        <f t="shared" si="0"/>
        <v>7368.0599999999995</v>
      </c>
      <c r="U42" s="33">
        <f t="shared" si="1"/>
        <v>7237.2000000000007</v>
      </c>
      <c r="V42" s="43">
        <f t="shared" si="4"/>
        <v>130.85999999999876</v>
      </c>
      <c r="W42" s="45">
        <f t="shared" si="5"/>
        <v>1.7760441690214082E-2</v>
      </c>
    </row>
    <row r="43" spans="1:23" x14ac:dyDescent="0.3">
      <c r="A43" s="34" t="s">
        <v>174</v>
      </c>
      <c r="B43" s="35">
        <v>45590</v>
      </c>
      <c r="C43" s="36">
        <v>45610</v>
      </c>
      <c r="D43" s="37">
        <f t="shared" si="6"/>
        <v>20</v>
      </c>
      <c r="E43" s="37" t="str">
        <f>TEXT(Data!B43,"MMM-YYYY")</f>
        <v>Oct-2024</v>
      </c>
      <c r="F43" s="37" t="str">
        <f t="shared" si="2"/>
        <v>Q4-2024</v>
      </c>
      <c r="G43" s="32" t="s">
        <v>16</v>
      </c>
      <c r="H43" s="32" t="s">
        <v>17</v>
      </c>
      <c r="I43" s="32" t="s">
        <v>113</v>
      </c>
      <c r="J43" s="32" t="s">
        <v>19</v>
      </c>
      <c r="K43" s="32" t="s">
        <v>98</v>
      </c>
      <c r="L43" s="32" t="s">
        <v>92</v>
      </c>
      <c r="M43" s="32" t="s">
        <v>30</v>
      </c>
      <c r="N43" s="32" t="s">
        <v>175</v>
      </c>
      <c r="O43" s="37">
        <v>1396.48</v>
      </c>
      <c r="P43" s="38" t="str">
        <f t="shared" si="3"/>
        <v>High</v>
      </c>
      <c r="Q43" s="37">
        <v>3204.5</v>
      </c>
      <c r="R43" s="37">
        <v>0.318</v>
      </c>
      <c r="S43" s="37">
        <v>14</v>
      </c>
      <c r="T43" s="37">
        <f t="shared" si="0"/>
        <v>5778.7360400000007</v>
      </c>
      <c r="U43" s="32">
        <f t="shared" si="1"/>
        <v>19550.72</v>
      </c>
      <c r="V43" s="37">
        <f t="shared" si="4"/>
        <v>-13771.983960000001</v>
      </c>
      <c r="W43" s="39">
        <f t="shared" si="5"/>
        <v>-2.3832173445319715</v>
      </c>
    </row>
    <row r="44" spans="1:23" x14ac:dyDescent="0.3">
      <c r="A44" s="40" t="s">
        <v>176</v>
      </c>
      <c r="B44" s="41">
        <v>45806</v>
      </c>
      <c r="C44" s="42">
        <v>45828</v>
      </c>
      <c r="D44" s="43">
        <f t="shared" si="6"/>
        <v>22</v>
      </c>
      <c r="E44" s="43" t="str">
        <f>TEXT(Data!B44,"MMM-YYYY")</f>
        <v>May-2025</v>
      </c>
      <c r="F44" s="43" t="str">
        <f t="shared" si="2"/>
        <v>Q2-2025</v>
      </c>
      <c r="G44" s="33" t="s">
        <v>78</v>
      </c>
      <c r="H44" s="33" t="s">
        <v>79</v>
      </c>
      <c r="I44" s="33" t="s">
        <v>80</v>
      </c>
      <c r="J44" s="33" t="s">
        <v>19</v>
      </c>
      <c r="K44" s="33" t="s">
        <v>98</v>
      </c>
      <c r="L44" s="33" t="s">
        <v>75</v>
      </c>
      <c r="M44" s="33" t="s">
        <v>30</v>
      </c>
      <c r="N44" s="33" t="s">
        <v>177</v>
      </c>
      <c r="O44" s="43">
        <v>483.47</v>
      </c>
      <c r="P44" s="44" t="str">
        <f t="shared" si="3"/>
        <v>High</v>
      </c>
      <c r="Q44" s="43">
        <v>1135.43</v>
      </c>
      <c r="R44" s="43">
        <v>0.14599999999999999</v>
      </c>
      <c r="S44" s="43">
        <v>11</v>
      </c>
      <c r="T44" s="43">
        <f t="shared" si="0"/>
        <v>17662.129100000002</v>
      </c>
      <c r="U44" s="33">
        <f t="shared" si="1"/>
        <v>5318.17</v>
      </c>
      <c r="V44" s="43">
        <f t="shared" si="4"/>
        <v>12343.959100000002</v>
      </c>
      <c r="W44" s="45">
        <f t="shared" si="5"/>
        <v>0.6988941723905755</v>
      </c>
    </row>
    <row r="45" spans="1:23" x14ac:dyDescent="0.3">
      <c r="A45" s="34" t="s">
        <v>178</v>
      </c>
      <c r="B45" s="35">
        <v>45432</v>
      </c>
      <c r="C45" s="36">
        <v>45445</v>
      </c>
      <c r="D45" s="37">
        <f t="shared" si="6"/>
        <v>13</v>
      </c>
      <c r="E45" s="37" t="str">
        <f>TEXT(Data!B45,"MMM-YYYY")</f>
        <v>May-2024</v>
      </c>
      <c r="F45" s="37" t="str">
        <f t="shared" si="2"/>
        <v>Q2-2024</v>
      </c>
      <c r="G45" s="32" t="s">
        <v>52</v>
      </c>
      <c r="H45" s="32" t="s">
        <v>53</v>
      </c>
      <c r="I45" s="32" t="s">
        <v>179</v>
      </c>
      <c r="J45" s="32" t="s">
        <v>105</v>
      </c>
      <c r="K45" s="32" t="s">
        <v>40</v>
      </c>
      <c r="L45" s="32" t="s">
        <v>95</v>
      </c>
      <c r="M45" s="32" t="s">
        <v>22</v>
      </c>
      <c r="N45" s="32" t="s">
        <v>180</v>
      </c>
      <c r="O45" s="37">
        <v>675.43</v>
      </c>
      <c r="P45" s="38" t="str">
        <f t="shared" si="3"/>
        <v>High</v>
      </c>
      <c r="Q45" s="37">
        <v>996.36</v>
      </c>
      <c r="R45" s="37">
        <v>0.182</v>
      </c>
      <c r="S45" s="37">
        <v>22</v>
      </c>
      <c r="T45" s="37">
        <f t="shared" si="0"/>
        <v>22844.122400000004</v>
      </c>
      <c r="U45" s="32">
        <f t="shared" si="1"/>
        <v>14859.46</v>
      </c>
      <c r="V45" s="37">
        <f t="shared" si="4"/>
        <v>7984.6624000000047</v>
      </c>
      <c r="W45" s="39">
        <f t="shared" si="5"/>
        <v>0.34952808692707771</v>
      </c>
    </row>
    <row r="46" spans="1:23" x14ac:dyDescent="0.3">
      <c r="A46" s="40" t="s">
        <v>181</v>
      </c>
      <c r="B46" s="41">
        <v>45035</v>
      </c>
      <c r="C46" s="42">
        <v>45046</v>
      </c>
      <c r="D46" s="43">
        <f t="shared" si="6"/>
        <v>11</v>
      </c>
      <c r="E46" s="43" t="str">
        <f>TEXT(Data!B46,"MMM-YYYY")</f>
        <v>Apr-2023</v>
      </c>
      <c r="F46" s="43" t="str">
        <f t="shared" si="2"/>
        <v>Q2-2023</v>
      </c>
      <c r="G46" s="33" t="s">
        <v>45</v>
      </c>
      <c r="H46" s="33" t="s">
        <v>60</v>
      </c>
      <c r="I46" s="33" t="s">
        <v>141</v>
      </c>
      <c r="J46" s="33" t="s">
        <v>62</v>
      </c>
      <c r="K46" s="33" t="s">
        <v>20</v>
      </c>
      <c r="L46" s="33" t="s">
        <v>75</v>
      </c>
      <c r="M46" s="33" t="s">
        <v>35</v>
      </c>
      <c r="N46" s="33" t="s">
        <v>182</v>
      </c>
      <c r="O46" s="43">
        <v>826.55</v>
      </c>
      <c r="P46" s="44" t="str">
        <f t="shared" si="3"/>
        <v>High</v>
      </c>
      <c r="Q46" s="43">
        <v>1397.05</v>
      </c>
      <c r="R46" s="43">
        <v>0.16900000000000001</v>
      </c>
      <c r="S46" s="43">
        <v>28</v>
      </c>
      <c r="T46" s="43">
        <f t="shared" si="0"/>
        <v>14447.799239999997</v>
      </c>
      <c r="U46" s="33">
        <f t="shared" si="1"/>
        <v>23143.399999999998</v>
      </c>
      <c r="V46" s="43">
        <f t="shared" si="4"/>
        <v>-8695.6007600000012</v>
      </c>
      <c r="W46" s="45">
        <f t="shared" si="5"/>
        <v>-0.6018633437212686</v>
      </c>
    </row>
    <row r="47" spans="1:23" x14ac:dyDescent="0.3">
      <c r="A47" s="34" t="s">
        <v>183</v>
      </c>
      <c r="B47" s="35">
        <v>45100</v>
      </c>
      <c r="C47" s="36">
        <v>45110</v>
      </c>
      <c r="D47" s="37">
        <f t="shared" si="6"/>
        <v>10</v>
      </c>
      <c r="E47" s="37" t="str">
        <f>TEXT(Data!B47,"MMM-YYYY")</f>
        <v>Jun-2023</v>
      </c>
      <c r="F47" s="37" t="str">
        <f t="shared" si="2"/>
        <v>Q2-2023</v>
      </c>
      <c r="G47" s="32" t="s">
        <v>16</v>
      </c>
      <c r="H47" s="32" t="s">
        <v>25</v>
      </c>
      <c r="I47" s="32" t="s">
        <v>67</v>
      </c>
      <c r="J47" s="32" t="s">
        <v>48</v>
      </c>
      <c r="K47" s="32" t="s">
        <v>28</v>
      </c>
      <c r="L47" s="32" t="s">
        <v>29</v>
      </c>
      <c r="M47" s="32" t="s">
        <v>30</v>
      </c>
      <c r="N47" s="32" t="s">
        <v>184</v>
      </c>
      <c r="O47" s="37">
        <v>337.75</v>
      </c>
      <c r="P47" s="38" t="str">
        <f t="shared" si="3"/>
        <v>High</v>
      </c>
      <c r="Q47" s="37">
        <v>548.89</v>
      </c>
      <c r="R47" s="37">
        <v>0</v>
      </c>
      <c r="S47" s="37">
        <v>13</v>
      </c>
      <c r="T47" s="37">
        <f t="shared" si="0"/>
        <v>18926.830000000002</v>
      </c>
      <c r="U47" s="32">
        <f t="shared" si="1"/>
        <v>4390.75</v>
      </c>
      <c r="V47" s="37">
        <f t="shared" si="4"/>
        <v>14536.080000000002</v>
      </c>
      <c r="W47" s="39">
        <f t="shared" si="5"/>
        <v>0.76801450639119173</v>
      </c>
    </row>
    <row r="48" spans="1:23" x14ac:dyDescent="0.3">
      <c r="A48" s="40" t="s">
        <v>185</v>
      </c>
      <c r="B48" s="41">
        <v>45426</v>
      </c>
      <c r="C48" s="42">
        <v>45440</v>
      </c>
      <c r="D48" s="43">
        <f t="shared" si="6"/>
        <v>14</v>
      </c>
      <c r="E48" s="43" t="str">
        <f>TEXT(Data!B48,"MMM-YYYY")</f>
        <v>May-2024</v>
      </c>
      <c r="F48" s="43" t="str">
        <f t="shared" si="2"/>
        <v>Q2-2024</v>
      </c>
      <c r="G48" s="33" t="s">
        <v>78</v>
      </c>
      <c r="H48" s="33" t="s">
        <v>108</v>
      </c>
      <c r="I48" s="33" t="s">
        <v>109</v>
      </c>
      <c r="J48" s="33" t="s">
        <v>48</v>
      </c>
      <c r="K48" s="33" t="s">
        <v>20</v>
      </c>
      <c r="L48" s="33" t="s">
        <v>56</v>
      </c>
      <c r="M48" s="33" t="s">
        <v>35</v>
      </c>
      <c r="N48" s="33" t="s">
        <v>186</v>
      </c>
      <c r="O48" s="43">
        <v>1421.14</v>
      </c>
      <c r="P48" s="44" t="str">
        <f t="shared" si="3"/>
        <v>High</v>
      </c>
      <c r="Q48" s="43">
        <v>3524</v>
      </c>
      <c r="R48" s="43">
        <v>0</v>
      </c>
      <c r="S48" s="43">
        <v>31</v>
      </c>
      <c r="T48" s="43">
        <f t="shared" si="0"/>
        <v>16939.329999999998</v>
      </c>
      <c r="U48" s="33">
        <f t="shared" si="1"/>
        <v>44055.340000000004</v>
      </c>
      <c r="V48" s="43">
        <f t="shared" si="4"/>
        <v>-27116.010000000006</v>
      </c>
      <c r="W48" s="45">
        <f t="shared" si="5"/>
        <v>-1.6007722855626527</v>
      </c>
    </row>
    <row r="49" spans="1:23" x14ac:dyDescent="0.3">
      <c r="A49" s="34" t="s">
        <v>187</v>
      </c>
      <c r="B49" s="35">
        <v>45579</v>
      </c>
      <c r="C49" s="36">
        <v>45604</v>
      </c>
      <c r="D49" s="37">
        <f t="shared" si="6"/>
        <v>25</v>
      </c>
      <c r="E49" s="37" t="str">
        <f>TEXT(Data!B49,"MMM-YYYY")</f>
        <v>Oct-2024</v>
      </c>
      <c r="F49" s="37" t="str">
        <f t="shared" si="2"/>
        <v>Q4-2024</v>
      </c>
      <c r="G49" s="32" t="s">
        <v>16</v>
      </c>
      <c r="H49" s="32" t="s">
        <v>25</v>
      </c>
      <c r="I49" s="32" t="s">
        <v>38</v>
      </c>
      <c r="J49" s="32" t="s">
        <v>105</v>
      </c>
      <c r="K49" s="32" t="s">
        <v>28</v>
      </c>
      <c r="L49" s="32" t="s">
        <v>68</v>
      </c>
      <c r="M49" s="32" t="s">
        <v>35</v>
      </c>
      <c r="N49" s="32" t="s">
        <v>188</v>
      </c>
      <c r="O49" s="37">
        <v>859.35</v>
      </c>
      <c r="P49" s="38" t="str">
        <f t="shared" si="3"/>
        <v>High</v>
      </c>
      <c r="Q49" s="37">
        <v>1825.61</v>
      </c>
      <c r="R49" s="37">
        <v>0.187</v>
      </c>
      <c r="S49" s="37">
        <v>24</v>
      </c>
      <c r="T49" s="37">
        <f t="shared" si="0"/>
        <v>26300.615040000001</v>
      </c>
      <c r="U49" s="32">
        <f t="shared" si="1"/>
        <v>20624.400000000001</v>
      </c>
      <c r="V49" s="37">
        <f t="shared" si="4"/>
        <v>5676.2150399999991</v>
      </c>
      <c r="W49" s="39">
        <f t="shared" si="5"/>
        <v>0.21582061983596865</v>
      </c>
    </row>
    <row r="50" spans="1:23" x14ac:dyDescent="0.3">
      <c r="A50" s="40" t="s">
        <v>189</v>
      </c>
      <c r="B50" s="41">
        <v>45117</v>
      </c>
      <c r="C50" s="42">
        <v>45139</v>
      </c>
      <c r="D50" s="43">
        <f t="shared" si="6"/>
        <v>22</v>
      </c>
      <c r="E50" s="43" t="str">
        <f>TEXT(Data!B50,"MMM-YYYY")</f>
        <v>Jul-2023</v>
      </c>
      <c r="F50" s="43" t="str">
        <f t="shared" si="2"/>
        <v>Q3-2023</v>
      </c>
      <c r="G50" s="33" t="s">
        <v>78</v>
      </c>
      <c r="H50" s="33" t="s">
        <v>90</v>
      </c>
      <c r="I50" s="33" t="s">
        <v>91</v>
      </c>
      <c r="J50" s="33" t="s">
        <v>48</v>
      </c>
      <c r="K50" s="33" t="s">
        <v>40</v>
      </c>
      <c r="L50" s="33" t="s">
        <v>56</v>
      </c>
      <c r="M50" s="33" t="s">
        <v>30</v>
      </c>
      <c r="N50" s="33" t="s">
        <v>190</v>
      </c>
      <c r="O50" s="43">
        <v>1303.56</v>
      </c>
      <c r="P50" s="44" t="str">
        <f t="shared" si="3"/>
        <v>High</v>
      </c>
      <c r="Q50" s="43">
        <v>1791.37</v>
      </c>
      <c r="R50" s="43">
        <v>0.126</v>
      </c>
      <c r="S50" s="43">
        <v>22</v>
      </c>
      <c r="T50" s="43">
        <f t="shared" si="0"/>
        <v>21312.892040000002</v>
      </c>
      <c r="U50" s="33">
        <f t="shared" si="1"/>
        <v>28678.32</v>
      </c>
      <c r="V50" s="43">
        <f t="shared" si="4"/>
        <v>-7365.4279599999973</v>
      </c>
      <c r="W50" s="45">
        <f t="shared" si="5"/>
        <v>-0.34558557075110097</v>
      </c>
    </row>
    <row r="51" spans="1:23" x14ac:dyDescent="0.3">
      <c r="A51" s="34" t="s">
        <v>191</v>
      </c>
      <c r="B51" s="35">
        <v>45602</v>
      </c>
      <c r="C51" s="36">
        <v>45618</v>
      </c>
      <c r="D51" s="37">
        <f t="shared" si="6"/>
        <v>16</v>
      </c>
      <c r="E51" s="37" t="str">
        <f>TEXT(Data!B51,"MMM-YYYY")</f>
        <v>Nov-2024</v>
      </c>
      <c r="F51" s="37" t="str">
        <f t="shared" si="2"/>
        <v>Q4-2024</v>
      </c>
      <c r="G51" s="32" t="s">
        <v>52</v>
      </c>
      <c r="H51" s="32" t="s">
        <v>53</v>
      </c>
      <c r="I51" s="32" t="s">
        <v>54</v>
      </c>
      <c r="J51" s="32" t="s">
        <v>39</v>
      </c>
      <c r="K51" s="32" t="s">
        <v>55</v>
      </c>
      <c r="L51" s="32" t="s">
        <v>145</v>
      </c>
      <c r="M51" s="32" t="s">
        <v>81</v>
      </c>
      <c r="N51" s="32" t="s">
        <v>192</v>
      </c>
      <c r="O51" s="37">
        <v>1454.11</v>
      </c>
      <c r="P51" s="38" t="str">
        <f t="shared" si="3"/>
        <v>High</v>
      </c>
      <c r="Q51" s="37">
        <v>2629.75</v>
      </c>
      <c r="R51" s="37">
        <v>0.29199999999999998</v>
      </c>
      <c r="S51" s="37">
        <v>8</v>
      </c>
      <c r="T51" s="37">
        <f t="shared" si="0"/>
        <v>17808.182399999998</v>
      </c>
      <c r="U51" s="32">
        <f t="shared" si="1"/>
        <v>11632.88</v>
      </c>
      <c r="V51" s="37">
        <f t="shared" si="4"/>
        <v>6175.3023999999987</v>
      </c>
      <c r="W51" s="39">
        <f t="shared" si="5"/>
        <v>0.34676769707839467</v>
      </c>
    </row>
    <row r="52" spans="1:23" x14ac:dyDescent="0.3">
      <c r="A52" s="40" t="s">
        <v>193</v>
      </c>
      <c r="B52" s="41">
        <v>45582</v>
      </c>
      <c r="C52" s="42">
        <v>45602</v>
      </c>
      <c r="D52" s="43">
        <f t="shared" si="6"/>
        <v>20</v>
      </c>
      <c r="E52" s="43" t="str">
        <f>TEXT(Data!B52,"MMM-YYYY")</f>
        <v>Oct-2024</v>
      </c>
      <c r="F52" s="43" t="str">
        <f t="shared" si="2"/>
        <v>Q4-2024</v>
      </c>
      <c r="G52" s="33" t="s">
        <v>45</v>
      </c>
      <c r="H52" s="33" t="s">
        <v>60</v>
      </c>
      <c r="I52" s="33" t="s">
        <v>61</v>
      </c>
      <c r="J52" s="33" t="s">
        <v>105</v>
      </c>
      <c r="K52" s="33" t="s">
        <v>55</v>
      </c>
      <c r="L52" s="33" t="s">
        <v>68</v>
      </c>
      <c r="M52" s="33" t="s">
        <v>64</v>
      </c>
      <c r="N52" s="33" t="s">
        <v>194</v>
      </c>
      <c r="O52" s="43">
        <v>72.94</v>
      </c>
      <c r="P52" s="44" t="str">
        <f t="shared" si="3"/>
        <v>Medium</v>
      </c>
      <c r="Q52" s="43">
        <v>106.3</v>
      </c>
      <c r="R52" s="43">
        <v>0.29499999999999998</v>
      </c>
      <c r="S52" s="43">
        <v>8</v>
      </c>
      <c r="T52" s="43">
        <f t="shared" si="0"/>
        <v>11819.917200000002</v>
      </c>
      <c r="U52" s="33">
        <f t="shared" si="1"/>
        <v>583.52</v>
      </c>
      <c r="V52" s="43">
        <f t="shared" si="4"/>
        <v>11236.397200000001</v>
      </c>
      <c r="W52" s="45">
        <f t="shared" si="5"/>
        <v>0.95063247989588284</v>
      </c>
    </row>
    <row r="53" spans="1:23" x14ac:dyDescent="0.3">
      <c r="A53" s="34" t="s">
        <v>195</v>
      </c>
      <c r="B53" s="35">
        <v>45016</v>
      </c>
      <c r="C53" s="36">
        <v>45021</v>
      </c>
      <c r="D53" s="37">
        <f t="shared" si="6"/>
        <v>5</v>
      </c>
      <c r="E53" s="37" t="str">
        <f>TEXT(Data!B53,"MMM-YYYY")</f>
        <v>Mar-2023</v>
      </c>
      <c r="F53" s="37" t="str">
        <f t="shared" si="2"/>
        <v>Q1-2023</v>
      </c>
      <c r="G53" s="32" t="s">
        <v>16</v>
      </c>
      <c r="H53" s="32" t="s">
        <v>17</v>
      </c>
      <c r="I53" s="32" t="s">
        <v>135</v>
      </c>
      <c r="J53" s="32" t="s">
        <v>27</v>
      </c>
      <c r="K53" s="32" t="s">
        <v>40</v>
      </c>
      <c r="L53" s="32" t="s">
        <v>56</v>
      </c>
      <c r="M53" s="32" t="s">
        <v>57</v>
      </c>
      <c r="N53" s="32" t="s">
        <v>196</v>
      </c>
      <c r="O53" s="37">
        <v>533.26</v>
      </c>
      <c r="P53" s="38" t="str">
        <f t="shared" si="3"/>
        <v>High</v>
      </c>
      <c r="Q53" s="37">
        <v>385.72</v>
      </c>
      <c r="R53" s="37">
        <v>0</v>
      </c>
      <c r="S53" s="37">
        <v>15</v>
      </c>
      <c r="T53" s="37">
        <f t="shared" si="0"/>
        <v>10554.3</v>
      </c>
      <c r="U53" s="32">
        <f t="shared" si="1"/>
        <v>7998.9</v>
      </c>
      <c r="V53" s="37">
        <f t="shared" si="4"/>
        <v>2555.3999999999996</v>
      </c>
      <c r="W53" s="39">
        <f t="shared" si="5"/>
        <v>0.24211932577243397</v>
      </c>
    </row>
    <row r="54" spans="1:23" x14ac:dyDescent="0.3">
      <c r="A54" s="40" t="s">
        <v>197</v>
      </c>
      <c r="B54" s="41">
        <v>45678</v>
      </c>
      <c r="C54" s="42">
        <v>45704</v>
      </c>
      <c r="D54" s="43">
        <f t="shared" si="6"/>
        <v>26</v>
      </c>
      <c r="E54" s="43" t="str">
        <f>TEXT(Data!B54,"MMM-YYYY")</f>
        <v>Jan-2025</v>
      </c>
      <c r="F54" s="43" t="str">
        <f t="shared" si="2"/>
        <v>Q1-2025</v>
      </c>
      <c r="G54" s="33" t="s">
        <v>78</v>
      </c>
      <c r="H54" s="33" t="s">
        <v>90</v>
      </c>
      <c r="I54" s="33" t="s">
        <v>138</v>
      </c>
      <c r="J54" s="33" t="s">
        <v>19</v>
      </c>
      <c r="K54" s="33" t="s">
        <v>55</v>
      </c>
      <c r="L54" s="33" t="s">
        <v>68</v>
      </c>
      <c r="M54" s="33" t="s">
        <v>57</v>
      </c>
      <c r="N54" s="33" t="s">
        <v>198</v>
      </c>
      <c r="O54" s="43">
        <v>204.11</v>
      </c>
      <c r="P54" s="44" t="str">
        <f t="shared" si="3"/>
        <v>High</v>
      </c>
      <c r="Q54" s="43">
        <v>236.87</v>
      </c>
      <c r="R54" s="43">
        <v>0.182</v>
      </c>
      <c r="S54" s="43">
        <v>13</v>
      </c>
      <c r="T54" s="43">
        <f t="shared" si="0"/>
        <v>21238.118460000002</v>
      </c>
      <c r="U54" s="33">
        <f t="shared" si="1"/>
        <v>2653.4300000000003</v>
      </c>
      <c r="V54" s="43">
        <f t="shared" si="4"/>
        <v>18584.688460000001</v>
      </c>
      <c r="W54" s="45">
        <f t="shared" si="5"/>
        <v>0.87506284961177294</v>
      </c>
    </row>
    <row r="55" spans="1:23" x14ac:dyDescent="0.3">
      <c r="A55" s="34" t="s">
        <v>199</v>
      </c>
      <c r="B55" s="35">
        <v>45168</v>
      </c>
      <c r="C55" s="36">
        <v>45170</v>
      </c>
      <c r="D55" s="37">
        <f t="shared" si="6"/>
        <v>2</v>
      </c>
      <c r="E55" s="37" t="str">
        <f>TEXT(Data!B55,"MMM-YYYY")</f>
        <v>Aug-2023</v>
      </c>
      <c r="F55" s="37" t="str">
        <f t="shared" si="2"/>
        <v>Q3-2023</v>
      </c>
      <c r="G55" s="32" t="s">
        <v>78</v>
      </c>
      <c r="H55" s="32" t="s">
        <v>79</v>
      </c>
      <c r="I55" s="32" t="s">
        <v>159</v>
      </c>
      <c r="J55" s="32" t="s">
        <v>19</v>
      </c>
      <c r="K55" s="32" t="s">
        <v>98</v>
      </c>
      <c r="L55" s="32" t="s">
        <v>126</v>
      </c>
      <c r="M55" s="32" t="s">
        <v>35</v>
      </c>
      <c r="N55" s="32" t="s">
        <v>200</v>
      </c>
      <c r="O55" s="37">
        <v>44.42</v>
      </c>
      <c r="P55" s="38" t="str">
        <f t="shared" si="3"/>
        <v>Low</v>
      </c>
      <c r="Q55" s="37">
        <v>41.9</v>
      </c>
      <c r="R55" s="37">
        <v>0.14399999999999999</v>
      </c>
      <c r="S55" s="37">
        <v>6</v>
      </c>
      <c r="T55" s="37">
        <f t="shared" si="0"/>
        <v>14195.647199999998</v>
      </c>
      <c r="U55" s="32">
        <f t="shared" si="1"/>
        <v>266.52</v>
      </c>
      <c r="V55" s="37">
        <f t="shared" si="4"/>
        <v>13929.127199999997</v>
      </c>
      <c r="W55" s="39">
        <f t="shared" si="5"/>
        <v>0.9812252307876459</v>
      </c>
    </row>
    <row r="56" spans="1:23" x14ac:dyDescent="0.3">
      <c r="A56" s="40" t="s">
        <v>201</v>
      </c>
      <c r="B56" s="41">
        <v>45753</v>
      </c>
      <c r="C56" s="42">
        <v>45777</v>
      </c>
      <c r="D56" s="43">
        <f t="shared" si="6"/>
        <v>24</v>
      </c>
      <c r="E56" s="43" t="str">
        <f>TEXT(Data!B56,"MMM-YYYY")</f>
        <v>Apr-2025</v>
      </c>
      <c r="F56" s="43" t="str">
        <f t="shared" si="2"/>
        <v>Q2-2025</v>
      </c>
      <c r="G56" s="33" t="s">
        <v>52</v>
      </c>
      <c r="H56" s="33" t="s">
        <v>73</v>
      </c>
      <c r="I56" s="33" t="s">
        <v>87</v>
      </c>
      <c r="J56" s="33" t="s">
        <v>27</v>
      </c>
      <c r="K56" s="33" t="s">
        <v>28</v>
      </c>
      <c r="L56" s="33" t="s">
        <v>95</v>
      </c>
      <c r="M56" s="33" t="s">
        <v>64</v>
      </c>
      <c r="N56" s="33" t="s">
        <v>202</v>
      </c>
      <c r="O56" s="43">
        <v>855.78</v>
      </c>
      <c r="P56" s="44" t="str">
        <f t="shared" si="3"/>
        <v>High</v>
      </c>
      <c r="Q56" s="43">
        <v>977.38</v>
      </c>
      <c r="R56" s="43">
        <v>0.14699999999999999</v>
      </c>
      <c r="S56" s="43">
        <v>38</v>
      </c>
      <c r="T56" s="43">
        <f t="shared" si="0"/>
        <v>48735.421419999999</v>
      </c>
      <c r="U56" s="33">
        <f t="shared" si="1"/>
        <v>32519.64</v>
      </c>
      <c r="V56" s="43">
        <f t="shared" si="4"/>
        <v>16215.781419999999</v>
      </c>
      <c r="W56" s="45">
        <f t="shared" si="5"/>
        <v>0.33273091619036216</v>
      </c>
    </row>
    <row r="57" spans="1:23" x14ac:dyDescent="0.3">
      <c r="A57" s="34" t="s">
        <v>203</v>
      </c>
      <c r="B57" s="35">
        <v>45697</v>
      </c>
      <c r="C57" s="36">
        <v>45717</v>
      </c>
      <c r="D57" s="37">
        <f t="shared" si="6"/>
        <v>20</v>
      </c>
      <c r="E57" s="37" t="str">
        <f>TEXT(Data!B57,"MMM-YYYY")</f>
        <v>Feb-2025</v>
      </c>
      <c r="F57" s="37" t="str">
        <f t="shared" si="2"/>
        <v>Q1-2025</v>
      </c>
      <c r="G57" s="32" t="s">
        <v>52</v>
      </c>
      <c r="H57" s="32" t="s">
        <v>73</v>
      </c>
      <c r="I57" s="32" t="s">
        <v>74</v>
      </c>
      <c r="J57" s="32" t="s">
        <v>19</v>
      </c>
      <c r="K57" s="32" t="s">
        <v>55</v>
      </c>
      <c r="L57" s="32" t="s">
        <v>56</v>
      </c>
      <c r="M57" s="32" t="s">
        <v>57</v>
      </c>
      <c r="N57" s="32" t="s">
        <v>204</v>
      </c>
      <c r="O57" s="37">
        <v>1154.6400000000001</v>
      </c>
      <c r="P57" s="38" t="str">
        <f t="shared" si="3"/>
        <v>High</v>
      </c>
      <c r="Q57" s="37">
        <v>2794.13</v>
      </c>
      <c r="R57" s="37">
        <v>3.5000000000000003E-2</v>
      </c>
      <c r="S57" s="37">
        <v>11</v>
      </c>
      <c r="T57" s="37">
        <f t="shared" si="0"/>
        <v>4119.0446000000002</v>
      </c>
      <c r="U57" s="32">
        <f t="shared" si="1"/>
        <v>12701.04</v>
      </c>
      <c r="V57" s="37">
        <f t="shared" si="4"/>
        <v>-8581.9953999999998</v>
      </c>
      <c r="W57" s="39">
        <f t="shared" si="5"/>
        <v>-2.0834917398078185</v>
      </c>
    </row>
    <row r="58" spans="1:23" x14ac:dyDescent="0.3">
      <c r="A58" s="40" t="s">
        <v>205</v>
      </c>
      <c r="B58" s="41">
        <v>45643</v>
      </c>
      <c r="C58" s="42">
        <v>45644</v>
      </c>
      <c r="D58" s="43">
        <f t="shared" si="6"/>
        <v>1</v>
      </c>
      <c r="E58" s="43" t="str">
        <f>TEXT(Data!B58,"MMM-YYYY")</f>
        <v>Dec-2024</v>
      </c>
      <c r="F58" s="43" t="str">
        <f t="shared" si="2"/>
        <v>Q4-2024</v>
      </c>
      <c r="G58" s="33" t="s">
        <v>78</v>
      </c>
      <c r="H58" s="33" t="s">
        <v>79</v>
      </c>
      <c r="I58" s="33" t="s">
        <v>159</v>
      </c>
      <c r="J58" s="33" t="s">
        <v>27</v>
      </c>
      <c r="K58" s="33" t="s">
        <v>20</v>
      </c>
      <c r="L58" s="33" t="s">
        <v>49</v>
      </c>
      <c r="M58" s="33" t="s">
        <v>81</v>
      </c>
      <c r="N58" s="33" t="s">
        <v>206</v>
      </c>
      <c r="O58" s="43">
        <v>346.82</v>
      </c>
      <c r="P58" s="44" t="str">
        <f t="shared" si="3"/>
        <v>High</v>
      </c>
      <c r="Q58" s="43">
        <v>701.95</v>
      </c>
      <c r="R58" s="43">
        <v>0.14699999999999999</v>
      </c>
      <c r="S58" s="43">
        <v>8</v>
      </c>
      <c r="T58" s="43">
        <f t="shared" si="0"/>
        <v>304.14567999999997</v>
      </c>
      <c r="U58" s="33">
        <f t="shared" si="1"/>
        <v>2774.56</v>
      </c>
      <c r="V58" s="43">
        <f t="shared" si="4"/>
        <v>-2470.4143199999999</v>
      </c>
      <c r="W58" s="45">
        <f t="shared" si="5"/>
        <v>-8.122470521363315</v>
      </c>
    </row>
    <row r="59" spans="1:23" x14ac:dyDescent="0.3">
      <c r="A59" s="34" t="s">
        <v>207</v>
      </c>
      <c r="B59" s="35">
        <v>45817</v>
      </c>
      <c r="C59" s="36">
        <v>45826</v>
      </c>
      <c r="D59" s="37">
        <f t="shared" si="6"/>
        <v>9</v>
      </c>
      <c r="E59" s="37" t="str">
        <f>TEXT(Data!B59,"MMM-YYYY")</f>
        <v>Jun-2025</v>
      </c>
      <c r="F59" s="37" t="str">
        <f t="shared" si="2"/>
        <v>Q2-2025</v>
      </c>
      <c r="G59" s="32" t="s">
        <v>78</v>
      </c>
      <c r="H59" s="32" t="s">
        <v>90</v>
      </c>
      <c r="I59" s="32" t="s">
        <v>91</v>
      </c>
      <c r="J59" s="32" t="s">
        <v>62</v>
      </c>
      <c r="K59" s="32" t="s">
        <v>40</v>
      </c>
      <c r="L59" s="32" t="s">
        <v>92</v>
      </c>
      <c r="M59" s="32" t="s">
        <v>81</v>
      </c>
      <c r="N59" s="32" t="s">
        <v>208</v>
      </c>
      <c r="O59" s="37">
        <v>1225.5</v>
      </c>
      <c r="P59" s="38" t="str">
        <f t="shared" si="3"/>
        <v>Low</v>
      </c>
      <c r="Q59" s="37">
        <v>-5.27</v>
      </c>
      <c r="R59" s="37">
        <v>7.4999999999999997E-2</v>
      </c>
      <c r="S59" s="37">
        <v>56</v>
      </c>
      <c r="T59" s="37">
        <f t="shared" si="0"/>
        <v>93667.868000000002</v>
      </c>
      <c r="U59" s="32">
        <f t="shared" si="1"/>
        <v>68628</v>
      </c>
      <c r="V59" s="37">
        <f t="shared" si="4"/>
        <v>25039.868000000002</v>
      </c>
      <c r="W59" s="39">
        <f t="shared" si="5"/>
        <v>0.2673261229774121</v>
      </c>
    </row>
    <row r="60" spans="1:23" x14ac:dyDescent="0.3">
      <c r="A60" s="40" t="s">
        <v>209</v>
      </c>
      <c r="B60" s="41">
        <v>45779</v>
      </c>
      <c r="C60" s="42">
        <v>45790</v>
      </c>
      <c r="D60" s="43">
        <f t="shared" si="6"/>
        <v>11</v>
      </c>
      <c r="E60" s="43" t="str">
        <f>TEXT(Data!B60,"MMM-YYYY")</f>
        <v>May-2025</v>
      </c>
      <c r="F60" s="43" t="str">
        <f t="shared" si="2"/>
        <v>Q2-2025</v>
      </c>
      <c r="G60" s="33" t="s">
        <v>16</v>
      </c>
      <c r="H60" s="33" t="s">
        <v>17</v>
      </c>
      <c r="I60" s="33" t="s">
        <v>135</v>
      </c>
      <c r="J60" s="33" t="s">
        <v>62</v>
      </c>
      <c r="K60" s="33" t="s">
        <v>28</v>
      </c>
      <c r="L60" s="33" t="s">
        <v>75</v>
      </c>
      <c r="M60" s="33" t="s">
        <v>81</v>
      </c>
      <c r="N60" s="33" t="s">
        <v>210</v>
      </c>
      <c r="O60" s="43">
        <v>1057.5999999999999</v>
      </c>
      <c r="P60" s="44" t="str">
        <f t="shared" si="3"/>
        <v>High</v>
      </c>
      <c r="Q60" s="43">
        <v>1437.06</v>
      </c>
      <c r="R60" s="43">
        <v>0.20499999999999999</v>
      </c>
      <c r="S60" s="43">
        <v>4</v>
      </c>
      <c r="T60" s="43">
        <f t="shared" si="0"/>
        <v>4086.5861999999997</v>
      </c>
      <c r="U60" s="33">
        <f t="shared" si="1"/>
        <v>4230.3999999999996</v>
      </c>
      <c r="V60" s="43">
        <f t="shared" si="4"/>
        <v>-143.8137999999999</v>
      </c>
      <c r="W60" s="45">
        <f t="shared" si="5"/>
        <v>-3.5191671718560573E-2</v>
      </c>
    </row>
    <row r="61" spans="1:23" x14ac:dyDescent="0.3">
      <c r="A61" s="34" t="s">
        <v>211</v>
      </c>
      <c r="B61" s="35">
        <v>45361</v>
      </c>
      <c r="C61" s="36">
        <v>45391</v>
      </c>
      <c r="D61" s="37">
        <f t="shared" si="6"/>
        <v>30</v>
      </c>
      <c r="E61" s="37" t="str">
        <f>TEXT(Data!B61,"MMM-YYYY")</f>
        <v>Mar-2024</v>
      </c>
      <c r="F61" s="37" t="str">
        <f t="shared" si="2"/>
        <v>Q1-2024</v>
      </c>
      <c r="G61" s="32" t="s">
        <v>78</v>
      </c>
      <c r="H61" s="32" t="s">
        <v>90</v>
      </c>
      <c r="I61" s="32" t="s">
        <v>138</v>
      </c>
      <c r="J61" s="32" t="s">
        <v>19</v>
      </c>
      <c r="K61" s="32" t="s">
        <v>98</v>
      </c>
      <c r="L61" s="32" t="s">
        <v>34</v>
      </c>
      <c r="M61" s="32" t="s">
        <v>22</v>
      </c>
      <c r="N61" s="32" t="s">
        <v>212</v>
      </c>
      <c r="O61" s="37">
        <v>1176.56</v>
      </c>
      <c r="P61" s="38" t="str">
        <f t="shared" si="3"/>
        <v>High</v>
      </c>
      <c r="Q61" s="37">
        <v>1911.89</v>
      </c>
      <c r="R61" s="37">
        <v>0.11899999999999999</v>
      </c>
      <c r="S61" s="37">
        <v>20</v>
      </c>
      <c r="T61" s="37">
        <f t="shared" si="0"/>
        <v>29568.826800000003</v>
      </c>
      <c r="U61" s="32">
        <f t="shared" si="1"/>
        <v>23531.199999999997</v>
      </c>
      <c r="V61" s="37">
        <f t="shared" si="4"/>
        <v>6037.6268000000055</v>
      </c>
      <c r="W61" s="39">
        <f t="shared" si="5"/>
        <v>0.20418891966319086</v>
      </c>
    </row>
    <row r="62" spans="1:23" x14ac:dyDescent="0.3">
      <c r="A62" s="40" t="s">
        <v>213</v>
      </c>
      <c r="B62" s="41">
        <v>45910</v>
      </c>
      <c r="C62" s="42">
        <v>45912</v>
      </c>
      <c r="D62" s="43">
        <f t="shared" si="6"/>
        <v>2</v>
      </c>
      <c r="E62" s="43" t="str">
        <f>TEXT(Data!B62,"MMM-YYYY")</f>
        <v>Sep-2025</v>
      </c>
      <c r="F62" s="43" t="str">
        <f t="shared" si="2"/>
        <v>Q3-2025</v>
      </c>
      <c r="G62" s="33" t="s">
        <v>45</v>
      </c>
      <c r="H62" s="33" t="s">
        <v>46</v>
      </c>
      <c r="I62" s="33" t="s">
        <v>214</v>
      </c>
      <c r="J62" s="33" t="s">
        <v>48</v>
      </c>
      <c r="K62" s="33" t="s">
        <v>28</v>
      </c>
      <c r="L62" s="33" t="s">
        <v>68</v>
      </c>
      <c r="M62" s="33" t="s">
        <v>22</v>
      </c>
      <c r="N62" s="33" t="s">
        <v>215</v>
      </c>
      <c r="O62" s="43">
        <v>1470.15</v>
      </c>
      <c r="P62" s="44" t="str">
        <f t="shared" si="3"/>
        <v>High</v>
      </c>
      <c r="Q62" s="43">
        <v>2593.7800000000002</v>
      </c>
      <c r="R62" s="43">
        <v>0.11</v>
      </c>
      <c r="S62" s="43">
        <v>12</v>
      </c>
      <c r="T62" s="43">
        <f t="shared" si="0"/>
        <v>7255.4580000000005</v>
      </c>
      <c r="U62" s="33">
        <f t="shared" si="1"/>
        <v>17641.800000000003</v>
      </c>
      <c r="V62" s="43">
        <f t="shared" si="4"/>
        <v>-10386.342000000002</v>
      </c>
      <c r="W62" s="45">
        <f t="shared" si="5"/>
        <v>-1.4315212078961799</v>
      </c>
    </row>
    <row r="63" spans="1:23" x14ac:dyDescent="0.3">
      <c r="A63" s="34" t="s">
        <v>216</v>
      </c>
      <c r="B63" s="35">
        <v>45774</v>
      </c>
      <c r="C63" s="36">
        <v>45802</v>
      </c>
      <c r="D63" s="37">
        <f t="shared" si="6"/>
        <v>28</v>
      </c>
      <c r="E63" s="37" t="str">
        <f>TEXT(Data!B63,"MMM-YYYY")</f>
        <v>Apr-2025</v>
      </c>
      <c r="F63" s="37" t="str">
        <f t="shared" si="2"/>
        <v>Q2-2025</v>
      </c>
      <c r="G63" s="32" t="s">
        <v>78</v>
      </c>
      <c r="H63" s="32" t="s">
        <v>90</v>
      </c>
      <c r="I63" s="32" t="s">
        <v>217</v>
      </c>
      <c r="J63" s="32" t="s">
        <v>62</v>
      </c>
      <c r="K63" s="32" t="s">
        <v>40</v>
      </c>
      <c r="L63" s="32" t="s">
        <v>34</v>
      </c>
      <c r="M63" s="32" t="s">
        <v>42</v>
      </c>
      <c r="N63" s="32" t="s">
        <v>218</v>
      </c>
      <c r="O63" s="37">
        <v>603.45000000000005</v>
      </c>
      <c r="P63" s="38" t="str">
        <f t="shared" si="3"/>
        <v>High</v>
      </c>
      <c r="Q63" s="37">
        <v>1244.08</v>
      </c>
      <c r="R63" s="37">
        <v>0.2</v>
      </c>
      <c r="S63" s="37">
        <v>11</v>
      </c>
      <c r="T63" s="37">
        <f t="shared" si="0"/>
        <v>9767.2960000000003</v>
      </c>
      <c r="U63" s="32">
        <f t="shared" si="1"/>
        <v>6637.9500000000007</v>
      </c>
      <c r="V63" s="37">
        <f t="shared" si="4"/>
        <v>3129.3459999999995</v>
      </c>
      <c r="W63" s="39">
        <f t="shared" si="5"/>
        <v>0.32039020830330106</v>
      </c>
    </row>
    <row r="64" spans="1:23" x14ac:dyDescent="0.3">
      <c r="A64" s="40" t="s">
        <v>219</v>
      </c>
      <c r="B64" s="41">
        <v>45598</v>
      </c>
      <c r="C64" s="42">
        <v>45614</v>
      </c>
      <c r="D64" s="43">
        <f t="shared" si="6"/>
        <v>16</v>
      </c>
      <c r="E64" s="43" t="str">
        <f>TEXT(Data!B64,"MMM-YYYY")</f>
        <v>Nov-2024</v>
      </c>
      <c r="F64" s="43" t="str">
        <f t="shared" si="2"/>
        <v>Q4-2024</v>
      </c>
      <c r="G64" s="33" t="s">
        <v>45</v>
      </c>
      <c r="H64" s="33" t="s">
        <v>60</v>
      </c>
      <c r="I64" s="33" t="s">
        <v>220</v>
      </c>
      <c r="J64" s="33" t="s">
        <v>62</v>
      </c>
      <c r="K64" s="33" t="s">
        <v>55</v>
      </c>
      <c r="L64" s="33" t="s">
        <v>68</v>
      </c>
      <c r="M64" s="33" t="s">
        <v>64</v>
      </c>
      <c r="N64" s="33" t="s">
        <v>221</v>
      </c>
      <c r="O64" s="43">
        <v>1233.58</v>
      </c>
      <c r="P64" s="44" t="str">
        <f t="shared" si="3"/>
        <v>High</v>
      </c>
      <c r="Q64" s="43">
        <v>1912.51</v>
      </c>
      <c r="R64" s="43">
        <v>0.255</v>
      </c>
      <c r="S64" s="43">
        <v>51</v>
      </c>
      <c r="T64" s="43">
        <f t="shared" si="0"/>
        <v>3175.2421499999996</v>
      </c>
      <c r="U64" s="33">
        <f t="shared" si="1"/>
        <v>62912.579999999994</v>
      </c>
      <c r="V64" s="43">
        <f t="shared" si="4"/>
        <v>-59737.337849999996</v>
      </c>
      <c r="W64" s="45">
        <f t="shared" si="5"/>
        <v>-18.813474698299782</v>
      </c>
    </row>
    <row r="65" spans="1:23" x14ac:dyDescent="0.3">
      <c r="A65" s="34" t="s">
        <v>222</v>
      </c>
      <c r="B65" s="35">
        <v>44972</v>
      </c>
      <c r="C65" s="36">
        <v>44983</v>
      </c>
      <c r="D65" s="37">
        <f t="shared" si="6"/>
        <v>11</v>
      </c>
      <c r="E65" s="37" t="str">
        <f>TEXT(Data!B65,"MMM-YYYY")</f>
        <v>Feb-2023</v>
      </c>
      <c r="F65" s="37" t="str">
        <f t="shared" si="2"/>
        <v>Q1-2023</v>
      </c>
      <c r="G65" s="32" t="s">
        <v>16</v>
      </c>
      <c r="H65" s="32" t="s">
        <v>148</v>
      </c>
      <c r="I65" s="32" t="s">
        <v>149</v>
      </c>
      <c r="J65" s="32" t="s">
        <v>39</v>
      </c>
      <c r="K65" s="32" t="s">
        <v>20</v>
      </c>
      <c r="L65" s="32" t="s">
        <v>95</v>
      </c>
      <c r="M65" s="32" t="s">
        <v>57</v>
      </c>
      <c r="N65" s="32" t="s">
        <v>223</v>
      </c>
      <c r="O65" s="37">
        <v>498.5</v>
      </c>
      <c r="P65" s="38" t="str">
        <f t="shared" si="3"/>
        <v>High</v>
      </c>
      <c r="Q65" s="37">
        <v>755.87</v>
      </c>
      <c r="R65" s="37">
        <v>0.13</v>
      </c>
      <c r="S65" s="37">
        <v>40</v>
      </c>
      <c r="T65" s="37">
        <f t="shared" ref="T65:T128" si="7">(Q91*S65)*(1-R65)</f>
        <v>44693.64</v>
      </c>
      <c r="U65" s="32">
        <f t="shared" ref="U65:U128" si="8">(O65*S65)</f>
        <v>19940</v>
      </c>
      <c r="V65" s="37">
        <f t="shared" si="4"/>
        <v>24753.64</v>
      </c>
      <c r="W65" s="39">
        <f t="shared" si="5"/>
        <v>0.55385150996875621</v>
      </c>
    </row>
    <row r="66" spans="1:23" x14ac:dyDescent="0.3">
      <c r="A66" s="40" t="s">
        <v>224</v>
      </c>
      <c r="B66" s="41">
        <v>45263</v>
      </c>
      <c r="C66" s="42">
        <v>45286</v>
      </c>
      <c r="D66" s="43">
        <f t="shared" si="6"/>
        <v>23</v>
      </c>
      <c r="E66" s="43" t="str">
        <f>TEXT(Data!B66,"MMM-YYYY")</f>
        <v>Dec-2023</v>
      </c>
      <c r="F66" s="43" t="str">
        <f t="shared" ref="F66:F129" si="9">"Q"&amp;ROUNDUP(MONTH(B66)/3,0)&amp;"-"&amp;YEAR(B66)</f>
        <v>Q4-2023</v>
      </c>
      <c r="G66" s="33" t="s">
        <v>52</v>
      </c>
      <c r="H66" s="33" t="s">
        <v>73</v>
      </c>
      <c r="I66" s="33" t="s">
        <v>225</v>
      </c>
      <c r="J66" s="33" t="s">
        <v>27</v>
      </c>
      <c r="K66" s="33" t="s">
        <v>20</v>
      </c>
      <c r="L66" s="33" t="s">
        <v>68</v>
      </c>
      <c r="M66" s="33" t="s">
        <v>42</v>
      </c>
      <c r="N66" s="33" t="s">
        <v>226</v>
      </c>
      <c r="O66" s="43">
        <v>1303.1099999999999</v>
      </c>
      <c r="P66" s="44" t="str">
        <f t="shared" ref="P66:P129" si="10">IF(Q66&lt;50, "Low", IF(Q66&lt;200, "Medium", "High"))</f>
        <v>High</v>
      </c>
      <c r="Q66" s="43">
        <v>1145.67</v>
      </c>
      <c r="R66" s="43">
        <v>0.184</v>
      </c>
      <c r="S66" s="43">
        <v>13</v>
      </c>
      <c r="T66" s="43">
        <f t="shared" si="7"/>
        <v>9671.5257600000004</v>
      </c>
      <c r="U66" s="33">
        <f t="shared" si="8"/>
        <v>16940.43</v>
      </c>
      <c r="V66" s="43">
        <f t="shared" ref="V66:V129" si="11">(T66-U66)</f>
        <v>-7268.9042399999998</v>
      </c>
      <c r="W66" s="45">
        <f t="shared" ref="W66:W129" si="12">IF(T66=0, 0, V66/T66)</f>
        <v>-0.75157781929952694</v>
      </c>
    </row>
    <row r="67" spans="1:23" x14ac:dyDescent="0.3">
      <c r="A67" s="34" t="s">
        <v>227</v>
      </c>
      <c r="B67" s="35">
        <v>45004</v>
      </c>
      <c r="C67" s="36">
        <v>45025</v>
      </c>
      <c r="D67" s="37">
        <f t="shared" ref="D67:D130" si="13">DATEDIF(B67,C67, "MD")</f>
        <v>21</v>
      </c>
      <c r="E67" s="37" t="str">
        <f>TEXT(Data!B67,"MMM-YYYY")</f>
        <v>Mar-2023</v>
      </c>
      <c r="F67" s="37" t="str">
        <f t="shared" si="9"/>
        <v>Q1-2023</v>
      </c>
      <c r="G67" s="32" t="s">
        <v>78</v>
      </c>
      <c r="H67" s="32" t="s">
        <v>108</v>
      </c>
      <c r="I67" s="32" t="s">
        <v>228</v>
      </c>
      <c r="J67" s="32" t="s">
        <v>48</v>
      </c>
      <c r="K67" s="32" t="s">
        <v>20</v>
      </c>
      <c r="L67" s="32" t="s">
        <v>49</v>
      </c>
      <c r="M67" s="32" t="s">
        <v>81</v>
      </c>
      <c r="N67" s="32" t="s">
        <v>229</v>
      </c>
      <c r="O67" s="37">
        <v>1082.17</v>
      </c>
      <c r="P67" s="38" t="str">
        <f t="shared" si="10"/>
        <v>High</v>
      </c>
      <c r="Q67" s="37">
        <v>1234.0999999999999</v>
      </c>
      <c r="R67" s="37">
        <v>0.189</v>
      </c>
      <c r="S67" s="37">
        <v>16</v>
      </c>
      <c r="T67" s="37">
        <f t="shared" si="7"/>
        <v>18232.188319999997</v>
      </c>
      <c r="U67" s="32">
        <f t="shared" si="8"/>
        <v>17314.72</v>
      </c>
      <c r="V67" s="37">
        <f t="shared" si="11"/>
        <v>917.46831999999631</v>
      </c>
      <c r="W67" s="39">
        <f t="shared" si="12"/>
        <v>5.0321349467061474E-2</v>
      </c>
    </row>
    <row r="68" spans="1:23" x14ac:dyDescent="0.3">
      <c r="A68" s="40" t="s">
        <v>230</v>
      </c>
      <c r="B68" s="41">
        <v>45434</v>
      </c>
      <c r="C68" s="42">
        <v>45449</v>
      </c>
      <c r="D68" s="43">
        <f t="shared" si="13"/>
        <v>15</v>
      </c>
      <c r="E68" s="43" t="str">
        <f>TEXT(Data!B68,"MMM-YYYY")</f>
        <v>May-2024</v>
      </c>
      <c r="F68" s="43" t="str">
        <f t="shared" si="9"/>
        <v>Q2-2024</v>
      </c>
      <c r="G68" s="33" t="s">
        <v>45</v>
      </c>
      <c r="H68" s="33" t="s">
        <v>46</v>
      </c>
      <c r="I68" s="33" t="s">
        <v>231</v>
      </c>
      <c r="J68" s="33" t="s">
        <v>19</v>
      </c>
      <c r="K68" s="33" t="s">
        <v>55</v>
      </c>
      <c r="L68" s="33" t="s">
        <v>21</v>
      </c>
      <c r="M68" s="33" t="s">
        <v>64</v>
      </c>
      <c r="N68" s="33" t="s">
        <v>232</v>
      </c>
      <c r="O68" s="43">
        <v>673.88</v>
      </c>
      <c r="P68" s="44" t="str">
        <f t="shared" si="10"/>
        <v>High</v>
      </c>
      <c r="Q68" s="43">
        <v>1228.01</v>
      </c>
      <c r="R68" s="43">
        <v>0.105</v>
      </c>
      <c r="S68" s="43">
        <v>13</v>
      </c>
      <c r="T68" s="43">
        <f t="shared" si="7"/>
        <v>11273.616900000001</v>
      </c>
      <c r="U68" s="33">
        <f t="shared" si="8"/>
        <v>8760.44</v>
      </c>
      <c r="V68" s="43">
        <f t="shared" si="11"/>
        <v>2513.1769000000004</v>
      </c>
      <c r="W68" s="45">
        <f t="shared" si="12"/>
        <v>0.22292551913840536</v>
      </c>
    </row>
    <row r="69" spans="1:23" x14ac:dyDescent="0.3">
      <c r="A69" s="34" t="s">
        <v>233</v>
      </c>
      <c r="B69" s="35">
        <v>45157</v>
      </c>
      <c r="C69" s="36">
        <v>45176</v>
      </c>
      <c r="D69" s="37">
        <f t="shared" si="13"/>
        <v>19</v>
      </c>
      <c r="E69" s="37" t="str">
        <f>TEXT(Data!B69,"MMM-YYYY")</f>
        <v>Aug-2023</v>
      </c>
      <c r="F69" s="37" t="str">
        <f t="shared" si="9"/>
        <v>Q3-2023</v>
      </c>
      <c r="G69" s="32" t="s">
        <v>16</v>
      </c>
      <c r="H69" s="32" t="s">
        <v>148</v>
      </c>
      <c r="I69" s="32" t="s">
        <v>149</v>
      </c>
      <c r="J69" s="32" t="s">
        <v>105</v>
      </c>
      <c r="K69" s="32" t="s">
        <v>20</v>
      </c>
      <c r="L69" s="32" t="s">
        <v>145</v>
      </c>
      <c r="M69" s="32" t="s">
        <v>64</v>
      </c>
      <c r="N69" s="32" t="s">
        <v>234</v>
      </c>
      <c r="O69" s="37">
        <v>494.61</v>
      </c>
      <c r="P69" s="38" t="str">
        <f t="shared" si="10"/>
        <v>High</v>
      </c>
      <c r="Q69" s="37">
        <v>605.23</v>
      </c>
      <c r="R69" s="37">
        <v>0.20399999999999999</v>
      </c>
      <c r="S69" s="37">
        <v>18</v>
      </c>
      <c r="T69" s="37">
        <f t="shared" si="7"/>
        <v>15600.46968</v>
      </c>
      <c r="U69" s="32">
        <f t="shared" si="8"/>
        <v>8902.98</v>
      </c>
      <c r="V69" s="37">
        <f t="shared" si="11"/>
        <v>6697.4896800000006</v>
      </c>
      <c r="W69" s="39">
        <f t="shared" si="12"/>
        <v>0.42931333590464055</v>
      </c>
    </row>
    <row r="70" spans="1:23" x14ac:dyDescent="0.3">
      <c r="A70" s="40" t="s">
        <v>235</v>
      </c>
      <c r="B70" s="41">
        <v>45037</v>
      </c>
      <c r="C70" s="42">
        <v>45056</v>
      </c>
      <c r="D70" s="43">
        <f t="shared" si="13"/>
        <v>19</v>
      </c>
      <c r="E70" s="43" t="str">
        <f>TEXT(Data!B70,"MMM-YYYY")</f>
        <v>Apr-2023</v>
      </c>
      <c r="F70" s="43" t="str">
        <f t="shared" si="9"/>
        <v>Q2-2023</v>
      </c>
      <c r="G70" s="33" t="s">
        <v>45</v>
      </c>
      <c r="H70" s="33" t="s">
        <v>116</v>
      </c>
      <c r="I70" s="33" t="s">
        <v>162</v>
      </c>
      <c r="J70" s="33" t="s">
        <v>19</v>
      </c>
      <c r="K70" s="33" t="s">
        <v>20</v>
      </c>
      <c r="L70" s="33" t="s">
        <v>75</v>
      </c>
      <c r="M70" s="33" t="s">
        <v>22</v>
      </c>
      <c r="N70" s="33" t="s">
        <v>236</v>
      </c>
      <c r="O70" s="43">
        <v>882.33</v>
      </c>
      <c r="P70" s="44" t="str">
        <f t="shared" si="10"/>
        <v>High</v>
      </c>
      <c r="Q70" s="43">
        <v>1880.15</v>
      </c>
      <c r="R70" s="43">
        <v>0.05</v>
      </c>
      <c r="S70" s="43">
        <v>5</v>
      </c>
      <c r="T70" s="43">
        <f t="shared" si="7"/>
        <v>11803.702499999998</v>
      </c>
      <c r="U70" s="33">
        <f t="shared" si="8"/>
        <v>4411.6500000000005</v>
      </c>
      <c r="V70" s="43">
        <f t="shared" si="11"/>
        <v>7392.0524999999971</v>
      </c>
      <c r="W70" s="45">
        <f t="shared" si="12"/>
        <v>0.6262486283435218</v>
      </c>
    </row>
    <row r="71" spans="1:23" x14ac:dyDescent="0.3">
      <c r="A71" s="34" t="s">
        <v>237</v>
      </c>
      <c r="B71" s="35">
        <v>45369</v>
      </c>
      <c r="C71" s="36">
        <v>45372</v>
      </c>
      <c r="D71" s="37">
        <f t="shared" si="13"/>
        <v>3</v>
      </c>
      <c r="E71" s="37" t="str">
        <f>TEXT(Data!B71,"MMM-YYYY")</f>
        <v>Mar-2024</v>
      </c>
      <c r="F71" s="37" t="str">
        <f t="shared" si="9"/>
        <v>Q1-2024</v>
      </c>
      <c r="G71" s="32" t="s">
        <v>78</v>
      </c>
      <c r="H71" s="32" t="s">
        <v>79</v>
      </c>
      <c r="I71" s="32" t="s">
        <v>159</v>
      </c>
      <c r="J71" s="32" t="s">
        <v>62</v>
      </c>
      <c r="K71" s="32" t="s">
        <v>28</v>
      </c>
      <c r="L71" s="32" t="s">
        <v>110</v>
      </c>
      <c r="M71" s="32" t="s">
        <v>81</v>
      </c>
      <c r="N71" s="32" t="s">
        <v>238</v>
      </c>
      <c r="O71" s="37">
        <v>910.63</v>
      </c>
      <c r="P71" s="38" t="str">
        <f t="shared" si="10"/>
        <v>High</v>
      </c>
      <c r="Q71" s="37">
        <v>1269.4000000000001</v>
      </c>
      <c r="R71" s="37">
        <v>6.8000000000000005E-2</v>
      </c>
      <c r="S71" s="37">
        <v>9</v>
      </c>
      <c r="T71" s="37">
        <f t="shared" si="7"/>
        <v>240.65172000000001</v>
      </c>
      <c r="U71" s="32">
        <f t="shared" si="8"/>
        <v>8195.67</v>
      </c>
      <c r="V71" s="37">
        <f t="shared" si="11"/>
        <v>-7955.0182800000002</v>
      </c>
      <c r="W71" s="39">
        <f t="shared" si="12"/>
        <v>-33.05614553679483</v>
      </c>
    </row>
    <row r="72" spans="1:23" x14ac:dyDescent="0.3">
      <c r="A72" s="40" t="s">
        <v>239</v>
      </c>
      <c r="B72" s="41">
        <v>45756</v>
      </c>
      <c r="C72" s="42">
        <v>45783</v>
      </c>
      <c r="D72" s="43">
        <f t="shared" si="13"/>
        <v>27</v>
      </c>
      <c r="E72" s="43" t="str">
        <f>TEXT(Data!B72,"MMM-YYYY")</f>
        <v>Apr-2025</v>
      </c>
      <c r="F72" s="43" t="str">
        <f t="shared" si="9"/>
        <v>Q2-2025</v>
      </c>
      <c r="G72" s="33" t="s">
        <v>52</v>
      </c>
      <c r="H72" s="33" t="s">
        <v>73</v>
      </c>
      <c r="I72" s="33" t="s">
        <v>87</v>
      </c>
      <c r="J72" s="33" t="s">
        <v>105</v>
      </c>
      <c r="K72" s="33" t="s">
        <v>40</v>
      </c>
      <c r="L72" s="33" t="s">
        <v>84</v>
      </c>
      <c r="M72" s="33" t="s">
        <v>57</v>
      </c>
      <c r="N72" s="33" t="s">
        <v>240</v>
      </c>
      <c r="O72" s="43">
        <v>264.19</v>
      </c>
      <c r="P72" s="44" t="str">
        <f t="shared" si="10"/>
        <v>High</v>
      </c>
      <c r="Q72" s="43">
        <v>620.92999999999995</v>
      </c>
      <c r="R72" s="43">
        <v>0.14199999999999999</v>
      </c>
      <c r="S72" s="43">
        <v>12</v>
      </c>
      <c r="T72" s="43">
        <f t="shared" si="7"/>
        <v>19527.59952</v>
      </c>
      <c r="U72" s="33">
        <f t="shared" si="8"/>
        <v>3170.2799999999997</v>
      </c>
      <c r="V72" s="43">
        <f t="shared" si="11"/>
        <v>16357.319520000001</v>
      </c>
      <c r="W72" s="45">
        <f t="shared" si="12"/>
        <v>0.83765132028885447</v>
      </c>
    </row>
    <row r="73" spans="1:23" x14ac:dyDescent="0.3">
      <c r="A73" s="34" t="s">
        <v>241</v>
      </c>
      <c r="B73" s="35">
        <v>45394</v>
      </c>
      <c r="C73" s="36">
        <v>45419</v>
      </c>
      <c r="D73" s="37">
        <f t="shared" si="13"/>
        <v>25</v>
      </c>
      <c r="E73" s="37" t="str">
        <f>TEXT(Data!B73,"MMM-YYYY")</f>
        <v>Apr-2024</v>
      </c>
      <c r="F73" s="37" t="str">
        <f t="shared" si="9"/>
        <v>Q2-2024</v>
      </c>
      <c r="G73" s="32" t="s">
        <v>16</v>
      </c>
      <c r="H73" s="32" t="s">
        <v>148</v>
      </c>
      <c r="I73" s="32" t="s">
        <v>149</v>
      </c>
      <c r="J73" s="32" t="s">
        <v>27</v>
      </c>
      <c r="K73" s="32" t="s">
        <v>55</v>
      </c>
      <c r="L73" s="32" t="s">
        <v>75</v>
      </c>
      <c r="M73" s="32" t="s">
        <v>57</v>
      </c>
      <c r="N73" s="32" t="s">
        <v>242</v>
      </c>
      <c r="O73" s="37">
        <v>1376.51</v>
      </c>
      <c r="P73" s="38" t="str">
        <f t="shared" si="10"/>
        <v>High</v>
      </c>
      <c r="Q73" s="37">
        <v>1455.91</v>
      </c>
      <c r="R73" s="37">
        <v>0.185</v>
      </c>
      <c r="S73" s="37">
        <v>17</v>
      </c>
      <c r="T73" s="37">
        <f t="shared" si="7"/>
        <v>5807.6003499999997</v>
      </c>
      <c r="U73" s="32">
        <f t="shared" si="8"/>
        <v>23400.67</v>
      </c>
      <c r="V73" s="37">
        <f t="shared" si="11"/>
        <v>-17593.069649999998</v>
      </c>
      <c r="W73" s="39">
        <f t="shared" si="12"/>
        <v>-3.0293182364037841</v>
      </c>
    </row>
    <row r="74" spans="1:23" x14ac:dyDescent="0.3">
      <c r="A74" s="40" t="s">
        <v>243</v>
      </c>
      <c r="B74" s="41">
        <v>45641</v>
      </c>
      <c r="C74" s="42">
        <v>45646</v>
      </c>
      <c r="D74" s="43">
        <f t="shared" si="13"/>
        <v>5</v>
      </c>
      <c r="E74" s="43" t="str">
        <f>TEXT(Data!B74,"MMM-YYYY")</f>
        <v>Dec-2024</v>
      </c>
      <c r="F74" s="43" t="str">
        <f t="shared" si="9"/>
        <v>Q4-2024</v>
      </c>
      <c r="G74" s="33" t="s">
        <v>45</v>
      </c>
      <c r="H74" s="33" t="s">
        <v>116</v>
      </c>
      <c r="I74" s="33" t="s">
        <v>117</v>
      </c>
      <c r="J74" s="33" t="s">
        <v>62</v>
      </c>
      <c r="K74" s="33" t="s">
        <v>98</v>
      </c>
      <c r="L74" s="33" t="s">
        <v>29</v>
      </c>
      <c r="M74" s="33" t="s">
        <v>35</v>
      </c>
      <c r="N74" s="33" t="s">
        <v>244</v>
      </c>
      <c r="O74" s="43">
        <v>717.55</v>
      </c>
      <c r="P74" s="44" t="str">
        <f t="shared" si="10"/>
        <v>High</v>
      </c>
      <c r="Q74" s="43">
        <v>546.42999999999995</v>
      </c>
      <c r="R74" s="43">
        <v>4.7E-2</v>
      </c>
      <c r="S74" s="43">
        <v>18</v>
      </c>
      <c r="T74" s="43">
        <f t="shared" si="7"/>
        <v>34328.070179999995</v>
      </c>
      <c r="U74" s="33">
        <f t="shared" si="8"/>
        <v>12915.9</v>
      </c>
      <c r="V74" s="43">
        <f t="shared" si="11"/>
        <v>21412.170179999994</v>
      </c>
      <c r="W74" s="45">
        <f t="shared" si="12"/>
        <v>0.62375106050893059</v>
      </c>
    </row>
    <row r="75" spans="1:23" x14ac:dyDescent="0.3">
      <c r="A75" s="34" t="s">
        <v>245</v>
      </c>
      <c r="B75" s="35">
        <v>45066</v>
      </c>
      <c r="C75" s="36">
        <v>45064</v>
      </c>
      <c r="D75" s="37">
        <f>DATEDIF(C75,B75, "MD")</f>
        <v>2</v>
      </c>
      <c r="E75" s="37" t="str">
        <f>TEXT(Data!B75,"MMM-YYYY")</f>
        <v>May-2023</v>
      </c>
      <c r="F75" s="37" t="str">
        <f t="shared" si="9"/>
        <v>Q2-2023</v>
      </c>
      <c r="G75" s="32" t="s">
        <v>16</v>
      </c>
      <c r="H75" s="32" t="s">
        <v>148</v>
      </c>
      <c r="I75" s="32" t="s">
        <v>172</v>
      </c>
      <c r="J75" s="32" t="s">
        <v>19</v>
      </c>
      <c r="K75" s="32" t="s">
        <v>55</v>
      </c>
      <c r="L75" s="32" t="s">
        <v>75</v>
      </c>
      <c r="M75" s="32" t="s">
        <v>22</v>
      </c>
      <c r="N75" s="32" t="s">
        <v>246</v>
      </c>
      <c r="O75" s="37">
        <v>917.88</v>
      </c>
      <c r="P75" s="38" t="str">
        <f t="shared" si="10"/>
        <v>High</v>
      </c>
      <c r="Q75" s="37">
        <v>1347.92</v>
      </c>
      <c r="R75" s="37">
        <v>0.34300000000000003</v>
      </c>
      <c r="S75" s="37">
        <v>5</v>
      </c>
      <c r="T75" s="37">
        <f t="shared" si="7"/>
        <v>10198.97235</v>
      </c>
      <c r="U75" s="32">
        <f t="shared" si="8"/>
        <v>4589.3999999999996</v>
      </c>
      <c r="V75" s="37">
        <f t="shared" si="11"/>
        <v>5609.5723500000004</v>
      </c>
      <c r="W75" s="39">
        <f t="shared" si="12"/>
        <v>0.55001348738826616</v>
      </c>
    </row>
    <row r="76" spans="1:23" x14ac:dyDescent="0.3">
      <c r="A76" s="40" t="s">
        <v>247</v>
      </c>
      <c r="B76" s="41">
        <v>45187</v>
      </c>
      <c r="C76" s="42">
        <v>45207</v>
      </c>
      <c r="D76" s="43">
        <f t="shared" si="13"/>
        <v>20</v>
      </c>
      <c r="E76" s="43" t="str">
        <f>TEXT(Data!B76,"MMM-YYYY")</f>
        <v>Sep-2023</v>
      </c>
      <c r="F76" s="43" t="str">
        <f t="shared" si="9"/>
        <v>Q3-2023</v>
      </c>
      <c r="G76" s="33" t="s">
        <v>45</v>
      </c>
      <c r="H76" s="33" t="s">
        <v>60</v>
      </c>
      <c r="I76" s="33" t="s">
        <v>141</v>
      </c>
      <c r="J76" s="33" t="s">
        <v>62</v>
      </c>
      <c r="K76" s="33" t="s">
        <v>98</v>
      </c>
      <c r="L76" s="33" t="s">
        <v>56</v>
      </c>
      <c r="M76" s="33" t="s">
        <v>22</v>
      </c>
      <c r="N76" s="33" t="s">
        <v>248</v>
      </c>
      <c r="O76" s="43">
        <v>825.64</v>
      </c>
      <c r="P76" s="44" t="str">
        <f t="shared" si="10"/>
        <v>High</v>
      </c>
      <c r="Q76" s="43">
        <v>1108.43</v>
      </c>
      <c r="R76" s="43">
        <v>0.114</v>
      </c>
      <c r="S76" s="43">
        <v>7</v>
      </c>
      <c r="T76" s="43">
        <f t="shared" si="7"/>
        <v>2073.2045600000001</v>
      </c>
      <c r="U76" s="33">
        <f t="shared" si="8"/>
        <v>5779.48</v>
      </c>
      <c r="V76" s="43">
        <f t="shared" si="11"/>
        <v>-3706.2754399999994</v>
      </c>
      <c r="W76" s="45">
        <f t="shared" si="12"/>
        <v>-1.7877036890175464</v>
      </c>
    </row>
    <row r="77" spans="1:23" x14ac:dyDescent="0.3">
      <c r="A77" s="34" t="s">
        <v>249</v>
      </c>
      <c r="B77" s="35">
        <v>45532</v>
      </c>
      <c r="C77" s="36">
        <v>45560</v>
      </c>
      <c r="D77" s="37">
        <f t="shared" si="13"/>
        <v>28</v>
      </c>
      <c r="E77" s="37" t="str">
        <f>TEXT(Data!B77,"MMM-YYYY")</f>
        <v>Aug-2024</v>
      </c>
      <c r="F77" s="37" t="str">
        <f t="shared" si="9"/>
        <v>Q3-2024</v>
      </c>
      <c r="G77" s="32" t="s">
        <v>52</v>
      </c>
      <c r="H77" s="32" t="s">
        <v>73</v>
      </c>
      <c r="I77" s="32" t="s">
        <v>225</v>
      </c>
      <c r="J77" s="32" t="s">
        <v>39</v>
      </c>
      <c r="K77" s="32" t="s">
        <v>28</v>
      </c>
      <c r="L77" s="32" t="s">
        <v>1364</v>
      </c>
      <c r="M77" s="32" t="s">
        <v>81</v>
      </c>
      <c r="N77" s="32" t="s">
        <v>250</v>
      </c>
      <c r="O77" s="37">
        <v>1394.65</v>
      </c>
      <c r="P77" s="38" t="str">
        <f t="shared" si="10"/>
        <v>High</v>
      </c>
      <c r="Q77" s="37">
        <v>3144.1</v>
      </c>
      <c r="R77" s="37">
        <v>0.13400000000000001</v>
      </c>
      <c r="S77" s="37">
        <v>13</v>
      </c>
      <c r="T77" s="37">
        <f t="shared" si="7"/>
        <v>21984.960139999999</v>
      </c>
      <c r="U77" s="32">
        <f t="shared" si="8"/>
        <v>18130.45</v>
      </c>
      <c r="V77" s="37">
        <f t="shared" si="11"/>
        <v>3854.5101399999985</v>
      </c>
      <c r="W77" s="39">
        <f t="shared" si="12"/>
        <v>0.17532486370020767</v>
      </c>
    </row>
    <row r="78" spans="1:23" x14ac:dyDescent="0.3">
      <c r="A78" s="40" t="s">
        <v>251</v>
      </c>
      <c r="B78" s="41">
        <v>45473</v>
      </c>
      <c r="C78" s="42">
        <v>45471</v>
      </c>
      <c r="D78" s="43">
        <f>DATEDIF(C78,B78, "MD")</f>
        <v>2</v>
      </c>
      <c r="E78" s="43" t="str">
        <f>TEXT(Data!B78,"MMM-YYYY")</f>
        <v>Jun-2024</v>
      </c>
      <c r="F78" s="43" t="str">
        <f t="shared" si="9"/>
        <v>Q2-2024</v>
      </c>
      <c r="G78" s="33" t="s">
        <v>52</v>
      </c>
      <c r="H78" s="33" t="s">
        <v>73</v>
      </c>
      <c r="I78" s="33" t="s">
        <v>225</v>
      </c>
      <c r="J78" s="33" t="s">
        <v>62</v>
      </c>
      <c r="K78" s="33" t="s">
        <v>98</v>
      </c>
      <c r="L78" s="33" t="s">
        <v>49</v>
      </c>
      <c r="M78" s="33" t="s">
        <v>81</v>
      </c>
      <c r="N78" s="33" t="s">
        <v>252</v>
      </c>
      <c r="O78" s="43">
        <v>1112.98</v>
      </c>
      <c r="P78" s="44" t="str">
        <f t="shared" si="10"/>
        <v>High</v>
      </c>
      <c r="Q78" s="43">
        <v>2095.73</v>
      </c>
      <c r="R78" s="43">
        <v>7.1999999999999995E-2</v>
      </c>
      <c r="S78" s="43">
        <v>17</v>
      </c>
      <c r="T78" s="43">
        <f t="shared" si="7"/>
        <v>3822.3670400000005</v>
      </c>
      <c r="U78" s="33">
        <f t="shared" si="8"/>
        <v>18920.66</v>
      </c>
      <c r="V78" s="43">
        <f t="shared" si="11"/>
        <v>-15098.292959999999</v>
      </c>
      <c r="W78" s="45">
        <f t="shared" si="12"/>
        <v>-3.9499851275402365</v>
      </c>
    </row>
    <row r="79" spans="1:23" x14ac:dyDescent="0.3">
      <c r="A79" s="34" t="s">
        <v>253</v>
      </c>
      <c r="B79" s="35">
        <v>45091</v>
      </c>
      <c r="C79" s="36">
        <v>45093</v>
      </c>
      <c r="D79" s="37">
        <f t="shared" si="13"/>
        <v>2</v>
      </c>
      <c r="E79" s="37" t="str">
        <f>TEXT(Data!B79,"MMM-YYYY")</f>
        <v>Jun-2023</v>
      </c>
      <c r="F79" s="37" t="str">
        <f t="shared" si="9"/>
        <v>Q2-2023</v>
      </c>
      <c r="G79" s="32" t="s">
        <v>78</v>
      </c>
      <c r="H79" s="32" t="s">
        <v>108</v>
      </c>
      <c r="I79" s="32" t="s">
        <v>228</v>
      </c>
      <c r="J79" s="32" t="s">
        <v>39</v>
      </c>
      <c r="K79" s="32" t="s">
        <v>98</v>
      </c>
      <c r="L79" s="32" t="s">
        <v>95</v>
      </c>
      <c r="M79" s="32" t="s">
        <v>22</v>
      </c>
      <c r="N79" s="32" t="s">
        <v>254</v>
      </c>
      <c r="O79" s="37">
        <v>357.36</v>
      </c>
      <c r="P79" s="38" t="str">
        <f t="shared" si="10"/>
        <v>High</v>
      </c>
      <c r="Q79" s="37">
        <v>703.62</v>
      </c>
      <c r="R79" s="37">
        <v>0.25700000000000001</v>
      </c>
      <c r="S79" s="37">
        <v>20</v>
      </c>
      <c r="T79" s="37">
        <f t="shared" si="7"/>
        <v>44117.408199999998</v>
      </c>
      <c r="U79" s="32">
        <f t="shared" si="8"/>
        <v>7147.2000000000007</v>
      </c>
      <c r="V79" s="37">
        <f t="shared" si="11"/>
        <v>36970.208199999994</v>
      </c>
      <c r="W79" s="39">
        <f t="shared" si="12"/>
        <v>0.83799592288832592</v>
      </c>
    </row>
    <row r="80" spans="1:23" x14ac:dyDescent="0.3">
      <c r="A80" s="40" t="s">
        <v>255</v>
      </c>
      <c r="B80" s="41">
        <v>45617</v>
      </c>
      <c r="C80" s="42">
        <v>45647</v>
      </c>
      <c r="D80" s="43">
        <f t="shared" si="13"/>
        <v>0</v>
      </c>
      <c r="E80" s="43" t="str">
        <f>TEXT(Data!B80,"MMM-YYYY")</f>
        <v>Nov-2024</v>
      </c>
      <c r="F80" s="43" t="str">
        <f t="shared" si="9"/>
        <v>Q4-2024</v>
      </c>
      <c r="G80" s="33" t="s">
        <v>78</v>
      </c>
      <c r="H80" s="33" t="s">
        <v>90</v>
      </c>
      <c r="I80" s="33" t="s">
        <v>91</v>
      </c>
      <c r="J80" s="33" t="s">
        <v>62</v>
      </c>
      <c r="K80" s="33" t="s">
        <v>98</v>
      </c>
      <c r="L80" s="33" t="s">
        <v>34</v>
      </c>
      <c r="M80" s="33" t="s">
        <v>64</v>
      </c>
      <c r="N80" s="33" t="s">
        <v>256</v>
      </c>
      <c r="O80" s="43">
        <v>1122.68</v>
      </c>
      <c r="P80" s="44" t="str">
        <f t="shared" si="10"/>
        <v>High</v>
      </c>
      <c r="Q80" s="43">
        <v>1997.19</v>
      </c>
      <c r="R80" s="43">
        <v>0.186</v>
      </c>
      <c r="S80" s="43">
        <v>3</v>
      </c>
      <c r="T80" s="43">
        <f t="shared" si="7"/>
        <v>3404.8806</v>
      </c>
      <c r="U80" s="33">
        <f t="shared" si="8"/>
        <v>3368.04</v>
      </c>
      <c r="V80" s="43">
        <f t="shared" si="11"/>
        <v>36.840599999999995</v>
      </c>
      <c r="W80" s="45">
        <f t="shared" si="12"/>
        <v>1.081993888420052E-2</v>
      </c>
    </row>
    <row r="81" spans="1:23" x14ac:dyDescent="0.3">
      <c r="A81" s="34" t="s">
        <v>257</v>
      </c>
      <c r="B81" s="35">
        <v>44965</v>
      </c>
      <c r="C81" s="36">
        <v>44968</v>
      </c>
      <c r="D81" s="37">
        <f t="shared" si="13"/>
        <v>3</v>
      </c>
      <c r="E81" s="37" t="str">
        <f>TEXT(Data!B81,"MMM-YYYY")</f>
        <v>Feb-2023</v>
      </c>
      <c r="F81" s="37" t="str">
        <f t="shared" si="9"/>
        <v>Q1-2023</v>
      </c>
      <c r="G81" s="32" t="s">
        <v>16</v>
      </c>
      <c r="H81" s="32" t="s">
        <v>148</v>
      </c>
      <c r="I81" s="32" t="s">
        <v>258</v>
      </c>
      <c r="J81" s="32" t="s">
        <v>19</v>
      </c>
      <c r="K81" s="32" t="s">
        <v>98</v>
      </c>
      <c r="L81" s="32" t="s">
        <v>110</v>
      </c>
      <c r="M81" s="32" t="s">
        <v>35</v>
      </c>
      <c r="N81" s="32" t="s">
        <v>259</v>
      </c>
      <c r="O81" s="37">
        <v>1410.05</v>
      </c>
      <c r="P81" s="38" t="str">
        <f t="shared" si="10"/>
        <v>High</v>
      </c>
      <c r="Q81" s="37">
        <v>2763.95</v>
      </c>
      <c r="R81" s="37">
        <v>0.161</v>
      </c>
      <c r="S81" s="37">
        <v>26</v>
      </c>
      <c r="T81" s="37">
        <f t="shared" si="7"/>
        <v>336.15374000000003</v>
      </c>
      <c r="U81" s="32">
        <f t="shared" si="8"/>
        <v>36661.299999999996</v>
      </c>
      <c r="V81" s="37">
        <f t="shared" si="11"/>
        <v>-36325.146259999994</v>
      </c>
      <c r="W81" s="39">
        <f t="shared" si="12"/>
        <v>-108.06110995522462</v>
      </c>
    </row>
    <row r="82" spans="1:23" x14ac:dyDescent="0.3">
      <c r="A82" s="40" t="s">
        <v>260</v>
      </c>
      <c r="B82" s="41">
        <v>45157</v>
      </c>
      <c r="C82" s="42">
        <v>45181</v>
      </c>
      <c r="D82" s="43">
        <f t="shared" si="13"/>
        <v>24</v>
      </c>
      <c r="E82" s="43" t="str">
        <f>TEXT(Data!B82,"MMM-YYYY")</f>
        <v>Aug-2023</v>
      </c>
      <c r="F82" s="43" t="str">
        <f t="shared" si="9"/>
        <v>Q3-2023</v>
      </c>
      <c r="G82" s="33" t="s">
        <v>52</v>
      </c>
      <c r="H82" s="33" t="s">
        <v>53</v>
      </c>
      <c r="I82" s="33" t="s">
        <v>179</v>
      </c>
      <c r="J82" s="33" t="s">
        <v>105</v>
      </c>
      <c r="K82" s="33" t="s">
        <v>20</v>
      </c>
      <c r="L82" s="33" t="s">
        <v>34</v>
      </c>
      <c r="M82" s="33" t="s">
        <v>30</v>
      </c>
      <c r="N82" s="33" t="s">
        <v>261</v>
      </c>
      <c r="O82" s="43">
        <v>1183.95</v>
      </c>
      <c r="P82" s="44" t="str">
        <f t="shared" si="10"/>
        <v>High</v>
      </c>
      <c r="Q82" s="43">
        <v>1503.53</v>
      </c>
      <c r="R82" s="43">
        <v>0.24099999999999999</v>
      </c>
      <c r="S82" s="43">
        <v>16</v>
      </c>
      <c r="T82" s="43">
        <f t="shared" si="7"/>
        <v>27333.836640000001</v>
      </c>
      <c r="U82" s="33">
        <f t="shared" si="8"/>
        <v>18943.2</v>
      </c>
      <c r="V82" s="43">
        <f t="shared" si="11"/>
        <v>8390.6366400000006</v>
      </c>
      <c r="W82" s="45">
        <f t="shared" si="12"/>
        <v>0.30696885879976488</v>
      </c>
    </row>
    <row r="83" spans="1:23" x14ac:dyDescent="0.3">
      <c r="A83" s="34" t="s">
        <v>262</v>
      </c>
      <c r="B83" s="35">
        <v>45791</v>
      </c>
      <c r="C83" s="36">
        <v>45801</v>
      </c>
      <c r="D83" s="37">
        <f t="shared" si="13"/>
        <v>10</v>
      </c>
      <c r="E83" s="37" t="str">
        <f>TEXT(Data!B83,"MMM-YYYY")</f>
        <v>May-2025</v>
      </c>
      <c r="F83" s="37" t="str">
        <f t="shared" si="9"/>
        <v>Q2-2025</v>
      </c>
      <c r="G83" s="32" t="s">
        <v>78</v>
      </c>
      <c r="H83" s="32" t="s">
        <v>90</v>
      </c>
      <c r="I83" s="32" t="s">
        <v>217</v>
      </c>
      <c r="J83" s="32" t="s">
        <v>62</v>
      </c>
      <c r="K83" s="32" t="s">
        <v>40</v>
      </c>
      <c r="L83" s="32" t="s">
        <v>95</v>
      </c>
      <c r="M83" s="32" t="s">
        <v>22</v>
      </c>
      <c r="N83" s="32" t="s">
        <v>263</v>
      </c>
      <c r="O83" s="37">
        <v>170.39</v>
      </c>
      <c r="P83" s="38" t="str">
        <f t="shared" si="10"/>
        <v>High</v>
      </c>
      <c r="Q83" s="37">
        <v>388.04</v>
      </c>
      <c r="R83" s="37">
        <v>8.4000000000000005E-2</v>
      </c>
      <c r="S83" s="37">
        <v>15</v>
      </c>
      <c r="T83" s="37">
        <f t="shared" si="7"/>
        <v>2281.3896</v>
      </c>
      <c r="U83" s="32">
        <f t="shared" si="8"/>
        <v>2555.85</v>
      </c>
      <c r="V83" s="37">
        <f t="shared" si="11"/>
        <v>-274.46039999999994</v>
      </c>
      <c r="W83" s="39">
        <f t="shared" si="12"/>
        <v>-0.12030404627074653</v>
      </c>
    </row>
    <row r="84" spans="1:23" x14ac:dyDescent="0.3">
      <c r="A84" s="40" t="s">
        <v>264</v>
      </c>
      <c r="B84" s="41">
        <v>45770</v>
      </c>
      <c r="C84" s="42">
        <v>45769</v>
      </c>
      <c r="D84" s="43">
        <f>DATEDIF(C84,B84, "MD")</f>
        <v>1</v>
      </c>
      <c r="E84" s="43" t="str">
        <f>TEXT(Data!B84,"MMM-YYYY")</f>
        <v>Apr-2025</v>
      </c>
      <c r="F84" s="43" t="str">
        <f t="shared" si="9"/>
        <v>Q2-2025</v>
      </c>
      <c r="G84" s="33" t="s">
        <v>52</v>
      </c>
      <c r="H84" s="33" t="s">
        <v>122</v>
      </c>
      <c r="I84" s="33" t="s">
        <v>167</v>
      </c>
      <c r="J84" s="33" t="s">
        <v>39</v>
      </c>
      <c r="K84" s="33" t="s">
        <v>55</v>
      </c>
      <c r="L84" s="33" t="s">
        <v>145</v>
      </c>
      <c r="M84" s="33" t="s">
        <v>64</v>
      </c>
      <c r="N84" s="33" t="s">
        <v>265</v>
      </c>
      <c r="O84" s="43">
        <v>23.24</v>
      </c>
      <c r="P84" s="44" t="str">
        <f t="shared" si="10"/>
        <v>Low</v>
      </c>
      <c r="Q84" s="43">
        <v>44.57</v>
      </c>
      <c r="R84" s="43">
        <v>0.215</v>
      </c>
      <c r="S84" s="43">
        <v>15</v>
      </c>
      <c r="T84" s="43">
        <f t="shared" si="7"/>
        <v>4198.3762500000003</v>
      </c>
      <c r="U84" s="33">
        <f t="shared" si="8"/>
        <v>348.59999999999997</v>
      </c>
      <c r="V84" s="43">
        <f t="shared" si="11"/>
        <v>3849.7762500000003</v>
      </c>
      <c r="W84" s="45">
        <f t="shared" si="12"/>
        <v>0.91696789919674304</v>
      </c>
    </row>
    <row r="85" spans="1:23" x14ac:dyDescent="0.3">
      <c r="A85" s="34" t="s">
        <v>266</v>
      </c>
      <c r="B85" s="35">
        <v>45741</v>
      </c>
      <c r="C85" s="36">
        <v>45764</v>
      </c>
      <c r="D85" s="37">
        <f t="shared" si="13"/>
        <v>23</v>
      </c>
      <c r="E85" s="37" t="str">
        <f>TEXT(Data!B85,"MMM-YYYY")</f>
        <v>Mar-2025</v>
      </c>
      <c r="F85" s="37" t="str">
        <f t="shared" si="9"/>
        <v>Q1-2025</v>
      </c>
      <c r="G85" s="32" t="s">
        <v>78</v>
      </c>
      <c r="H85" s="32" t="s">
        <v>108</v>
      </c>
      <c r="I85" s="32" t="s">
        <v>152</v>
      </c>
      <c r="J85" s="32" t="s">
        <v>48</v>
      </c>
      <c r="K85" s="32" t="s">
        <v>20</v>
      </c>
      <c r="L85" s="32" t="s">
        <v>92</v>
      </c>
      <c r="M85" s="32" t="s">
        <v>35</v>
      </c>
      <c r="N85" s="32" t="s">
        <v>267</v>
      </c>
      <c r="O85" s="37">
        <v>1421.19</v>
      </c>
      <c r="P85" s="38" t="str">
        <f t="shared" si="10"/>
        <v>High</v>
      </c>
      <c r="Q85" s="37">
        <v>1808.26</v>
      </c>
      <c r="R85" s="37">
        <v>0.104</v>
      </c>
      <c r="S85" s="37">
        <v>13</v>
      </c>
      <c r="T85" s="37">
        <f t="shared" si="7"/>
        <v>11939.7824</v>
      </c>
      <c r="U85" s="32">
        <f t="shared" si="8"/>
        <v>18475.47</v>
      </c>
      <c r="V85" s="37">
        <f t="shared" si="11"/>
        <v>-6535.6876000000011</v>
      </c>
      <c r="W85" s="39">
        <f t="shared" si="12"/>
        <v>-0.54738749677716081</v>
      </c>
    </row>
    <row r="86" spans="1:23" x14ac:dyDescent="0.3">
      <c r="A86" s="40" t="s">
        <v>268</v>
      </c>
      <c r="B86" s="41">
        <v>45282</v>
      </c>
      <c r="C86" s="42">
        <v>45283</v>
      </c>
      <c r="D86" s="43">
        <f t="shared" si="13"/>
        <v>1</v>
      </c>
      <c r="E86" s="43" t="str">
        <f>TEXT(Data!B86,"MMM-YYYY")</f>
        <v>Dec-2023</v>
      </c>
      <c r="F86" s="43" t="str">
        <f t="shared" si="9"/>
        <v>Q4-2023</v>
      </c>
      <c r="G86" s="33" t="s">
        <v>16</v>
      </c>
      <c r="H86" s="33" t="s">
        <v>148</v>
      </c>
      <c r="I86" s="33" t="s">
        <v>258</v>
      </c>
      <c r="J86" s="33" t="s">
        <v>39</v>
      </c>
      <c r="K86" s="33" t="s">
        <v>40</v>
      </c>
      <c r="L86" s="33" t="s">
        <v>145</v>
      </c>
      <c r="M86" s="33" t="s">
        <v>22</v>
      </c>
      <c r="N86" s="33" t="s">
        <v>269</v>
      </c>
      <c r="O86" s="43">
        <v>1186.18</v>
      </c>
      <c r="P86" s="44" t="str">
        <f t="shared" si="10"/>
        <v>High</v>
      </c>
      <c r="Q86" s="43">
        <v>1285.0899999999999</v>
      </c>
      <c r="R86" s="43">
        <v>7.0000000000000007E-2</v>
      </c>
      <c r="S86" s="43">
        <v>11</v>
      </c>
      <c r="T86" s="43">
        <f t="shared" si="7"/>
        <v>18364.589100000001</v>
      </c>
      <c r="U86" s="33">
        <f t="shared" si="8"/>
        <v>13047.980000000001</v>
      </c>
      <c r="V86" s="43">
        <f t="shared" si="11"/>
        <v>5316.6090999999997</v>
      </c>
      <c r="W86" s="45">
        <f t="shared" si="12"/>
        <v>0.28950329740838032</v>
      </c>
    </row>
    <row r="87" spans="1:23" x14ac:dyDescent="0.3">
      <c r="A87" s="34" t="s">
        <v>270</v>
      </c>
      <c r="B87" s="35">
        <v>45388</v>
      </c>
      <c r="C87" s="36">
        <v>45407</v>
      </c>
      <c r="D87" s="37">
        <f t="shared" si="13"/>
        <v>19</v>
      </c>
      <c r="E87" s="37" t="str">
        <f>TEXT(Data!B87,"MMM-YYYY")</f>
        <v>Apr-2024</v>
      </c>
      <c r="F87" s="37" t="str">
        <f t="shared" si="9"/>
        <v>Q2-2024</v>
      </c>
      <c r="G87" s="32" t="s">
        <v>45</v>
      </c>
      <c r="H87" s="32" t="s">
        <v>116</v>
      </c>
      <c r="I87" s="32" t="s">
        <v>162</v>
      </c>
      <c r="J87" s="32" t="s">
        <v>19</v>
      </c>
      <c r="K87" s="32" t="s">
        <v>20</v>
      </c>
      <c r="L87" s="32" t="s">
        <v>95</v>
      </c>
      <c r="M87" s="32" t="s">
        <v>22</v>
      </c>
      <c r="N87" s="32" t="s">
        <v>271</v>
      </c>
      <c r="O87" s="37">
        <v>1366.48</v>
      </c>
      <c r="P87" s="38" t="str">
        <f t="shared" si="10"/>
        <v>High</v>
      </c>
      <c r="Q87" s="37">
        <v>1678.14</v>
      </c>
      <c r="R87" s="37">
        <v>0.154</v>
      </c>
      <c r="S87" s="37">
        <v>10</v>
      </c>
      <c r="T87" s="37">
        <f t="shared" si="7"/>
        <v>36.970199999999998</v>
      </c>
      <c r="U87" s="32">
        <f t="shared" si="8"/>
        <v>13664.8</v>
      </c>
      <c r="V87" s="37">
        <f t="shared" si="11"/>
        <v>-13627.8298</v>
      </c>
      <c r="W87" s="39">
        <f t="shared" si="12"/>
        <v>-368.61661013464897</v>
      </c>
    </row>
    <row r="88" spans="1:23" x14ac:dyDescent="0.3">
      <c r="A88" s="40" t="s">
        <v>272</v>
      </c>
      <c r="B88" s="41">
        <v>45876</v>
      </c>
      <c r="C88" s="42">
        <v>45888</v>
      </c>
      <c r="D88" s="43">
        <f t="shared" si="13"/>
        <v>12</v>
      </c>
      <c r="E88" s="43" t="str">
        <f>TEXT(Data!B88,"MMM-YYYY")</f>
        <v>Aug-2025</v>
      </c>
      <c r="F88" s="43" t="str">
        <f t="shared" si="9"/>
        <v>Q3-2025</v>
      </c>
      <c r="G88" s="33" t="s">
        <v>16</v>
      </c>
      <c r="H88" s="33" t="s">
        <v>17</v>
      </c>
      <c r="I88" s="33" t="s">
        <v>135</v>
      </c>
      <c r="J88" s="33" t="s">
        <v>19</v>
      </c>
      <c r="K88" s="33" t="s">
        <v>1364</v>
      </c>
      <c r="L88" s="33" t="s">
        <v>110</v>
      </c>
      <c r="M88" s="33" t="s">
        <v>22</v>
      </c>
      <c r="N88" s="33" t="s">
        <v>273</v>
      </c>
      <c r="O88" s="43">
        <v>601.51</v>
      </c>
      <c r="P88" s="44" t="str">
        <f t="shared" si="10"/>
        <v>High</v>
      </c>
      <c r="Q88" s="43">
        <v>679.35</v>
      </c>
      <c r="R88" s="43">
        <v>0.188</v>
      </c>
      <c r="S88" s="43">
        <v>3</v>
      </c>
      <c r="T88" s="43">
        <f t="shared" si="7"/>
        <v>532.26600000000008</v>
      </c>
      <c r="U88" s="33">
        <f t="shared" si="8"/>
        <v>1804.53</v>
      </c>
      <c r="V88" s="43">
        <f t="shared" si="11"/>
        <v>-1272.2639999999999</v>
      </c>
      <c r="W88" s="45">
        <f t="shared" si="12"/>
        <v>-2.3902785449380568</v>
      </c>
    </row>
    <row r="89" spans="1:23" x14ac:dyDescent="0.3">
      <c r="A89" s="34" t="s">
        <v>274</v>
      </c>
      <c r="B89" s="35">
        <v>45312</v>
      </c>
      <c r="C89" s="36">
        <v>45316</v>
      </c>
      <c r="D89" s="37">
        <f t="shared" si="13"/>
        <v>4</v>
      </c>
      <c r="E89" s="37" t="str">
        <f>TEXT(Data!B89,"MMM-YYYY")</f>
        <v>Jan-2024</v>
      </c>
      <c r="F89" s="37" t="str">
        <f t="shared" si="9"/>
        <v>Q1-2024</v>
      </c>
      <c r="G89" s="32" t="s">
        <v>45</v>
      </c>
      <c r="H89" s="32" t="s">
        <v>60</v>
      </c>
      <c r="I89" s="32" t="s">
        <v>141</v>
      </c>
      <c r="J89" s="32" t="s">
        <v>48</v>
      </c>
      <c r="K89" s="32" t="s">
        <v>98</v>
      </c>
      <c r="L89" s="32" t="s">
        <v>21</v>
      </c>
      <c r="M89" s="32" t="s">
        <v>64</v>
      </c>
      <c r="N89" s="32" t="s">
        <v>275</v>
      </c>
      <c r="O89" s="37">
        <v>523.70000000000005</v>
      </c>
      <c r="P89" s="38" t="str">
        <f t="shared" si="10"/>
        <v>High</v>
      </c>
      <c r="Q89" s="37">
        <v>1109.92</v>
      </c>
      <c r="R89" s="37">
        <v>0.03</v>
      </c>
      <c r="S89" s="37">
        <v>11</v>
      </c>
      <c r="T89" s="37">
        <f t="shared" si="7"/>
        <v>2666.1129000000001</v>
      </c>
      <c r="U89" s="32">
        <f t="shared" si="8"/>
        <v>5760.7000000000007</v>
      </c>
      <c r="V89" s="37">
        <f t="shared" si="11"/>
        <v>-3094.5871000000006</v>
      </c>
      <c r="W89" s="39">
        <f t="shared" si="12"/>
        <v>-1.160711198689298</v>
      </c>
    </row>
    <row r="90" spans="1:23" x14ac:dyDescent="0.3">
      <c r="A90" s="40" t="s">
        <v>276</v>
      </c>
      <c r="B90" s="41">
        <v>45106</v>
      </c>
      <c r="C90" s="42">
        <v>45109</v>
      </c>
      <c r="D90" s="43">
        <f t="shared" si="13"/>
        <v>3</v>
      </c>
      <c r="E90" s="43" t="str">
        <f>TEXT(Data!B90,"MMM-YYYY")</f>
        <v>Jun-2023</v>
      </c>
      <c r="F90" s="43" t="str">
        <f t="shared" si="9"/>
        <v>Q2-2023</v>
      </c>
      <c r="G90" s="33" t="s">
        <v>45</v>
      </c>
      <c r="H90" s="33" t="s">
        <v>46</v>
      </c>
      <c r="I90" s="33" t="s">
        <v>231</v>
      </c>
      <c r="J90" s="33" t="s">
        <v>27</v>
      </c>
      <c r="K90" s="33" t="s">
        <v>40</v>
      </c>
      <c r="L90" s="33" t="s">
        <v>84</v>
      </c>
      <c r="M90" s="33" t="s">
        <v>64</v>
      </c>
      <c r="N90" s="33" t="s">
        <v>277</v>
      </c>
      <c r="O90" s="43">
        <v>55.65</v>
      </c>
      <c r="P90" s="44" t="str">
        <f t="shared" si="10"/>
        <v>Medium</v>
      </c>
      <c r="Q90" s="43">
        <v>83.57</v>
      </c>
      <c r="R90" s="43">
        <v>6.6000000000000003E-2</v>
      </c>
      <c r="S90" s="43">
        <v>8</v>
      </c>
      <c r="T90" s="43">
        <f t="shared" si="7"/>
        <v>25677.677439999999</v>
      </c>
      <c r="U90" s="33">
        <f t="shared" si="8"/>
        <v>445.2</v>
      </c>
      <c r="V90" s="43">
        <f t="shared" si="11"/>
        <v>25232.477439999999</v>
      </c>
      <c r="W90" s="45">
        <f t="shared" si="12"/>
        <v>0.98266198331059018</v>
      </c>
    </row>
    <row r="91" spans="1:23" x14ac:dyDescent="0.3">
      <c r="A91" s="34" t="s">
        <v>278</v>
      </c>
      <c r="B91" s="35">
        <v>45775</v>
      </c>
      <c r="C91" s="36">
        <v>45792</v>
      </c>
      <c r="D91" s="37">
        <f t="shared" si="13"/>
        <v>17</v>
      </c>
      <c r="E91" s="37" t="str">
        <f>TEXT(Data!B91,"MMM-YYYY")</f>
        <v>Apr-2025</v>
      </c>
      <c r="F91" s="37" t="str">
        <f t="shared" si="9"/>
        <v>Q2-2025</v>
      </c>
      <c r="G91" s="32" t="s">
        <v>45</v>
      </c>
      <c r="H91" s="32" t="s">
        <v>46</v>
      </c>
      <c r="I91" s="32" t="s">
        <v>231</v>
      </c>
      <c r="J91" s="32" t="s">
        <v>27</v>
      </c>
      <c r="K91" s="32" t="s">
        <v>98</v>
      </c>
      <c r="L91" s="32" t="s">
        <v>126</v>
      </c>
      <c r="M91" s="32" t="s">
        <v>35</v>
      </c>
      <c r="N91" s="32" t="s">
        <v>279</v>
      </c>
      <c r="O91" s="37">
        <v>691.19</v>
      </c>
      <c r="P91" s="38" t="str">
        <f t="shared" si="10"/>
        <v>High</v>
      </c>
      <c r="Q91" s="37">
        <v>1284.3</v>
      </c>
      <c r="R91" s="37">
        <v>7.3999999999999996E-2</v>
      </c>
      <c r="S91" s="37">
        <v>7</v>
      </c>
      <c r="T91" s="37">
        <f t="shared" si="7"/>
        <v>346.46290000000005</v>
      </c>
      <c r="U91" s="32">
        <f t="shared" si="8"/>
        <v>4838.33</v>
      </c>
      <c r="V91" s="37">
        <f t="shared" si="11"/>
        <v>-4491.8670999999995</v>
      </c>
      <c r="W91" s="39">
        <f t="shared" si="12"/>
        <v>-12.964929578318483</v>
      </c>
    </row>
    <row r="92" spans="1:23" x14ac:dyDescent="0.3">
      <c r="A92" s="40" t="s">
        <v>280</v>
      </c>
      <c r="B92" s="41">
        <v>45817</v>
      </c>
      <c r="C92" s="42">
        <v>45833</v>
      </c>
      <c r="D92" s="43">
        <f t="shared" si="13"/>
        <v>16</v>
      </c>
      <c r="E92" s="43" t="str">
        <f>TEXT(Data!B92,"MMM-YYYY")</f>
        <v>Jun-2025</v>
      </c>
      <c r="F92" s="43" t="str">
        <f t="shared" si="9"/>
        <v>Q2-2025</v>
      </c>
      <c r="G92" s="33" t="s">
        <v>45</v>
      </c>
      <c r="H92" s="33" t="s">
        <v>60</v>
      </c>
      <c r="I92" s="33" t="s">
        <v>281</v>
      </c>
      <c r="J92" s="33" t="s">
        <v>105</v>
      </c>
      <c r="K92" s="33" t="s">
        <v>55</v>
      </c>
      <c r="L92" s="33" t="s">
        <v>110</v>
      </c>
      <c r="M92" s="33" t="s">
        <v>42</v>
      </c>
      <c r="N92" s="33" t="s">
        <v>282</v>
      </c>
      <c r="O92" s="43">
        <v>527.33000000000004</v>
      </c>
      <c r="P92" s="44" t="str">
        <f t="shared" si="10"/>
        <v>High</v>
      </c>
      <c r="Q92" s="43">
        <v>911.72</v>
      </c>
      <c r="R92" s="43">
        <v>0.14399999999999999</v>
      </c>
      <c r="S92" s="43">
        <v>25</v>
      </c>
      <c r="T92" s="43">
        <f t="shared" si="7"/>
        <v>74251.58</v>
      </c>
      <c r="U92" s="33">
        <f t="shared" si="8"/>
        <v>13183.250000000002</v>
      </c>
      <c r="V92" s="43">
        <f t="shared" si="11"/>
        <v>61068.33</v>
      </c>
      <c r="W92" s="45">
        <f t="shared" si="12"/>
        <v>0.82245158958233622</v>
      </c>
    </row>
    <row r="93" spans="1:23" x14ac:dyDescent="0.3">
      <c r="A93" s="34" t="s">
        <v>283</v>
      </c>
      <c r="B93" s="35">
        <v>45101</v>
      </c>
      <c r="C93" s="36">
        <v>45100</v>
      </c>
      <c r="D93" s="37">
        <f>DATEDIF(C93,B93, "MD")</f>
        <v>1</v>
      </c>
      <c r="E93" s="37" t="str">
        <f>TEXT(Data!B93,"MMM-YYYY")</f>
        <v>Jun-2023</v>
      </c>
      <c r="F93" s="37" t="str">
        <f t="shared" si="9"/>
        <v>Q2-2023</v>
      </c>
      <c r="G93" s="32" t="s">
        <v>52</v>
      </c>
      <c r="H93" s="32" t="s">
        <v>73</v>
      </c>
      <c r="I93" s="32" t="s">
        <v>225</v>
      </c>
      <c r="J93" s="32" t="s">
        <v>39</v>
      </c>
      <c r="K93" s="32" t="s">
        <v>20</v>
      </c>
      <c r="L93" s="32" t="s">
        <v>63</v>
      </c>
      <c r="M93" s="32" t="s">
        <v>30</v>
      </c>
      <c r="N93" s="32" t="s">
        <v>284</v>
      </c>
      <c r="O93" s="37">
        <v>804.01</v>
      </c>
      <c r="P93" s="38" t="str">
        <f t="shared" si="10"/>
        <v>High</v>
      </c>
      <c r="Q93" s="37">
        <v>1405.07</v>
      </c>
      <c r="R93" s="37">
        <v>9.6000000000000002E-2</v>
      </c>
      <c r="S93" s="37">
        <v>8</v>
      </c>
      <c r="T93" s="37">
        <f t="shared" si="7"/>
        <v>4491.2166399999996</v>
      </c>
      <c r="U93" s="32">
        <f t="shared" si="8"/>
        <v>6432.08</v>
      </c>
      <c r="V93" s="37">
        <f t="shared" si="11"/>
        <v>-1940.8633600000003</v>
      </c>
      <c r="W93" s="39">
        <f t="shared" si="12"/>
        <v>-0.43214645731273393</v>
      </c>
    </row>
    <row r="94" spans="1:23" x14ac:dyDescent="0.3">
      <c r="A94" s="40" t="s">
        <v>285</v>
      </c>
      <c r="B94" s="41">
        <v>45569</v>
      </c>
      <c r="C94" s="42">
        <v>45598</v>
      </c>
      <c r="D94" s="43">
        <f t="shared" si="13"/>
        <v>29</v>
      </c>
      <c r="E94" s="43" t="str">
        <f>TEXT(Data!B94,"MMM-YYYY")</f>
        <v>Oct-2024</v>
      </c>
      <c r="F94" s="43" t="str">
        <f t="shared" si="9"/>
        <v>Q4-2024</v>
      </c>
      <c r="G94" s="33" t="s">
        <v>16</v>
      </c>
      <c r="H94" s="33" t="s">
        <v>25</v>
      </c>
      <c r="I94" s="33" t="s">
        <v>67</v>
      </c>
      <c r="J94" s="33" t="s">
        <v>19</v>
      </c>
      <c r="K94" s="33" t="s">
        <v>55</v>
      </c>
      <c r="L94" s="33" t="s">
        <v>84</v>
      </c>
      <c r="M94" s="33" t="s">
        <v>81</v>
      </c>
      <c r="N94" s="33" t="s">
        <v>286</v>
      </c>
      <c r="O94" s="43">
        <v>412.09</v>
      </c>
      <c r="P94" s="44" t="str">
        <f t="shared" si="10"/>
        <v>High</v>
      </c>
      <c r="Q94" s="43">
        <v>968.94</v>
      </c>
      <c r="R94" s="43">
        <v>9.9000000000000005E-2</v>
      </c>
      <c r="S94" s="43">
        <v>23</v>
      </c>
      <c r="T94" s="43">
        <f t="shared" si="7"/>
        <v>1834.19273</v>
      </c>
      <c r="U94" s="33">
        <f t="shared" si="8"/>
        <v>9478.07</v>
      </c>
      <c r="V94" s="43">
        <f t="shared" si="11"/>
        <v>-7643.87727</v>
      </c>
      <c r="W94" s="45">
        <f t="shared" si="12"/>
        <v>-4.1674340678473847</v>
      </c>
    </row>
    <row r="95" spans="1:23" x14ac:dyDescent="0.3">
      <c r="A95" s="34" t="s">
        <v>287</v>
      </c>
      <c r="B95" s="35">
        <v>45910</v>
      </c>
      <c r="C95" s="36">
        <v>45930</v>
      </c>
      <c r="D95" s="37">
        <f t="shared" si="13"/>
        <v>20</v>
      </c>
      <c r="E95" s="37" t="str">
        <f>TEXT(Data!B95,"MMM-YYYY")</f>
        <v>Sep-2025</v>
      </c>
      <c r="F95" s="37" t="str">
        <f t="shared" si="9"/>
        <v>Q3-2025</v>
      </c>
      <c r="G95" s="32" t="s">
        <v>16</v>
      </c>
      <c r="H95" s="32" t="s">
        <v>17</v>
      </c>
      <c r="I95" s="32" t="s">
        <v>113</v>
      </c>
      <c r="J95" s="32" t="s">
        <v>19</v>
      </c>
      <c r="K95" s="32" t="s">
        <v>98</v>
      </c>
      <c r="L95" s="32" t="s">
        <v>49</v>
      </c>
      <c r="M95" s="32" t="s">
        <v>42</v>
      </c>
      <c r="N95" s="32" t="s">
        <v>288</v>
      </c>
      <c r="O95" s="37">
        <v>1009.48</v>
      </c>
      <c r="P95" s="38" t="str">
        <f t="shared" si="10"/>
        <v>High</v>
      </c>
      <c r="Q95" s="37">
        <v>1088.81</v>
      </c>
      <c r="R95" s="37">
        <v>0.16</v>
      </c>
      <c r="S95" s="37">
        <v>6</v>
      </c>
      <c r="T95" s="37">
        <f t="shared" si="7"/>
        <v>9873.8135999999995</v>
      </c>
      <c r="U95" s="32">
        <f t="shared" si="8"/>
        <v>6056.88</v>
      </c>
      <c r="V95" s="37">
        <f t="shared" si="11"/>
        <v>3816.9335999999994</v>
      </c>
      <c r="W95" s="39">
        <f t="shared" si="12"/>
        <v>0.38657136488782812</v>
      </c>
    </row>
    <row r="96" spans="1:23" x14ac:dyDescent="0.3">
      <c r="A96" s="40" t="s">
        <v>289</v>
      </c>
      <c r="B96" s="41">
        <v>45022</v>
      </c>
      <c r="C96" s="42">
        <v>45043</v>
      </c>
      <c r="D96" s="43">
        <f t="shared" si="13"/>
        <v>21</v>
      </c>
      <c r="E96" s="43" t="str">
        <f>TEXT(Data!B96,"MMM-YYYY")</f>
        <v>Apr-2023</v>
      </c>
      <c r="F96" s="43" t="str">
        <f t="shared" si="9"/>
        <v>Q2-2023</v>
      </c>
      <c r="G96" s="33" t="s">
        <v>78</v>
      </c>
      <c r="H96" s="33" t="s">
        <v>108</v>
      </c>
      <c r="I96" s="33" t="s">
        <v>228</v>
      </c>
      <c r="J96" s="33" t="s">
        <v>105</v>
      </c>
      <c r="K96" s="33" t="s">
        <v>55</v>
      </c>
      <c r="L96" s="33" t="s">
        <v>34</v>
      </c>
      <c r="M96" s="33" t="s">
        <v>30</v>
      </c>
      <c r="N96" s="33" t="s">
        <v>290</v>
      </c>
      <c r="O96" s="43">
        <v>1084.79</v>
      </c>
      <c r="P96" s="44" t="str">
        <f t="shared" si="10"/>
        <v>High</v>
      </c>
      <c r="Q96" s="43">
        <v>2484.9899999999998</v>
      </c>
      <c r="R96" s="43">
        <v>3.4000000000000002E-2</v>
      </c>
      <c r="S96" s="43">
        <v>18</v>
      </c>
      <c r="T96" s="43">
        <f t="shared" si="7"/>
        <v>47694.762360000001</v>
      </c>
      <c r="U96" s="33">
        <f t="shared" si="8"/>
        <v>19526.22</v>
      </c>
      <c r="V96" s="43">
        <f t="shared" si="11"/>
        <v>28168.542359999999</v>
      </c>
      <c r="W96" s="45">
        <f t="shared" si="12"/>
        <v>0.59060032939013052</v>
      </c>
    </row>
    <row r="97" spans="1:23" x14ac:dyDescent="0.3">
      <c r="A97" s="34" t="s">
        <v>291</v>
      </c>
      <c r="B97" s="35">
        <v>45870</v>
      </c>
      <c r="C97" s="36">
        <v>45885</v>
      </c>
      <c r="D97" s="37">
        <f t="shared" si="13"/>
        <v>15</v>
      </c>
      <c r="E97" s="37" t="str">
        <f>TEXT(Data!B97,"MMM-YYYY")</f>
        <v>Aug-2025</v>
      </c>
      <c r="F97" s="37" t="str">
        <f t="shared" si="9"/>
        <v>Q3-2025</v>
      </c>
      <c r="G97" s="32" t="s">
        <v>45</v>
      </c>
      <c r="H97" s="32" t="s">
        <v>60</v>
      </c>
      <c r="I97" s="32" t="s">
        <v>1364</v>
      </c>
      <c r="J97" s="32" t="s">
        <v>105</v>
      </c>
      <c r="K97" s="32" t="s">
        <v>98</v>
      </c>
      <c r="L97" s="32" t="s">
        <v>68</v>
      </c>
      <c r="M97" s="32" t="s">
        <v>64</v>
      </c>
      <c r="N97" s="32" t="s">
        <v>292</v>
      </c>
      <c r="O97" s="37">
        <v>24.44</v>
      </c>
      <c r="P97" s="38" t="str">
        <f t="shared" si="10"/>
        <v>Low</v>
      </c>
      <c r="Q97" s="37">
        <v>28.69</v>
      </c>
      <c r="R97" s="37">
        <v>0.14599999999999999</v>
      </c>
      <c r="S97" s="37">
        <v>6</v>
      </c>
      <c r="T97" s="37">
        <f t="shared" si="7"/>
        <v>8605.3480799999998</v>
      </c>
      <c r="U97" s="32">
        <f t="shared" si="8"/>
        <v>146.64000000000001</v>
      </c>
      <c r="V97" s="37">
        <f t="shared" si="11"/>
        <v>8458.7080800000003</v>
      </c>
      <c r="W97" s="39">
        <f t="shared" si="12"/>
        <v>0.98295943422197984</v>
      </c>
    </row>
    <row r="98" spans="1:23" x14ac:dyDescent="0.3">
      <c r="A98" s="40" t="s">
        <v>293</v>
      </c>
      <c r="B98" s="41">
        <v>45440</v>
      </c>
      <c r="C98" s="42">
        <v>45438</v>
      </c>
      <c r="D98" s="43">
        <f>DATEDIF(C98,B98, "MD")</f>
        <v>2</v>
      </c>
      <c r="E98" s="43" t="str">
        <f>TEXT(Data!B98,"MMM-YYYY")</f>
        <v>May-2024</v>
      </c>
      <c r="F98" s="43" t="str">
        <f t="shared" si="9"/>
        <v>Q2-2024</v>
      </c>
      <c r="G98" s="33" t="s">
        <v>16</v>
      </c>
      <c r="H98" s="33" t="s">
        <v>25</v>
      </c>
      <c r="I98" s="33" t="s">
        <v>67</v>
      </c>
      <c r="J98" s="33" t="s">
        <v>105</v>
      </c>
      <c r="K98" s="33" t="s">
        <v>28</v>
      </c>
      <c r="L98" s="33" t="s">
        <v>84</v>
      </c>
      <c r="M98" s="33" t="s">
        <v>81</v>
      </c>
      <c r="N98" s="33" t="s">
        <v>294</v>
      </c>
      <c r="O98" s="43">
        <v>1227.08</v>
      </c>
      <c r="P98" s="44" t="str">
        <f t="shared" si="10"/>
        <v>High</v>
      </c>
      <c r="Q98" s="43">
        <v>1896.62</v>
      </c>
      <c r="R98" s="43">
        <v>0</v>
      </c>
      <c r="S98" s="43">
        <v>18</v>
      </c>
      <c r="T98" s="43">
        <f t="shared" si="7"/>
        <v>25810.2</v>
      </c>
      <c r="U98" s="33">
        <f t="shared" si="8"/>
        <v>22087.439999999999</v>
      </c>
      <c r="V98" s="43">
        <f t="shared" si="11"/>
        <v>3722.760000000002</v>
      </c>
      <c r="W98" s="45">
        <f t="shared" si="12"/>
        <v>0.14423599972104059</v>
      </c>
    </row>
    <row r="99" spans="1:23" x14ac:dyDescent="0.3">
      <c r="A99" s="34" t="s">
        <v>295</v>
      </c>
      <c r="B99" s="35">
        <v>45860</v>
      </c>
      <c r="C99" s="36">
        <v>45887</v>
      </c>
      <c r="D99" s="37">
        <f t="shared" si="13"/>
        <v>27</v>
      </c>
      <c r="E99" s="37" t="str">
        <f>TEXT(Data!B99,"MMM-YYYY")</f>
        <v>Jul-2025</v>
      </c>
      <c r="F99" s="37" t="str">
        <f t="shared" si="9"/>
        <v>Q3-2025</v>
      </c>
      <c r="G99" s="32" t="s">
        <v>45</v>
      </c>
      <c r="H99" s="32" t="s">
        <v>116</v>
      </c>
      <c r="I99" s="32" t="s">
        <v>117</v>
      </c>
      <c r="J99" s="32" t="s">
        <v>39</v>
      </c>
      <c r="K99" s="32" t="s">
        <v>40</v>
      </c>
      <c r="L99" s="32" t="s">
        <v>110</v>
      </c>
      <c r="M99" s="32" t="s">
        <v>35</v>
      </c>
      <c r="N99" s="32" t="s">
        <v>296</v>
      </c>
      <c r="O99" s="37">
        <v>547.32000000000005</v>
      </c>
      <c r="P99" s="38" t="str">
        <f t="shared" si="10"/>
        <v>High</v>
      </c>
      <c r="Q99" s="37">
        <v>419.17</v>
      </c>
      <c r="R99" s="37">
        <v>9.1999999999999998E-2</v>
      </c>
      <c r="S99" s="37">
        <v>14</v>
      </c>
      <c r="T99" s="37">
        <f t="shared" si="7"/>
        <v>3615.67416</v>
      </c>
      <c r="U99" s="32">
        <f t="shared" si="8"/>
        <v>7662.4800000000005</v>
      </c>
      <c r="V99" s="37">
        <f t="shared" si="11"/>
        <v>-4046.8058400000004</v>
      </c>
      <c r="W99" s="39">
        <f t="shared" si="12"/>
        <v>-1.1192396385630061</v>
      </c>
    </row>
    <row r="100" spans="1:23" x14ac:dyDescent="0.3">
      <c r="A100" s="40" t="s">
        <v>297</v>
      </c>
      <c r="B100" s="41">
        <v>44985</v>
      </c>
      <c r="C100" s="42">
        <v>45005</v>
      </c>
      <c r="D100" s="43">
        <f t="shared" si="13"/>
        <v>20</v>
      </c>
      <c r="E100" s="43" t="str">
        <f>TEXT(Data!B100,"MMM-YYYY")</f>
        <v>Feb-2023</v>
      </c>
      <c r="F100" s="43" t="str">
        <f t="shared" si="9"/>
        <v>Q1-2023</v>
      </c>
      <c r="G100" s="33" t="s">
        <v>78</v>
      </c>
      <c r="H100" s="33" t="s">
        <v>79</v>
      </c>
      <c r="I100" s="33" t="s">
        <v>80</v>
      </c>
      <c r="J100" s="33" t="s">
        <v>62</v>
      </c>
      <c r="K100" s="33" t="s">
        <v>98</v>
      </c>
      <c r="L100" s="33" t="s">
        <v>92</v>
      </c>
      <c r="M100" s="33" t="s">
        <v>57</v>
      </c>
      <c r="N100" s="33" t="s">
        <v>298</v>
      </c>
      <c r="O100" s="43">
        <v>1200.78</v>
      </c>
      <c r="P100" s="44" t="str">
        <f t="shared" si="10"/>
        <v>High</v>
      </c>
      <c r="Q100" s="43">
        <v>2001.17</v>
      </c>
      <c r="R100" s="43">
        <v>0.29199999999999998</v>
      </c>
      <c r="S100" s="43">
        <v>18</v>
      </c>
      <c r="T100" s="43">
        <f t="shared" si="7"/>
        <v>8854.276319999999</v>
      </c>
      <c r="U100" s="33">
        <f t="shared" si="8"/>
        <v>21614.04</v>
      </c>
      <c r="V100" s="43">
        <f t="shared" si="11"/>
        <v>-12759.763680000002</v>
      </c>
      <c r="W100" s="45">
        <f t="shared" si="12"/>
        <v>-1.4410848745682701</v>
      </c>
    </row>
    <row r="101" spans="1:23" x14ac:dyDescent="0.3">
      <c r="A101" s="34" t="s">
        <v>299</v>
      </c>
      <c r="B101" s="35">
        <v>45684</v>
      </c>
      <c r="C101" s="36">
        <v>45703</v>
      </c>
      <c r="D101" s="37">
        <f t="shared" si="13"/>
        <v>19</v>
      </c>
      <c r="E101" s="37" t="str">
        <f>TEXT(Data!B101,"MMM-YYYY")</f>
        <v>Jan-2025</v>
      </c>
      <c r="F101" s="37" t="str">
        <f t="shared" si="9"/>
        <v>Q1-2025</v>
      </c>
      <c r="G101" s="32" t="s">
        <v>45</v>
      </c>
      <c r="H101" s="32" t="s">
        <v>116</v>
      </c>
      <c r="I101" s="32" t="s">
        <v>117</v>
      </c>
      <c r="J101" s="32" t="s">
        <v>39</v>
      </c>
      <c r="K101" s="32" t="s">
        <v>98</v>
      </c>
      <c r="L101" s="32" t="s">
        <v>49</v>
      </c>
      <c r="M101" s="32" t="s">
        <v>42</v>
      </c>
      <c r="N101" s="32" t="s">
        <v>300</v>
      </c>
      <c r="O101" s="37">
        <v>1253.22</v>
      </c>
      <c r="P101" s="38" t="str">
        <f t="shared" si="10"/>
        <v>High</v>
      </c>
      <c r="Q101" s="37">
        <v>3104.71</v>
      </c>
      <c r="R101" s="37">
        <v>0</v>
      </c>
      <c r="S101" s="37">
        <v>17</v>
      </c>
      <c r="T101" s="37">
        <f t="shared" si="7"/>
        <v>31422.63</v>
      </c>
      <c r="U101" s="32">
        <f t="shared" si="8"/>
        <v>21304.74</v>
      </c>
      <c r="V101" s="37">
        <f t="shared" si="11"/>
        <v>10117.89</v>
      </c>
      <c r="W101" s="39">
        <f t="shared" si="12"/>
        <v>0.3219937350883742</v>
      </c>
    </row>
    <row r="102" spans="1:23" x14ac:dyDescent="0.3">
      <c r="A102" s="40" t="s">
        <v>301</v>
      </c>
      <c r="B102" s="41">
        <v>45304</v>
      </c>
      <c r="C102" s="42">
        <v>45313</v>
      </c>
      <c r="D102" s="43">
        <f t="shared" si="13"/>
        <v>9</v>
      </c>
      <c r="E102" s="43" t="str">
        <f>TEXT(Data!B102,"MMM-YYYY")</f>
        <v>Jan-2024</v>
      </c>
      <c r="F102" s="43" t="str">
        <f t="shared" si="9"/>
        <v>Q1-2024</v>
      </c>
      <c r="G102" s="33" t="s">
        <v>45</v>
      </c>
      <c r="H102" s="33" t="s">
        <v>60</v>
      </c>
      <c r="I102" s="33" t="s">
        <v>220</v>
      </c>
      <c r="J102" s="33" t="s">
        <v>105</v>
      </c>
      <c r="K102" s="33" t="s">
        <v>40</v>
      </c>
      <c r="L102" s="33" t="s">
        <v>29</v>
      </c>
      <c r="M102" s="33" t="s">
        <v>22</v>
      </c>
      <c r="N102" s="33" t="s">
        <v>302</v>
      </c>
      <c r="O102" s="43">
        <v>313.60000000000002</v>
      </c>
      <c r="P102" s="44" t="str">
        <f t="shared" si="10"/>
        <v>High</v>
      </c>
      <c r="Q102" s="43">
        <v>334.28</v>
      </c>
      <c r="R102" s="43">
        <v>0.14000000000000001</v>
      </c>
      <c r="S102" s="43">
        <v>22</v>
      </c>
      <c r="T102" s="43">
        <f t="shared" si="7"/>
        <v>854.99479999999994</v>
      </c>
      <c r="U102" s="33">
        <f t="shared" si="8"/>
        <v>6899.2000000000007</v>
      </c>
      <c r="V102" s="43">
        <f t="shared" si="11"/>
        <v>-6044.2052000000003</v>
      </c>
      <c r="W102" s="45">
        <f t="shared" si="12"/>
        <v>-7.0692888424584579</v>
      </c>
    </row>
    <row r="103" spans="1:23" x14ac:dyDescent="0.3">
      <c r="A103" s="34" t="s">
        <v>303</v>
      </c>
      <c r="B103" s="35">
        <v>45747</v>
      </c>
      <c r="C103" s="36">
        <v>45751</v>
      </c>
      <c r="D103" s="37">
        <f t="shared" si="13"/>
        <v>4</v>
      </c>
      <c r="E103" s="37" t="str">
        <f>TEXT(Data!B103,"MMM-YYYY")</f>
        <v>Mar-2025</v>
      </c>
      <c r="F103" s="37" t="str">
        <f t="shared" si="9"/>
        <v>Q1-2025</v>
      </c>
      <c r="G103" s="32" t="s">
        <v>16</v>
      </c>
      <c r="H103" s="32" t="s">
        <v>17</v>
      </c>
      <c r="I103" s="32" t="s">
        <v>135</v>
      </c>
      <c r="J103" s="32" t="s">
        <v>19</v>
      </c>
      <c r="K103" s="32" t="s">
        <v>98</v>
      </c>
      <c r="L103" s="32" t="s">
        <v>21</v>
      </c>
      <c r="M103" s="32" t="s">
        <v>57</v>
      </c>
      <c r="N103" s="32" t="s">
        <v>304</v>
      </c>
      <c r="O103" s="37">
        <v>862.08</v>
      </c>
      <c r="P103" s="38" t="str">
        <f t="shared" si="10"/>
        <v>High</v>
      </c>
      <c r="Q103" s="37">
        <v>1952.83</v>
      </c>
      <c r="R103" s="37">
        <v>0</v>
      </c>
      <c r="S103" s="37">
        <v>7</v>
      </c>
      <c r="T103" s="37">
        <f t="shared" si="7"/>
        <v>2527.7000000000003</v>
      </c>
      <c r="U103" s="32">
        <f t="shared" si="8"/>
        <v>6034.56</v>
      </c>
      <c r="V103" s="37">
        <f t="shared" si="11"/>
        <v>-3506.86</v>
      </c>
      <c r="W103" s="39">
        <f t="shared" si="12"/>
        <v>-1.3873719191359732</v>
      </c>
    </row>
    <row r="104" spans="1:23" x14ac:dyDescent="0.3">
      <c r="A104" s="40" t="s">
        <v>305</v>
      </c>
      <c r="B104" s="41">
        <v>45631</v>
      </c>
      <c r="C104" s="42">
        <v>45654</v>
      </c>
      <c r="D104" s="43">
        <f t="shared" si="13"/>
        <v>23</v>
      </c>
      <c r="E104" s="43" t="str">
        <f>TEXT(Data!B104,"MMM-YYYY")</f>
        <v>Dec-2024</v>
      </c>
      <c r="F104" s="43" t="str">
        <f t="shared" si="9"/>
        <v>Q4-2024</v>
      </c>
      <c r="G104" s="33" t="s">
        <v>52</v>
      </c>
      <c r="H104" s="33" t="s">
        <v>53</v>
      </c>
      <c r="I104" s="33" t="s">
        <v>179</v>
      </c>
      <c r="J104" s="33" t="s">
        <v>19</v>
      </c>
      <c r="K104" s="33" t="s">
        <v>98</v>
      </c>
      <c r="L104" s="33" t="s">
        <v>84</v>
      </c>
      <c r="M104" s="33" t="s">
        <v>81</v>
      </c>
      <c r="N104" s="33" t="s">
        <v>306</v>
      </c>
      <c r="O104" s="43">
        <v>107.03</v>
      </c>
      <c r="P104" s="44" t="str">
        <f t="shared" si="10"/>
        <v>High</v>
      </c>
      <c r="Q104" s="43">
        <v>242.29</v>
      </c>
      <c r="R104" s="43">
        <v>0.18</v>
      </c>
      <c r="S104" s="43">
        <v>30</v>
      </c>
      <c r="T104" s="43">
        <f t="shared" si="7"/>
        <v>24706.764000000003</v>
      </c>
      <c r="U104" s="33">
        <f t="shared" si="8"/>
        <v>3210.9</v>
      </c>
      <c r="V104" s="43">
        <f t="shared" si="11"/>
        <v>21495.864000000001</v>
      </c>
      <c r="W104" s="45">
        <f t="shared" si="12"/>
        <v>0.87003963772835646</v>
      </c>
    </row>
    <row r="105" spans="1:23" x14ac:dyDescent="0.3">
      <c r="A105" s="34" t="s">
        <v>307</v>
      </c>
      <c r="B105" s="35">
        <v>45549</v>
      </c>
      <c r="C105" s="36">
        <v>45570</v>
      </c>
      <c r="D105" s="37">
        <f t="shared" si="13"/>
        <v>21</v>
      </c>
      <c r="E105" s="37" t="str">
        <f>TEXT(Data!B105,"MMM-YYYY")</f>
        <v>Sep-2024</v>
      </c>
      <c r="F105" s="37" t="str">
        <f t="shared" si="9"/>
        <v>Q3-2024</v>
      </c>
      <c r="G105" s="32" t="s">
        <v>45</v>
      </c>
      <c r="H105" s="32" t="s">
        <v>116</v>
      </c>
      <c r="I105" s="32" t="s">
        <v>162</v>
      </c>
      <c r="J105" s="32" t="s">
        <v>62</v>
      </c>
      <c r="K105" s="32" t="s">
        <v>28</v>
      </c>
      <c r="L105" s="32" t="s">
        <v>92</v>
      </c>
      <c r="M105" s="32" t="s">
        <v>57</v>
      </c>
      <c r="N105" s="32" t="s">
        <v>308</v>
      </c>
      <c r="O105" s="37">
        <v>1405.56</v>
      </c>
      <c r="P105" s="38" t="str">
        <f t="shared" si="10"/>
        <v>High</v>
      </c>
      <c r="Q105" s="37">
        <v>2968.87</v>
      </c>
      <c r="R105" s="37">
        <v>0.16900000000000001</v>
      </c>
      <c r="S105" s="37">
        <v>5</v>
      </c>
      <c r="T105" s="37">
        <f t="shared" si="7"/>
        <v>4270.2181499999997</v>
      </c>
      <c r="U105" s="32">
        <f t="shared" si="8"/>
        <v>7027.7999999999993</v>
      </c>
      <c r="V105" s="37">
        <f t="shared" si="11"/>
        <v>-2757.5818499999996</v>
      </c>
      <c r="W105" s="39">
        <f t="shared" si="12"/>
        <v>-0.64577072016800818</v>
      </c>
    </row>
    <row r="106" spans="1:23" x14ac:dyDescent="0.3">
      <c r="A106" s="40" t="s">
        <v>309</v>
      </c>
      <c r="B106" s="41">
        <v>45433</v>
      </c>
      <c r="C106" s="42">
        <v>45439</v>
      </c>
      <c r="D106" s="43">
        <f t="shared" si="13"/>
        <v>6</v>
      </c>
      <c r="E106" s="43" t="str">
        <f>TEXT(Data!B106,"MMM-YYYY")</f>
        <v>May-2024</v>
      </c>
      <c r="F106" s="43" t="str">
        <f t="shared" si="9"/>
        <v>Q2-2024</v>
      </c>
      <c r="G106" s="33" t="s">
        <v>16</v>
      </c>
      <c r="H106" s="33" t="s">
        <v>148</v>
      </c>
      <c r="I106" s="33" t="s">
        <v>149</v>
      </c>
      <c r="J106" s="33" t="s">
        <v>39</v>
      </c>
      <c r="K106" s="33" t="s">
        <v>28</v>
      </c>
      <c r="L106" s="33" t="s">
        <v>110</v>
      </c>
      <c r="M106" s="33" t="s">
        <v>22</v>
      </c>
      <c r="N106" s="33" t="s">
        <v>310</v>
      </c>
      <c r="O106" s="43">
        <v>1157.51</v>
      </c>
      <c r="P106" s="44" t="str">
        <f t="shared" si="10"/>
        <v>High</v>
      </c>
      <c r="Q106" s="43">
        <v>1394.3</v>
      </c>
      <c r="R106" s="43">
        <v>0.27800000000000002</v>
      </c>
      <c r="S106" s="43">
        <v>12</v>
      </c>
      <c r="T106" s="43">
        <f t="shared" si="7"/>
        <v>4055.5317599999998</v>
      </c>
      <c r="U106" s="33">
        <f t="shared" si="8"/>
        <v>13890.119999999999</v>
      </c>
      <c r="V106" s="43">
        <f t="shared" si="11"/>
        <v>-9834.5882399999991</v>
      </c>
      <c r="W106" s="45">
        <f t="shared" si="12"/>
        <v>-2.4249811916156712</v>
      </c>
    </row>
    <row r="107" spans="1:23" x14ac:dyDescent="0.3">
      <c r="A107" s="34" t="s">
        <v>311</v>
      </c>
      <c r="B107" s="35">
        <v>45057</v>
      </c>
      <c r="C107" s="36">
        <v>45084</v>
      </c>
      <c r="D107" s="37">
        <f t="shared" si="13"/>
        <v>27</v>
      </c>
      <c r="E107" s="37" t="str">
        <f>TEXT(Data!B107,"MMM-YYYY")</f>
        <v>May-2023</v>
      </c>
      <c r="F107" s="37" t="str">
        <f t="shared" si="9"/>
        <v>Q2-2023</v>
      </c>
      <c r="G107" s="32" t="s">
        <v>16</v>
      </c>
      <c r="H107" s="32" t="s">
        <v>17</v>
      </c>
      <c r="I107" s="32" t="s">
        <v>113</v>
      </c>
      <c r="J107" s="32" t="s">
        <v>19</v>
      </c>
      <c r="K107" s="32" t="s">
        <v>28</v>
      </c>
      <c r="L107" s="32" t="s">
        <v>29</v>
      </c>
      <c r="M107" s="32" t="s">
        <v>42</v>
      </c>
      <c r="N107" s="32" t="s">
        <v>312</v>
      </c>
      <c r="O107" s="37">
        <v>12.85</v>
      </c>
      <c r="P107" s="38" t="str">
        <f t="shared" si="10"/>
        <v>Low</v>
      </c>
      <c r="Q107" s="37">
        <v>15.41</v>
      </c>
      <c r="R107" s="37">
        <v>0.13700000000000001</v>
      </c>
      <c r="S107" s="37">
        <v>39</v>
      </c>
      <c r="T107" s="37">
        <f t="shared" si="7"/>
        <v>22483.549139999999</v>
      </c>
      <c r="U107" s="32">
        <f t="shared" si="8"/>
        <v>501.15</v>
      </c>
      <c r="V107" s="37">
        <f t="shared" si="11"/>
        <v>21982.399139999998</v>
      </c>
      <c r="W107" s="39">
        <f t="shared" si="12"/>
        <v>0.97771036961827273</v>
      </c>
    </row>
    <row r="108" spans="1:23" x14ac:dyDescent="0.3">
      <c r="A108" s="40" t="s">
        <v>313</v>
      </c>
      <c r="B108" s="41">
        <v>45518</v>
      </c>
      <c r="C108" s="42">
        <v>45539</v>
      </c>
      <c r="D108" s="43">
        <f t="shared" si="13"/>
        <v>21</v>
      </c>
      <c r="E108" s="43" t="str">
        <f>TEXT(Data!B108,"MMM-YYYY")</f>
        <v>Aug-2024</v>
      </c>
      <c r="F108" s="43" t="str">
        <f t="shared" si="9"/>
        <v>Q3-2024</v>
      </c>
      <c r="G108" s="33" t="s">
        <v>78</v>
      </c>
      <c r="H108" s="33" t="s">
        <v>108</v>
      </c>
      <c r="I108" s="33" t="s">
        <v>228</v>
      </c>
      <c r="J108" s="33" t="s">
        <v>39</v>
      </c>
      <c r="K108" s="33" t="s">
        <v>28</v>
      </c>
      <c r="L108" s="33" t="s">
        <v>29</v>
      </c>
      <c r="M108" s="33" t="s">
        <v>42</v>
      </c>
      <c r="N108" s="33" t="s">
        <v>314</v>
      </c>
      <c r="O108" s="43">
        <v>1138.8</v>
      </c>
      <c r="P108" s="44" t="str">
        <f t="shared" si="10"/>
        <v>High</v>
      </c>
      <c r="Q108" s="43">
        <v>2250.81</v>
      </c>
      <c r="R108" s="43">
        <v>0.123</v>
      </c>
      <c r="S108" s="43">
        <v>12</v>
      </c>
      <c r="T108" s="43">
        <f t="shared" si="7"/>
        <v>5654.22948</v>
      </c>
      <c r="U108" s="33">
        <f t="shared" si="8"/>
        <v>13665.599999999999</v>
      </c>
      <c r="V108" s="43">
        <f t="shared" si="11"/>
        <v>-8011.3705199999986</v>
      </c>
      <c r="W108" s="45">
        <f t="shared" si="12"/>
        <v>-1.4168810353979475</v>
      </c>
    </row>
    <row r="109" spans="1:23" x14ac:dyDescent="0.3">
      <c r="A109" s="34" t="s">
        <v>315</v>
      </c>
      <c r="B109" s="35">
        <v>45581</v>
      </c>
      <c r="C109" s="36">
        <v>45604</v>
      </c>
      <c r="D109" s="37">
        <f t="shared" si="13"/>
        <v>23</v>
      </c>
      <c r="E109" s="37" t="str">
        <f>TEXT(Data!B109,"MMM-YYYY")</f>
        <v>Oct-2024</v>
      </c>
      <c r="F109" s="37" t="str">
        <f t="shared" si="9"/>
        <v>Q4-2024</v>
      </c>
      <c r="G109" s="32" t="s">
        <v>45</v>
      </c>
      <c r="H109" s="32" t="s">
        <v>46</v>
      </c>
      <c r="I109" s="32" t="s">
        <v>47</v>
      </c>
      <c r="J109" s="32" t="s">
        <v>62</v>
      </c>
      <c r="K109" s="32" t="s">
        <v>20</v>
      </c>
      <c r="L109" s="32" t="s">
        <v>29</v>
      </c>
      <c r="M109" s="32" t="s">
        <v>35</v>
      </c>
      <c r="N109" s="32" t="s">
        <v>316</v>
      </c>
      <c r="O109" s="37">
        <v>82.14</v>
      </c>
      <c r="P109" s="38" t="str">
        <f t="shared" si="10"/>
        <v>Medium</v>
      </c>
      <c r="Q109" s="37">
        <v>166.04</v>
      </c>
      <c r="R109" s="37">
        <v>0</v>
      </c>
      <c r="S109" s="37">
        <v>10</v>
      </c>
      <c r="T109" s="37">
        <f t="shared" si="7"/>
        <v>5727.1</v>
      </c>
      <c r="U109" s="32">
        <f t="shared" si="8"/>
        <v>821.4</v>
      </c>
      <c r="V109" s="37">
        <f t="shared" si="11"/>
        <v>4905.7000000000007</v>
      </c>
      <c r="W109" s="39">
        <f t="shared" si="12"/>
        <v>0.85657662691414516</v>
      </c>
    </row>
    <row r="110" spans="1:23" x14ac:dyDescent="0.3">
      <c r="A110" s="40" t="s">
        <v>317</v>
      </c>
      <c r="B110" s="41">
        <v>45445</v>
      </c>
      <c r="C110" s="42">
        <v>45451</v>
      </c>
      <c r="D110" s="43">
        <f t="shared" si="13"/>
        <v>6</v>
      </c>
      <c r="E110" s="43" t="str">
        <f>TEXT(Data!B110,"MMM-YYYY")</f>
        <v>Jun-2024</v>
      </c>
      <c r="F110" s="43" t="str">
        <f t="shared" si="9"/>
        <v>Q2-2024</v>
      </c>
      <c r="G110" s="33" t="s">
        <v>16</v>
      </c>
      <c r="H110" s="33" t="s">
        <v>17</v>
      </c>
      <c r="I110" s="33" t="s">
        <v>18</v>
      </c>
      <c r="J110" s="33" t="s">
        <v>48</v>
      </c>
      <c r="K110" s="33" t="s">
        <v>40</v>
      </c>
      <c r="L110" s="33" t="s">
        <v>75</v>
      </c>
      <c r="M110" s="33" t="s">
        <v>81</v>
      </c>
      <c r="N110" s="33" t="s">
        <v>318</v>
      </c>
      <c r="O110" s="43">
        <v>292.94</v>
      </c>
      <c r="P110" s="44" t="str">
        <f t="shared" si="10"/>
        <v>High</v>
      </c>
      <c r="Q110" s="43">
        <v>356.55</v>
      </c>
      <c r="R110" s="43">
        <v>0.22900000000000001</v>
      </c>
      <c r="S110" s="43">
        <v>2</v>
      </c>
      <c r="T110" s="43">
        <f t="shared" si="7"/>
        <v>3583.4075399999997</v>
      </c>
      <c r="U110" s="33">
        <f t="shared" si="8"/>
        <v>585.88</v>
      </c>
      <c r="V110" s="43">
        <f t="shared" si="11"/>
        <v>2997.5275399999996</v>
      </c>
      <c r="W110" s="45">
        <f t="shared" si="12"/>
        <v>0.83650199050482543</v>
      </c>
    </row>
    <row r="111" spans="1:23" x14ac:dyDescent="0.3">
      <c r="A111" s="34" t="s">
        <v>319</v>
      </c>
      <c r="B111" s="35">
        <v>45452</v>
      </c>
      <c r="C111" s="36">
        <v>45480</v>
      </c>
      <c r="D111" s="37">
        <f t="shared" si="13"/>
        <v>28</v>
      </c>
      <c r="E111" s="37" t="str">
        <f>TEXT(Data!B111,"MMM-YYYY")</f>
        <v>Jun-2024</v>
      </c>
      <c r="F111" s="37" t="str">
        <f t="shared" si="9"/>
        <v>Q2-2024</v>
      </c>
      <c r="G111" s="32" t="s">
        <v>45</v>
      </c>
      <c r="H111" s="32" t="s">
        <v>116</v>
      </c>
      <c r="I111" s="32" t="s">
        <v>117</v>
      </c>
      <c r="J111" s="32" t="s">
        <v>19</v>
      </c>
      <c r="K111" s="32" t="s">
        <v>28</v>
      </c>
      <c r="L111" s="32" t="s">
        <v>29</v>
      </c>
      <c r="M111" s="32" t="s">
        <v>22</v>
      </c>
      <c r="N111" s="32" t="s">
        <v>320</v>
      </c>
      <c r="O111" s="37">
        <v>550.22</v>
      </c>
      <c r="P111" s="38" t="str">
        <f t="shared" si="10"/>
        <v>High</v>
      </c>
      <c r="Q111" s="37">
        <v>1025.05</v>
      </c>
      <c r="R111" s="37">
        <v>0</v>
      </c>
      <c r="S111" s="37">
        <v>27</v>
      </c>
      <c r="T111" s="37">
        <f t="shared" si="7"/>
        <v>44038.080000000002</v>
      </c>
      <c r="U111" s="32">
        <f t="shared" si="8"/>
        <v>14855.94</v>
      </c>
      <c r="V111" s="37">
        <f t="shared" si="11"/>
        <v>29182.14</v>
      </c>
      <c r="W111" s="39">
        <f t="shared" si="12"/>
        <v>0.66265695507161071</v>
      </c>
    </row>
    <row r="112" spans="1:23" x14ac:dyDescent="0.3">
      <c r="A112" s="40" t="s">
        <v>321</v>
      </c>
      <c r="B112" s="41">
        <v>45453</v>
      </c>
      <c r="C112" s="42">
        <v>45454</v>
      </c>
      <c r="D112" s="43">
        <f t="shared" si="13"/>
        <v>1</v>
      </c>
      <c r="E112" s="43" t="str">
        <f>TEXT(Data!B112,"MMM-YYYY")</f>
        <v>Jun-2024</v>
      </c>
      <c r="F112" s="43" t="str">
        <f t="shared" si="9"/>
        <v>Q2-2024</v>
      </c>
      <c r="G112" s="33" t="s">
        <v>78</v>
      </c>
      <c r="H112" s="33" t="s">
        <v>108</v>
      </c>
      <c r="I112" s="33" t="s">
        <v>109</v>
      </c>
      <c r="J112" s="33" t="s">
        <v>62</v>
      </c>
      <c r="K112" s="33" t="s">
        <v>40</v>
      </c>
      <c r="L112" s="33" t="s">
        <v>110</v>
      </c>
      <c r="M112" s="33" t="s">
        <v>57</v>
      </c>
      <c r="N112" s="33" t="s">
        <v>322</v>
      </c>
      <c r="O112" s="43">
        <v>1187.1300000000001</v>
      </c>
      <c r="P112" s="44" t="str">
        <f t="shared" si="10"/>
        <v>High</v>
      </c>
      <c r="Q112" s="43">
        <v>1795.17</v>
      </c>
      <c r="R112" s="43">
        <v>1.2E-2</v>
      </c>
      <c r="S112" s="43">
        <v>17</v>
      </c>
      <c r="T112" s="43">
        <f t="shared" si="7"/>
        <v>6606.0347600000005</v>
      </c>
      <c r="U112" s="33">
        <f t="shared" si="8"/>
        <v>20181.210000000003</v>
      </c>
      <c r="V112" s="43">
        <f t="shared" si="11"/>
        <v>-13575.175240000002</v>
      </c>
      <c r="W112" s="45">
        <f t="shared" si="12"/>
        <v>-2.0549657598229172</v>
      </c>
    </row>
    <row r="113" spans="1:23" x14ac:dyDescent="0.3">
      <c r="A113" s="34" t="s">
        <v>323</v>
      </c>
      <c r="B113" s="35">
        <v>45472</v>
      </c>
      <c r="C113" s="36">
        <v>45499</v>
      </c>
      <c r="D113" s="37">
        <f t="shared" si="13"/>
        <v>27</v>
      </c>
      <c r="E113" s="37" t="str">
        <f>TEXT(Data!B113,"MMM-YYYY")</f>
        <v>Jun-2024</v>
      </c>
      <c r="F113" s="37" t="str">
        <f t="shared" si="9"/>
        <v>Q2-2024</v>
      </c>
      <c r="G113" s="32" t="s">
        <v>16</v>
      </c>
      <c r="H113" s="32" t="s">
        <v>148</v>
      </c>
      <c r="I113" s="32" t="s">
        <v>172</v>
      </c>
      <c r="J113" s="32" t="s">
        <v>105</v>
      </c>
      <c r="K113" s="32" t="s">
        <v>55</v>
      </c>
      <c r="L113" s="32" t="s">
        <v>56</v>
      </c>
      <c r="M113" s="32" t="s">
        <v>35</v>
      </c>
      <c r="N113" s="32" t="s">
        <v>324</v>
      </c>
      <c r="O113" s="37">
        <v>5.36</v>
      </c>
      <c r="P113" s="38" t="str">
        <f t="shared" si="10"/>
        <v>Low</v>
      </c>
      <c r="Q113" s="37">
        <v>4.37</v>
      </c>
      <c r="R113" s="37">
        <v>0.11799999999999999</v>
      </c>
      <c r="S113" s="37">
        <v>9</v>
      </c>
      <c r="T113" s="37">
        <f t="shared" si="7"/>
        <v>14734.198080000002</v>
      </c>
      <c r="U113" s="32">
        <f t="shared" si="8"/>
        <v>48.24</v>
      </c>
      <c r="V113" s="37">
        <f t="shared" si="11"/>
        <v>14685.958080000002</v>
      </c>
      <c r="W113" s="39">
        <f t="shared" si="12"/>
        <v>0.99672598401771995</v>
      </c>
    </row>
    <row r="114" spans="1:23" x14ac:dyDescent="0.3">
      <c r="A114" s="40" t="s">
        <v>325</v>
      </c>
      <c r="B114" s="41">
        <v>45674</v>
      </c>
      <c r="C114" s="42">
        <v>45681</v>
      </c>
      <c r="D114" s="43">
        <f t="shared" si="13"/>
        <v>7</v>
      </c>
      <c r="E114" s="43" t="str">
        <f>TEXT(Data!B114,"MMM-YYYY")</f>
        <v>Jan-2025</v>
      </c>
      <c r="F114" s="43" t="str">
        <f t="shared" si="9"/>
        <v>Q1-2025</v>
      </c>
      <c r="G114" s="33" t="s">
        <v>52</v>
      </c>
      <c r="H114" s="33" t="s">
        <v>122</v>
      </c>
      <c r="I114" s="33" t="s">
        <v>326</v>
      </c>
      <c r="J114" s="33" t="s">
        <v>105</v>
      </c>
      <c r="K114" s="33" t="s">
        <v>28</v>
      </c>
      <c r="L114" s="33" t="s">
        <v>41</v>
      </c>
      <c r="M114" s="33" t="s">
        <v>81</v>
      </c>
      <c r="N114" s="33" t="s">
        <v>327</v>
      </c>
      <c r="O114" s="43">
        <v>142.09</v>
      </c>
      <c r="P114" s="44" t="str">
        <f t="shared" si="10"/>
        <v>High</v>
      </c>
      <c r="Q114" s="43">
        <v>218.5</v>
      </c>
      <c r="R114" s="43">
        <v>0.11899999999999999</v>
      </c>
      <c r="S114" s="43">
        <v>11</v>
      </c>
      <c r="T114" s="43">
        <f t="shared" si="7"/>
        <v>822.7659000000001</v>
      </c>
      <c r="U114" s="33">
        <f t="shared" si="8"/>
        <v>1562.99</v>
      </c>
      <c r="V114" s="43">
        <f t="shared" si="11"/>
        <v>-740.22409999999991</v>
      </c>
      <c r="W114" s="45">
        <f t="shared" si="12"/>
        <v>-0.89967766043779862</v>
      </c>
    </row>
    <row r="115" spans="1:23" x14ac:dyDescent="0.3">
      <c r="A115" s="34" t="s">
        <v>328</v>
      </c>
      <c r="B115" s="35">
        <v>45250</v>
      </c>
      <c r="C115" s="36">
        <v>45265</v>
      </c>
      <c r="D115" s="37">
        <f t="shared" si="13"/>
        <v>15</v>
      </c>
      <c r="E115" s="37" t="str">
        <f>TEXT(Data!B115,"MMM-YYYY")</f>
        <v>Nov-2023</v>
      </c>
      <c r="F115" s="37" t="str">
        <f t="shared" si="9"/>
        <v>Q4-2023</v>
      </c>
      <c r="G115" s="32" t="s">
        <v>45</v>
      </c>
      <c r="H115" s="32" t="s">
        <v>46</v>
      </c>
      <c r="I115" s="32" t="s">
        <v>214</v>
      </c>
      <c r="J115" s="32" t="s">
        <v>105</v>
      </c>
      <c r="K115" s="32" t="s">
        <v>20</v>
      </c>
      <c r="L115" s="32" t="s">
        <v>49</v>
      </c>
      <c r="M115" s="32" t="s">
        <v>35</v>
      </c>
      <c r="N115" s="32" t="s">
        <v>329</v>
      </c>
      <c r="O115" s="37">
        <v>354.24</v>
      </c>
      <c r="P115" s="38" t="str">
        <f t="shared" si="10"/>
        <v>High</v>
      </c>
      <c r="Q115" s="37">
        <v>249.87</v>
      </c>
      <c r="R115" s="37">
        <v>0</v>
      </c>
      <c r="S115" s="37">
        <v>6</v>
      </c>
      <c r="T115" s="37">
        <f t="shared" si="7"/>
        <v>13513.439999999999</v>
      </c>
      <c r="U115" s="32">
        <f t="shared" si="8"/>
        <v>2125.44</v>
      </c>
      <c r="V115" s="37">
        <f t="shared" si="11"/>
        <v>11387.999999999998</v>
      </c>
      <c r="W115" s="39">
        <f t="shared" si="12"/>
        <v>0.84271658437821895</v>
      </c>
    </row>
    <row r="116" spans="1:23" x14ac:dyDescent="0.3">
      <c r="A116" s="40" t="s">
        <v>330</v>
      </c>
      <c r="B116" s="41">
        <v>44987</v>
      </c>
      <c r="C116" s="42">
        <v>44990</v>
      </c>
      <c r="D116" s="43">
        <f t="shared" si="13"/>
        <v>3</v>
      </c>
      <c r="E116" s="43" t="str">
        <f>TEXT(Data!B116,"MMM-YYYY")</f>
        <v>Mar-2023</v>
      </c>
      <c r="F116" s="43" t="str">
        <f t="shared" si="9"/>
        <v>Q1-2023</v>
      </c>
      <c r="G116" s="33" t="s">
        <v>52</v>
      </c>
      <c r="H116" s="33" t="s">
        <v>73</v>
      </c>
      <c r="I116" s="33" t="s">
        <v>87</v>
      </c>
      <c r="J116" s="33" t="s">
        <v>105</v>
      </c>
      <c r="K116" s="33" t="s">
        <v>98</v>
      </c>
      <c r="L116" s="33" t="s">
        <v>41</v>
      </c>
      <c r="M116" s="33" t="s">
        <v>64</v>
      </c>
      <c r="N116" s="33" t="s">
        <v>331</v>
      </c>
      <c r="O116" s="43">
        <v>1473.58</v>
      </c>
      <c r="P116" s="44" t="str">
        <f t="shared" si="10"/>
        <v>High</v>
      </c>
      <c r="Q116" s="43">
        <v>3436.52</v>
      </c>
      <c r="R116" s="43">
        <v>0.108</v>
      </c>
      <c r="S116" s="43">
        <v>8</v>
      </c>
      <c r="T116" s="43">
        <f t="shared" si="7"/>
        <v>6576.6803200000004</v>
      </c>
      <c r="U116" s="33">
        <f t="shared" si="8"/>
        <v>11788.64</v>
      </c>
      <c r="V116" s="43">
        <f t="shared" si="11"/>
        <v>-5211.959679999999</v>
      </c>
      <c r="W116" s="45">
        <f t="shared" si="12"/>
        <v>-0.79249095689662452</v>
      </c>
    </row>
    <row r="117" spans="1:23" x14ac:dyDescent="0.3">
      <c r="A117" s="34" t="s">
        <v>332</v>
      </c>
      <c r="B117" s="35">
        <v>45811</v>
      </c>
      <c r="C117" s="36">
        <v>45818</v>
      </c>
      <c r="D117" s="37">
        <f t="shared" si="13"/>
        <v>7</v>
      </c>
      <c r="E117" s="37" t="str">
        <f>TEXT(Data!B117,"MMM-YYYY")</f>
        <v>Jun-2025</v>
      </c>
      <c r="F117" s="37" t="str">
        <f t="shared" si="9"/>
        <v>Q2-2025</v>
      </c>
      <c r="G117" s="32" t="s">
        <v>52</v>
      </c>
      <c r="H117" s="32" t="s">
        <v>53</v>
      </c>
      <c r="I117" s="32" t="s">
        <v>54</v>
      </c>
      <c r="J117" s="32" t="s">
        <v>48</v>
      </c>
      <c r="K117" s="32" t="s">
        <v>55</v>
      </c>
      <c r="L117" s="32" t="s">
        <v>68</v>
      </c>
      <c r="M117" s="32" t="s">
        <v>30</v>
      </c>
      <c r="N117" s="32" t="s">
        <v>333</v>
      </c>
      <c r="O117" s="37">
        <v>75.180000000000007</v>
      </c>
      <c r="P117" s="38" t="str">
        <f t="shared" si="10"/>
        <v>Medium</v>
      </c>
      <c r="Q117" s="37">
        <v>53.45</v>
      </c>
      <c r="R117" s="37">
        <v>0.157</v>
      </c>
      <c r="S117" s="37">
        <v>17</v>
      </c>
      <c r="T117" s="37">
        <f t="shared" si="7"/>
        <v>23548.41258</v>
      </c>
      <c r="U117" s="32">
        <f t="shared" si="8"/>
        <v>1278.0600000000002</v>
      </c>
      <c r="V117" s="37">
        <f t="shared" si="11"/>
        <v>22270.352579999999</v>
      </c>
      <c r="W117" s="39">
        <f t="shared" si="12"/>
        <v>0.94572627791117114</v>
      </c>
    </row>
    <row r="118" spans="1:23" x14ac:dyDescent="0.3">
      <c r="A118" s="40" t="s">
        <v>334</v>
      </c>
      <c r="B118" s="41">
        <v>45653</v>
      </c>
      <c r="C118" s="42">
        <v>45659</v>
      </c>
      <c r="D118" s="43">
        <f t="shared" si="13"/>
        <v>6</v>
      </c>
      <c r="E118" s="43" t="str">
        <f>TEXT(Data!B118,"MMM-YYYY")</f>
        <v>Dec-2024</v>
      </c>
      <c r="F118" s="43" t="str">
        <f t="shared" si="9"/>
        <v>Q4-2024</v>
      </c>
      <c r="G118" s="33" t="s">
        <v>78</v>
      </c>
      <c r="H118" s="33" t="s">
        <v>79</v>
      </c>
      <c r="I118" s="33" t="s">
        <v>335</v>
      </c>
      <c r="J118" s="33" t="s">
        <v>27</v>
      </c>
      <c r="K118" s="33" t="s">
        <v>98</v>
      </c>
      <c r="L118" s="33" t="s">
        <v>84</v>
      </c>
      <c r="M118" s="33" t="s">
        <v>57</v>
      </c>
      <c r="N118" s="33" t="s">
        <v>336</v>
      </c>
      <c r="O118" s="43">
        <v>1391.99</v>
      </c>
      <c r="P118" s="44" t="str">
        <f t="shared" si="10"/>
        <v>High</v>
      </c>
      <c r="Q118" s="43">
        <v>3469.7</v>
      </c>
      <c r="R118" s="43">
        <v>0.184</v>
      </c>
      <c r="S118" s="43">
        <v>23</v>
      </c>
      <c r="T118" s="43">
        <f t="shared" si="7"/>
        <v>27535.846560000005</v>
      </c>
      <c r="U118" s="33">
        <f t="shared" si="8"/>
        <v>32015.77</v>
      </c>
      <c r="V118" s="43">
        <f t="shared" si="11"/>
        <v>-4479.923439999995</v>
      </c>
      <c r="W118" s="45">
        <f t="shared" si="12"/>
        <v>-0.16269423314218215</v>
      </c>
    </row>
    <row r="119" spans="1:23" x14ac:dyDescent="0.3">
      <c r="A119" s="34" t="s">
        <v>337</v>
      </c>
      <c r="B119" s="35">
        <v>45086</v>
      </c>
      <c r="C119" s="36">
        <v>45096</v>
      </c>
      <c r="D119" s="37">
        <f t="shared" si="13"/>
        <v>10</v>
      </c>
      <c r="E119" s="37" t="str">
        <f>TEXT(Data!B119,"MMM-YYYY")</f>
        <v>Jun-2023</v>
      </c>
      <c r="F119" s="37" t="str">
        <f t="shared" si="9"/>
        <v>Q2-2023</v>
      </c>
      <c r="G119" s="32" t="s">
        <v>45</v>
      </c>
      <c r="H119" s="32" t="s">
        <v>116</v>
      </c>
      <c r="I119" s="32" t="s">
        <v>338</v>
      </c>
      <c r="J119" s="32" t="s">
        <v>105</v>
      </c>
      <c r="K119" s="32" t="s">
        <v>20</v>
      </c>
      <c r="L119" s="32" t="s">
        <v>84</v>
      </c>
      <c r="M119" s="32" t="s">
        <v>64</v>
      </c>
      <c r="N119" s="32" t="s">
        <v>339</v>
      </c>
      <c r="O119" s="37">
        <v>339.61</v>
      </c>
      <c r="P119" s="38" t="str">
        <f t="shared" si="10"/>
        <v>High</v>
      </c>
      <c r="Q119" s="37">
        <v>621.02</v>
      </c>
      <c r="R119" s="37">
        <v>7.0999999999999994E-2</v>
      </c>
      <c r="S119" s="37">
        <v>10</v>
      </c>
      <c r="T119" s="37">
        <f t="shared" si="7"/>
        <v>9278.4804000000004</v>
      </c>
      <c r="U119" s="32">
        <f t="shared" si="8"/>
        <v>3396.1000000000004</v>
      </c>
      <c r="V119" s="37">
        <f t="shared" si="11"/>
        <v>5882.3804</v>
      </c>
      <c r="W119" s="39">
        <f t="shared" si="12"/>
        <v>0.63398101266668616</v>
      </c>
    </row>
    <row r="120" spans="1:23" x14ac:dyDescent="0.3">
      <c r="A120" s="40" t="s">
        <v>340</v>
      </c>
      <c r="B120" s="41">
        <v>45847</v>
      </c>
      <c r="C120" s="42">
        <v>45856</v>
      </c>
      <c r="D120" s="43">
        <f t="shared" si="13"/>
        <v>9</v>
      </c>
      <c r="E120" s="43" t="str">
        <f>TEXT(Data!B120,"MMM-YYYY")</f>
        <v>Jul-2025</v>
      </c>
      <c r="F120" s="43" t="str">
        <f t="shared" si="9"/>
        <v>Q3-2025</v>
      </c>
      <c r="G120" s="33" t="s">
        <v>52</v>
      </c>
      <c r="H120" s="33" t="s">
        <v>53</v>
      </c>
      <c r="I120" s="33" t="s">
        <v>179</v>
      </c>
      <c r="J120" s="33" t="s">
        <v>27</v>
      </c>
      <c r="K120" s="33" t="s">
        <v>55</v>
      </c>
      <c r="L120" s="33" t="s">
        <v>34</v>
      </c>
      <c r="M120" s="33" t="s">
        <v>57</v>
      </c>
      <c r="N120" s="33" t="s">
        <v>341</v>
      </c>
      <c r="O120" s="43">
        <v>57.96</v>
      </c>
      <c r="P120" s="44" t="str">
        <f t="shared" si="10"/>
        <v>Medium</v>
      </c>
      <c r="Q120" s="43">
        <v>88.51</v>
      </c>
      <c r="R120" s="43">
        <v>4.2999999999999997E-2</v>
      </c>
      <c r="S120" s="43">
        <v>7</v>
      </c>
      <c r="T120" s="43">
        <f t="shared" si="7"/>
        <v>4225.1932799999995</v>
      </c>
      <c r="U120" s="33">
        <f t="shared" si="8"/>
        <v>405.72</v>
      </c>
      <c r="V120" s="43">
        <f t="shared" si="11"/>
        <v>3819.4732799999992</v>
      </c>
      <c r="W120" s="45">
        <f t="shared" si="12"/>
        <v>0.90397599041907017</v>
      </c>
    </row>
    <row r="121" spans="1:23" x14ac:dyDescent="0.3">
      <c r="A121" s="34" t="s">
        <v>342</v>
      </c>
      <c r="B121" s="35">
        <v>45827</v>
      </c>
      <c r="C121" s="36">
        <v>45850</v>
      </c>
      <c r="D121" s="37">
        <f t="shared" si="13"/>
        <v>23</v>
      </c>
      <c r="E121" s="37" t="str">
        <f>TEXT(Data!B121,"MMM-YYYY")</f>
        <v>Jun-2025</v>
      </c>
      <c r="F121" s="37" t="str">
        <f t="shared" si="9"/>
        <v>Q2-2025</v>
      </c>
      <c r="G121" s="32" t="s">
        <v>78</v>
      </c>
      <c r="H121" s="32" t="s">
        <v>108</v>
      </c>
      <c r="I121" s="32" t="s">
        <v>1364</v>
      </c>
      <c r="J121" s="32" t="s">
        <v>39</v>
      </c>
      <c r="K121" s="32" t="s">
        <v>98</v>
      </c>
      <c r="L121" s="32" t="s">
        <v>1364</v>
      </c>
      <c r="M121" s="32" t="s">
        <v>35</v>
      </c>
      <c r="N121" s="32" t="s">
        <v>343</v>
      </c>
      <c r="O121" s="37">
        <v>801.24</v>
      </c>
      <c r="P121" s="38" t="str">
        <f t="shared" si="10"/>
        <v>High</v>
      </c>
      <c r="Q121" s="37">
        <v>1959.09</v>
      </c>
      <c r="R121" s="37">
        <v>0.123</v>
      </c>
      <c r="S121" s="37">
        <v>23</v>
      </c>
      <c r="T121" s="37">
        <f t="shared" si="7"/>
        <v>14696.792309999999</v>
      </c>
      <c r="U121" s="32">
        <f t="shared" si="8"/>
        <v>18428.52</v>
      </c>
      <c r="V121" s="37">
        <f t="shared" si="11"/>
        <v>-3731.7276900000015</v>
      </c>
      <c r="W121" s="39">
        <f t="shared" si="12"/>
        <v>-0.25391443325091134</v>
      </c>
    </row>
    <row r="122" spans="1:23" x14ac:dyDescent="0.3">
      <c r="A122" s="40" t="s">
        <v>344</v>
      </c>
      <c r="B122" s="41">
        <v>45249</v>
      </c>
      <c r="C122" s="42">
        <v>45273</v>
      </c>
      <c r="D122" s="43">
        <f t="shared" si="13"/>
        <v>24</v>
      </c>
      <c r="E122" s="43" t="str">
        <f>TEXT(Data!B122,"MMM-YYYY")</f>
        <v>Nov-2023</v>
      </c>
      <c r="F122" s="43" t="str">
        <f t="shared" si="9"/>
        <v>Q4-2023</v>
      </c>
      <c r="G122" s="33" t="s">
        <v>78</v>
      </c>
      <c r="H122" s="33" t="s">
        <v>90</v>
      </c>
      <c r="I122" s="33" t="s">
        <v>138</v>
      </c>
      <c r="J122" s="33" t="s">
        <v>39</v>
      </c>
      <c r="K122" s="33" t="s">
        <v>98</v>
      </c>
      <c r="L122" s="33" t="s">
        <v>92</v>
      </c>
      <c r="M122" s="33" t="s">
        <v>64</v>
      </c>
      <c r="N122" s="33" t="s">
        <v>345</v>
      </c>
      <c r="O122" s="43">
        <v>1297.42</v>
      </c>
      <c r="P122" s="44" t="str">
        <f t="shared" si="10"/>
        <v>High</v>
      </c>
      <c r="Q122" s="43">
        <v>2742.97</v>
      </c>
      <c r="R122" s="43">
        <v>6.9000000000000006E-2</v>
      </c>
      <c r="S122" s="43">
        <v>9</v>
      </c>
      <c r="T122" s="43">
        <f t="shared" si="7"/>
        <v>7972.7022900000002</v>
      </c>
      <c r="U122" s="33">
        <f t="shared" si="8"/>
        <v>11676.78</v>
      </c>
      <c r="V122" s="43">
        <f t="shared" si="11"/>
        <v>-3704.0777100000005</v>
      </c>
      <c r="W122" s="45">
        <f t="shared" si="12"/>
        <v>-0.46459501123551927</v>
      </c>
    </row>
    <row r="123" spans="1:23" x14ac:dyDescent="0.3">
      <c r="A123" s="34" t="s">
        <v>346</v>
      </c>
      <c r="B123" s="35">
        <v>45289</v>
      </c>
      <c r="C123" s="36">
        <v>45311</v>
      </c>
      <c r="D123" s="37">
        <f t="shared" si="13"/>
        <v>22</v>
      </c>
      <c r="E123" s="37" t="str">
        <f>TEXT(Data!B123,"MMM-YYYY")</f>
        <v>Dec-2023</v>
      </c>
      <c r="F123" s="37" t="str">
        <f t="shared" si="9"/>
        <v>Q4-2023</v>
      </c>
      <c r="G123" s="32" t="s">
        <v>16</v>
      </c>
      <c r="H123" s="32" t="s">
        <v>17</v>
      </c>
      <c r="I123" s="32" t="s">
        <v>18</v>
      </c>
      <c r="J123" s="32" t="s">
        <v>19</v>
      </c>
      <c r="K123" s="32" t="s">
        <v>98</v>
      </c>
      <c r="L123" s="32" t="s">
        <v>49</v>
      </c>
      <c r="M123" s="32" t="s">
        <v>42</v>
      </c>
      <c r="N123" s="32" t="s">
        <v>347</v>
      </c>
      <c r="O123" s="37">
        <v>1395.49</v>
      </c>
      <c r="P123" s="38" t="str">
        <f t="shared" si="10"/>
        <v>High</v>
      </c>
      <c r="Q123" s="37">
        <v>1679.42</v>
      </c>
      <c r="R123" s="37">
        <v>0.20300000000000001</v>
      </c>
      <c r="S123" s="37">
        <v>12</v>
      </c>
      <c r="T123" s="37">
        <f t="shared" si="7"/>
        <v>7009.2643199999993</v>
      </c>
      <c r="U123" s="32">
        <f t="shared" si="8"/>
        <v>16745.88</v>
      </c>
      <c r="V123" s="37">
        <f t="shared" si="11"/>
        <v>-9736.6156800000026</v>
      </c>
      <c r="W123" s="39">
        <f t="shared" si="12"/>
        <v>-1.3891066502111884</v>
      </c>
    </row>
    <row r="124" spans="1:23" x14ac:dyDescent="0.3">
      <c r="A124" s="40" t="s">
        <v>348</v>
      </c>
      <c r="B124" s="41">
        <v>45598</v>
      </c>
      <c r="C124" s="42">
        <v>45625</v>
      </c>
      <c r="D124" s="43">
        <f t="shared" si="13"/>
        <v>27</v>
      </c>
      <c r="E124" s="43" t="str">
        <f>TEXT(Data!B124,"MMM-YYYY")</f>
        <v>Nov-2024</v>
      </c>
      <c r="F124" s="43" t="str">
        <f t="shared" si="9"/>
        <v>Q4-2024</v>
      </c>
      <c r="G124" s="33" t="s">
        <v>52</v>
      </c>
      <c r="H124" s="33" t="s">
        <v>73</v>
      </c>
      <c r="I124" s="33" t="s">
        <v>87</v>
      </c>
      <c r="J124" s="33" t="s">
        <v>62</v>
      </c>
      <c r="K124" s="33" t="s">
        <v>98</v>
      </c>
      <c r="L124" s="33" t="s">
        <v>34</v>
      </c>
      <c r="M124" s="33" t="s">
        <v>35</v>
      </c>
      <c r="N124" s="33" t="s">
        <v>349</v>
      </c>
      <c r="O124" s="43">
        <v>1363.51</v>
      </c>
      <c r="P124" s="44" t="str">
        <f t="shared" si="10"/>
        <v>High</v>
      </c>
      <c r="Q124" s="43">
        <v>1433.9</v>
      </c>
      <c r="R124" s="43">
        <v>5.7000000000000002E-2</v>
      </c>
      <c r="S124" s="43">
        <v>8</v>
      </c>
      <c r="T124" s="43">
        <f t="shared" si="7"/>
        <v>18192.506879999997</v>
      </c>
      <c r="U124" s="33">
        <f t="shared" si="8"/>
        <v>10908.08</v>
      </c>
      <c r="V124" s="43">
        <f t="shared" si="11"/>
        <v>7284.4268799999973</v>
      </c>
      <c r="W124" s="45">
        <f t="shared" si="12"/>
        <v>0.4004080871343883</v>
      </c>
    </row>
    <row r="125" spans="1:23" x14ac:dyDescent="0.3">
      <c r="A125" s="34" t="s">
        <v>350</v>
      </c>
      <c r="B125" s="35">
        <v>45159</v>
      </c>
      <c r="C125" s="36">
        <v>45173</v>
      </c>
      <c r="D125" s="37">
        <f t="shared" si="13"/>
        <v>14</v>
      </c>
      <c r="E125" s="37" t="str">
        <f>TEXT(Data!B125,"MMM-YYYY")</f>
        <v>Aug-2023</v>
      </c>
      <c r="F125" s="37" t="str">
        <f t="shared" si="9"/>
        <v>Q3-2023</v>
      </c>
      <c r="G125" s="32" t="s">
        <v>52</v>
      </c>
      <c r="H125" s="32" t="s">
        <v>53</v>
      </c>
      <c r="I125" s="32" t="s">
        <v>144</v>
      </c>
      <c r="J125" s="32" t="s">
        <v>27</v>
      </c>
      <c r="K125" s="32" t="s">
        <v>55</v>
      </c>
      <c r="L125" s="32" t="s">
        <v>84</v>
      </c>
      <c r="M125" s="32" t="s">
        <v>22</v>
      </c>
      <c r="N125" s="32" t="s">
        <v>351</v>
      </c>
      <c r="O125" s="37">
        <v>178.19</v>
      </c>
      <c r="P125" s="38" t="str">
        <f t="shared" si="10"/>
        <v>High</v>
      </c>
      <c r="Q125" s="37">
        <v>284.43</v>
      </c>
      <c r="R125" s="37">
        <v>8.8999999999999996E-2</v>
      </c>
      <c r="S125" s="37">
        <v>8</v>
      </c>
      <c r="T125" s="37">
        <f t="shared" si="7"/>
        <v>4141.6975199999997</v>
      </c>
      <c r="U125" s="32">
        <f t="shared" si="8"/>
        <v>1425.52</v>
      </c>
      <c r="V125" s="37">
        <f t="shared" si="11"/>
        <v>2716.1775199999997</v>
      </c>
      <c r="W125" s="39">
        <f t="shared" si="12"/>
        <v>0.65581262438498888</v>
      </c>
    </row>
    <row r="126" spans="1:23" x14ac:dyDescent="0.3">
      <c r="A126" s="40" t="s">
        <v>352</v>
      </c>
      <c r="B126" s="41">
        <v>45150</v>
      </c>
      <c r="C126" s="42">
        <v>45175</v>
      </c>
      <c r="D126" s="43">
        <f t="shared" si="13"/>
        <v>25</v>
      </c>
      <c r="E126" s="43" t="str">
        <f>TEXT(Data!B126,"MMM-YYYY")</f>
        <v>Aug-2023</v>
      </c>
      <c r="F126" s="43" t="str">
        <f t="shared" si="9"/>
        <v>Q3-2023</v>
      </c>
      <c r="G126" s="33" t="s">
        <v>45</v>
      </c>
      <c r="H126" s="33" t="s">
        <v>116</v>
      </c>
      <c r="I126" s="33" t="s">
        <v>162</v>
      </c>
      <c r="J126" s="33" t="s">
        <v>62</v>
      </c>
      <c r="K126" s="33" t="s">
        <v>20</v>
      </c>
      <c r="L126" s="33" t="s">
        <v>56</v>
      </c>
      <c r="M126" s="33" t="s">
        <v>22</v>
      </c>
      <c r="N126" s="33" t="s">
        <v>353</v>
      </c>
      <c r="O126" s="43">
        <v>950.77</v>
      </c>
      <c r="P126" s="44" t="str">
        <f t="shared" si="10"/>
        <v>High</v>
      </c>
      <c r="Q126" s="43">
        <v>694.78</v>
      </c>
      <c r="R126" s="43">
        <v>8.4000000000000005E-2</v>
      </c>
      <c r="S126" s="43">
        <v>14</v>
      </c>
      <c r="T126" s="43">
        <f t="shared" si="7"/>
        <v>16093.478800000001</v>
      </c>
      <c r="U126" s="33">
        <f t="shared" si="8"/>
        <v>13310.779999999999</v>
      </c>
      <c r="V126" s="43">
        <f t="shared" si="11"/>
        <v>2782.6988000000019</v>
      </c>
      <c r="W126" s="45">
        <f t="shared" si="12"/>
        <v>0.17290847023081185</v>
      </c>
    </row>
    <row r="127" spans="1:23" x14ac:dyDescent="0.3">
      <c r="A127" s="34" t="s">
        <v>354</v>
      </c>
      <c r="B127" s="35">
        <v>45450</v>
      </c>
      <c r="C127" s="36">
        <v>45469</v>
      </c>
      <c r="D127" s="37">
        <f t="shared" si="13"/>
        <v>19</v>
      </c>
      <c r="E127" s="37" t="str">
        <f>TEXT(Data!B127,"MMM-YYYY")</f>
        <v>Jun-2024</v>
      </c>
      <c r="F127" s="37" t="str">
        <f t="shared" si="9"/>
        <v>Q2-2024</v>
      </c>
      <c r="G127" s="32" t="s">
        <v>78</v>
      </c>
      <c r="H127" s="32" t="s">
        <v>79</v>
      </c>
      <c r="I127" s="32" t="s">
        <v>80</v>
      </c>
      <c r="J127" s="32" t="s">
        <v>39</v>
      </c>
      <c r="K127" s="32" t="s">
        <v>40</v>
      </c>
      <c r="L127" s="32" t="s">
        <v>110</v>
      </c>
      <c r="M127" s="32" t="s">
        <v>22</v>
      </c>
      <c r="N127" s="32" t="s">
        <v>355</v>
      </c>
      <c r="O127" s="37">
        <v>1064.32</v>
      </c>
      <c r="P127" s="38" t="str">
        <f t="shared" si="10"/>
        <v>High</v>
      </c>
      <c r="Q127" s="37">
        <v>1848.39</v>
      </c>
      <c r="R127" s="37">
        <v>7.2999999999999995E-2</v>
      </c>
      <c r="S127" s="37">
        <v>38</v>
      </c>
      <c r="T127" s="37">
        <f t="shared" si="7"/>
        <v>29785.344300000001</v>
      </c>
      <c r="U127" s="32">
        <f t="shared" si="8"/>
        <v>40444.159999999996</v>
      </c>
      <c r="V127" s="37">
        <f t="shared" si="11"/>
        <v>-10658.815699999996</v>
      </c>
      <c r="W127" s="39">
        <f t="shared" si="12"/>
        <v>-0.35785437269563458</v>
      </c>
    </row>
    <row r="128" spans="1:23" x14ac:dyDescent="0.3">
      <c r="A128" s="40" t="s">
        <v>356</v>
      </c>
      <c r="B128" s="41">
        <v>45874</v>
      </c>
      <c r="C128" s="42">
        <v>45883</v>
      </c>
      <c r="D128" s="43">
        <f t="shared" si="13"/>
        <v>9</v>
      </c>
      <c r="E128" s="43" t="str">
        <f>TEXT(Data!B128,"MMM-YYYY")</f>
        <v>Aug-2025</v>
      </c>
      <c r="F128" s="43" t="str">
        <f t="shared" si="9"/>
        <v>Q3-2025</v>
      </c>
      <c r="G128" s="33" t="s">
        <v>78</v>
      </c>
      <c r="H128" s="33" t="s">
        <v>108</v>
      </c>
      <c r="I128" s="33" t="s">
        <v>152</v>
      </c>
      <c r="J128" s="33" t="s">
        <v>39</v>
      </c>
      <c r="K128" s="33" t="s">
        <v>98</v>
      </c>
      <c r="L128" s="33" t="s">
        <v>63</v>
      </c>
      <c r="M128" s="33" t="s">
        <v>22</v>
      </c>
      <c r="N128" s="33" t="s">
        <v>357</v>
      </c>
      <c r="O128" s="43">
        <v>41.76</v>
      </c>
      <c r="P128" s="44" t="str">
        <f t="shared" si="10"/>
        <v>Low</v>
      </c>
      <c r="Q128" s="43">
        <v>45.19</v>
      </c>
      <c r="R128" s="43">
        <v>0.17899999999999999</v>
      </c>
      <c r="S128" s="43">
        <v>23</v>
      </c>
      <c r="T128" s="43">
        <f t="shared" si="7"/>
        <v>40507.245110000003</v>
      </c>
      <c r="U128" s="33">
        <f t="shared" si="8"/>
        <v>960.4799999999999</v>
      </c>
      <c r="V128" s="43">
        <f t="shared" si="11"/>
        <v>39546.76511</v>
      </c>
      <c r="W128" s="45">
        <f t="shared" si="12"/>
        <v>0.97628868619942533</v>
      </c>
    </row>
    <row r="129" spans="1:23" x14ac:dyDescent="0.3">
      <c r="A129" s="34" t="s">
        <v>358</v>
      </c>
      <c r="B129" s="35">
        <v>45442</v>
      </c>
      <c r="C129" s="36">
        <v>45456</v>
      </c>
      <c r="D129" s="37">
        <f t="shared" si="13"/>
        <v>14</v>
      </c>
      <c r="E129" s="37" t="str">
        <f>TEXT(Data!B129,"MMM-YYYY")</f>
        <v>May-2024</v>
      </c>
      <c r="F129" s="37" t="str">
        <f t="shared" si="9"/>
        <v>Q2-2024</v>
      </c>
      <c r="G129" s="32" t="s">
        <v>52</v>
      </c>
      <c r="H129" s="32" t="s">
        <v>122</v>
      </c>
      <c r="I129" s="32" t="s">
        <v>167</v>
      </c>
      <c r="J129" s="32" t="s">
        <v>62</v>
      </c>
      <c r="K129" s="32" t="s">
        <v>20</v>
      </c>
      <c r="L129" s="32" t="s">
        <v>84</v>
      </c>
      <c r="M129" s="32" t="s">
        <v>42</v>
      </c>
      <c r="N129" s="32" t="s">
        <v>359</v>
      </c>
      <c r="O129" s="37">
        <v>157.78</v>
      </c>
      <c r="P129" s="38" t="str">
        <f t="shared" si="10"/>
        <v>High</v>
      </c>
      <c r="Q129" s="37">
        <v>361.1</v>
      </c>
      <c r="R129" s="37">
        <v>0.187</v>
      </c>
      <c r="S129" s="37">
        <v>9</v>
      </c>
      <c r="T129" s="37">
        <f t="shared" ref="T129:T192" si="14">(Q155*S129)*(1-R129)</f>
        <v>9877.5109800000009</v>
      </c>
      <c r="U129" s="32">
        <f t="shared" ref="U129:U192" si="15">(O129*S129)</f>
        <v>1420.02</v>
      </c>
      <c r="V129" s="37">
        <f t="shared" si="11"/>
        <v>8457.4909800000005</v>
      </c>
      <c r="W129" s="39">
        <f t="shared" si="12"/>
        <v>0.85623706185948478</v>
      </c>
    </row>
    <row r="130" spans="1:23" x14ac:dyDescent="0.3">
      <c r="A130" s="40" t="s">
        <v>360</v>
      </c>
      <c r="B130" s="41">
        <v>44948</v>
      </c>
      <c r="C130" s="42">
        <v>44956</v>
      </c>
      <c r="D130" s="43">
        <f t="shared" si="13"/>
        <v>8</v>
      </c>
      <c r="E130" s="43" t="str">
        <f>TEXT(Data!B130,"MMM-YYYY")</f>
        <v>Jan-2023</v>
      </c>
      <c r="F130" s="43" t="str">
        <f t="shared" ref="F130:F193" si="16">"Q"&amp;ROUNDUP(MONTH(B130)/3,0)&amp;"-"&amp;YEAR(B130)</f>
        <v>Q1-2023</v>
      </c>
      <c r="G130" s="33" t="s">
        <v>52</v>
      </c>
      <c r="H130" s="33" t="s">
        <v>122</v>
      </c>
      <c r="I130" s="33" t="s">
        <v>167</v>
      </c>
      <c r="J130" s="33" t="s">
        <v>62</v>
      </c>
      <c r="K130" s="33" t="s">
        <v>28</v>
      </c>
      <c r="L130" s="33" t="s">
        <v>75</v>
      </c>
      <c r="M130" s="33" t="s">
        <v>35</v>
      </c>
      <c r="N130" s="33" t="s">
        <v>361</v>
      </c>
      <c r="O130" s="43">
        <v>413.52</v>
      </c>
      <c r="P130" s="44" t="str">
        <f t="shared" ref="P130:P193" si="17">IF(Q130&lt;50, "Low", IF(Q130&lt;200, "Medium", "High"))</f>
        <v>High</v>
      </c>
      <c r="Q130" s="43">
        <v>1004.34</v>
      </c>
      <c r="R130" s="43">
        <v>0.111</v>
      </c>
      <c r="S130" s="43">
        <v>18</v>
      </c>
      <c r="T130" s="43">
        <f t="shared" si="14"/>
        <v>8440.7349599999998</v>
      </c>
      <c r="U130" s="33">
        <f t="shared" si="15"/>
        <v>7443.36</v>
      </c>
      <c r="V130" s="43">
        <f t="shared" ref="V130:V193" si="18">(T130-U130)</f>
        <v>997.3749600000001</v>
      </c>
      <c r="W130" s="45">
        <f t="shared" ref="W130:W193" si="19">IF(T130=0, 0, V130/T130)</f>
        <v>0.11816209900281008</v>
      </c>
    </row>
    <row r="131" spans="1:23" x14ac:dyDescent="0.3">
      <c r="A131" s="34" t="s">
        <v>362</v>
      </c>
      <c r="B131" s="35">
        <v>45700</v>
      </c>
      <c r="C131" s="36">
        <v>45716</v>
      </c>
      <c r="D131" s="37">
        <f t="shared" ref="D131:D194" si="20">DATEDIF(B131,C131, "MD")</f>
        <v>16</v>
      </c>
      <c r="E131" s="37" t="str">
        <f>TEXT(Data!B131,"MMM-YYYY")</f>
        <v>Feb-2025</v>
      </c>
      <c r="F131" s="37" t="str">
        <f t="shared" si="16"/>
        <v>Q1-2025</v>
      </c>
      <c r="G131" s="32" t="s">
        <v>52</v>
      </c>
      <c r="H131" s="32" t="s">
        <v>73</v>
      </c>
      <c r="I131" s="32" t="s">
        <v>74</v>
      </c>
      <c r="J131" s="32" t="s">
        <v>39</v>
      </c>
      <c r="K131" s="32" t="s">
        <v>98</v>
      </c>
      <c r="L131" s="32" t="s">
        <v>56</v>
      </c>
      <c r="M131" s="32" t="s">
        <v>64</v>
      </c>
      <c r="N131" s="32" t="s">
        <v>363</v>
      </c>
      <c r="O131" s="37">
        <v>414.95</v>
      </c>
      <c r="P131" s="38" t="str">
        <f t="shared" si="17"/>
        <v>High</v>
      </c>
      <c r="Q131" s="37">
        <v>1027.73</v>
      </c>
      <c r="R131" s="37">
        <v>6.3E-2</v>
      </c>
      <c r="S131" s="37">
        <v>8</v>
      </c>
      <c r="T131" s="37">
        <f t="shared" si="14"/>
        <v>10997.906320000002</v>
      </c>
      <c r="U131" s="32">
        <f t="shared" si="15"/>
        <v>3319.6</v>
      </c>
      <c r="V131" s="37">
        <f t="shared" si="18"/>
        <v>7678.3063200000015</v>
      </c>
      <c r="W131" s="39">
        <f t="shared" si="19"/>
        <v>0.69816073137818835</v>
      </c>
    </row>
    <row r="132" spans="1:23" x14ac:dyDescent="0.3">
      <c r="A132" s="40" t="s">
        <v>364</v>
      </c>
      <c r="B132" s="41">
        <v>45719</v>
      </c>
      <c r="C132" s="42">
        <v>45740</v>
      </c>
      <c r="D132" s="43">
        <f t="shared" si="20"/>
        <v>21</v>
      </c>
      <c r="E132" s="43" t="str">
        <f>TEXT(Data!B132,"MMM-YYYY")</f>
        <v>Mar-2025</v>
      </c>
      <c r="F132" s="43" t="str">
        <f t="shared" si="16"/>
        <v>Q1-2025</v>
      </c>
      <c r="G132" s="33" t="s">
        <v>16</v>
      </c>
      <c r="H132" s="33" t="s">
        <v>25</v>
      </c>
      <c r="I132" s="33" t="s">
        <v>67</v>
      </c>
      <c r="J132" s="33" t="s">
        <v>105</v>
      </c>
      <c r="K132" s="33" t="s">
        <v>98</v>
      </c>
      <c r="L132" s="33" t="s">
        <v>92</v>
      </c>
      <c r="M132" s="33" t="s">
        <v>81</v>
      </c>
      <c r="N132" s="33" t="s">
        <v>365</v>
      </c>
      <c r="O132" s="43">
        <v>555.95000000000005</v>
      </c>
      <c r="P132" s="44" t="str">
        <f t="shared" si="17"/>
        <v>High</v>
      </c>
      <c r="Q132" s="43">
        <v>468.09</v>
      </c>
      <c r="R132" s="43">
        <v>0.14199999999999999</v>
      </c>
      <c r="S132" s="43">
        <v>11</v>
      </c>
      <c r="T132" s="43">
        <f t="shared" si="14"/>
        <v>15583.45932</v>
      </c>
      <c r="U132" s="33">
        <f t="shared" si="15"/>
        <v>6115.4500000000007</v>
      </c>
      <c r="V132" s="43">
        <f t="shared" si="18"/>
        <v>9468.0093199999992</v>
      </c>
      <c r="W132" s="45">
        <f t="shared" si="19"/>
        <v>0.60756787858063332</v>
      </c>
    </row>
    <row r="133" spans="1:23" x14ac:dyDescent="0.3">
      <c r="A133" s="34" t="s">
        <v>366</v>
      </c>
      <c r="B133" s="35">
        <v>44953</v>
      </c>
      <c r="C133" s="36">
        <v>44957</v>
      </c>
      <c r="D133" s="37">
        <f t="shared" si="20"/>
        <v>4</v>
      </c>
      <c r="E133" s="37" t="str">
        <f>TEXT(Data!B133,"MMM-YYYY")</f>
        <v>Jan-2023</v>
      </c>
      <c r="F133" s="37" t="str">
        <f t="shared" si="16"/>
        <v>Q1-2023</v>
      </c>
      <c r="G133" s="32" t="s">
        <v>78</v>
      </c>
      <c r="H133" s="32" t="s">
        <v>108</v>
      </c>
      <c r="I133" s="32" t="s">
        <v>228</v>
      </c>
      <c r="J133" s="32" t="s">
        <v>105</v>
      </c>
      <c r="K133" s="32" t="s">
        <v>28</v>
      </c>
      <c r="L133" s="32" t="s">
        <v>126</v>
      </c>
      <c r="M133" s="32" t="s">
        <v>57</v>
      </c>
      <c r="N133" s="32" t="s">
        <v>367</v>
      </c>
      <c r="O133" s="37">
        <v>941.2</v>
      </c>
      <c r="P133" s="38" t="str">
        <f t="shared" si="17"/>
        <v>High</v>
      </c>
      <c r="Q133" s="37">
        <v>668.02</v>
      </c>
      <c r="R133" s="37">
        <v>0.22</v>
      </c>
      <c r="S133" s="37">
        <v>16</v>
      </c>
      <c r="T133" s="37">
        <f t="shared" si="14"/>
        <v>24737.606400000001</v>
      </c>
      <c r="U133" s="32">
        <f t="shared" si="15"/>
        <v>15059.2</v>
      </c>
      <c r="V133" s="37">
        <f t="shared" si="18"/>
        <v>9678.4063999999998</v>
      </c>
      <c r="W133" s="39">
        <f t="shared" si="19"/>
        <v>0.3912426385763822</v>
      </c>
    </row>
    <row r="134" spans="1:23" x14ac:dyDescent="0.3">
      <c r="A134" s="40" t="s">
        <v>368</v>
      </c>
      <c r="B134" s="41">
        <v>45666</v>
      </c>
      <c r="C134" s="42">
        <v>45672</v>
      </c>
      <c r="D134" s="43">
        <f t="shared" si="20"/>
        <v>6</v>
      </c>
      <c r="E134" s="43" t="str">
        <f>TEXT(Data!B134,"MMM-YYYY")</f>
        <v>Jan-2025</v>
      </c>
      <c r="F134" s="43" t="str">
        <f t="shared" si="16"/>
        <v>Q1-2025</v>
      </c>
      <c r="G134" s="33" t="s">
        <v>45</v>
      </c>
      <c r="H134" s="33" t="s">
        <v>116</v>
      </c>
      <c r="I134" s="33" t="s">
        <v>338</v>
      </c>
      <c r="J134" s="33" t="s">
        <v>27</v>
      </c>
      <c r="K134" s="33" t="s">
        <v>28</v>
      </c>
      <c r="L134" s="33" t="s">
        <v>21</v>
      </c>
      <c r="M134" s="33" t="s">
        <v>42</v>
      </c>
      <c r="N134" s="33" t="s">
        <v>369</v>
      </c>
      <c r="O134" s="43">
        <v>304.77999999999997</v>
      </c>
      <c r="P134" s="44" t="str">
        <f t="shared" si="17"/>
        <v>High</v>
      </c>
      <c r="Q134" s="43">
        <v>537.27</v>
      </c>
      <c r="R134" s="43">
        <v>0.187</v>
      </c>
      <c r="S134" s="43">
        <v>8</v>
      </c>
      <c r="T134" s="43">
        <f t="shared" si="14"/>
        <v>16599.638879999999</v>
      </c>
      <c r="U134" s="33">
        <f t="shared" si="15"/>
        <v>2438.2399999999998</v>
      </c>
      <c r="V134" s="43">
        <f t="shared" si="18"/>
        <v>14161.398879999999</v>
      </c>
      <c r="W134" s="45">
        <f t="shared" si="19"/>
        <v>0.85311487691833454</v>
      </c>
    </row>
    <row r="135" spans="1:23" x14ac:dyDescent="0.3">
      <c r="A135" s="34" t="s">
        <v>370</v>
      </c>
      <c r="B135" s="35">
        <v>45647</v>
      </c>
      <c r="C135" s="36">
        <v>45652</v>
      </c>
      <c r="D135" s="37">
        <f t="shared" si="20"/>
        <v>5</v>
      </c>
      <c r="E135" s="37" t="str">
        <f>TEXT(Data!B135,"MMM-YYYY")</f>
        <v>Dec-2024</v>
      </c>
      <c r="F135" s="37" t="str">
        <f t="shared" si="16"/>
        <v>Q4-2024</v>
      </c>
      <c r="G135" s="32" t="s">
        <v>52</v>
      </c>
      <c r="H135" s="32" t="s">
        <v>122</v>
      </c>
      <c r="I135" s="32" t="s">
        <v>167</v>
      </c>
      <c r="J135" s="32" t="s">
        <v>48</v>
      </c>
      <c r="K135" s="32" t="s">
        <v>40</v>
      </c>
      <c r="L135" s="32" t="s">
        <v>110</v>
      </c>
      <c r="M135" s="32" t="s">
        <v>30</v>
      </c>
      <c r="N135" s="32" t="s">
        <v>371</v>
      </c>
      <c r="O135" s="37">
        <v>699.57</v>
      </c>
      <c r="P135" s="38" t="str">
        <f t="shared" si="17"/>
        <v>High</v>
      </c>
      <c r="Q135" s="37">
        <v>572.71</v>
      </c>
      <c r="R135" s="37">
        <v>0.192</v>
      </c>
      <c r="S135" s="37">
        <v>26</v>
      </c>
      <c r="T135" s="37">
        <f t="shared" si="14"/>
        <v>10987.39408</v>
      </c>
      <c r="U135" s="32">
        <f t="shared" si="15"/>
        <v>18188.82</v>
      </c>
      <c r="V135" s="37">
        <f t="shared" si="18"/>
        <v>-7201.4259199999997</v>
      </c>
      <c r="W135" s="39">
        <f t="shared" si="19"/>
        <v>-0.65542619729172391</v>
      </c>
    </row>
    <row r="136" spans="1:23" x14ac:dyDescent="0.3">
      <c r="A136" s="40" t="s">
        <v>372</v>
      </c>
      <c r="B136" s="41">
        <v>45028</v>
      </c>
      <c r="C136" s="42">
        <v>45033</v>
      </c>
      <c r="D136" s="43">
        <f t="shared" si="20"/>
        <v>5</v>
      </c>
      <c r="E136" s="43" t="str">
        <f>TEXT(Data!B136,"MMM-YYYY")</f>
        <v>Apr-2023</v>
      </c>
      <c r="F136" s="43" t="str">
        <f t="shared" si="16"/>
        <v>Q2-2023</v>
      </c>
      <c r="G136" s="33" t="s">
        <v>78</v>
      </c>
      <c r="H136" s="33" t="s">
        <v>90</v>
      </c>
      <c r="I136" s="33" t="s">
        <v>138</v>
      </c>
      <c r="J136" s="33" t="s">
        <v>105</v>
      </c>
      <c r="K136" s="33" t="s">
        <v>98</v>
      </c>
      <c r="L136" s="33" t="s">
        <v>63</v>
      </c>
      <c r="M136" s="33" t="s">
        <v>64</v>
      </c>
      <c r="N136" s="33" t="s">
        <v>373</v>
      </c>
      <c r="O136" s="43">
        <v>1087.81</v>
      </c>
      <c r="P136" s="44" t="str">
        <f t="shared" si="17"/>
        <v>High</v>
      </c>
      <c r="Q136" s="43">
        <v>2323.87</v>
      </c>
      <c r="R136" s="43">
        <v>9.4E-2</v>
      </c>
      <c r="S136" s="43">
        <v>13</v>
      </c>
      <c r="T136" s="43">
        <f t="shared" si="14"/>
        <v>14342.18838</v>
      </c>
      <c r="U136" s="33">
        <f t="shared" si="15"/>
        <v>14141.529999999999</v>
      </c>
      <c r="V136" s="43">
        <f t="shared" si="18"/>
        <v>200.65838000000076</v>
      </c>
      <c r="W136" s="45">
        <f t="shared" si="19"/>
        <v>1.399077844213902E-2</v>
      </c>
    </row>
    <row r="137" spans="1:23" x14ac:dyDescent="0.3">
      <c r="A137" s="34" t="s">
        <v>374</v>
      </c>
      <c r="B137" s="35">
        <v>45640</v>
      </c>
      <c r="C137" s="36">
        <v>45669</v>
      </c>
      <c r="D137" s="37">
        <f t="shared" si="20"/>
        <v>29</v>
      </c>
      <c r="E137" s="37" t="str">
        <f>TEXT(Data!B137,"MMM-YYYY")</f>
        <v>Dec-2024</v>
      </c>
      <c r="F137" s="37" t="str">
        <f t="shared" si="16"/>
        <v>Q4-2024</v>
      </c>
      <c r="G137" s="32" t="s">
        <v>45</v>
      </c>
      <c r="H137" s="32" t="s">
        <v>116</v>
      </c>
      <c r="I137" s="32" t="s">
        <v>117</v>
      </c>
      <c r="J137" s="32" t="s">
        <v>27</v>
      </c>
      <c r="K137" s="32" t="s">
        <v>28</v>
      </c>
      <c r="L137" s="32" t="s">
        <v>29</v>
      </c>
      <c r="M137" s="32" t="s">
        <v>22</v>
      </c>
      <c r="N137" s="32" t="s">
        <v>375</v>
      </c>
      <c r="O137" s="37">
        <v>1412.15</v>
      </c>
      <c r="P137" s="38" t="str">
        <f t="shared" si="17"/>
        <v>High</v>
      </c>
      <c r="Q137" s="37">
        <v>1631.04</v>
      </c>
      <c r="R137" s="37">
        <v>8.9999999999999993E-3</v>
      </c>
      <c r="S137" s="37">
        <v>6</v>
      </c>
      <c r="T137" s="37">
        <f t="shared" si="14"/>
        <v>7989.2834400000002</v>
      </c>
      <c r="U137" s="32">
        <f t="shared" si="15"/>
        <v>8472.9000000000015</v>
      </c>
      <c r="V137" s="37">
        <f t="shared" si="18"/>
        <v>-483.6165600000013</v>
      </c>
      <c r="W137" s="39">
        <f t="shared" si="19"/>
        <v>-6.0533158403002073E-2</v>
      </c>
    </row>
    <row r="138" spans="1:23" x14ac:dyDescent="0.3">
      <c r="A138" s="40" t="s">
        <v>376</v>
      </c>
      <c r="B138" s="41">
        <v>45016</v>
      </c>
      <c r="C138" s="42">
        <v>45028</v>
      </c>
      <c r="D138" s="43">
        <f t="shared" si="20"/>
        <v>12</v>
      </c>
      <c r="E138" s="43" t="str">
        <f>TEXT(Data!B138,"MMM-YYYY")</f>
        <v>Mar-2023</v>
      </c>
      <c r="F138" s="43" t="str">
        <f t="shared" si="16"/>
        <v>Q1-2023</v>
      </c>
      <c r="G138" s="33" t="s">
        <v>16</v>
      </c>
      <c r="H138" s="33" t="s">
        <v>17</v>
      </c>
      <c r="I138" s="33" t="s">
        <v>113</v>
      </c>
      <c r="J138" s="33" t="s">
        <v>62</v>
      </c>
      <c r="K138" s="33" t="s">
        <v>28</v>
      </c>
      <c r="L138" s="33" t="s">
        <v>21</v>
      </c>
      <c r="M138" s="33" t="s">
        <v>42</v>
      </c>
      <c r="N138" s="33" t="s">
        <v>377</v>
      </c>
      <c r="O138" s="43">
        <v>304.22000000000003</v>
      </c>
      <c r="P138" s="44" t="str">
        <f t="shared" si="17"/>
        <v>High</v>
      </c>
      <c r="Q138" s="43">
        <v>393.31</v>
      </c>
      <c r="R138" s="43">
        <v>0.26500000000000001</v>
      </c>
      <c r="S138" s="43">
        <v>15</v>
      </c>
      <c r="T138" s="43">
        <f t="shared" si="14"/>
        <v>3326.2424999999998</v>
      </c>
      <c r="U138" s="33">
        <f t="shared" si="15"/>
        <v>4563.3</v>
      </c>
      <c r="V138" s="43">
        <f t="shared" si="18"/>
        <v>-1237.0575000000003</v>
      </c>
      <c r="W138" s="45">
        <f t="shared" si="19"/>
        <v>-0.3719083921271526</v>
      </c>
    </row>
    <row r="139" spans="1:23" x14ac:dyDescent="0.3">
      <c r="A139" s="34" t="s">
        <v>378</v>
      </c>
      <c r="B139" s="35">
        <v>45616</v>
      </c>
      <c r="C139" s="36">
        <v>45641</v>
      </c>
      <c r="D139" s="37">
        <f t="shared" si="20"/>
        <v>25</v>
      </c>
      <c r="E139" s="37" t="str">
        <f>TEXT(Data!B139,"MMM-YYYY")</f>
        <v>Nov-2024</v>
      </c>
      <c r="F139" s="37" t="str">
        <f t="shared" si="16"/>
        <v>Q4-2024</v>
      </c>
      <c r="G139" s="32" t="s">
        <v>78</v>
      </c>
      <c r="H139" s="32" t="s">
        <v>90</v>
      </c>
      <c r="I139" s="32" t="s">
        <v>217</v>
      </c>
      <c r="J139" s="32" t="s">
        <v>19</v>
      </c>
      <c r="K139" s="32" t="s">
        <v>28</v>
      </c>
      <c r="L139" s="32" t="s">
        <v>41</v>
      </c>
      <c r="M139" s="32" t="s">
        <v>30</v>
      </c>
      <c r="N139" s="32" t="s">
        <v>379</v>
      </c>
      <c r="O139" s="37">
        <v>1203.58</v>
      </c>
      <c r="P139" s="38" t="str">
        <f t="shared" si="17"/>
        <v>High</v>
      </c>
      <c r="Q139" s="37">
        <v>1856.16</v>
      </c>
      <c r="R139" s="37">
        <v>0.129</v>
      </c>
      <c r="S139" s="37">
        <v>22</v>
      </c>
      <c r="T139" s="37">
        <f t="shared" si="14"/>
        <v>28967.387020000002</v>
      </c>
      <c r="U139" s="32">
        <f t="shared" si="15"/>
        <v>26478.76</v>
      </c>
      <c r="V139" s="37">
        <f t="shared" si="18"/>
        <v>2488.6270200000035</v>
      </c>
      <c r="W139" s="39">
        <f t="shared" si="19"/>
        <v>8.591133947572753E-2</v>
      </c>
    </row>
    <row r="140" spans="1:23" x14ac:dyDescent="0.3">
      <c r="A140" s="40" t="s">
        <v>380</v>
      </c>
      <c r="B140" s="41">
        <v>45336</v>
      </c>
      <c r="C140" s="42">
        <v>45336</v>
      </c>
      <c r="D140" s="43">
        <f t="shared" si="20"/>
        <v>0</v>
      </c>
      <c r="E140" s="43" t="str">
        <f>TEXT(Data!B140,"MMM-YYYY")</f>
        <v>Feb-2024</v>
      </c>
      <c r="F140" s="43" t="str">
        <f t="shared" si="16"/>
        <v>Q1-2024</v>
      </c>
      <c r="G140" s="33" t="s">
        <v>45</v>
      </c>
      <c r="H140" s="33" t="s">
        <v>116</v>
      </c>
      <c r="I140" s="33" t="s">
        <v>338</v>
      </c>
      <c r="J140" s="33" t="s">
        <v>19</v>
      </c>
      <c r="K140" s="33" t="s">
        <v>55</v>
      </c>
      <c r="L140" s="33" t="s">
        <v>49</v>
      </c>
      <c r="M140" s="33" t="s">
        <v>81</v>
      </c>
      <c r="N140" s="33" t="s">
        <v>381</v>
      </c>
      <c r="O140" s="43">
        <v>65.930000000000007</v>
      </c>
      <c r="P140" s="44" t="str">
        <f t="shared" si="17"/>
        <v>Medium</v>
      </c>
      <c r="Q140" s="43">
        <v>84.9</v>
      </c>
      <c r="R140" s="43">
        <v>0.25900000000000001</v>
      </c>
      <c r="S140" s="43">
        <v>23</v>
      </c>
      <c r="T140" s="43">
        <f t="shared" si="14"/>
        <v>35027.455319999994</v>
      </c>
      <c r="U140" s="33">
        <f t="shared" si="15"/>
        <v>1516.39</v>
      </c>
      <c r="V140" s="43">
        <f t="shared" si="18"/>
        <v>33511.065319999994</v>
      </c>
      <c r="W140" s="45">
        <f t="shared" si="19"/>
        <v>0.95670853088964847</v>
      </c>
    </row>
    <row r="141" spans="1:23" x14ac:dyDescent="0.3">
      <c r="A141" s="34" t="s">
        <v>382</v>
      </c>
      <c r="B141" s="35">
        <v>45048</v>
      </c>
      <c r="C141" s="36">
        <v>45064</v>
      </c>
      <c r="D141" s="37">
        <f t="shared" si="20"/>
        <v>16</v>
      </c>
      <c r="E141" s="37" t="str">
        <f>TEXT(Data!B141,"MMM-YYYY")</f>
        <v>May-2023</v>
      </c>
      <c r="F141" s="37" t="str">
        <f t="shared" si="16"/>
        <v>Q2-2023</v>
      </c>
      <c r="G141" s="32" t="s">
        <v>45</v>
      </c>
      <c r="H141" s="32" t="s">
        <v>60</v>
      </c>
      <c r="I141" s="32" t="s">
        <v>141</v>
      </c>
      <c r="J141" s="32" t="s">
        <v>62</v>
      </c>
      <c r="K141" s="32" t="s">
        <v>40</v>
      </c>
      <c r="L141" s="32" t="s">
        <v>95</v>
      </c>
      <c r="M141" s="32" t="s">
        <v>64</v>
      </c>
      <c r="N141" s="32" t="s">
        <v>383</v>
      </c>
      <c r="O141" s="37">
        <v>1463.92</v>
      </c>
      <c r="P141" s="38" t="str">
        <f t="shared" si="17"/>
        <v>High</v>
      </c>
      <c r="Q141" s="37">
        <v>2252.2399999999998</v>
      </c>
      <c r="R141" s="37">
        <v>0.11799999999999999</v>
      </c>
      <c r="S141" s="37">
        <v>44</v>
      </c>
      <c r="T141" s="37">
        <f t="shared" si="14"/>
        <v>15179.749199999998</v>
      </c>
      <c r="U141" s="32">
        <f t="shared" si="15"/>
        <v>64412.480000000003</v>
      </c>
      <c r="V141" s="37">
        <f t="shared" si="18"/>
        <v>-49232.730800000005</v>
      </c>
      <c r="W141" s="39">
        <f t="shared" si="19"/>
        <v>-3.2433164837795876</v>
      </c>
    </row>
    <row r="142" spans="1:23" x14ac:dyDescent="0.3">
      <c r="A142" s="40" t="s">
        <v>384</v>
      </c>
      <c r="B142" s="41">
        <v>45649</v>
      </c>
      <c r="C142" s="42">
        <v>45668</v>
      </c>
      <c r="D142" s="43">
        <f t="shared" si="20"/>
        <v>19</v>
      </c>
      <c r="E142" s="43" t="str">
        <f>TEXT(Data!B142,"MMM-YYYY")</f>
        <v>Dec-2024</v>
      </c>
      <c r="F142" s="43" t="str">
        <f t="shared" si="16"/>
        <v>Q4-2024</v>
      </c>
      <c r="G142" s="33" t="s">
        <v>78</v>
      </c>
      <c r="H142" s="33" t="s">
        <v>79</v>
      </c>
      <c r="I142" s="33" t="s">
        <v>80</v>
      </c>
      <c r="J142" s="33" t="s">
        <v>27</v>
      </c>
      <c r="K142" s="33" t="s">
        <v>20</v>
      </c>
      <c r="L142" s="33" t="s">
        <v>95</v>
      </c>
      <c r="M142" s="33" t="s">
        <v>42</v>
      </c>
      <c r="N142" s="33" t="s">
        <v>385</v>
      </c>
      <c r="O142" s="43">
        <v>501.81</v>
      </c>
      <c r="P142" s="44" t="str">
        <f t="shared" si="17"/>
        <v>High</v>
      </c>
      <c r="Q142" s="43">
        <v>921.62</v>
      </c>
      <c r="R142" s="43">
        <v>0.01</v>
      </c>
      <c r="S142" s="43">
        <v>9</v>
      </c>
      <c r="T142" s="43">
        <f t="shared" si="14"/>
        <v>16474.322700000001</v>
      </c>
      <c r="U142" s="33">
        <f t="shared" si="15"/>
        <v>4516.29</v>
      </c>
      <c r="V142" s="43">
        <f t="shared" si="18"/>
        <v>11958.0327</v>
      </c>
      <c r="W142" s="45">
        <f t="shared" si="19"/>
        <v>0.72585883606614066</v>
      </c>
    </row>
    <row r="143" spans="1:23" x14ac:dyDescent="0.3">
      <c r="A143" s="34" t="s">
        <v>386</v>
      </c>
      <c r="B143" s="35">
        <v>45133</v>
      </c>
      <c r="C143" s="36">
        <v>45163</v>
      </c>
      <c r="D143" s="37">
        <f t="shared" si="20"/>
        <v>30</v>
      </c>
      <c r="E143" s="37" t="str">
        <f>TEXT(Data!B143,"MMM-YYYY")</f>
        <v>Jul-2023</v>
      </c>
      <c r="F143" s="37" t="str">
        <f t="shared" si="16"/>
        <v>Q3-2023</v>
      </c>
      <c r="G143" s="32" t="s">
        <v>52</v>
      </c>
      <c r="H143" s="32" t="s">
        <v>122</v>
      </c>
      <c r="I143" s="32" t="s">
        <v>387</v>
      </c>
      <c r="J143" s="32" t="s">
        <v>48</v>
      </c>
      <c r="K143" s="32" t="s">
        <v>20</v>
      </c>
      <c r="L143" s="32" t="s">
        <v>110</v>
      </c>
      <c r="M143" s="32" t="s">
        <v>81</v>
      </c>
      <c r="N143" s="32" t="s">
        <v>388</v>
      </c>
      <c r="O143" s="37">
        <v>1261.48</v>
      </c>
      <c r="P143" s="38" t="str">
        <f t="shared" si="17"/>
        <v>High</v>
      </c>
      <c r="Q143" s="37">
        <v>1643.18</v>
      </c>
      <c r="R143" s="37">
        <v>0.151</v>
      </c>
      <c r="S143" s="37">
        <v>23</v>
      </c>
      <c r="T143" s="37">
        <f t="shared" si="14"/>
        <v>27251.100119999996</v>
      </c>
      <c r="U143" s="32">
        <f t="shared" si="15"/>
        <v>29014.04</v>
      </c>
      <c r="V143" s="37">
        <f t="shared" si="18"/>
        <v>-1762.9398800000054</v>
      </c>
      <c r="W143" s="39">
        <f t="shared" si="19"/>
        <v>-6.4692429745475011E-2</v>
      </c>
    </row>
    <row r="144" spans="1:23" x14ac:dyDescent="0.3">
      <c r="A144" s="40" t="s">
        <v>389</v>
      </c>
      <c r="B144" s="41">
        <v>45458</v>
      </c>
      <c r="C144" s="42">
        <v>45479</v>
      </c>
      <c r="D144" s="43">
        <f t="shared" si="20"/>
        <v>21</v>
      </c>
      <c r="E144" s="43" t="str">
        <f>TEXT(Data!B144,"MMM-YYYY")</f>
        <v>Jun-2024</v>
      </c>
      <c r="F144" s="43" t="str">
        <f t="shared" si="16"/>
        <v>Q2-2024</v>
      </c>
      <c r="G144" s="33" t="s">
        <v>52</v>
      </c>
      <c r="H144" s="33" t="s">
        <v>53</v>
      </c>
      <c r="I144" s="33" t="s">
        <v>54</v>
      </c>
      <c r="J144" s="33" t="s">
        <v>105</v>
      </c>
      <c r="K144" s="33" t="s">
        <v>55</v>
      </c>
      <c r="L144" s="33" t="s">
        <v>49</v>
      </c>
      <c r="M144" s="33" t="s">
        <v>30</v>
      </c>
      <c r="N144" s="33" t="s">
        <v>390</v>
      </c>
      <c r="O144" s="43">
        <v>817.23</v>
      </c>
      <c r="P144" s="44" t="str">
        <f t="shared" si="17"/>
        <v>High</v>
      </c>
      <c r="Q144" s="43">
        <v>1467.17</v>
      </c>
      <c r="R144" s="43">
        <v>0.245</v>
      </c>
      <c r="S144" s="43">
        <v>9</v>
      </c>
      <c r="T144" s="43">
        <f t="shared" si="14"/>
        <v>3655.9817999999996</v>
      </c>
      <c r="U144" s="33">
        <f t="shared" si="15"/>
        <v>7355.07</v>
      </c>
      <c r="V144" s="43">
        <f t="shared" si="18"/>
        <v>-3699.0882000000001</v>
      </c>
      <c r="W144" s="45">
        <f t="shared" si="19"/>
        <v>-1.0117906495048745</v>
      </c>
    </row>
    <row r="145" spans="1:23" x14ac:dyDescent="0.3">
      <c r="A145" s="34" t="s">
        <v>391</v>
      </c>
      <c r="B145" s="35">
        <v>45112</v>
      </c>
      <c r="C145" s="36">
        <v>45121</v>
      </c>
      <c r="D145" s="37">
        <f t="shared" si="20"/>
        <v>9</v>
      </c>
      <c r="E145" s="37" t="str">
        <f>TEXT(Data!B145,"MMM-YYYY")</f>
        <v>Jul-2023</v>
      </c>
      <c r="F145" s="37" t="str">
        <f t="shared" si="16"/>
        <v>Q3-2023</v>
      </c>
      <c r="G145" s="32" t="s">
        <v>52</v>
      </c>
      <c r="H145" s="32" t="s">
        <v>73</v>
      </c>
      <c r="I145" s="32" t="s">
        <v>87</v>
      </c>
      <c r="J145" s="32" t="s">
        <v>105</v>
      </c>
      <c r="K145" s="32" t="s">
        <v>98</v>
      </c>
      <c r="L145" s="32" t="s">
        <v>56</v>
      </c>
      <c r="M145" s="32" t="s">
        <v>35</v>
      </c>
      <c r="N145" s="32" t="s">
        <v>392</v>
      </c>
      <c r="O145" s="37">
        <v>578.85</v>
      </c>
      <c r="P145" s="38" t="str">
        <f t="shared" si="17"/>
        <v>High</v>
      </c>
      <c r="Q145" s="37">
        <v>998.76</v>
      </c>
      <c r="R145" s="37">
        <v>8.2000000000000003E-2</v>
      </c>
      <c r="S145" s="37">
        <v>28</v>
      </c>
      <c r="T145" s="37">
        <f t="shared" si="14"/>
        <v>31331.119680000003</v>
      </c>
      <c r="U145" s="32">
        <f t="shared" si="15"/>
        <v>16207.800000000001</v>
      </c>
      <c r="V145" s="37">
        <f t="shared" si="18"/>
        <v>15123.319680000002</v>
      </c>
      <c r="W145" s="39">
        <f t="shared" si="19"/>
        <v>0.4826932402819254</v>
      </c>
    </row>
    <row r="146" spans="1:23" x14ac:dyDescent="0.3">
      <c r="A146" s="40" t="s">
        <v>393</v>
      </c>
      <c r="B146" s="41">
        <v>45260</v>
      </c>
      <c r="C146" s="42">
        <v>45259</v>
      </c>
      <c r="D146" s="43">
        <f>DATEDIF(C146,B146, "MD")</f>
        <v>1</v>
      </c>
      <c r="E146" s="43" t="str">
        <f>TEXT(Data!B146,"MMM-YYYY")</f>
        <v>Nov-2023</v>
      </c>
      <c r="F146" s="43" t="str">
        <f t="shared" si="16"/>
        <v>Q4-2023</v>
      </c>
      <c r="G146" s="33" t="s">
        <v>16</v>
      </c>
      <c r="H146" s="33" t="s">
        <v>148</v>
      </c>
      <c r="I146" s="33" t="s">
        <v>172</v>
      </c>
      <c r="J146" s="33" t="s">
        <v>62</v>
      </c>
      <c r="K146" s="33" t="s">
        <v>40</v>
      </c>
      <c r="L146" s="33" t="s">
        <v>63</v>
      </c>
      <c r="M146" s="33" t="s">
        <v>57</v>
      </c>
      <c r="N146" s="33" t="s">
        <v>394</v>
      </c>
      <c r="O146" s="43">
        <v>275.56</v>
      </c>
      <c r="P146" s="44" t="str">
        <f t="shared" si="17"/>
        <v>High</v>
      </c>
      <c r="Q146" s="43">
        <v>630.72</v>
      </c>
      <c r="R146" s="43">
        <v>0.107</v>
      </c>
      <c r="S146" s="43">
        <v>23</v>
      </c>
      <c r="T146" s="43">
        <f t="shared" si="14"/>
        <v>42353.882679999995</v>
      </c>
      <c r="U146" s="33">
        <f t="shared" si="15"/>
        <v>6337.88</v>
      </c>
      <c r="V146" s="43">
        <f t="shared" si="18"/>
        <v>36016.002679999998</v>
      </c>
      <c r="W146" s="45">
        <f t="shared" si="19"/>
        <v>0.85035893762361436</v>
      </c>
    </row>
    <row r="147" spans="1:23" x14ac:dyDescent="0.3">
      <c r="A147" s="34" t="s">
        <v>395</v>
      </c>
      <c r="B147" s="35">
        <v>45911</v>
      </c>
      <c r="C147" s="36">
        <v>45928</v>
      </c>
      <c r="D147" s="37">
        <f t="shared" si="20"/>
        <v>17</v>
      </c>
      <c r="E147" s="37" t="str">
        <f>TEXT(Data!B147,"MMM-YYYY")</f>
        <v>Sep-2025</v>
      </c>
      <c r="F147" s="37" t="str">
        <f t="shared" si="16"/>
        <v>Q3-2025</v>
      </c>
      <c r="G147" s="32" t="s">
        <v>16</v>
      </c>
      <c r="H147" s="32" t="s">
        <v>17</v>
      </c>
      <c r="I147" s="32" t="s">
        <v>33</v>
      </c>
      <c r="J147" s="32" t="s">
        <v>39</v>
      </c>
      <c r="K147" s="32" t="s">
        <v>55</v>
      </c>
      <c r="L147" s="32" t="s">
        <v>29</v>
      </c>
      <c r="M147" s="32" t="s">
        <v>57</v>
      </c>
      <c r="N147" s="32" t="s">
        <v>396</v>
      </c>
      <c r="O147" s="37">
        <v>891.46</v>
      </c>
      <c r="P147" s="38" t="str">
        <f t="shared" si="17"/>
        <v>High</v>
      </c>
      <c r="Q147" s="37">
        <v>728.61</v>
      </c>
      <c r="R147" s="37">
        <v>0.185</v>
      </c>
      <c r="S147" s="37">
        <v>6</v>
      </c>
      <c r="T147" s="37">
        <f t="shared" si="14"/>
        <v>49.780199999999994</v>
      </c>
      <c r="U147" s="32">
        <f t="shared" si="15"/>
        <v>5348.76</v>
      </c>
      <c r="V147" s="37">
        <f t="shared" si="18"/>
        <v>-5298.9798000000001</v>
      </c>
      <c r="W147" s="39">
        <f t="shared" si="19"/>
        <v>-106.44753938312824</v>
      </c>
    </row>
    <row r="148" spans="1:23" x14ac:dyDescent="0.3">
      <c r="A148" s="40" t="s">
        <v>397</v>
      </c>
      <c r="B148" s="41">
        <v>45386</v>
      </c>
      <c r="C148" s="42">
        <v>45406</v>
      </c>
      <c r="D148" s="43">
        <f t="shared" si="20"/>
        <v>20</v>
      </c>
      <c r="E148" s="43" t="str">
        <f>TEXT(Data!B148,"MMM-YYYY")</f>
        <v>Apr-2024</v>
      </c>
      <c r="F148" s="43" t="str">
        <f t="shared" si="16"/>
        <v>Q2-2024</v>
      </c>
      <c r="G148" s="33" t="s">
        <v>78</v>
      </c>
      <c r="H148" s="33" t="s">
        <v>79</v>
      </c>
      <c r="I148" s="33" t="s">
        <v>335</v>
      </c>
      <c r="J148" s="33" t="s">
        <v>39</v>
      </c>
      <c r="K148" s="33" t="s">
        <v>98</v>
      </c>
      <c r="L148" s="33" t="s">
        <v>68</v>
      </c>
      <c r="M148" s="33" t="s">
        <v>81</v>
      </c>
      <c r="N148" s="33" t="s">
        <v>398</v>
      </c>
      <c r="O148" s="43">
        <v>683.42</v>
      </c>
      <c r="P148" s="44" t="str">
        <f t="shared" si="17"/>
        <v>High</v>
      </c>
      <c r="Q148" s="43">
        <v>951.51</v>
      </c>
      <c r="R148" s="43">
        <v>0</v>
      </c>
      <c r="S148" s="43">
        <v>14</v>
      </c>
      <c r="T148" s="43">
        <f t="shared" si="14"/>
        <v>31944.079999999998</v>
      </c>
      <c r="U148" s="33">
        <f t="shared" si="15"/>
        <v>9567.8799999999992</v>
      </c>
      <c r="V148" s="43">
        <f t="shared" si="18"/>
        <v>22376.199999999997</v>
      </c>
      <c r="W148" s="45">
        <f t="shared" si="19"/>
        <v>0.7004803393930894</v>
      </c>
    </row>
    <row r="149" spans="1:23" x14ac:dyDescent="0.3">
      <c r="A149" s="34" t="s">
        <v>399</v>
      </c>
      <c r="B149" s="35">
        <v>45183</v>
      </c>
      <c r="C149" s="36">
        <v>45185</v>
      </c>
      <c r="D149" s="37">
        <f t="shared" si="20"/>
        <v>2</v>
      </c>
      <c r="E149" s="37" t="str">
        <f>TEXT(Data!B149,"MMM-YYYY")</f>
        <v>Sep-2023</v>
      </c>
      <c r="F149" s="37" t="str">
        <f t="shared" si="16"/>
        <v>Q3-2023</v>
      </c>
      <c r="G149" s="32" t="s">
        <v>78</v>
      </c>
      <c r="H149" s="32" t="s">
        <v>90</v>
      </c>
      <c r="I149" s="32" t="s">
        <v>138</v>
      </c>
      <c r="J149" s="32" t="s">
        <v>39</v>
      </c>
      <c r="K149" s="32" t="s">
        <v>98</v>
      </c>
      <c r="L149" s="32" t="s">
        <v>56</v>
      </c>
      <c r="M149" s="32" t="s">
        <v>30</v>
      </c>
      <c r="N149" s="32" t="s">
        <v>400</v>
      </c>
      <c r="O149" s="37">
        <v>376.83</v>
      </c>
      <c r="P149" s="38" t="str">
        <f t="shared" si="17"/>
        <v>High</v>
      </c>
      <c r="Q149" s="37">
        <v>732.88</v>
      </c>
      <c r="R149" s="37">
        <v>0.188</v>
      </c>
      <c r="S149" s="37">
        <v>25</v>
      </c>
      <c r="T149" s="37">
        <f t="shared" si="14"/>
        <v>5066.2710000000006</v>
      </c>
      <c r="U149" s="32">
        <f t="shared" si="15"/>
        <v>9420.75</v>
      </c>
      <c r="V149" s="37">
        <f t="shared" si="18"/>
        <v>-4354.4789999999994</v>
      </c>
      <c r="W149" s="39">
        <f t="shared" si="19"/>
        <v>-0.85950376519534755</v>
      </c>
    </row>
    <row r="150" spans="1:23" x14ac:dyDescent="0.3">
      <c r="A150" s="40" t="s">
        <v>401</v>
      </c>
      <c r="B150" s="41">
        <v>45558</v>
      </c>
      <c r="C150" s="42">
        <v>45583</v>
      </c>
      <c r="D150" s="43">
        <f t="shared" si="20"/>
        <v>25</v>
      </c>
      <c r="E150" s="43" t="str">
        <f>TEXT(Data!B150,"MMM-YYYY")</f>
        <v>Sep-2024</v>
      </c>
      <c r="F150" s="43" t="str">
        <f t="shared" si="16"/>
        <v>Q3-2024</v>
      </c>
      <c r="G150" s="33" t="s">
        <v>52</v>
      </c>
      <c r="H150" s="33" t="s">
        <v>53</v>
      </c>
      <c r="I150" s="33" t="s">
        <v>179</v>
      </c>
      <c r="J150" s="33" t="s">
        <v>62</v>
      </c>
      <c r="K150" s="33" t="s">
        <v>28</v>
      </c>
      <c r="L150" s="33" t="s">
        <v>126</v>
      </c>
      <c r="M150" s="33" t="s">
        <v>42</v>
      </c>
      <c r="N150" s="33" t="s">
        <v>402</v>
      </c>
      <c r="O150" s="43">
        <v>1297</v>
      </c>
      <c r="P150" s="44" t="str">
        <f t="shared" si="17"/>
        <v>High</v>
      </c>
      <c r="Q150" s="43">
        <v>2411.52</v>
      </c>
      <c r="R150" s="43">
        <v>2.1000000000000001E-2</v>
      </c>
      <c r="S150" s="43">
        <v>18</v>
      </c>
      <c r="T150" s="43">
        <f t="shared" si="14"/>
        <v>57712.049999999996</v>
      </c>
      <c r="U150" s="33">
        <f t="shared" si="15"/>
        <v>23346</v>
      </c>
      <c r="V150" s="43">
        <f t="shared" si="18"/>
        <v>34366.049999999996</v>
      </c>
      <c r="W150" s="45">
        <f t="shared" si="19"/>
        <v>0.59547442865051581</v>
      </c>
    </row>
    <row r="151" spans="1:23" x14ac:dyDescent="0.3">
      <c r="A151" s="34" t="s">
        <v>403</v>
      </c>
      <c r="B151" s="35">
        <v>45763</v>
      </c>
      <c r="C151" s="36">
        <v>45793</v>
      </c>
      <c r="D151" s="37">
        <f t="shared" si="20"/>
        <v>0</v>
      </c>
      <c r="E151" s="37" t="str">
        <f>TEXT(Data!B151,"MMM-YYYY")</f>
        <v>Apr-2025</v>
      </c>
      <c r="F151" s="37" t="str">
        <f t="shared" si="16"/>
        <v>Q2-2025</v>
      </c>
      <c r="G151" s="32" t="s">
        <v>52</v>
      </c>
      <c r="H151" s="32" t="s">
        <v>53</v>
      </c>
      <c r="I151" s="32" t="s">
        <v>144</v>
      </c>
      <c r="J151" s="32" t="s">
        <v>105</v>
      </c>
      <c r="K151" s="32" t="s">
        <v>55</v>
      </c>
      <c r="L151" s="32" t="s">
        <v>95</v>
      </c>
      <c r="M151" s="32" t="s">
        <v>30</v>
      </c>
      <c r="N151" s="32" t="s">
        <v>404</v>
      </c>
      <c r="O151" s="37">
        <v>763.32</v>
      </c>
      <c r="P151" s="38" t="str">
        <f t="shared" si="17"/>
        <v>High</v>
      </c>
      <c r="Q151" s="37">
        <v>568.29</v>
      </c>
      <c r="R151" s="37">
        <v>0.13100000000000001</v>
      </c>
      <c r="S151" s="37">
        <v>16</v>
      </c>
      <c r="T151" s="37">
        <f t="shared" si="14"/>
        <v>26608.919040000001</v>
      </c>
      <c r="U151" s="32">
        <f t="shared" si="15"/>
        <v>12213.12</v>
      </c>
      <c r="V151" s="37">
        <f t="shared" si="18"/>
        <v>14395.79904</v>
      </c>
      <c r="W151" s="39">
        <f t="shared" si="19"/>
        <v>0.54101404940048248</v>
      </c>
    </row>
    <row r="152" spans="1:23" x14ac:dyDescent="0.3">
      <c r="A152" s="40" t="s">
        <v>405</v>
      </c>
      <c r="B152" s="41">
        <v>45110</v>
      </c>
      <c r="C152" s="42">
        <v>45130</v>
      </c>
      <c r="D152" s="43">
        <f t="shared" si="20"/>
        <v>20</v>
      </c>
      <c r="E152" s="43" t="str">
        <f>TEXT(Data!B152,"MMM-YYYY")</f>
        <v>Jul-2023</v>
      </c>
      <c r="F152" s="43" t="str">
        <f t="shared" si="16"/>
        <v>Q3-2023</v>
      </c>
      <c r="G152" s="33" t="s">
        <v>16</v>
      </c>
      <c r="H152" s="33" t="s">
        <v>148</v>
      </c>
      <c r="I152" s="33" t="s">
        <v>149</v>
      </c>
      <c r="J152" s="33" t="s">
        <v>62</v>
      </c>
      <c r="K152" s="33" t="s">
        <v>55</v>
      </c>
      <c r="L152" s="33" t="s">
        <v>84</v>
      </c>
      <c r="M152" s="33" t="s">
        <v>57</v>
      </c>
      <c r="N152" s="33" t="s">
        <v>406</v>
      </c>
      <c r="O152" s="43">
        <v>1001.96</v>
      </c>
      <c r="P152" s="44" t="str">
        <f t="shared" si="17"/>
        <v>High</v>
      </c>
      <c r="Q152" s="43">
        <v>1254.95</v>
      </c>
      <c r="R152" s="43">
        <v>4.4999999999999998E-2</v>
      </c>
      <c r="S152" s="43">
        <v>18</v>
      </c>
      <c r="T152" s="43">
        <f t="shared" si="14"/>
        <v>517.24709999999993</v>
      </c>
      <c r="U152" s="33">
        <f t="shared" si="15"/>
        <v>18035.28</v>
      </c>
      <c r="V152" s="43">
        <f t="shared" si="18"/>
        <v>-17518.032899999998</v>
      </c>
      <c r="W152" s="45">
        <f t="shared" si="19"/>
        <v>-33.867822361884677</v>
      </c>
    </row>
    <row r="153" spans="1:23" x14ac:dyDescent="0.3">
      <c r="A153" s="34" t="s">
        <v>407</v>
      </c>
      <c r="B153" s="35">
        <v>45267</v>
      </c>
      <c r="C153" s="36">
        <v>45265</v>
      </c>
      <c r="D153" s="37">
        <f>DATEDIF(C153,B153, "MD")</f>
        <v>2</v>
      </c>
      <c r="E153" s="37" t="str">
        <f>TEXT(Data!B153,"MMM-YYYY")</f>
        <v>Dec-2023</v>
      </c>
      <c r="F153" s="37" t="str">
        <f t="shared" si="16"/>
        <v>Q4-2023</v>
      </c>
      <c r="G153" s="32" t="s">
        <v>45</v>
      </c>
      <c r="H153" s="32" t="s">
        <v>46</v>
      </c>
      <c r="I153" s="32" t="s">
        <v>214</v>
      </c>
      <c r="J153" s="32" t="s">
        <v>39</v>
      </c>
      <c r="K153" s="32" t="s">
        <v>40</v>
      </c>
      <c r="L153" s="32" t="s">
        <v>92</v>
      </c>
      <c r="M153" s="32" t="s">
        <v>30</v>
      </c>
      <c r="N153" s="32" t="s">
        <v>408</v>
      </c>
      <c r="O153" s="37">
        <v>1097.5899999999999</v>
      </c>
      <c r="P153" s="38" t="str">
        <f t="shared" si="17"/>
        <v>High</v>
      </c>
      <c r="Q153" s="37">
        <v>845.55</v>
      </c>
      <c r="R153" s="37">
        <v>0.184</v>
      </c>
      <c r="S153" s="37">
        <v>6</v>
      </c>
      <c r="T153" s="37">
        <f t="shared" si="14"/>
        <v>2454.4137600000004</v>
      </c>
      <c r="U153" s="32">
        <f t="shared" si="15"/>
        <v>6585.5399999999991</v>
      </c>
      <c r="V153" s="37">
        <f t="shared" si="18"/>
        <v>-4131.1262399999987</v>
      </c>
      <c r="W153" s="39">
        <f t="shared" si="19"/>
        <v>-1.6831417372757875</v>
      </c>
    </row>
    <row r="154" spans="1:23" x14ac:dyDescent="0.3">
      <c r="A154" s="40" t="s">
        <v>409</v>
      </c>
      <c r="B154" s="41">
        <v>45340</v>
      </c>
      <c r="C154" s="42">
        <v>45355</v>
      </c>
      <c r="D154" s="43">
        <f t="shared" si="20"/>
        <v>15</v>
      </c>
      <c r="E154" s="43" t="str">
        <f>TEXT(Data!B154,"MMM-YYYY")</f>
        <v>Feb-2024</v>
      </c>
      <c r="F154" s="43" t="str">
        <f t="shared" si="16"/>
        <v>Q1-2024</v>
      </c>
      <c r="G154" s="33" t="s">
        <v>16</v>
      </c>
      <c r="H154" s="33" t="s">
        <v>17</v>
      </c>
      <c r="I154" s="33" t="s">
        <v>18</v>
      </c>
      <c r="J154" s="33" t="s">
        <v>27</v>
      </c>
      <c r="K154" s="33" t="s">
        <v>98</v>
      </c>
      <c r="L154" s="33" t="s">
        <v>95</v>
      </c>
      <c r="M154" s="33" t="s">
        <v>30</v>
      </c>
      <c r="N154" s="33" t="s">
        <v>410</v>
      </c>
      <c r="O154" s="43">
        <v>928.68</v>
      </c>
      <c r="P154" s="44" t="str">
        <f t="shared" si="17"/>
        <v>High</v>
      </c>
      <c r="Q154" s="43">
        <v>2145.17</v>
      </c>
      <c r="R154" s="43">
        <v>0.13600000000000001</v>
      </c>
      <c r="S154" s="43">
        <v>16</v>
      </c>
      <c r="T154" s="43">
        <f t="shared" si="14"/>
        <v>5684.1523200000001</v>
      </c>
      <c r="U154" s="33">
        <f t="shared" si="15"/>
        <v>14858.88</v>
      </c>
      <c r="V154" s="43">
        <f t="shared" si="18"/>
        <v>-9174.72768</v>
      </c>
      <c r="W154" s="45">
        <f t="shared" si="19"/>
        <v>-1.6140889904934848</v>
      </c>
    </row>
    <row r="155" spans="1:23" x14ac:dyDescent="0.3">
      <c r="A155" s="34" t="s">
        <v>411</v>
      </c>
      <c r="B155" s="35">
        <v>45230</v>
      </c>
      <c r="C155" s="36">
        <v>45232</v>
      </c>
      <c r="D155" s="37">
        <f t="shared" si="20"/>
        <v>2</v>
      </c>
      <c r="E155" s="37" t="str">
        <f>TEXT(Data!B155,"MMM-YYYY")</f>
        <v>Oct-2023</v>
      </c>
      <c r="F155" s="37" t="str">
        <f t="shared" si="16"/>
        <v>Q4-2023</v>
      </c>
      <c r="G155" s="32" t="s">
        <v>16</v>
      </c>
      <c r="H155" s="32" t="s">
        <v>17</v>
      </c>
      <c r="I155" s="32" t="s">
        <v>18</v>
      </c>
      <c r="J155" s="32" t="s">
        <v>27</v>
      </c>
      <c r="K155" s="32" t="s">
        <v>20</v>
      </c>
      <c r="L155" s="32" t="s">
        <v>68</v>
      </c>
      <c r="M155" s="32" t="s">
        <v>81</v>
      </c>
      <c r="N155" s="32" t="s">
        <v>412</v>
      </c>
      <c r="O155" s="37">
        <v>867.89</v>
      </c>
      <c r="P155" s="38" t="str">
        <f t="shared" si="17"/>
        <v>High</v>
      </c>
      <c r="Q155" s="37">
        <v>1349.94</v>
      </c>
      <c r="R155" s="37">
        <v>0.184</v>
      </c>
      <c r="S155" s="37">
        <v>10</v>
      </c>
      <c r="T155" s="37">
        <f t="shared" si="14"/>
        <v>48.307200000000009</v>
      </c>
      <c r="U155" s="32">
        <f t="shared" si="15"/>
        <v>8678.9</v>
      </c>
      <c r="V155" s="37">
        <f t="shared" si="18"/>
        <v>-8630.5928000000004</v>
      </c>
      <c r="W155" s="39">
        <f t="shared" si="19"/>
        <v>-178.66058889772123</v>
      </c>
    </row>
    <row r="156" spans="1:23" x14ac:dyDescent="0.3">
      <c r="A156" s="40" t="s">
        <v>413</v>
      </c>
      <c r="B156" s="41">
        <v>45511</v>
      </c>
      <c r="C156" s="42">
        <v>45521</v>
      </c>
      <c r="D156" s="43">
        <f t="shared" si="20"/>
        <v>10</v>
      </c>
      <c r="E156" s="43" t="str">
        <f>TEXT(Data!B156,"MMM-YYYY")</f>
        <v>Aug-2024</v>
      </c>
      <c r="F156" s="43" t="str">
        <f t="shared" si="16"/>
        <v>Q3-2024</v>
      </c>
      <c r="G156" s="33" t="s">
        <v>45</v>
      </c>
      <c r="H156" s="33" t="s">
        <v>46</v>
      </c>
      <c r="I156" s="33" t="s">
        <v>47</v>
      </c>
      <c r="J156" s="33" t="s">
        <v>48</v>
      </c>
      <c r="K156" s="33" t="s">
        <v>28</v>
      </c>
      <c r="L156" s="33" t="s">
        <v>95</v>
      </c>
      <c r="M156" s="33" t="s">
        <v>35</v>
      </c>
      <c r="N156" s="33" t="s">
        <v>414</v>
      </c>
      <c r="O156" s="43">
        <v>436.58</v>
      </c>
      <c r="P156" s="44" t="str">
        <f t="shared" si="17"/>
        <v>High</v>
      </c>
      <c r="Q156" s="43">
        <v>527.48</v>
      </c>
      <c r="R156" s="43">
        <v>0.111</v>
      </c>
      <c r="S156" s="43">
        <v>19</v>
      </c>
      <c r="T156" s="43">
        <f t="shared" si="14"/>
        <v>37272.187330000001</v>
      </c>
      <c r="U156" s="33">
        <f t="shared" si="15"/>
        <v>8295.02</v>
      </c>
      <c r="V156" s="43">
        <f t="shared" si="18"/>
        <v>28977.16733</v>
      </c>
      <c r="W156" s="45">
        <f t="shared" si="19"/>
        <v>0.77744745897101064</v>
      </c>
    </row>
    <row r="157" spans="1:23" x14ac:dyDescent="0.3">
      <c r="A157" s="34" t="s">
        <v>415</v>
      </c>
      <c r="B157" s="35">
        <v>45323</v>
      </c>
      <c r="C157" s="36">
        <v>45343</v>
      </c>
      <c r="D157" s="37">
        <f t="shared" si="20"/>
        <v>20</v>
      </c>
      <c r="E157" s="37" t="str">
        <f>TEXT(Data!B157,"MMM-YYYY")</f>
        <v>Feb-2024</v>
      </c>
      <c r="F157" s="37" t="str">
        <f t="shared" si="16"/>
        <v>Q1-2024</v>
      </c>
      <c r="G157" s="32" t="s">
        <v>78</v>
      </c>
      <c r="H157" s="32" t="s">
        <v>90</v>
      </c>
      <c r="I157" s="32" t="s">
        <v>217</v>
      </c>
      <c r="J157" s="32" t="s">
        <v>62</v>
      </c>
      <c r="K157" s="32" t="s">
        <v>40</v>
      </c>
      <c r="L157" s="32" t="s">
        <v>75</v>
      </c>
      <c r="M157" s="32" t="s">
        <v>35</v>
      </c>
      <c r="N157" s="32" t="s">
        <v>416</v>
      </c>
      <c r="O157" s="37">
        <v>656.2</v>
      </c>
      <c r="P157" s="38" t="str">
        <f t="shared" si="17"/>
        <v>High</v>
      </c>
      <c r="Q157" s="37">
        <v>1467.17</v>
      </c>
      <c r="R157" s="37">
        <v>1.7999999999999999E-2</v>
      </c>
      <c r="S157" s="37">
        <v>5</v>
      </c>
      <c r="T157" s="37">
        <f t="shared" si="14"/>
        <v>9391.848</v>
      </c>
      <c r="U157" s="32">
        <f t="shared" si="15"/>
        <v>3281</v>
      </c>
      <c r="V157" s="37">
        <f t="shared" si="18"/>
        <v>6110.848</v>
      </c>
      <c r="W157" s="39">
        <f t="shared" si="19"/>
        <v>0.65065448248310664</v>
      </c>
    </row>
    <row r="158" spans="1:23" x14ac:dyDescent="0.3">
      <c r="A158" s="40" t="s">
        <v>417</v>
      </c>
      <c r="B158" s="41">
        <v>45531</v>
      </c>
      <c r="C158" s="42">
        <v>45553</v>
      </c>
      <c r="D158" s="43">
        <f t="shared" si="20"/>
        <v>22</v>
      </c>
      <c r="E158" s="43" t="str">
        <f>TEXT(Data!B158,"MMM-YYYY")</f>
        <v>Aug-2024</v>
      </c>
      <c r="F158" s="43" t="str">
        <f t="shared" si="16"/>
        <v>Q3-2024</v>
      </c>
      <c r="G158" s="33" t="s">
        <v>45</v>
      </c>
      <c r="H158" s="33" t="s">
        <v>60</v>
      </c>
      <c r="I158" s="33" t="s">
        <v>141</v>
      </c>
      <c r="J158" s="33" t="s">
        <v>48</v>
      </c>
      <c r="K158" s="33" t="s">
        <v>98</v>
      </c>
      <c r="L158" s="33" t="s">
        <v>56</v>
      </c>
      <c r="M158" s="33" t="s">
        <v>22</v>
      </c>
      <c r="N158" s="33" t="s">
        <v>418</v>
      </c>
      <c r="O158" s="43">
        <v>896.75</v>
      </c>
      <c r="P158" s="44" t="str">
        <f t="shared" si="17"/>
        <v>High</v>
      </c>
      <c r="Q158" s="43">
        <v>1651.14</v>
      </c>
      <c r="R158" s="43">
        <v>2.5000000000000001E-2</v>
      </c>
      <c r="S158" s="43">
        <v>15</v>
      </c>
      <c r="T158" s="43">
        <f t="shared" si="14"/>
        <v>20216.283749999999</v>
      </c>
      <c r="U158" s="33">
        <f t="shared" si="15"/>
        <v>13451.25</v>
      </c>
      <c r="V158" s="43">
        <f t="shared" si="18"/>
        <v>6765.0337499999987</v>
      </c>
      <c r="W158" s="45">
        <f t="shared" si="19"/>
        <v>0.3346329045267778</v>
      </c>
    </row>
    <row r="159" spans="1:23" x14ac:dyDescent="0.3">
      <c r="A159" s="34" t="s">
        <v>419</v>
      </c>
      <c r="B159" s="35">
        <v>45703</v>
      </c>
      <c r="C159" s="36">
        <v>45703</v>
      </c>
      <c r="D159" s="37">
        <f t="shared" si="20"/>
        <v>0</v>
      </c>
      <c r="E159" s="37" t="str">
        <f>TEXT(Data!B159,"MMM-YYYY")</f>
        <v>Feb-2025</v>
      </c>
      <c r="F159" s="37" t="str">
        <f t="shared" si="16"/>
        <v>Q1-2025</v>
      </c>
      <c r="G159" s="32" t="s">
        <v>78</v>
      </c>
      <c r="H159" s="32" t="s">
        <v>79</v>
      </c>
      <c r="I159" s="32" t="s">
        <v>335</v>
      </c>
      <c r="J159" s="32" t="s">
        <v>62</v>
      </c>
      <c r="K159" s="32" t="s">
        <v>40</v>
      </c>
      <c r="L159" s="32" t="s">
        <v>49</v>
      </c>
      <c r="M159" s="32" t="s">
        <v>81</v>
      </c>
      <c r="N159" s="32" t="s">
        <v>420</v>
      </c>
      <c r="O159" s="37">
        <v>815.83</v>
      </c>
      <c r="P159" s="38" t="str">
        <f t="shared" si="17"/>
        <v>High</v>
      </c>
      <c r="Q159" s="37">
        <v>1982.18</v>
      </c>
      <c r="R159" s="37">
        <v>0.127</v>
      </c>
      <c r="S159" s="37">
        <v>6</v>
      </c>
      <c r="T159" s="37">
        <f t="shared" si="14"/>
        <v>7100.6851799999995</v>
      </c>
      <c r="U159" s="32">
        <f t="shared" si="15"/>
        <v>4894.9800000000005</v>
      </c>
      <c r="V159" s="37">
        <f t="shared" si="18"/>
        <v>2205.705179999999</v>
      </c>
      <c r="W159" s="39">
        <f t="shared" si="19"/>
        <v>0.31063272403804826</v>
      </c>
    </row>
    <row r="160" spans="1:23" x14ac:dyDescent="0.3">
      <c r="A160" s="40" t="s">
        <v>421</v>
      </c>
      <c r="B160" s="41">
        <v>45870</v>
      </c>
      <c r="C160" s="42">
        <v>45890</v>
      </c>
      <c r="D160" s="43">
        <f t="shared" si="20"/>
        <v>20</v>
      </c>
      <c r="E160" s="43" t="str">
        <f>TEXT(Data!B160,"MMM-YYYY")</f>
        <v>Aug-2025</v>
      </c>
      <c r="F160" s="43" t="str">
        <f t="shared" si="16"/>
        <v>Q3-2025</v>
      </c>
      <c r="G160" s="33" t="s">
        <v>45</v>
      </c>
      <c r="H160" s="33" t="s">
        <v>116</v>
      </c>
      <c r="I160" s="33" t="s">
        <v>162</v>
      </c>
      <c r="J160" s="33" t="s">
        <v>19</v>
      </c>
      <c r="K160" s="33" t="s">
        <v>98</v>
      </c>
      <c r="L160" s="33" t="s">
        <v>34</v>
      </c>
      <c r="M160" s="33" t="s">
        <v>42</v>
      </c>
      <c r="N160" s="33" t="s">
        <v>422</v>
      </c>
      <c r="O160" s="43">
        <v>1220.4100000000001</v>
      </c>
      <c r="P160" s="44" t="str">
        <f t="shared" si="17"/>
        <v>High</v>
      </c>
      <c r="Q160" s="43">
        <v>2552.2199999999998</v>
      </c>
      <c r="R160" s="43">
        <v>0.18099999999999999</v>
      </c>
      <c r="S160" s="43">
        <v>14</v>
      </c>
      <c r="T160" s="43">
        <f t="shared" si="14"/>
        <v>10180.661399999999</v>
      </c>
      <c r="U160" s="33">
        <f t="shared" si="15"/>
        <v>17085.740000000002</v>
      </c>
      <c r="V160" s="43">
        <f t="shared" si="18"/>
        <v>-6905.0786000000026</v>
      </c>
      <c r="W160" s="45">
        <f t="shared" si="19"/>
        <v>-0.6782544206803699</v>
      </c>
    </row>
    <row r="161" spans="1:23" x14ac:dyDescent="0.3">
      <c r="A161" s="34" t="s">
        <v>423</v>
      </c>
      <c r="B161" s="35">
        <v>44977</v>
      </c>
      <c r="C161" s="36">
        <v>44989</v>
      </c>
      <c r="D161" s="37">
        <f t="shared" si="20"/>
        <v>12</v>
      </c>
      <c r="E161" s="37" t="str">
        <f>TEXT(Data!B161,"MMM-YYYY")</f>
        <v>Feb-2023</v>
      </c>
      <c r="F161" s="37" t="str">
        <f t="shared" si="16"/>
        <v>Q1-2023</v>
      </c>
      <c r="G161" s="32" t="s">
        <v>45</v>
      </c>
      <c r="H161" s="32" t="s">
        <v>60</v>
      </c>
      <c r="I161" s="32" t="s">
        <v>141</v>
      </c>
      <c r="J161" s="32" t="s">
        <v>48</v>
      </c>
      <c r="K161" s="32" t="s">
        <v>55</v>
      </c>
      <c r="L161" s="32" t="s">
        <v>110</v>
      </c>
      <c r="M161" s="32" t="s">
        <v>64</v>
      </c>
      <c r="N161" s="32" t="s">
        <v>424</v>
      </c>
      <c r="O161" s="37">
        <v>299.75</v>
      </c>
      <c r="P161" s="38" t="str">
        <f t="shared" si="17"/>
        <v>High</v>
      </c>
      <c r="Q161" s="37">
        <v>523.01</v>
      </c>
      <c r="R161" s="37">
        <v>0.157</v>
      </c>
      <c r="S161" s="37">
        <v>50</v>
      </c>
      <c r="T161" s="37">
        <f t="shared" si="14"/>
        <v>43022.083500000001</v>
      </c>
      <c r="U161" s="32">
        <f t="shared" si="15"/>
        <v>14987.5</v>
      </c>
      <c r="V161" s="37">
        <f t="shared" si="18"/>
        <v>28034.583500000001</v>
      </c>
      <c r="W161" s="39">
        <f t="shared" si="19"/>
        <v>0.65163239943969709</v>
      </c>
    </row>
    <row r="162" spans="1:23" x14ac:dyDescent="0.3">
      <c r="A162" s="40" t="s">
        <v>425</v>
      </c>
      <c r="B162" s="41">
        <v>45595</v>
      </c>
      <c r="C162" s="42">
        <v>45620</v>
      </c>
      <c r="D162" s="43">
        <f t="shared" si="20"/>
        <v>25</v>
      </c>
      <c r="E162" s="43" t="str">
        <f>TEXT(Data!B162,"MMM-YYYY")</f>
        <v>Oct-2024</v>
      </c>
      <c r="F162" s="43" t="str">
        <f t="shared" si="16"/>
        <v>Q4-2024</v>
      </c>
      <c r="G162" s="33" t="s">
        <v>45</v>
      </c>
      <c r="H162" s="33" t="s">
        <v>116</v>
      </c>
      <c r="I162" s="33" t="s">
        <v>117</v>
      </c>
      <c r="J162" s="33" t="s">
        <v>62</v>
      </c>
      <c r="K162" s="33" t="s">
        <v>28</v>
      </c>
      <c r="L162" s="33" t="s">
        <v>63</v>
      </c>
      <c r="M162" s="33" t="s">
        <v>22</v>
      </c>
      <c r="N162" s="33" t="s">
        <v>426</v>
      </c>
      <c r="O162" s="43">
        <v>811.05</v>
      </c>
      <c r="P162" s="44" t="str">
        <f t="shared" si="17"/>
        <v>High</v>
      </c>
      <c r="Q162" s="43">
        <v>1217.71</v>
      </c>
      <c r="R162" s="43">
        <v>7.1999999999999995E-2</v>
      </c>
      <c r="S162" s="43">
        <v>5</v>
      </c>
      <c r="T162" s="43">
        <f t="shared" si="14"/>
        <v>6475.2592000000004</v>
      </c>
      <c r="U162" s="33">
        <f t="shared" si="15"/>
        <v>4055.25</v>
      </c>
      <c r="V162" s="43">
        <f t="shared" si="18"/>
        <v>2420.0092000000004</v>
      </c>
      <c r="W162" s="45">
        <f t="shared" si="19"/>
        <v>0.37373163378540897</v>
      </c>
    </row>
    <row r="163" spans="1:23" x14ac:dyDescent="0.3">
      <c r="A163" s="34" t="s">
        <v>427</v>
      </c>
      <c r="B163" s="35">
        <v>45385</v>
      </c>
      <c r="C163" s="36">
        <v>45389</v>
      </c>
      <c r="D163" s="37">
        <f t="shared" si="20"/>
        <v>4</v>
      </c>
      <c r="E163" s="37" t="str">
        <f>TEXT(Data!B163,"MMM-YYYY")</f>
        <v>Apr-2024</v>
      </c>
      <c r="F163" s="37" t="str">
        <f t="shared" si="16"/>
        <v>Q2-2024</v>
      </c>
      <c r="G163" s="32" t="s">
        <v>52</v>
      </c>
      <c r="H163" s="32" t="s">
        <v>73</v>
      </c>
      <c r="I163" s="32" t="s">
        <v>87</v>
      </c>
      <c r="J163" s="32" t="s">
        <v>39</v>
      </c>
      <c r="K163" s="32" t="s">
        <v>98</v>
      </c>
      <c r="L163" s="32" t="s">
        <v>126</v>
      </c>
      <c r="M163" s="32" t="s">
        <v>42</v>
      </c>
      <c r="N163" s="32" t="s">
        <v>428</v>
      </c>
      <c r="O163" s="37">
        <v>1023.27</v>
      </c>
      <c r="P163" s="38" t="str">
        <f t="shared" si="17"/>
        <v>High</v>
      </c>
      <c r="Q163" s="37">
        <v>1343.64</v>
      </c>
      <c r="R163" s="37">
        <v>0.13300000000000001</v>
      </c>
      <c r="S163" s="37">
        <v>7</v>
      </c>
      <c r="T163" s="37">
        <f t="shared" si="14"/>
        <v>13797.385980000001</v>
      </c>
      <c r="U163" s="32">
        <f t="shared" si="15"/>
        <v>7162.8899999999994</v>
      </c>
      <c r="V163" s="37">
        <f t="shared" si="18"/>
        <v>6634.4959800000015</v>
      </c>
      <c r="W163" s="39">
        <f t="shared" si="19"/>
        <v>0.48085166201895302</v>
      </c>
    </row>
    <row r="164" spans="1:23" x14ac:dyDescent="0.3">
      <c r="A164" s="40" t="s">
        <v>429</v>
      </c>
      <c r="B164" s="41">
        <v>45010</v>
      </c>
      <c r="C164" s="42">
        <v>45011</v>
      </c>
      <c r="D164" s="43">
        <f t="shared" si="20"/>
        <v>1</v>
      </c>
      <c r="E164" s="43" t="str">
        <f>TEXT(Data!B164,"MMM-YYYY")</f>
        <v>Mar-2023</v>
      </c>
      <c r="F164" s="43" t="str">
        <f t="shared" si="16"/>
        <v>Q1-2023</v>
      </c>
      <c r="G164" s="33" t="s">
        <v>45</v>
      </c>
      <c r="H164" s="33" t="s">
        <v>46</v>
      </c>
      <c r="I164" s="33" t="s">
        <v>47</v>
      </c>
      <c r="J164" s="33" t="s">
        <v>62</v>
      </c>
      <c r="K164" s="33" t="s">
        <v>55</v>
      </c>
      <c r="L164" s="33" t="s">
        <v>34</v>
      </c>
      <c r="M164" s="33" t="s">
        <v>64</v>
      </c>
      <c r="N164" s="33" t="s">
        <v>430</v>
      </c>
      <c r="O164" s="43">
        <v>135.12</v>
      </c>
      <c r="P164" s="44" t="str">
        <f t="shared" si="17"/>
        <v>High</v>
      </c>
      <c r="Q164" s="43">
        <v>301.7</v>
      </c>
      <c r="R164" s="43">
        <v>0.14000000000000001</v>
      </c>
      <c r="S164" s="43">
        <v>47</v>
      </c>
      <c r="T164" s="43">
        <f t="shared" si="14"/>
        <v>50207.703000000001</v>
      </c>
      <c r="U164" s="33">
        <f t="shared" si="15"/>
        <v>6350.64</v>
      </c>
      <c r="V164" s="43">
        <f t="shared" si="18"/>
        <v>43857.063000000002</v>
      </c>
      <c r="W164" s="45">
        <f t="shared" si="19"/>
        <v>0.87351263609888707</v>
      </c>
    </row>
    <row r="165" spans="1:23" x14ac:dyDescent="0.3">
      <c r="A165" s="34" t="s">
        <v>431</v>
      </c>
      <c r="B165" s="35">
        <v>45447</v>
      </c>
      <c r="C165" s="36">
        <v>45459</v>
      </c>
      <c r="D165" s="37">
        <f t="shared" si="20"/>
        <v>12</v>
      </c>
      <c r="E165" s="37" t="str">
        <f>TEXT(Data!B165,"MMM-YYYY")</f>
        <v>Jun-2024</v>
      </c>
      <c r="F165" s="37" t="str">
        <f t="shared" si="16"/>
        <v>Q2-2024</v>
      </c>
      <c r="G165" s="32" t="s">
        <v>45</v>
      </c>
      <c r="H165" s="32" t="s">
        <v>116</v>
      </c>
      <c r="I165" s="32" t="s">
        <v>162</v>
      </c>
      <c r="J165" s="32" t="s">
        <v>19</v>
      </c>
      <c r="K165" s="32" t="s">
        <v>20</v>
      </c>
      <c r="L165" s="32" t="s">
        <v>29</v>
      </c>
      <c r="M165" s="32" t="s">
        <v>30</v>
      </c>
      <c r="N165" s="32" t="s">
        <v>432</v>
      </c>
      <c r="O165" s="37">
        <v>918.42</v>
      </c>
      <c r="P165" s="38" t="str">
        <f t="shared" si="17"/>
        <v>High</v>
      </c>
      <c r="Q165" s="37">
        <v>1511.71</v>
      </c>
      <c r="R165" s="37">
        <v>0.02</v>
      </c>
      <c r="S165" s="37">
        <v>8</v>
      </c>
      <c r="T165" s="37">
        <f t="shared" si="14"/>
        <v>10272.6736</v>
      </c>
      <c r="U165" s="32">
        <f t="shared" si="15"/>
        <v>7347.36</v>
      </c>
      <c r="V165" s="37">
        <f t="shared" si="18"/>
        <v>2925.3136000000004</v>
      </c>
      <c r="W165" s="39">
        <f t="shared" si="19"/>
        <v>0.28476652855007489</v>
      </c>
    </row>
    <row r="166" spans="1:23" x14ac:dyDescent="0.3">
      <c r="A166" s="40" t="s">
        <v>433</v>
      </c>
      <c r="B166" s="41">
        <v>44976</v>
      </c>
      <c r="C166" s="42">
        <v>44997</v>
      </c>
      <c r="D166" s="43">
        <f t="shared" si="20"/>
        <v>21</v>
      </c>
      <c r="E166" s="43" t="str">
        <f>TEXT(Data!B166,"MMM-YYYY")</f>
        <v>Feb-2023</v>
      </c>
      <c r="F166" s="43" t="str">
        <f t="shared" si="16"/>
        <v>Q1-2023</v>
      </c>
      <c r="G166" s="33" t="s">
        <v>78</v>
      </c>
      <c r="H166" s="33" t="s">
        <v>79</v>
      </c>
      <c r="I166" s="33" t="s">
        <v>80</v>
      </c>
      <c r="J166" s="33" t="s">
        <v>62</v>
      </c>
      <c r="K166" s="33" t="s">
        <v>98</v>
      </c>
      <c r="L166" s="33" t="s">
        <v>49</v>
      </c>
      <c r="M166" s="33" t="s">
        <v>64</v>
      </c>
      <c r="N166" s="33" t="s">
        <v>434</v>
      </c>
      <c r="O166" s="43">
        <v>1234.81</v>
      </c>
      <c r="P166" s="44" t="str">
        <f t="shared" si="17"/>
        <v>High</v>
      </c>
      <c r="Q166" s="43">
        <v>2055.2399999999998</v>
      </c>
      <c r="R166" s="43">
        <v>5.2999999999999999E-2</v>
      </c>
      <c r="S166" s="43">
        <v>44</v>
      </c>
      <c r="T166" s="43">
        <f t="shared" si="14"/>
        <v>40303.373</v>
      </c>
      <c r="U166" s="33">
        <f t="shared" si="15"/>
        <v>54331.64</v>
      </c>
      <c r="V166" s="43">
        <f t="shared" si="18"/>
        <v>-14028.267</v>
      </c>
      <c r="W166" s="45">
        <f t="shared" si="19"/>
        <v>-0.34806682309195314</v>
      </c>
    </row>
    <row r="167" spans="1:23" x14ac:dyDescent="0.3">
      <c r="A167" s="34" t="s">
        <v>435</v>
      </c>
      <c r="B167" s="35">
        <v>45034</v>
      </c>
      <c r="C167" s="36">
        <v>45064</v>
      </c>
      <c r="D167" s="37">
        <f t="shared" si="20"/>
        <v>0</v>
      </c>
      <c r="E167" s="37" t="str">
        <f>TEXT(Data!B167,"MMM-YYYY")</f>
        <v>Apr-2023</v>
      </c>
      <c r="F167" s="37" t="str">
        <f t="shared" si="16"/>
        <v>Q2-2023</v>
      </c>
      <c r="G167" s="32" t="s">
        <v>45</v>
      </c>
      <c r="H167" s="32" t="s">
        <v>116</v>
      </c>
      <c r="I167" s="32" t="s">
        <v>117</v>
      </c>
      <c r="J167" s="32" t="s">
        <v>39</v>
      </c>
      <c r="K167" s="32" t="s">
        <v>20</v>
      </c>
      <c r="L167" s="32" t="s">
        <v>92</v>
      </c>
      <c r="M167" s="32" t="s">
        <v>57</v>
      </c>
      <c r="N167" s="32" t="s">
        <v>436</v>
      </c>
      <c r="O167" s="37">
        <v>329.03</v>
      </c>
      <c r="P167" s="38" t="str">
        <f t="shared" si="17"/>
        <v>High</v>
      </c>
      <c r="Q167" s="37">
        <v>391.15</v>
      </c>
      <c r="R167" s="37">
        <v>0.19700000000000001</v>
      </c>
      <c r="S167" s="37">
        <v>46</v>
      </c>
      <c r="T167" s="37">
        <f t="shared" si="14"/>
        <v>32735.194359999998</v>
      </c>
      <c r="U167" s="32">
        <f t="shared" si="15"/>
        <v>15135.38</v>
      </c>
      <c r="V167" s="37">
        <f t="shared" si="18"/>
        <v>17599.814359999997</v>
      </c>
      <c r="W167" s="39">
        <f t="shared" si="19"/>
        <v>0.53764196926552166</v>
      </c>
    </row>
    <row r="168" spans="1:23" x14ac:dyDescent="0.3">
      <c r="A168" s="40" t="s">
        <v>437</v>
      </c>
      <c r="B168" s="41">
        <v>45435</v>
      </c>
      <c r="C168" s="42">
        <v>45457</v>
      </c>
      <c r="D168" s="43">
        <f t="shared" si="20"/>
        <v>22</v>
      </c>
      <c r="E168" s="43" t="str">
        <f>TEXT(Data!B168,"MMM-YYYY")</f>
        <v>May-2024</v>
      </c>
      <c r="F168" s="43" t="str">
        <f t="shared" si="16"/>
        <v>Q2-2024</v>
      </c>
      <c r="G168" s="33" t="s">
        <v>78</v>
      </c>
      <c r="H168" s="33" t="s">
        <v>90</v>
      </c>
      <c r="I168" s="33" t="s">
        <v>91</v>
      </c>
      <c r="J168" s="33" t="s">
        <v>62</v>
      </c>
      <c r="K168" s="33" t="s">
        <v>28</v>
      </c>
      <c r="L168" s="33" t="s">
        <v>126</v>
      </c>
      <c r="M168" s="33" t="s">
        <v>64</v>
      </c>
      <c r="N168" s="33" t="s">
        <v>438</v>
      </c>
      <c r="O168" s="43">
        <v>1481.74</v>
      </c>
      <c r="P168" s="44" t="str">
        <f t="shared" si="17"/>
        <v>High</v>
      </c>
      <c r="Q168" s="43">
        <v>1848.97</v>
      </c>
      <c r="R168" s="43">
        <v>0.254</v>
      </c>
      <c r="S168" s="43">
        <v>9</v>
      </c>
      <c r="T168" s="43">
        <f t="shared" si="14"/>
        <v>5308.1555399999997</v>
      </c>
      <c r="U168" s="33">
        <f t="shared" si="15"/>
        <v>13335.66</v>
      </c>
      <c r="V168" s="43">
        <f t="shared" si="18"/>
        <v>-8027.5044600000001</v>
      </c>
      <c r="W168" s="45">
        <f t="shared" si="19"/>
        <v>-1.5122963898680333</v>
      </c>
    </row>
    <row r="169" spans="1:23" x14ac:dyDescent="0.3">
      <c r="A169" s="34" t="s">
        <v>439</v>
      </c>
      <c r="B169" s="35">
        <v>45206</v>
      </c>
      <c r="C169" s="36">
        <v>45222</v>
      </c>
      <c r="D169" s="37">
        <f t="shared" si="20"/>
        <v>16</v>
      </c>
      <c r="E169" s="37" t="str">
        <f>TEXT(Data!B169,"MMM-YYYY")</f>
        <v>Oct-2023</v>
      </c>
      <c r="F169" s="37" t="str">
        <f t="shared" si="16"/>
        <v>Q4-2023</v>
      </c>
      <c r="G169" s="32" t="s">
        <v>45</v>
      </c>
      <c r="H169" s="32" t="s">
        <v>60</v>
      </c>
      <c r="I169" s="32" t="s">
        <v>281</v>
      </c>
      <c r="J169" s="32" t="s">
        <v>48</v>
      </c>
      <c r="K169" s="32" t="s">
        <v>20</v>
      </c>
      <c r="L169" s="32" t="s">
        <v>41</v>
      </c>
      <c r="M169" s="32" t="s">
        <v>64</v>
      </c>
      <c r="N169" s="32" t="s">
        <v>440</v>
      </c>
      <c r="O169" s="37">
        <v>906.81</v>
      </c>
      <c r="P169" s="38" t="str">
        <f t="shared" si="17"/>
        <v>High</v>
      </c>
      <c r="Q169" s="37">
        <v>1395.56</v>
      </c>
      <c r="R169" s="37">
        <v>0.185</v>
      </c>
      <c r="S169" s="37">
        <v>6</v>
      </c>
      <c r="T169" s="37">
        <f t="shared" si="14"/>
        <v>1766.9036999999998</v>
      </c>
      <c r="U169" s="32">
        <f t="shared" si="15"/>
        <v>5440.86</v>
      </c>
      <c r="V169" s="37">
        <f t="shared" si="18"/>
        <v>-3673.9562999999998</v>
      </c>
      <c r="W169" s="39">
        <f t="shared" si="19"/>
        <v>-2.079318923832691</v>
      </c>
    </row>
    <row r="170" spans="1:23" x14ac:dyDescent="0.3">
      <c r="A170" s="40" t="s">
        <v>441</v>
      </c>
      <c r="B170" s="41">
        <v>45574</v>
      </c>
      <c r="C170" s="42">
        <v>45604</v>
      </c>
      <c r="D170" s="43">
        <f t="shared" si="20"/>
        <v>30</v>
      </c>
      <c r="E170" s="43" t="str">
        <f>TEXT(Data!B170,"MMM-YYYY")</f>
        <v>Oct-2024</v>
      </c>
      <c r="F170" s="43" t="str">
        <f t="shared" si="16"/>
        <v>Q4-2024</v>
      </c>
      <c r="G170" s="33" t="s">
        <v>78</v>
      </c>
      <c r="H170" s="33" t="s">
        <v>108</v>
      </c>
      <c r="I170" s="33" t="s">
        <v>228</v>
      </c>
      <c r="J170" s="33" t="s">
        <v>62</v>
      </c>
      <c r="K170" s="33" t="s">
        <v>55</v>
      </c>
      <c r="L170" s="33" t="s">
        <v>29</v>
      </c>
      <c r="M170" s="33" t="s">
        <v>22</v>
      </c>
      <c r="N170" s="33" t="s">
        <v>442</v>
      </c>
      <c r="O170" s="43">
        <v>343.85</v>
      </c>
      <c r="P170" s="44" t="str">
        <f t="shared" si="17"/>
        <v>High</v>
      </c>
      <c r="Q170" s="43">
        <v>538.04</v>
      </c>
      <c r="R170" s="43">
        <v>0.13900000000000001</v>
      </c>
      <c r="S170" s="43">
        <v>5</v>
      </c>
      <c r="T170" s="43">
        <f t="shared" si="14"/>
        <v>8403.5321999999996</v>
      </c>
      <c r="U170" s="33">
        <f t="shared" si="15"/>
        <v>1719.25</v>
      </c>
      <c r="V170" s="43">
        <f t="shared" si="18"/>
        <v>6684.2821999999996</v>
      </c>
      <c r="W170" s="45">
        <f t="shared" si="19"/>
        <v>0.79541340961363838</v>
      </c>
    </row>
    <row r="171" spans="1:23" x14ac:dyDescent="0.3">
      <c r="A171" s="34" t="s">
        <v>443</v>
      </c>
      <c r="B171" s="35">
        <v>45488</v>
      </c>
      <c r="C171" s="36">
        <v>45488</v>
      </c>
      <c r="D171" s="37">
        <f t="shared" si="20"/>
        <v>0</v>
      </c>
      <c r="E171" s="37" t="str">
        <f>TEXT(Data!B171,"MMM-YYYY")</f>
        <v>Jul-2024</v>
      </c>
      <c r="F171" s="37" t="str">
        <f t="shared" si="16"/>
        <v>Q3-2024</v>
      </c>
      <c r="G171" s="32" t="s">
        <v>45</v>
      </c>
      <c r="H171" s="32" t="s">
        <v>46</v>
      </c>
      <c r="I171" s="32" t="s">
        <v>214</v>
      </c>
      <c r="J171" s="32" t="s">
        <v>62</v>
      </c>
      <c r="K171" s="32" t="s">
        <v>40</v>
      </c>
      <c r="L171" s="32" t="s">
        <v>41</v>
      </c>
      <c r="M171" s="32" t="s">
        <v>81</v>
      </c>
      <c r="N171" s="32" t="s">
        <v>444</v>
      </c>
      <c r="O171" s="37">
        <v>801.77</v>
      </c>
      <c r="P171" s="38" t="str">
        <f t="shared" si="17"/>
        <v>High</v>
      </c>
      <c r="Q171" s="37">
        <v>1218.92</v>
      </c>
      <c r="R171" s="37">
        <v>0.254</v>
      </c>
      <c r="S171" s="37">
        <v>16</v>
      </c>
      <c r="T171" s="37">
        <f t="shared" si="14"/>
        <v>18676.97536</v>
      </c>
      <c r="U171" s="32">
        <f t="shared" si="15"/>
        <v>12828.32</v>
      </c>
      <c r="V171" s="37">
        <f t="shared" si="18"/>
        <v>5848.6553600000007</v>
      </c>
      <c r="W171" s="39">
        <f t="shared" si="19"/>
        <v>0.31314788648947495</v>
      </c>
    </row>
    <row r="172" spans="1:23" x14ac:dyDescent="0.3">
      <c r="A172" s="40" t="s">
        <v>445</v>
      </c>
      <c r="B172" s="41">
        <v>45190</v>
      </c>
      <c r="C172" s="42">
        <v>45209</v>
      </c>
      <c r="D172" s="43">
        <f t="shared" si="20"/>
        <v>19</v>
      </c>
      <c r="E172" s="43" t="str">
        <f>TEXT(Data!B172,"MMM-YYYY")</f>
        <v>Sep-2023</v>
      </c>
      <c r="F172" s="43" t="str">
        <f t="shared" si="16"/>
        <v>Q3-2023</v>
      </c>
      <c r="G172" s="33" t="s">
        <v>45</v>
      </c>
      <c r="H172" s="33" t="s">
        <v>46</v>
      </c>
      <c r="I172" s="33" t="s">
        <v>214</v>
      </c>
      <c r="J172" s="33" t="s">
        <v>27</v>
      </c>
      <c r="K172" s="33" t="s">
        <v>28</v>
      </c>
      <c r="L172" s="33" t="s">
        <v>145</v>
      </c>
      <c r="M172" s="33" t="s">
        <v>22</v>
      </c>
      <c r="N172" s="33" t="s">
        <v>446</v>
      </c>
      <c r="O172" s="43">
        <v>845.63</v>
      </c>
      <c r="P172" s="44" t="str">
        <f t="shared" si="17"/>
        <v>High</v>
      </c>
      <c r="Q172" s="43">
        <v>2062.12</v>
      </c>
      <c r="R172" s="43">
        <v>0.13400000000000001</v>
      </c>
      <c r="S172" s="43">
        <v>5</v>
      </c>
      <c r="T172" s="43">
        <f t="shared" si="14"/>
        <v>3691.4982</v>
      </c>
      <c r="U172" s="33">
        <f t="shared" si="15"/>
        <v>4228.1499999999996</v>
      </c>
      <c r="V172" s="43">
        <f t="shared" si="18"/>
        <v>-536.65179999999964</v>
      </c>
      <c r="W172" s="45">
        <f t="shared" si="19"/>
        <v>-0.1453750674996942</v>
      </c>
    </row>
    <row r="173" spans="1:23" x14ac:dyDescent="0.3">
      <c r="A173" s="34" t="s">
        <v>447</v>
      </c>
      <c r="B173" s="35">
        <v>44981</v>
      </c>
      <c r="C173" s="36">
        <v>44994</v>
      </c>
      <c r="D173" s="37">
        <f t="shared" si="20"/>
        <v>13</v>
      </c>
      <c r="E173" s="37" t="str">
        <f>TEXT(Data!B173,"MMM-YYYY")</f>
        <v>Feb-2023</v>
      </c>
      <c r="F173" s="37" t="str">
        <f t="shared" si="16"/>
        <v>Q1-2023</v>
      </c>
      <c r="G173" s="32" t="s">
        <v>52</v>
      </c>
      <c r="H173" s="32" t="s">
        <v>122</v>
      </c>
      <c r="I173" s="32" t="s">
        <v>387</v>
      </c>
      <c r="J173" s="32" t="s">
        <v>105</v>
      </c>
      <c r="K173" s="32" t="s">
        <v>28</v>
      </c>
      <c r="L173" s="32" t="s">
        <v>110</v>
      </c>
      <c r="M173" s="32" t="s">
        <v>22</v>
      </c>
      <c r="N173" s="32" t="s">
        <v>448</v>
      </c>
      <c r="O173" s="37">
        <v>6.85</v>
      </c>
      <c r="P173" s="38" t="str">
        <f t="shared" si="17"/>
        <v>Low</v>
      </c>
      <c r="Q173" s="37">
        <v>10.18</v>
      </c>
      <c r="R173" s="37">
        <v>4.7E-2</v>
      </c>
      <c r="S173" s="37">
        <v>10</v>
      </c>
      <c r="T173" s="37">
        <f t="shared" si="14"/>
        <v>13964.213699999998</v>
      </c>
      <c r="U173" s="32">
        <f t="shared" si="15"/>
        <v>68.5</v>
      </c>
      <c r="V173" s="37">
        <f t="shared" si="18"/>
        <v>13895.713699999998</v>
      </c>
      <c r="W173" s="39">
        <f t="shared" si="19"/>
        <v>0.99509460385871928</v>
      </c>
    </row>
    <row r="174" spans="1:23" x14ac:dyDescent="0.3">
      <c r="A174" s="40" t="s">
        <v>449</v>
      </c>
      <c r="B174" s="41">
        <v>45798</v>
      </c>
      <c r="C174" s="42">
        <v>45796</v>
      </c>
      <c r="D174" s="43">
        <f>DATEDIF(C174,B174, "MD")</f>
        <v>2</v>
      </c>
      <c r="E174" s="43" t="str">
        <f>TEXT(Data!B174,"MMM-YYYY")</f>
        <v>May-2025</v>
      </c>
      <c r="F174" s="43" t="str">
        <f t="shared" si="16"/>
        <v>Q2-2025</v>
      </c>
      <c r="G174" s="33" t="s">
        <v>16</v>
      </c>
      <c r="H174" s="33" t="s">
        <v>148</v>
      </c>
      <c r="I174" s="33" t="s">
        <v>149</v>
      </c>
      <c r="J174" s="33" t="s">
        <v>39</v>
      </c>
      <c r="K174" s="33" t="s">
        <v>55</v>
      </c>
      <c r="L174" s="33" t="s">
        <v>68</v>
      </c>
      <c r="M174" s="33" t="s">
        <v>57</v>
      </c>
      <c r="N174" s="33" t="s">
        <v>450</v>
      </c>
      <c r="O174" s="43">
        <v>1263.8399999999999</v>
      </c>
      <c r="P174" s="44" t="str">
        <f t="shared" si="17"/>
        <v>High</v>
      </c>
      <c r="Q174" s="43">
        <v>2281.7199999999998</v>
      </c>
      <c r="R174" s="43">
        <v>7.8E-2</v>
      </c>
      <c r="S174" s="43">
        <v>15</v>
      </c>
      <c r="T174" s="43">
        <f t="shared" si="14"/>
        <v>36583.530899999998</v>
      </c>
      <c r="U174" s="33">
        <f t="shared" si="15"/>
        <v>18957.599999999999</v>
      </c>
      <c r="V174" s="43">
        <f t="shared" si="18"/>
        <v>17625.930899999999</v>
      </c>
      <c r="W174" s="45">
        <f t="shared" si="19"/>
        <v>0.48179960945213191</v>
      </c>
    </row>
    <row r="175" spans="1:23" x14ac:dyDescent="0.3">
      <c r="A175" s="34" t="s">
        <v>451</v>
      </c>
      <c r="B175" s="35">
        <v>45435</v>
      </c>
      <c r="C175" s="36">
        <v>45446</v>
      </c>
      <c r="D175" s="37">
        <f t="shared" si="20"/>
        <v>11</v>
      </c>
      <c r="E175" s="37" t="str">
        <f>TEXT(Data!B175,"MMM-YYYY")</f>
        <v>May-2024</v>
      </c>
      <c r="F175" s="37" t="str">
        <f t="shared" si="16"/>
        <v>Q2-2024</v>
      </c>
      <c r="G175" s="32" t="s">
        <v>16</v>
      </c>
      <c r="H175" s="32" t="s">
        <v>148</v>
      </c>
      <c r="I175" s="32" t="s">
        <v>149</v>
      </c>
      <c r="J175" s="32" t="s">
        <v>62</v>
      </c>
      <c r="K175" s="32" t="s">
        <v>55</v>
      </c>
      <c r="L175" s="32" t="s">
        <v>84</v>
      </c>
      <c r="M175" s="32" t="s">
        <v>30</v>
      </c>
      <c r="N175" s="32" t="s">
        <v>452</v>
      </c>
      <c r="O175" s="37">
        <v>180.89</v>
      </c>
      <c r="P175" s="38" t="str">
        <f t="shared" si="17"/>
        <v>High</v>
      </c>
      <c r="Q175" s="37">
        <v>249.57</v>
      </c>
      <c r="R175" s="37">
        <v>2.1999999999999999E-2</v>
      </c>
      <c r="S175" s="37">
        <v>8</v>
      </c>
      <c r="T175" s="37">
        <f t="shared" si="14"/>
        <v>6897.4036800000003</v>
      </c>
      <c r="U175" s="32">
        <f t="shared" si="15"/>
        <v>1447.12</v>
      </c>
      <c r="V175" s="37">
        <f t="shared" si="18"/>
        <v>5450.2836800000005</v>
      </c>
      <c r="W175" s="39">
        <f t="shared" si="19"/>
        <v>0.79019351815000627</v>
      </c>
    </row>
    <row r="176" spans="1:23" x14ac:dyDescent="0.3">
      <c r="A176" s="40" t="s">
        <v>453</v>
      </c>
      <c r="B176" s="41">
        <v>45761</v>
      </c>
      <c r="C176" s="42">
        <v>45781</v>
      </c>
      <c r="D176" s="43">
        <f t="shared" si="20"/>
        <v>20</v>
      </c>
      <c r="E176" s="43" t="str">
        <f>TEXT(Data!B176,"MMM-YYYY")</f>
        <v>Apr-2025</v>
      </c>
      <c r="F176" s="43" t="str">
        <f t="shared" si="16"/>
        <v>Q2-2025</v>
      </c>
      <c r="G176" s="33" t="s">
        <v>78</v>
      </c>
      <c r="H176" s="33" t="s">
        <v>108</v>
      </c>
      <c r="I176" s="33" t="s">
        <v>109</v>
      </c>
      <c r="J176" s="33" t="s">
        <v>105</v>
      </c>
      <c r="K176" s="33" t="s">
        <v>40</v>
      </c>
      <c r="L176" s="33" t="s">
        <v>95</v>
      </c>
      <c r="M176" s="33" t="s">
        <v>64</v>
      </c>
      <c r="N176" s="33" t="s">
        <v>454</v>
      </c>
      <c r="O176" s="43">
        <v>1413.87</v>
      </c>
      <c r="P176" s="44" t="str">
        <f t="shared" si="17"/>
        <v>High</v>
      </c>
      <c r="Q176" s="43">
        <v>3275</v>
      </c>
      <c r="R176" s="43">
        <v>0.255</v>
      </c>
      <c r="S176" s="43">
        <v>38</v>
      </c>
      <c r="T176" s="43">
        <f t="shared" si="14"/>
        <v>17694.882399999999</v>
      </c>
      <c r="U176" s="33">
        <f t="shared" si="15"/>
        <v>53727.06</v>
      </c>
      <c r="V176" s="43">
        <f t="shared" si="18"/>
        <v>-36032.177599999995</v>
      </c>
      <c r="W176" s="45">
        <f t="shared" si="19"/>
        <v>-2.0363050053387188</v>
      </c>
    </row>
    <row r="177" spans="1:23" x14ac:dyDescent="0.3">
      <c r="A177" s="34" t="s">
        <v>455</v>
      </c>
      <c r="B177" s="35">
        <v>45165</v>
      </c>
      <c r="C177" s="36">
        <v>45180</v>
      </c>
      <c r="D177" s="37">
        <f t="shared" si="20"/>
        <v>15</v>
      </c>
      <c r="E177" s="37" t="str">
        <f>TEXT(Data!B177,"MMM-YYYY")</f>
        <v>Aug-2023</v>
      </c>
      <c r="F177" s="37" t="str">
        <f t="shared" si="16"/>
        <v>Q3-2023</v>
      </c>
      <c r="G177" s="32" t="s">
        <v>78</v>
      </c>
      <c r="H177" s="32" t="s">
        <v>108</v>
      </c>
      <c r="I177" s="32" t="s">
        <v>152</v>
      </c>
      <c r="J177" s="32" t="s">
        <v>48</v>
      </c>
      <c r="K177" s="32" t="s">
        <v>40</v>
      </c>
      <c r="L177" s="32" t="s">
        <v>126</v>
      </c>
      <c r="M177" s="32" t="s">
        <v>30</v>
      </c>
      <c r="N177" s="32" t="s">
        <v>456</v>
      </c>
      <c r="O177" s="37">
        <v>943.79</v>
      </c>
      <c r="P177" s="38" t="str">
        <f t="shared" si="17"/>
        <v>High</v>
      </c>
      <c r="Q177" s="37">
        <v>1913.76</v>
      </c>
      <c r="R177" s="37">
        <v>9.0999999999999998E-2</v>
      </c>
      <c r="S177" s="37">
        <v>9</v>
      </c>
      <c r="T177" s="37">
        <f t="shared" si="14"/>
        <v>7960.4402400000008</v>
      </c>
      <c r="U177" s="32">
        <f t="shared" si="15"/>
        <v>8494.11</v>
      </c>
      <c r="V177" s="37">
        <f t="shared" si="18"/>
        <v>-533.66975999999977</v>
      </c>
      <c r="W177" s="39">
        <f t="shared" si="19"/>
        <v>-6.7040231935715122E-2</v>
      </c>
    </row>
    <row r="178" spans="1:23" x14ac:dyDescent="0.3">
      <c r="A178" s="40" t="s">
        <v>457</v>
      </c>
      <c r="B178" s="41">
        <v>45325</v>
      </c>
      <c r="C178" s="42">
        <v>45343</v>
      </c>
      <c r="D178" s="43">
        <f t="shared" si="20"/>
        <v>18</v>
      </c>
      <c r="E178" s="43" t="str">
        <f>TEXT(Data!B178,"MMM-YYYY")</f>
        <v>Feb-2024</v>
      </c>
      <c r="F178" s="43" t="str">
        <f t="shared" si="16"/>
        <v>Q1-2024</v>
      </c>
      <c r="G178" s="33" t="s">
        <v>78</v>
      </c>
      <c r="H178" s="33" t="s">
        <v>79</v>
      </c>
      <c r="I178" s="33" t="s">
        <v>335</v>
      </c>
      <c r="J178" s="33" t="s">
        <v>19</v>
      </c>
      <c r="K178" s="33" t="s">
        <v>20</v>
      </c>
      <c r="L178" s="33" t="s">
        <v>92</v>
      </c>
      <c r="M178" s="33" t="s">
        <v>22</v>
      </c>
      <c r="N178" s="33" t="s">
        <v>458</v>
      </c>
      <c r="O178" s="43">
        <v>39.229999999999997</v>
      </c>
      <c r="P178" s="44" t="str">
        <f t="shared" si="17"/>
        <v>Low</v>
      </c>
      <c r="Q178" s="43">
        <v>30.09</v>
      </c>
      <c r="R178" s="43">
        <v>0.17699999999999999</v>
      </c>
      <c r="S178" s="43">
        <v>13</v>
      </c>
      <c r="T178" s="43">
        <f t="shared" si="14"/>
        <v>16533.592659999998</v>
      </c>
      <c r="U178" s="33">
        <f t="shared" si="15"/>
        <v>509.98999999999995</v>
      </c>
      <c r="V178" s="43">
        <f t="shared" si="18"/>
        <v>16023.602659999999</v>
      </c>
      <c r="W178" s="45">
        <f t="shared" si="19"/>
        <v>0.96915431446222655</v>
      </c>
    </row>
    <row r="179" spans="1:23" x14ac:dyDescent="0.3">
      <c r="A179" s="34" t="s">
        <v>459</v>
      </c>
      <c r="B179" s="35">
        <v>45021</v>
      </c>
      <c r="C179" s="36">
        <v>45032</v>
      </c>
      <c r="D179" s="37">
        <f t="shared" si="20"/>
        <v>11</v>
      </c>
      <c r="E179" s="37" t="str">
        <f>TEXT(Data!B179,"MMM-YYYY")</f>
        <v>Apr-2023</v>
      </c>
      <c r="F179" s="37" t="str">
        <f t="shared" si="16"/>
        <v>Q2-2023</v>
      </c>
      <c r="G179" s="32" t="s">
        <v>52</v>
      </c>
      <c r="H179" s="32" t="s">
        <v>53</v>
      </c>
      <c r="I179" s="32" t="s">
        <v>179</v>
      </c>
      <c r="J179" s="32" t="s">
        <v>39</v>
      </c>
      <c r="K179" s="32" t="s">
        <v>28</v>
      </c>
      <c r="L179" s="32" t="s">
        <v>68</v>
      </c>
      <c r="M179" s="32" t="s">
        <v>64</v>
      </c>
      <c r="N179" s="32" t="s">
        <v>460</v>
      </c>
      <c r="O179" s="37">
        <v>213.1</v>
      </c>
      <c r="P179" s="38" t="str">
        <f t="shared" si="17"/>
        <v>High</v>
      </c>
      <c r="Q179" s="37">
        <v>501.31</v>
      </c>
      <c r="R179" s="37">
        <v>5.6000000000000001E-2</v>
      </c>
      <c r="S179" s="37">
        <v>15</v>
      </c>
      <c r="T179" s="37">
        <f t="shared" si="14"/>
        <v>31908.427200000002</v>
      </c>
      <c r="U179" s="32">
        <f t="shared" si="15"/>
        <v>3196.5</v>
      </c>
      <c r="V179" s="37">
        <f t="shared" si="18"/>
        <v>28711.927200000002</v>
      </c>
      <c r="W179" s="39">
        <f t="shared" si="19"/>
        <v>0.89982270263700115</v>
      </c>
    </row>
    <row r="180" spans="1:23" x14ac:dyDescent="0.3">
      <c r="A180" s="40" t="s">
        <v>461</v>
      </c>
      <c r="B180" s="41">
        <v>45890</v>
      </c>
      <c r="C180" s="42">
        <v>45912</v>
      </c>
      <c r="D180" s="43">
        <f t="shared" si="20"/>
        <v>22</v>
      </c>
      <c r="E180" s="43" t="str">
        <f>TEXT(Data!B180,"MMM-YYYY")</f>
        <v>Aug-2025</v>
      </c>
      <c r="F180" s="43" t="str">
        <f t="shared" si="16"/>
        <v>Q3-2025</v>
      </c>
      <c r="G180" s="33" t="s">
        <v>45</v>
      </c>
      <c r="H180" s="33" t="s">
        <v>116</v>
      </c>
      <c r="I180" s="33" t="s">
        <v>117</v>
      </c>
      <c r="J180" s="33" t="s">
        <v>27</v>
      </c>
      <c r="K180" s="33" t="s">
        <v>20</v>
      </c>
      <c r="L180" s="33" t="s">
        <v>56</v>
      </c>
      <c r="M180" s="33" t="s">
        <v>30</v>
      </c>
      <c r="N180" s="33" t="s">
        <v>462</v>
      </c>
      <c r="O180" s="43">
        <v>352.66</v>
      </c>
      <c r="P180" s="44" t="str">
        <f t="shared" si="17"/>
        <v>High</v>
      </c>
      <c r="Q180" s="43">
        <v>411.18</v>
      </c>
      <c r="R180" s="43">
        <v>0.17299999999999999</v>
      </c>
      <c r="S180" s="43">
        <v>13</v>
      </c>
      <c r="T180" s="43">
        <f t="shared" si="14"/>
        <v>26302.966559999997</v>
      </c>
      <c r="U180" s="33">
        <f t="shared" si="15"/>
        <v>4584.58</v>
      </c>
      <c r="V180" s="43">
        <f t="shared" si="18"/>
        <v>21718.386559999999</v>
      </c>
      <c r="W180" s="45">
        <f t="shared" si="19"/>
        <v>0.82570102921501043</v>
      </c>
    </row>
    <row r="181" spans="1:23" x14ac:dyDescent="0.3">
      <c r="A181" s="34" t="s">
        <v>463</v>
      </c>
      <c r="B181" s="35">
        <v>45915</v>
      </c>
      <c r="C181" s="36">
        <v>45918</v>
      </c>
      <c r="D181" s="37">
        <f t="shared" si="20"/>
        <v>3</v>
      </c>
      <c r="E181" s="37" t="str">
        <f>TEXT(Data!B181,"MMM-YYYY")</f>
        <v>Sep-2025</v>
      </c>
      <c r="F181" s="37" t="str">
        <f t="shared" si="16"/>
        <v>Q3-2025</v>
      </c>
      <c r="G181" s="32" t="s">
        <v>52</v>
      </c>
      <c r="H181" s="32" t="s">
        <v>73</v>
      </c>
      <c r="I181" s="32" t="s">
        <v>225</v>
      </c>
      <c r="J181" s="32" t="s">
        <v>39</v>
      </c>
      <c r="K181" s="32" t="s">
        <v>98</v>
      </c>
      <c r="L181" s="32" t="s">
        <v>49</v>
      </c>
      <c r="M181" s="32" t="s">
        <v>81</v>
      </c>
      <c r="N181" s="32" t="s">
        <v>464</v>
      </c>
      <c r="O181" s="37">
        <v>5.5</v>
      </c>
      <c r="P181" s="38" t="str">
        <f t="shared" si="17"/>
        <v>Low</v>
      </c>
      <c r="Q181" s="37">
        <v>5.92</v>
      </c>
      <c r="R181" s="37">
        <v>0.21199999999999999</v>
      </c>
      <c r="S181" s="37">
        <v>4</v>
      </c>
      <c r="T181" s="37">
        <f t="shared" si="14"/>
        <v>593.52160000000003</v>
      </c>
      <c r="U181" s="32">
        <f t="shared" si="15"/>
        <v>22</v>
      </c>
      <c r="V181" s="37">
        <f t="shared" si="18"/>
        <v>571.52160000000003</v>
      </c>
      <c r="W181" s="39">
        <f t="shared" si="19"/>
        <v>0.96293310976382329</v>
      </c>
    </row>
    <row r="182" spans="1:23" x14ac:dyDescent="0.3">
      <c r="A182" s="40" t="s">
        <v>465</v>
      </c>
      <c r="B182" s="41">
        <v>45568</v>
      </c>
      <c r="C182" s="42">
        <v>45576</v>
      </c>
      <c r="D182" s="43">
        <f t="shared" si="20"/>
        <v>8</v>
      </c>
      <c r="E182" s="43" t="str">
        <f>TEXT(Data!B182,"MMM-YYYY")</f>
        <v>Oct-2024</v>
      </c>
      <c r="F182" s="43" t="str">
        <f t="shared" si="16"/>
        <v>Q4-2024</v>
      </c>
      <c r="G182" s="33" t="s">
        <v>45</v>
      </c>
      <c r="H182" s="33" t="s">
        <v>116</v>
      </c>
      <c r="I182" s="33" t="s">
        <v>338</v>
      </c>
      <c r="J182" s="33" t="s">
        <v>105</v>
      </c>
      <c r="K182" s="33" t="s">
        <v>98</v>
      </c>
      <c r="L182" s="33" t="s">
        <v>56</v>
      </c>
      <c r="M182" s="33" t="s">
        <v>42</v>
      </c>
      <c r="N182" s="33" t="s">
        <v>466</v>
      </c>
      <c r="O182" s="43">
        <v>1132.6099999999999</v>
      </c>
      <c r="P182" s="44" t="str">
        <f t="shared" si="17"/>
        <v>High</v>
      </c>
      <c r="Q182" s="43">
        <v>2206.63</v>
      </c>
      <c r="R182" s="43">
        <v>6.3E-2</v>
      </c>
      <c r="S182" s="43">
        <v>20</v>
      </c>
      <c r="T182" s="43">
        <f t="shared" si="14"/>
        <v>48027.621600000006</v>
      </c>
      <c r="U182" s="33">
        <f t="shared" si="15"/>
        <v>22652.199999999997</v>
      </c>
      <c r="V182" s="43">
        <f t="shared" si="18"/>
        <v>25375.421600000009</v>
      </c>
      <c r="W182" s="45">
        <f t="shared" si="19"/>
        <v>0.52835057732694402</v>
      </c>
    </row>
    <row r="183" spans="1:23" x14ac:dyDescent="0.3">
      <c r="A183" s="34" t="s">
        <v>467</v>
      </c>
      <c r="B183" s="35">
        <v>45690</v>
      </c>
      <c r="C183" s="36">
        <v>45720</v>
      </c>
      <c r="D183" s="37">
        <f t="shared" si="20"/>
        <v>2</v>
      </c>
      <c r="E183" s="37" t="str">
        <f>TEXT(Data!B183,"MMM-YYYY")</f>
        <v>Feb-2025</v>
      </c>
      <c r="F183" s="37" t="str">
        <f t="shared" si="16"/>
        <v>Q1-2025</v>
      </c>
      <c r="G183" s="32" t="s">
        <v>45</v>
      </c>
      <c r="H183" s="32" t="s">
        <v>46</v>
      </c>
      <c r="I183" s="32" t="s">
        <v>47</v>
      </c>
      <c r="J183" s="32" t="s">
        <v>27</v>
      </c>
      <c r="K183" s="32" t="s">
        <v>55</v>
      </c>
      <c r="L183" s="32" t="s">
        <v>49</v>
      </c>
      <c r="M183" s="32" t="s">
        <v>81</v>
      </c>
      <c r="N183" s="32" t="s">
        <v>468</v>
      </c>
      <c r="O183" s="37">
        <v>766.59</v>
      </c>
      <c r="P183" s="38" t="str">
        <f t="shared" si="17"/>
        <v>High</v>
      </c>
      <c r="Q183" s="37">
        <v>1912.8</v>
      </c>
      <c r="R183" s="37">
        <v>0.19600000000000001</v>
      </c>
      <c r="S183" s="37">
        <v>5</v>
      </c>
      <c r="T183" s="37">
        <f t="shared" si="14"/>
        <v>7256.5421999999999</v>
      </c>
      <c r="U183" s="32">
        <f t="shared" si="15"/>
        <v>3832.9500000000003</v>
      </c>
      <c r="V183" s="37">
        <f t="shared" si="18"/>
        <v>3423.5921999999996</v>
      </c>
      <c r="W183" s="39">
        <f t="shared" si="19"/>
        <v>0.47179388001078526</v>
      </c>
    </row>
    <row r="184" spans="1:23" x14ac:dyDescent="0.3">
      <c r="A184" s="40" t="s">
        <v>469</v>
      </c>
      <c r="B184" s="41">
        <v>45157</v>
      </c>
      <c r="C184" s="42">
        <v>45161</v>
      </c>
      <c r="D184" s="43">
        <f t="shared" si="20"/>
        <v>4</v>
      </c>
      <c r="E184" s="43" t="str">
        <f>TEXT(Data!B184,"MMM-YYYY")</f>
        <v>Aug-2023</v>
      </c>
      <c r="F184" s="43" t="str">
        <f t="shared" si="16"/>
        <v>Q3-2023</v>
      </c>
      <c r="G184" s="33" t="s">
        <v>16</v>
      </c>
      <c r="H184" s="33" t="s">
        <v>25</v>
      </c>
      <c r="I184" s="33" t="s">
        <v>67</v>
      </c>
      <c r="J184" s="33" t="s">
        <v>62</v>
      </c>
      <c r="K184" s="33" t="s">
        <v>28</v>
      </c>
      <c r="L184" s="33" t="s">
        <v>29</v>
      </c>
      <c r="M184" s="33" t="s">
        <v>64</v>
      </c>
      <c r="N184" s="33" t="s">
        <v>470</v>
      </c>
      <c r="O184" s="43">
        <v>790.63</v>
      </c>
      <c r="P184" s="44" t="str">
        <f t="shared" si="17"/>
        <v>High</v>
      </c>
      <c r="Q184" s="43">
        <v>1382.31</v>
      </c>
      <c r="R184" s="43">
        <v>0.10100000000000001</v>
      </c>
      <c r="S184" s="43">
        <v>7</v>
      </c>
      <c r="T184" s="43">
        <f t="shared" si="14"/>
        <v>12999.63889</v>
      </c>
      <c r="U184" s="33">
        <f t="shared" si="15"/>
        <v>5534.41</v>
      </c>
      <c r="V184" s="43">
        <f t="shared" si="18"/>
        <v>7465.2288900000003</v>
      </c>
      <c r="W184" s="45">
        <f t="shared" si="19"/>
        <v>0.57426432789164961</v>
      </c>
    </row>
    <row r="185" spans="1:23" x14ac:dyDescent="0.3">
      <c r="A185" s="34" t="s">
        <v>471</v>
      </c>
      <c r="B185" s="35">
        <v>45587</v>
      </c>
      <c r="C185" s="36">
        <v>45594</v>
      </c>
      <c r="D185" s="37">
        <f t="shared" si="20"/>
        <v>7</v>
      </c>
      <c r="E185" s="37" t="str">
        <f>TEXT(Data!B185,"MMM-YYYY")</f>
        <v>Oct-2024</v>
      </c>
      <c r="F185" s="37" t="str">
        <f t="shared" si="16"/>
        <v>Q4-2024</v>
      </c>
      <c r="G185" s="32" t="s">
        <v>16</v>
      </c>
      <c r="H185" s="32" t="s">
        <v>25</v>
      </c>
      <c r="I185" s="32" t="s">
        <v>26</v>
      </c>
      <c r="J185" s="32" t="s">
        <v>105</v>
      </c>
      <c r="K185" s="32" t="s">
        <v>55</v>
      </c>
      <c r="L185" s="32" t="s">
        <v>110</v>
      </c>
      <c r="M185" s="32" t="s">
        <v>64</v>
      </c>
      <c r="N185" s="32" t="s">
        <v>472</v>
      </c>
      <c r="O185" s="37">
        <v>1023.06</v>
      </c>
      <c r="P185" s="38" t="str">
        <f t="shared" si="17"/>
        <v>High</v>
      </c>
      <c r="Q185" s="37">
        <v>1355.61</v>
      </c>
      <c r="R185" s="37">
        <v>0.153</v>
      </c>
      <c r="S185" s="37">
        <v>23</v>
      </c>
      <c r="T185" s="37">
        <f t="shared" si="14"/>
        <v>46101.981310000003</v>
      </c>
      <c r="U185" s="32">
        <f t="shared" si="15"/>
        <v>23530.379999999997</v>
      </c>
      <c r="V185" s="37">
        <f t="shared" si="18"/>
        <v>22571.601310000005</v>
      </c>
      <c r="W185" s="39">
        <f t="shared" si="19"/>
        <v>0.4896015457171683</v>
      </c>
    </row>
    <row r="186" spans="1:23" x14ac:dyDescent="0.3">
      <c r="A186" s="40" t="s">
        <v>473</v>
      </c>
      <c r="B186" s="41">
        <v>45099</v>
      </c>
      <c r="C186" s="42">
        <v>45128</v>
      </c>
      <c r="D186" s="43">
        <f t="shared" si="20"/>
        <v>29</v>
      </c>
      <c r="E186" s="43" t="str">
        <f>TEXT(Data!B186,"MMM-YYYY")</f>
        <v>Jun-2023</v>
      </c>
      <c r="F186" s="43" t="str">
        <f t="shared" si="16"/>
        <v>Q2-2023</v>
      </c>
      <c r="G186" s="33" t="s">
        <v>78</v>
      </c>
      <c r="H186" s="33" t="s">
        <v>90</v>
      </c>
      <c r="I186" s="33" t="s">
        <v>138</v>
      </c>
      <c r="J186" s="33" t="s">
        <v>19</v>
      </c>
      <c r="K186" s="33" t="s">
        <v>20</v>
      </c>
      <c r="L186" s="33" t="s">
        <v>29</v>
      </c>
      <c r="M186" s="33" t="s">
        <v>81</v>
      </c>
      <c r="N186" s="33" t="s">
        <v>474</v>
      </c>
      <c r="O186" s="43">
        <v>734.34</v>
      </c>
      <c r="P186" s="44" t="str">
        <f t="shared" si="17"/>
        <v>High</v>
      </c>
      <c r="Q186" s="43">
        <v>887.9</v>
      </c>
      <c r="R186" s="43">
        <v>2.5000000000000001E-2</v>
      </c>
      <c r="S186" s="43">
        <v>12</v>
      </c>
      <c r="T186" s="43">
        <f t="shared" si="14"/>
        <v>1541.5919999999999</v>
      </c>
      <c r="U186" s="33">
        <f t="shared" si="15"/>
        <v>8812.08</v>
      </c>
      <c r="V186" s="43">
        <f t="shared" si="18"/>
        <v>-7270.4880000000003</v>
      </c>
      <c r="W186" s="45">
        <f t="shared" si="19"/>
        <v>-4.7162206342534221</v>
      </c>
    </row>
    <row r="187" spans="1:23" x14ac:dyDescent="0.3">
      <c r="A187" s="34" t="s">
        <v>475</v>
      </c>
      <c r="B187" s="35">
        <v>45670</v>
      </c>
      <c r="C187" s="36">
        <v>45696</v>
      </c>
      <c r="D187" s="37">
        <f t="shared" si="20"/>
        <v>26</v>
      </c>
      <c r="E187" s="37" t="str">
        <f>TEXT(Data!B187,"MMM-YYYY")</f>
        <v>Jan-2025</v>
      </c>
      <c r="F187" s="37" t="str">
        <f t="shared" si="16"/>
        <v>Q1-2025</v>
      </c>
      <c r="G187" s="32" t="s">
        <v>78</v>
      </c>
      <c r="H187" s="32" t="s">
        <v>90</v>
      </c>
      <c r="I187" s="32" t="s">
        <v>217</v>
      </c>
      <c r="J187" s="32" t="s">
        <v>39</v>
      </c>
      <c r="K187" s="32" t="s">
        <v>1364</v>
      </c>
      <c r="L187" s="32" t="s">
        <v>63</v>
      </c>
      <c r="M187" s="32" t="s">
        <v>64</v>
      </c>
      <c r="N187" s="32" t="s">
        <v>476</v>
      </c>
      <c r="O187" s="37">
        <v>594.74</v>
      </c>
      <c r="P187" s="38" t="str">
        <f t="shared" si="17"/>
        <v>High</v>
      </c>
      <c r="Q187" s="37">
        <v>1020.69</v>
      </c>
      <c r="R187" s="37">
        <v>0.21099999999999999</v>
      </c>
      <c r="S187" s="37">
        <v>6</v>
      </c>
      <c r="T187" s="37">
        <f t="shared" si="14"/>
        <v>6319.9846800000005</v>
      </c>
      <c r="U187" s="32">
        <f t="shared" si="15"/>
        <v>3568.44</v>
      </c>
      <c r="V187" s="37">
        <f t="shared" si="18"/>
        <v>2751.5446800000004</v>
      </c>
      <c r="W187" s="39">
        <f t="shared" si="19"/>
        <v>0.43537204903477711</v>
      </c>
    </row>
    <row r="188" spans="1:23" x14ac:dyDescent="0.3">
      <c r="A188" s="40" t="s">
        <v>360</v>
      </c>
      <c r="B188" s="41">
        <v>44955</v>
      </c>
      <c r="C188" s="42">
        <v>44985</v>
      </c>
      <c r="D188" s="43">
        <f t="shared" si="20"/>
        <v>30</v>
      </c>
      <c r="E188" s="43" t="str">
        <f>TEXT(Data!B188,"MMM-YYYY")</f>
        <v>Jan-2023</v>
      </c>
      <c r="F188" s="43" t="str">
        <f t="shared" si="16"/>
        <v>Q1-2023</v>
      </c>
      <c r="G188" s="33" t="s">
        <v>45</v>
      </c>
      <c r="H188" s="33" t="s">
        <v>60</v>
      </c>
      <c r="I188" s="33" t="s">
        <v>61</v>
      </c>
      <c r="J188" s="33" t="s">
        <v>39</v>
      </c>
      <c r="K188" s="33" t="s">
        <v>20</v>
      </c>
      <c r="L188" s="33" t="s">
        <v>56</v>
      </c>
      <c r="M188" s="33" t="s">
        <v>81</v>
      </c>
      <c r="N188" s="33" t="s">
        <v>477</v>
      </c>
      <c r="O188" s="43">
        <v>1262.0999999999999</v>
      </c>
      <c r="P188" s="44" t="str">
        <f t="shared" si="17"/>
        <v>High</v>
      </c>
      <c r="Q188" s="43">
        <v>1395.53</v>
      </c>
      <c r="R188" s="43">
        <v>0.23300000000000001</v>
      </c>
      <c r="S188" s="43">
        <v>25</v>
      </c>
      <c r="T188" s="43">
        <f t="shared" si="14"/>
        <v>51608.553749999999</v>
      </c>
      <c r="U188" s="33">
        <f t="shared" si="15"/>
        <v>31552.499999999996</v>
      </c>
      <c r="V188" s="43">
        <f t="shared" si="18"/>
        <v>20056.053750000003</v>
      </c>
      <c r="W188" s="45">
        <f t="shared" si="19"/>
        <v>0.38861879073679723</v>
      </c>
    </row>
    <row r="189" spans="1:23" x14ac:dyDescent="0.3">
      <c r="A189" s="34" t="s">
        <v>478</v>
      </c>
      <c r="B189" s="35">
        <v>45126</v>
      </c>
      <c r="C189" s="36">
        <v>45138</v>
      </c>
      <c r="D189" s="37">
        <f t="shared" si="20"/>
        <v>12</v>
      </c>
      <c r="E189" s="37" t="str">
        <f>TEXT(Data!B189,"MMM-YYYY")</f>
        <v>Jul-2023</v>
      </c>
      <c r="F189" s="37" t="str">
        <f t="shared" si="16"/>
        <v>Q3-2023</v>
      </c>
      <c r="G189" s="32" t="s">
        <v>52</v>
      </c>
      <c r="H189" s="32" t="s">
        <v>73</v>
      </c>
      <c r="I189" s="32" t="s">
        <v>225</v>
      </c>
      <c r="J189" s="32" t="s">
        <v>19</v>
      </c>
      <c r="K189" s="32" t="s">
        <v>20</v>
      </c>
      <c r="L189" s="32" t="s">
        <v>21</v>
      </c>
      <c r="M189" s="32" t="s">
        <v>64</v>
      </c>
      <c r="N189" s="32" t="s">
        <v>479</v>
      </c>
      <c r="O189" s="37">
        <v>1334.64</v>
      </c>
      <c r="P189" s="38" t="str">
        <f t="shared" si="17"/>
        <v>High</v>
      </c>
      <c r="Q189" s="37">
        <v>2273.42</v>
      </c>
      <c r="R189" s="37">
        <v>0.11799999999999999</v>
      </c>
      <c r="S189" s="37">
        <v>14</v>
      </c>
      <c r="T189" s="37">
        <f t="shared" si="14"/>
        <v>9587.7280800000008</v>
      </c>
      <c r="U189" s="32">
        <f t="shared" si="15"/>
        <v>18684.960000000003</v>
      </c>
      <c r="V189" s="37">
        <f t="shared" si="18"/>
        <v>-9097.231920000002</v>
      </c>
      <c r="W189" s="39">
        <f t="shared" si="19"/>
        <v>-0.94884125249409468</v>
      </c>
    </row>
    <row r="190" spans="1:23" x14ac:dyDescent="0.3">
      <c r="A190" s="40" t="s">
        <v>480</v>
      </c>
      <c r="B190" s="41">
        <v>45431</v>
      </c>
      <c r="C190" s="42">
        <v>45451</v>
      </c>
      <c r="D190" s="43">
        <f t="shared" si="20"/>
        <v>20</v>
      </c>
      <c r="E190" s="43" t="str">
        <f>TEXT(Data!B190,"MMM-YYYY")</f>
        <v>May-2024</v>
      </c>
      <c r="F190" s="43" t="str">
        <f t="shared" si="16"/>
        <v>Q2-2024</v>
      </c>
      <c r="G190" s="33" t="s">
        <v>52</v>
      </c>
      <c r="H190" s="33" t="s">
        <v>73</v>
      </c>
      <c r="I190" s="33" t="s">
        <v>87</v>
      </c>
      <c r="J190" s="33" t="s">
        <v>62</v>
      </c>
      <c r="K190" s="33" t="s">
        <v>20</v>
      </c>
      <c r="L190" s="33" t="s">
        <v>63</v>
      </c>
      <c r="M190" s="33" t="s">
        <v>64</v>
      </c>
      <c r="N190" s="33" t="s">
        <v>481</v>
      </c>
      <c r="O190" s="43">
        <v>1075.9000000000001</v>
      </c>
      <c r="P190" s="44" t="str">
        <f t="shared" si="17"/>
        <v>High</v>
      </c>
      <c r="Q190" s="43">
        <v>1242.1500000000001</v>
      </c>
      <c r="R190" s="43">
        <v>1.2E-2</v>
      </c>
      <c r="S190" s="43">
        <v>7</v>
      </c>
      <c r="T190" s="43">
        <f t="shared" si="14"/>
        <v>2200.4637200000002</v>
      </c>
      <c r="U190" s="33">
        <f t="shared" si="15"/>
        <v>7531.3000000000011</v>
      </c>
      <c r="V190" s="43">
        <f t="shared" si="18"/>
        <v>-5330.8362800000014</v>
      </c>
      <c r="W190" s="45">
        <f t="shared" si="19"/>
        <v>-2.4225967606500691</v>
      </c>
    </row>
    <row r="191" spans="1:23" x14ac:dyDescent="0.3">
      <c r="A191" s="34" t="s">
        <v>482</v>
      </c>
      <c r="B191" s="35">
        <v>45325</v>
      </c>
      <c r="C191" s="36">
        <v>45341</v>
      </c>
      <c r="D191" s="37">
        <f t="shared" si="20"/>
        <v>16</v>
      </c>
      <c r="E191" s="37" t="str">
        <f>TEXT(Data!B191,"MMM-YYYY")</f>
        <v>Feb-2024</v>
      </c>
      <c r="F191" s="37" t="str">
        <f t="shared" si="16"/>
        <v>Q1-2024</v>
      </c>
      <c r="G191" s="32" t="s">
        <v>45</v>
      </c>
      <c r="H191" s="32" t="s">
        <v>116</v>
      </c>
      <c r="I191" s="32" t="s">
        <v>117</v>
      </c>
      <c r="J191" s="32" t="s">
        <v>62</v>
      </c>
      <c r="K191" s="32" t="s">
        <v>28</v>
      </c>
      <c r="L191" s="32" t="s">
        <v>92</v>
      </c>
      <c r="M191" s="32" t="s">
        <v>57</v>
      </c>
      <c r="N191" s="32" t="s">
        <v>483</v>
      </c>
      <c r="O191" s="37">
        <v>993.75</v>
      </c>
      <c r="P191" s="38" t="str">
        <f t="shared" si="17"/>
        <v>High</v>
      </c>
      <c r="Q191" s="37">
        <v>1310.29</v>
      </c>
      <c r="R191" s="37">
        <v>0.215</v>
      </c>
      <c r="S191" s="37">
        <v>19</v>
      </c>
      <c r="T191" s="37">
        <f t="shared" si="14"/>
        <v>18590.205150000002</v>
      </c>
      <c r="U191" s="32">
        <f t="shared" si="15"/>
        <v>18881.25</v>
      </c>
      <c r="V191" s="37">
        <f t="shared" si="18"/>
        <v>-291.04484999999841</v>
      </c>
      <c r="W191" s="39">
        <f t="shared" si="19"/>
        <v>-1.5655817009636301E-2</v>
      </c>
    </row>
    <row r="192" spans="1:23" x14ac:dyDescent="0.3">
      <c r="A192" s="40" t="s">
        <v>484</v>
      </c>
      <c r="B192" s="41">
        <v>45146</v>
      </c>
      <c r="C192" s="42">
        <v>45160</v>
      </c>
      <c r="D192" s="43">
        <f t="shared" si="20"/>
        <v>14</v>
      </c>
      <c r="E192" s="43" t="str">
        <f>TEXT(Data!B192,"MMM-YYYY")</f>
        <v>Aug-2023</v>
      </c>
      <c r="F192" s="43" t="str">
        <f t="shared" si="16"/>
        <v>Q3-2023</v>
      </c>
      <c r="G192" s="33" t="s">
        <v>78</v>
      </c>
      <c r="H192" s="33" t="s">
        <v>108</v>
      </c>
      <c r="I192" s="33" t="s">
        <v>109</v>
      </c>
      <c r="J192" s="33" t="s">
        <v>39</v>
      </c>
      <c r="K192" s="33" t="s">
        <v>98</v>
      </c>
      <c r="L192" s="33" t="s">
        <v>126</v>
      </c>
      <c r="M192" s="33" t="s">
        <v>64</v>
      </c>
      <c r="N192" s="33" t="s">
        <v>485</v>
      </c>
      <c r="O192" s="43">
        <v>446.69</v>
      </c>
      <c r="P192" s="44" t="str">
        <f t="shared" si="17"/>
        <v>High</v>
      </c>
      <c r="Q192" s="43">
        <v>967.25</v>
      </c>
      <c r="R192" s="43">
        <v>9.4E-2</v>
      </c>
      <c r="S192" s="43">
        <v>10</v>
      </c>
      <c r="T192" s="43">
        <f t="shared" si="14"/>
        <v>3143.4576000000002</v>
      </c>
      <c r="U192" s="33">
        <f t="shared" si="15"/>
        <v>4466.8999999999996</v>
      </c>
      <c r="V192" s="43">
        <f t="shared" si="18"/>
        <v>-1323.4423999999995</v>
      </c>
      <c r="W192" s="45">
        <f t="shared" si="19"/>
        <v>-0.42101487228585471</v>
      </c>
    </row>
    <row r="193" spans="1:23" x14ac:dyDescent="0.3">
      <c r="A193" s="34" t="s">
        <v>486</v>
      </c>
      <c r="B193" s="35">
        <v>45516</v>
      </c>
      <c r="C193" s="36">
        <v>45538</v>
      </c>
      <c r="D193" s="37">
        <f t="shared" si="20"/>
        <v>22</v>
      </c>
      <c r="E193" s="37" t="str">
        <f>TEXT(Data!B193,"MMM-YYYY")</f>
        <v>Aug-2024</v>
      </c>
      <c r="F193" s="37" t="str">
        <f t="shared" si="16"/>
        <v>Q3-2024</v>
      </c>
      <c r="G193" s="32" t="s">
        <v>52</v>
      </c>
      <c r="H193" s="32" t="s">
        <v>122</v>
      </c>
      <c r="I193" s="32" t="s">
        <v>326</v>
      </c>
      <c r="J193" s="32" t="s">
        <v>48</v>
      </c>
      <c r="K193" s="32" t="s">
        <v>55</v>
      </c>
      <c r="L193" s="32" t="s">
        <v>34</v>
      </c>
      <c r="M193" s="32" t="s">
        <v>57</v>
      </c>
      <c r="N193" s="32" t="s">
        <v>487</v>
      </c>
      <c r="O193" s="37">
        <v>797.8</v>
      </c>
      <c r="P193" s="38" t="str">
        <f t="shared" si="17"/>
        <v>High</v>
      </c>
      <c r="Q193" s="37">
        <v>886.22</v>
      </c>
      <c r="R193" s="37">
        <v>0.23599999999999999</v>
      </c>
      <c r="S193" s="37">
        <v>36</v>
      </c>
      <c r="T193" s="37">
        <f t="shared" ref="T193:T256" si="21">(Q219*S193)*(1-R193)</f>
        <v>13882.919040000001</v>
      </c>
      <c r="U193" s="32">
        <f t="shared" ref="U193:U256" si="22">(O193*S193)</f>
        <v>28720.799999999999</v>
      </c>
      <c r="V193" s="37">
        <f t="shared" si="18"/>
        <v>-14837.880959999999</v>
      </c>
      <c r="W193" s="39">
        <f t="shared" si="19"/>
        <v>-1.06878682482038</v>
      </c>
    </row>
    <row r="194" spans="1:23" x14ac:dyDescent="0.3">
      <c r="A194" s="40" t="s">
        <v>488</v>
      </c>
      <c r="B194" s="41">
        <v>45214</v>
      </c>
      <c r="C194" s="42">
        <v>45243</v>
      </c>
      <c r="D194" s="43">
        <f t="shared" si="20"/>
        <v>29</v>
      </c>
      <c r="E194" s="43" t="str">
        <f>TEXT(Data!B194,"MMM-YYYY")</f>
        <v>Oct-2023</v>
      </c>
      <c r="F194" s="43" t="str">
        <f t="shared" ref="F194:F257" si="23">"Q"&amp;ROUNDUP(MONTH(B194)/3,0)&amp;"-"&amp;YEAR(B194)</f>
        <v>Q4-2023</v>
      </c>
      <c r="G194" s="33" t="s">
        <v>45</v>
      </c>
      <c r="H194" s="33" t="s">
        <v>116</v>
      </c>
      <c r="I194" s="33" t="s">
        <v>117</v>
      </c>
      <c r="J194" s="33" t="s">
        <v>39</v>
      </c>
      <c r="K194" s="33" t="s">
        <v>55</v>
      </c>
      <c r="L194" s="33" t="s">
        <v>29</v>
      </c>
      <c r="M194" s="33" t="s">
        <v>30</v>
      </c>
      <c r="N194" s="33" t="s">
        <v>489</v>
      </c>
      <c r="O194" s="43">
        <v>986.44</v>
      </c>
      <c r="P194" s="44" t="str">
        <f t="shared" ref="P194:P257" si="24">IF(Q194&lt;50, "Low", IF(Q194&lt;200, "Medium", "High"))</f>
        <v>High</v>
      </c>
      <c r="Q194" s="43">
        <v>790.61</v>
      </c>
      <c r="R194" s="43">
        <v>7.1999999999999995E-2</v>
      </c>
      <c r="S194" s="43">
        <v>6</v>
      </c>
      <c r="T194" s="43">
        <f t="shared" si="21"/>
        <v>5219.7772800000002</v>
      </c>
      <c r="U194" s="33">
        <f t="shared" si="22"/>
        <v>5918.64</v>
      </c>
      <c r="V194" s="43">
        <f t="shared" ref="V194:V257" si="25">(T194-U194)</f>
        <v>-698.86272000000008</v>
      </c>
      <c r="W194" s="45">
        <f t="shared" ref="W194:W257" si="26">IF(T194=0, 0, V194/T194)</f>
        <v>-0.13388745965804888</v>
      </c>
    </row>
    <row r="195" spans="1:23" x14ac:dyDescent="0.3">
      <c r="A195" s="34" t="s">
        <v>490</v>
      </c>
      <c r="B195" s="35">
        <v>45050</v>
      </c>
      <c r="C195" s="36">
        <v>45072</v>
      </c>
      <c r="D195" s="37">
        <f t="shared" ref="D195:D258" si="27">DATEDIF(B195,C195, "MD")</f>
        <v>22</v>
      </c>
      <c r="E195" s="37" t="str">
        <f>TEXT(Data!B195,"MMM-YYYY")</f>
        <v>May-2023</v>
      </c>
      <c r="F195" s="37" t="str">
        <f t="shared" si="23"/>
        <v>Q2-2023</v>
      </c>
      <c r="G195" s="32" t="s">
        <v>52</v>
      </c>
      <c r="H195" s="32" t="s">
        <v>122</v>
      </c>
      <c r="I195" s="32" t="s">
        <v>167</v>
      </c>
      <c r="J195" s="32" t="s">
        <v>105</v>
      </c>
      <c r="K195" s="32" t="s">
        <v>28</v>
      </c>
      <c r="L195" s="32" t="s">
        <v>29</v>
      </c>
      <c r="M195" s="32" t="s">
        <v>35</v>
      </c>
      <c r="N195" s="32" t="s">
        <v>491</v>
      </c>
      <c r="O195" s="37">
        <v>249.71</v>
      </c>
      <c r="P195" s="38" t="str">
        <f t="shared" si="24"/>
        <v>High</v>
      </c>
      <c r="Q195" s="37">
        <v>361.33</v>
      </c>
      <c r="R195" s="37">
        <v>9.4E-2</v>
      </c>
      <c r="S195" s="37">
        <v>12</v>
      </c>
      <c r="T195" s="37">
        <f t="shared" si="21"/>
        <v>14139.90576</v>
      </c>
      <c r="U195" s="32">
        <f t="shared" si="22"/>
        <v>2996.52</v>
      </c>
      <c r="V195" s="37">
        <f t="shared" si="25"/>
        <v>11143.385759999999</v>
      </c>
      <c r="W195" s="39">
        <f t="shared" si="26"/>
        <v>0.7880806243789279</v>
      </c>
    </row>
    <row r="196" spans="1:23" x14ac:dyDescent="0.3">
      <c r="A196" s="40" t="s">
        <v>492</v>
      </c>
      <c r="B196" s="41">
        <v>45557</v>
      </c>
      <c r="C196" s="42">
        <v>45566</v>
      </c>
      <c r="D196" s="43">
        <f t="shared" si="27"/>
        <v>9</v>
      </c>
      <c r="E196" s="43" t="str">
        <f>TEXT(Data!B196,"MMM-YYYY")</f>
        <v>Sep-2024</v>
      </c>
      <c r="F196" s="43" t="str">
        <f t="shared" si="23"/>
        <v>Q3-2024</v>
      </c>
      <c r="G196" s="33" t="s">
        <v>52</v>
      </c>
      <c r="H196" s="33" t="s">
        <v>73</v>
      </c>
      <c r="I196" s="33" t="s">
        <v>74</v>
      </c>
      <c r="J196" s="33" t="s">
        <v>39</v>
      </c>
      <c r="K196" s="33" t="s">
        <v>28</v>
      </c>
      <c r="L196" s="33" t="s">
        <v>95</v>
      </c>
      <c r="M196" s="33" t="s">
        <v>64</v>
      </c>
      <c r="N196" s="33" t="s">
        <v>493</v>
      </c>
      <c r="O196" s="43">
        <v>1378.8</v>
      </c>
      <c r="P196" s="44" t="str">
        <f t="shared" si="24"/>
        <v>High</v>
      </c>
      <c r="Q196" s="43">
        <v>1952.04</v>
      </c>
      <c r="R196" s="43">
        <v>0.159</v>
      </c>
      <c r="S196" s="43">
        <v>19</v>
      </c>
      <c r="T196" s="43">
        <f t="shared" si="21"/>
        <v>3645.6088500000001</v>
      </c>
      <c r="U196" s="33">
        <f t="shared" si="22"/>
        <v>26197.200000000001</v>
      </c>
      <c r="V196" s="43">
        <f t="shared" si="25"/>
        <v>-22551.59115</v>
      </c>
      <c r="W196" s="45">
        <f t="shared" si="26"/>
        <v>-6.1859601723317077</v>
      </c>
    </row>
    <row r="197" spans="1:23" x14ac:dyDescent="0.3">
      <c r="A197" s="34" t="s">
        <v>494</v>
      </c>
      <c r="B197" s="35">
        <v>45588</v>
      </c>
      <c r="C197" s="36">
        <v>45610</v>
      </c>
      <c r="D197" s="37">
        <f t="shared" si="27"/>
        <v>22</v>
      </c>
      <c r="E197" s="37" t="str">
        <f>TEXT(Data!B197,"MMM-YYYY")</f>
        <v>Oct-2024</v>
      </c>
      <c r="F197" s="37" t="str">
        <f t="shared" si="23"/>
        <v>Q4-2024</v>
      </c>
      <c r="G197" s="32" t="s">
        <v>45</v>
      </c>
      <c r="H197" s="32" t="s">
        <v>46</v>
      </c>
      <c r="I197" s="32" t="s">
        <v>47</v>
      </c>
      <c r="J197" s="32" t="s">
        <v>39</v>
      </c>
      <c r="K197" s="32" t="s">
        <v>98</v>
      </c>
      <c r="L197" s="32" t="s">
        <v>56</v>
      </c>
      <c r="M197" s="32" t="s">
        <v>42</v>
      </c>
      <c r="N197" s="32" t="s">
        <v>495</v>
      </c>
      <c r="O197" s="37">
        <v>1406.4</v>
      </c>
      <c r="P197" s="38" t="str">
        <f t="shared" si="24"/>
        <v>High</v>
      </c>
      <c r="Q197" s="37">
        <v>1564.76</v>
      </c>
      <c r="R197" s="37">
        <v>0.185</v>
      </c>
      <c r="S197" s="37">
        <v>17</v>
      </c>
      <c r="T197" s="37">
        <f t="shared" si="21"/>
        <v>6879.2846</v>
      </c>
      <c r="U197" s="32">
        <f t="shared" si="22"/>
        <v>23908.800000000003</v>
      </c>
      <c r="V197" s="37">
        <f t="shared" si="25"/>
        <v>-17029.515400000004</v>
      </c>
      <c r="W197" s="39">
        <f t="shared" si="26"/>
        <v>-2.4754776681284567</v>
      </c>
    </row>
    <row r="198" spans="1:23" x14ac:dyDescent="0.3">
      <c r="A198" s="40" t="s">
        <v>496</v>
      </c>
      <c r="B198" s="41">
        <v>45333</v>
      </c>
      <c r="C198" s="42">
        <v>45354</v>
      </c>
      <c r="D198" s="43">
        <f t="shared" si="27"/>
        <v>21</v>
      </c>
      <c r="E198" s="43" t="str">
        <f>TEXT(Data!B198,"MMM-YYYY")</f>
        <v>Feb-2024</v>
      </c>
      <c r="F198" s="43" t="str">
        <f t="shared" si="23"/>
        <v>Q1-2024</v>
      </c>
      <c r="G198" s="33" t="s">
        <v>16</v>
      </c>
      <c r="H198" s="33" t="s">
        <v>17</v>
      </c>
      <c r="I198" s="33" t="s">
        <v>18</v>
      </c>
      <c r="J198" s="33" t="s">
        <v>105</v>
      </c>
      <c r="K198" s="33" t="s">
        <v>28</v>
      </c>
      <c r="L198" s="33" t="s">
        <v>56</v>
      </c>
      <c r="M198" s="33" t="s">
        <v>42</v>
      </c>
      <c r="N198" s="33" t="s">
        <v>497</v>
      </c>
      <c r="O198" s="43">
        <v>516.86</v>
      </c>
      <c r="P198" s="44" t="str">
        <f t="shared" si="24"/>
        <v>High</v>
      </c>
      <c r="Q198" s="43">
        <v>852.54</v>
      </c>
      <c r="R198" s="43">
        <v>5.0999999999999997E-2</v>
      </c>
      <c r="S198" s="43">
        <v>14</v>
      </c>
      <c r="T198" s="43">
        <f t="shared" si="21"/>
        <v>39076.783199999991</v>
      </c>
      <c r="U198" s="33">
        <f t="shared" si="22"/>
        <v>7236.04</v>
      </c>
      <c r="V198" s="43">
        <f t="shared" si="25"/>
        <v>31840.74319999999</v>
      </c>
      <c r="W198" s="45">
        <f t="shared" si="26"/>
        <v>0.81482508519278518</v>
      </c>
    </row>
    <row r="199" spans="1:23" x14ac:dyDescent="0.3">
      <c r="A199" s="34" t="s">
        <v>498</v>
      </c>
      <c r="B199" s="35">
        <v>44956</v>
      </c>
      <c r="C199" s="36">
        <v>44978</v>
      </c>
      <c r="D199" s="37">
        <f t="shared" si="27"/>
        <v>22</v>
      </c>
      <c r="E199" s="37" t="str">
        <f>TEXT(Data!B199,"MMM-YYYY")</f>
        <v>Jan-2023</v>
      </c>
      <c r="F199" s="37" t="str">
        <f t="shared" si="23"/>
        <v>Q1-2023</v>
      </c>
      <c r="G199" s="32" t="s">
        <v>78</v>
      </c>
      <c r="H199" s="32" t="s">
        <v>79</v>
      </c>
      <c r="I199" s="32" t="s">
        <v>159</v>
      </c>
      <c r="J199" s="32" t="s">
        <v>62</v>
      </c>
      <c r="K199" s="32" t="s">
        <v>40</v>
      </c>
      <c r="L199" s="32" t="s">
        <v>41</v>
      </c>
      <c r="M199" s="32" t="s">
        <v>35</v>
      </c>
      <c r="N199" s="32" t="s">
        <v>499</v>
      </c>
      <c r="O199" s="37">
        <v>1142.8800000000001</v>
      </c>
      <c r="P199" s="38" t="str">
        <f t="shared" si="24"/>
        <v>High</v>
      </c>
      <c r="Q199" s="37">
        <v>1465.29</v>
      </c>
      <c r="R199" s="37">
        <v>0.186</v>
      </c>
      <c r="S199" s="37">
        <v>7</v>
      </c>
      <c r="T199" s="37">
        <f t="shared" si="21"/>
        <v>6200.5636000000013</v>
      </c>
      <c r="U199" s="32">
        <f t="shared" si="22"/>
        <v>8000.1600000000008</v>
      </c>
      <c r="V199" s="37">
        <f t="shared" si="25"/>
        <v>-1799.5963999999994</v>
      </c>
      <c r="W199" s="39">
        <f t="shared" si="26"/>
        <v>-0.29023110092766391</v>
      </c>
    </row>
    <row r="200" spans="1:23" x14ac:dyDescent="0.3">
      <c r="A200" s="40" t="s">
        <v>500</v>
      </c>
      <c r="B200" s="41">
        <v>45030</v>
      </c>
      <c r="C200" s="42">
        <v>45059</v>
      </c>
      <c r="D200" s="43">
        <f t="shared" si="27"/>
        <v>29</v>
      </c>
      <c r="E200" s="43" t="str">
        <f>TEXT(Data!B200,"MMM-YYYY")</f>
        <v>Apr-2023</v>
      </c>
      <c r="F200" s="43" t="str">
        <f t="shared" si="23"/>
        <v>Q2-2023</v>
      </c>
      <c r="G200" s="33" t="s">
        <v>78</v>
      </c>
      <c r="H200" s="33" t="s">
        <v>79</v>
      </c>
      <c r="I200" s="33" t="s">
        <v>335</v>
      </c>
      <c r="J200" s="33" t="s">
        <v>48</v>
      </c>
      <c r="K200" s="33" t="s">
        <v>98</v>
      </c>
      <c r="L200" s="33" t="s">
        <v>29</v>
      </c>
      <c r="M200" s="33" t="s">
        <v>30</v>
      </c>
      <c r="N200" s="33" t="s">
        <v>501</v>
      </c>
      <c r="O200" s="43">
        <v>1320.33</v>
      </c>
      <c r="P200" s="44" t="str">
        <f t="shared" si="24"/>
        <v>High</v>
      </c>
      <c r="Q200" s="43">
        <v>2645.23</v>
      </c>
      <c r="R200" s="43">
        <v>0.155</v>
      </c>
      <c r="S200" s="43">
        <v>25</v>
      </c>
      <c r="T200" s="43">
        <f t="shared" si="21"/>
        <v>53428.293749999997</v>
      </c>
      <c r="U200" s="33">
        <f t="shared" si="22"/>
        <v>33008.25</v>
      </c>
      <c r="V200" s="43">
        <f t="shared" si="25"/>
        <v>20420.043749999997</v>
      </c>
      <c r="W200" s="45">
        <f t="shared" si="26"/>
        <v>0.38219531856189959</v>
      </c>
    </row>
    <row r="201" spans="1:23" x14ac:dyDescent="0.3">
      <c r="A201" s="34" t="s">
        <v>502</v>
      </c>
      <c r="B201" s="35">
        <v>44939</v>
      </c>
      <c r="C201" s="36">
        <v>44945</v>
      </c>
      <c r="D201" s="37">
        <f t="shared" si="27"/>
        <v>6</v>
      </c>
      <c r="E201" s="37" t="str">
        <f>TEXT(Data!B201,"MMM-YYYY")</f>
        <v>Jan-2023</v>
      </c>
      <c r="F201" s="37" t="str">
        <f t="shared" si="23"/>
        <v>Q1-2023</v>
      </c>
      <c r="G201" s="32" t="s">
        <v>52</v>
      </c>
      <c r="H201" s="32" t="s">
        <v>122</v>
      </c>
      <c r="I201" s="32" t="s">
        <v>123</v>
      </c>
      <c r="J201" s="32" t="s">
        <v>19</v>
      </c>
      <c r="K201" s="32" t="s">
        <v>98</v>
      </c>
      <c r="L201" s="32" t="s">
        <v>92</v>
      </c>
      <c r="M201" s="32" t="s">
        <v>42</v>
      </c>
      <c r="N201" s="32" t="s">
        <v>503</v>
      </c>
      <c r="O201" s="37">
        <v>833.57</v>
      </c>
      <c r="P201" s="38" t="str">
        <f t="shared" si="24"/>
        <v>High</v>
      </c>
      <c r="Q201" s="37">
        <v>881.57</v>
      </c>
      <c r="R201" s="37">
        <v>5.7000000000000002E-2</v>
      </c>
      <c r="S201" s="37">
        <v>18</v>
      </c>
      <c r="T201" s="37">
        <f t="shared" si="21"/>
        <v>45796.021740000004</v>
      </c>
      <c r="U201" s="32">
        <f t="shared" si="22"/>
        <v>15004.26</v>
      </c>
      <c r="V201" s="37">
        <f t="shared" si="25"/>
        <v>30791.761740000002</v>
      </c>
      <c r="W201" s="39">
        <f t="shared" si="26"/>
        <v>0.67236761120464961</v>
      </c>
    </row>
    <row r="202" spans="1:23" x14ac:dyDescent="0.3">
      <c r="A202" s="40" t="s">
        <v>504</v>
      </c>
      <c r="B202" s="41">
        <v>45303</v>
      </c>
      <c r="C202" s="42">
        <v>45320</v>
      </c>
      <c r="D202" s="43">
        <f t="shared" si="27"/>
        <v>17</v>
      </c>
      <c r="E202" s="43" t="str">
        <f>TEXT(Data!B202,"MMM-YYYY")</f>
        <v>Jan-2024</v>
      </c>
      <c r="F202" s="43" t="str">
        <f t="shared" si="23"/>
        <v>Q1-2024</v>
      </c>
      <c r="G202" s="33" t="s">
        <v>52</v>
      </c>
      <c r="H202" s="33" t="s">
        <v>122</v>
      </c>
      <c r="I202" s="33" t="s">
        <v>123</v>
      </c>
      <c r="J202" s="33" t="s">
        <v>27</v>
      </c>
      <c r="K202" s="33" t="s">
        <v>55</v>
      </c>
      <c r="L202" s="33" t="s">
        <v>75</v>
      </c>
      <c r="M202" s="33" t="s">
        <v>30</v>
      </c>
      <c r="N202" s="33" t="s">
        <v>505</v>
      </c>
      <c r="O202" s="43">
        <v>493.76</v>
      </c>
      <c r="P202" s="44" t="str">
        <f t="shared" si="24"/>
        <v>High</v>
      </c>
      <c r="Q202" s="43">
        <v>625.04</v>
      </c>
      <c r="R202" s="43">
        <v>0.25800000000000001</v>
      </c>
      <c r="S202" s="43">
        <v>10</v>
      </c>
      <c r="T202" s="43">
        <f t="shared" si="21"/>
        <v>11002.004999999999</v>
      </c>
      <c r="U202" s="33">
        <f t="shared" si="22"/>
        <v>4937.6000000000004</v>
      </c>
      <c r="V202" s="43">
        <f t="shared" si="25"/>
        <v>6064.4049999999988</v>
      </c>
      <c r="W202" s="45">
        <f t="shared" si="26"/>
        <v>0.55120907507313432</v>
      </c>
    </row>
    <row r="203" spans="1:23" x14ac:dyDescent="0.3">
      <c r="A203" s="34" t="s">
        <v>506</v>
      </c>
      <c r="B203" s="35">
        <v>45153</v>
      </c>
      <c r="C203" s="36">
        <v>45176</v>
      </c>
      <c r="D203" s="37">
        <f t="shared" si="27"/>
        <v>23</v>
      </c>
      <c r="E203" s="37" t="str">
        <f>TEXT(Data!B203,"MMM-YYYY")</f>
        <v>Aug-2023</v>
      </c>
      <c r="F203" s="37" t="str">
        <f t="shared" si="23"/>
        <v>Q3-2023</v>
      </c>
      <c r="G203" s="32" t="s">
        <v>52</v>
      </c>
      <c r="H203" s="32" t="s">
        <v>122</v>
      </c>
      <c r="I203" s="32" t="s">
        <v>387</v>
      </c>
      <c r="J203" s="32" t="s">
        <v>105</v>
      </c>
      <c r="K203" s="32" t="s">
        <v>28</v>
      </c>
      <c r="L203" s="32" t="s">
        <v>95</v>
      </c>
      <c r="M203" s="32" t="s">
        <v>42</v>
      </c>
      <c r="N203" s="32" t="s">
        <v>507</v>
      </c>
      <c r="O203" s="37">
        <v>590.33000000000004</v>
      </c>
      <c r="P203" s="38" t="str">
        <f t="shared" si="24"/>
        <v>High</v>
      </c>
      <c r="Q203" s="37">
        <v>973.04</v>
      </c>
      <c r="R203" s="37">
        <v>0</v>
      </c>
      <c r="S203" s="37">
        <v>26</v>
      </c>
      <c r="T203" s="37">
        <f t="shared" si="21"/>
        <v>37877.06</v>
      </c>
      <c r="U203" s="32">
        <f t="shared" si="22"/>
        <v>15348.580000000002</v>
      </c>
      <c r="V203" s="37">
        <f t="shared" si="25"/>
        <v>22528.479999999996</v>
      </c>
      <c r="W203" s="39">
        <f t="shared" si="26"/>
        <v>0.59477900343902079</v>
      </c>
    </row>
    <row r="204" spans="1:23" x14ac:dyDescent="0.3">
      <c r="A204" s="40" t="s">
        <v>508</v>
      </c>
      <c r="B204" s="41">
        <v>44946</v>
      </c>
      <c r="C204" s="42">
        <v>44960</v>
      </c>
      <c r="D204" s="43">
        <f t="shared" si="27"/>
        <v>14</v>
      </c>
      <c r="E204" s="43" t="str">
        <f>TEXT(Data!B204,"MMM-YYYY")</f>
        <v>Jan-2023</v>
      </c>
      <c r="F204" s="43" t="str">
        <f t="shared" si="23"/>
        <v>Q1-2023</v>
      </c>
      <c r="G204" s="33" t="s">
        <v>16</v>
      </c>
      <c r="H204" s="33" t="s">
        <v>17</v>
      </c>
      <c r="I204" s="33" t="s">
        <v>18</v>
      </c>
      <c r="J204" s="33" t="s">
        <v>19</v>
      </c>
      <c r="K204" s="33" t="s">
        <v>20</v>
      </c>
      <c r="L204" s="33" t="s">
        <v>110</v>
      </c>
      <c r="M204" s="33" t="s">
        <v>35</v>
      </c>
      <c r="N204" s="33" t="s">
        <v>509</v>
      </c>
      <c r="O204" s="43">
        <v>884.36</v>
      </c>
      <c r="P204" s="44" t="str">
        <f t="shared" si="24"/>
        <v>High</v>
      </c>
      <c r="Q204" s="43">
        <v>1545.34</v>
      </c>
      <c r="R204" s="43">
        <v>0.24299999999999999</v>
      </c>
      <c r="S204" s="43">
        <v>41</v>
      </c>
      <c r="T204" s="43">
        <f t="shared" si="21"/>
        <v>28497.86303</v>
      </c>
      <c r="U204" s="33">
        <f t="shared" si="22"/>
        <v>36258.76</v>
      </c>
      <c r="V204" s="43">
        <f t="shared" si="25"/>
        <v>-7760.8969700000016</v>
      </c>
      <c r="W204" s="45">
        <f t="shared" si="26"/>
        <v>-0.27233259426610423</v>
      </c>
    </row>
    <row r="205" spans="1:23" x14ac:dyDescent="0.3">
      <c r="A205" s="34" t="s">
        <v>510</v>
      </c>
      <c r="B205" s="35">
        <v>45692</v>
      </c>
      <c r="C205" s="36">
        <v>45713</v>
      </c>
      <c r="D205" s="37">
        <f t="shared" si="27"/>
        <v>21</v>
      </c>
      <c r="E205" s="37" t="str">
        <f>TEXT(Data!B205,"MMM-YYYY")</f>
        <v>Feb-2025</v>
      </c>
      <c r="F205" s="37" t="str">
        <f t="shared" si="23"/>
        <v>Q1-2025</v>
      </c>
      <c r="G205" s="32" t="s">
        <v>78</v>
      </c>
      <c r="H205" s="32" t="s">
        <v>108</v>
      </c>
      <c r="I205" s="32" t="s">
        <v>109</v>
      </c>
      <c r="J205" s="32" t="s">
        <v>19</v>
      </c>
      <c r="K205" s="32" t="s">
        <v>40</v>
      </c>
      <c r="L205" s="32" t="s">
        <v>145</v>
      </c>
      <c r="M205" s="32" t="s">
        <v>64</v>
      </c>
      <c r="N205" s="32" t="s">
        <v>511</v>
      </c>
      <c r="O205" s="37">
        <v>1016.32</v>
      </c>
      <c r="P205" s="38" t="str">
        <f t="shared" si="24"/>
        <v>High</v>
      </c>
      <c r="Q205" s="37">
        <v>2253.42</v>
      </c>
      <c r="R205" s="37">
        <v>5.5E-2</v>
      </c>
      <c r="S205" s="37">
        <v>12</v>
      </c>
      <c r="T205" s="37">
        <f t="shared" si="21"/>
        <v>554.97959999999989</v>
      </c>
      <c r="U205" s="32">
        <f t="shared" si="22"/>
        <v>12195.84</v>
      </c>
      <c r="V205" s="37">
        <f t="shared" si="25"/>
        <v>-11640.8604</v>
      </c>
      <c r="W205" s="39">
        <f t="shared" si="26"/>
        <v>-20.97529422703105</v>
      </c>
    </row>
    <row r="206" spans="1:23" x14ac:dyDescent="0.3">
      <c r="A206" s="40" t="s">
        <v>512</v>
      </c>
      <c r="B206" s="41">
        <v>45035</v>
      </c>
      <c r="C206" s="42">
        <v>45044</v>
      </c>
      <c r="D206" s="43">
        <f t="shared" si="27"/>
        <v>9</v>
      </c>
      <c r="E206" s="43" t="str">
        <f>TEXT(Data!B206,"MMM-YYYY")</f>
        <v>Apr-2023</v>
      </c>
      <c r="F206" s="43" t="str">
        <f t="shared" si="23"/>
        <v>Q2-2023</v>
      </c>
      <c r="G206" s="33" t="s">
        <v>78</v>
      </c>
      <c r="H206" s="33" t="s">
        <v>79</v>
      </c>
      <c r="I206" s="33" t="s">
        <v>80</v>
      </c>
      <c r="J206" s="33" t="s">
        <v>27</v>
      </c>
      <c r="K206" s="33" t="s">
        <v>28</v>
      </c>
      <c r="L206" s="33" t="s">
        <v>63</v>
      </c>
      <c r="M206" s="33" t="s">
        <v>64</v>
      </c>
      <c r="N206" s="33" t="s">
        <v>513</v>
      </c>
      <c r="O206" s="43">
        <v>1178.42</v>
      </c>
      <c r="P206" s="44" t="str">
        <f t="shared" si="24"/>
        <v>High</v>
      </c>
      <c r="Q206" s="43">
        <v>2446.56</v>
      </c>
      <c r="R206" s="43">
        <v>2.9000000000000001E-2</v>
      </c>
      <c r="S206" s="43">
        <v>11</v>
      </c>
      <c r="T206" s="43">
        <f t="shared" si="21"/>
        <v>9957.7894899999992</v>
      </c>
      <c r="U206" s="33">
        <f t="shared" si="22"/>
        <v>12962.62</v>
      </c>
      <c r="V206" s="43">
        <f t="shared" si="25"/>
        <v>-3004.8305100000016</v>
      </c>
      <c r="W206" s="45">
        <f t="shared" si="26"/>
        <v>-0.30175678176542792</v>
      </c>
    </row>
    <row r="207" spans="1:23" x14ac:dyDescent="0.3">
      <c r="A207" s="34" t="s">
        <v>514</v>
      </c>
      <c r="B207" s="35">
        <v>45109</v>
      </c>
      <c r="C207" s="36">
        <v>45139</v>
      </c>
      <c r="D207" s="37">
        <f t="shared" si="27"/>
        <v>30</v>
      </c>
      <c r="E207" s="37" t="str">
        <f>TEXT(Data!B207,"MMM-YYYY")</f>
        <v>Jul-2023</v>
      </c>
      <c r="F207" s="37" t="str">
        <f t="shared" si="23"/>
        <v>Q3-2023</v>
      </c>
      <c r="G207" s="32" t="s">
        <v>78</v>
      </c>
      <c r="H207" s="32" t="s">
        <v>108</v>
      </c>
      <c r="I207" s="32" t="s">
        <v>109</v>
      </c>
      <c r="J207" s="32" t="s">
        <v>62</v>
      </c>
      <c r="K207" s="32" t="s">
        <v>20</v>
      </c>
      <c r="L207" s="32" t="s">
        <v>56</v>
      </c>
      <c r="M207" s="32" t="s">
        <v>22</v>
      </c>
      <c r="N207" s="32" t="s">
        <v>515</v>
      </c>
      <c r="O207" s="37">
        <v>137.46</v>
      </c>
      <c r="P207" s="38" t="str">
        <f t="shared" si="24"/>
        <v>Medium</v>
      </c>
      <c r="Q207" s="37">
        <v>188.3</v>
      </c>
      <c r="R207" s="37">
        <v>3.7999999999999999E-2</v>
      </c>
      <c r="S207" s="37">
        <v>37</v>
      </c>
      <c r="T207" s="37">
        <f t="shared" si="21"/>
        <v>11596.169260000001</v>
      </c>
      <c r="U207" s="32">
        <f t="shared" si="22"/>
        <v>5086.0200000000004</v>
      </c>
      <c r="V207" s="37">
        <f t="shared" si="25"/>
        <v>6510.1492600000001</v>
      </c>
      <c r="W207" s="39">
        <f t="shared" si="26"/>
        <v>0.56140516010370822</v>
      </c>
    </row>
    <row r="208" spans="1:23" x14ac:dyDescent="0.3">
      <c r="A208" s="40" t="s">
        <v>516</v>
      </c>
      <c r="B208" s="41">
        <v>45678</v>
      </c>
      <c r="C208" s="42">
        <v>45702</v>
      </c>
      <c r="D208" s="43">
        <f t="shared" si="27"/>
        <v>24</v>
      </c>
      <c r="E208" s="43" t="str">
        <f>TEXT(Data!B208,"MMM-YYYY")</f>
        <v>Jan-2025</v>
      </c>
      <c r="F208" s="43" t="str">
        <f t="shared" si="23"/>
        <v>Q1-2025</v>
      </c>
      <c r="G208" s="33" t="s">
        <v>16</v>
      </c>
      <c r="H208" s="33" t="s">
        <v>17</v>
      </c>
      <c r="I208" s="33" t="s">
        <v>33</v>
      </c>
      <c r="J208" s="33" t="s">
        <v>62</v>
      </c>
      <c r="K208" s="33" t="s">
        <v>20</v>
      </c>
      <c r="L208" s="33" t="s">
        <v>29</v>
      </c>
      <c r="M208" s="33" t="s">
        <v>81</v>
      </c>
      <c r="N208" s="33" t="s">
        <v>517</v>
      </c>
      <c r="O208" s="43">
        <v>1030.44</v>
      </c>
      <c r="P208" s="44" t="str">
        <f t="shared" si="24"/>
        <v>High</v>
      </c>
      <c r="Q208" s="43">
        <v>2562.84</v>
      </c>
      <c r="R208" s="43">
        <v>0.14799999999999999</v>
      </c>
      <c r="S208" s="43">
        <v>13</v>
      </c>
      <c r="T208" s="43">
        <f t="shared" si="21"/>
        <v>4496.5237200000001</v>
      </c>
      <c r="U208" s="33">
        <f t="shared" si="22"/>
        <v>13395.720000000001</v>
      </c>
      <c r="V208" s="43">
        <f t="shared" si="25"/>
        <v>-8899.1962800000001</v>
      </c>
      <c r="W208" s="45">
        <f t="shared" si="26"/>
        <v>-1.9791280629561541</v>
      </c>
    </row>
    <row r="209" spans="1:23" x14ac:dyDescent="0.3">
      <c r="A209" s="34" t="s">
        <v>518</v>
      </c>
      <c r="B209" s="35">
        <v>45545</v>
      </c>
      <c r="C209" s="36">
        <v>45572</v>
      </c>
      <c r="D209" s="37">
        <f t="shared" si="27"/>
        <v>27</v>
      </c>
      <c r="E209" s="37" t="str">
        <f>TEXT(Data!B209,"MMM-YYYY")</f>
        <v>Sep-2024</v>
      </c>
      <c r="F209" s="37" t="str">
        <f t="shared" si="23"/>
        <v>Q3-2024</v>
      </c>
      <c r="G209" s="32" t="s">
        <v>16</v>
      </c>
      <c r="H209" s="32" t="s">
        <v>17</v>
      </c>
      <c r="I209" s="32" t="s">
        <v>18</v>
      </c>
      <c r="J209" s="32" t="s">
        <v>48</v>
      </c>
      <c r="K209" s="32" t="s">
        <v>20</v>
      </c>
      <c r="L209" s="32" t="s">
        <v>49</v>
      </c>
      <c r="M209" s="32" t="s">
        <v>30</v>
      </c>
      <c r="N209" s="32" t="s">
        <v>519</v>
      </c>
      <c r="O209" s="37">
        <v>1248.3900000000001</v>
      </c>
      <c r="P209" s="38" t="str">
        <f t="shared" si="24"/>
        <v>High</v>
      </c>
      <c r="Q209" s="37">
        <v>1805.11</v>
      </c>
      <c r="R209" s="37">
        <v>0.20300000000000001</v>
      </c>
      <c r="S209" s="37">
        <v>11</v>
      </c>
      <c r="T209" s="37">
        <f t="shared" si="21"/>
        <v>13931.376689999999</v>
      </c>
      <c r="U209" s="32">
        <f t="shared" si="22"/>
        <v>13732.29</v>
      </c>
      <c r="V209" s="37">
        <f t="shared" si="25"/>
        <v>199.08668999999827</v>
      </c>
      <c r="W209" s="39">
        <f t="shared" si="26"/>
        <v>1.4290525224467122E-2</v>
      </c>
    </row>
    <row r="210" spans="1:23" x14ac:dyDescent="0.3">
      <c r="A210" s="40" t="s">
        <v>520</v>
      </c>
      <c r="B210" s="41">
        <v>45859</v>
      </c>
      <c r="C210" s="42">
        <v>45876</v>
      </c>
      <c r="D210" s="43">
        <f t="shared" si="27"/>
        <v>17</v>
      </c>
      <c r="E210" s="43" t="str">
        <f>TEXT(Data!B210,"MMM-YYYY")</f>
        <v>Jul-2025</v>
      </c>
      <c r="F210" s="43" t="str">
        <f t="shared" si="23"/>
        <v>Q3-2025</v>
      </c>
      <c r="G210" s="33" t="s">
        <v>16</v>
      </c>
      <c r="H210" s="33" t="s">
        <v>25</v>
      </c>
      <c r="I210" s="33" t="s">
        <v>38</v>
      </c>
      <c r="J210" s="33" t="s">
        <v>105</v>
      </c>
      <c r="K210" s="33" t="s">
        <v>98</v>
      </c>
      <c r="L210" s="33" t="s">
        <v>110</v>
      </c>
      <c r="M210" s="33" t="s">
        <v>81</v>
      </c>
      <c r="N210" s="33" t="s">
        <v>521</v>
      </c>
      <c r="O210" s="43">
        <v>1204.95</v>
      </c>
      <c r="P210" s="44" t="str">
        <f t="shared" si="24"/>
        <v>High</v>
      </c>
      <c r="Q210" s="43">
        <v>2065.73</v>
      </c>
      <c r="R210" s="43">
        <v>0.13600000000000001</v>
      </c>
      <c r="S210" s="43">
        <v>10</v>
      </c>
      <c r="T210" s="43">
        <f t="shared" si="21"/>
        <v>12379.392</v>
      </c>
      <c r="U210" s="33">
        <f t="shared" si="22"/>
        <v>12049.5</v>
      </c>
      <c r="V210" s="43">
        <f t="shared" si="25"/>
        <v>329.89199999999983</v>
      </c>
      <c r="W210" s="45">
        <f t="shared" si="26"/>
        <v>2.6648481605558643E-2</v>
      </c>
    </row>
    <row r="211" spans="1:23" x14ac:dyDescent="0.3">
      <c r="A211" s="34" t="s">
        <v>522</v>
      </c>
      <c r="B211" s="35">
        <v>45567</v>
      </c>
      <c r="C211" s="36">
        <v>45588</v>
      </c>
      <c r="D211" s="37">
        <f t="shared" si="27"/>
        <v>21</v>
      </c>
      <c r="E211" s="37" t="str">
        <f>TEXT(Data!B211,"MMM-YYYY")</f>
        <v>Oct-2024</v>
      </c>
      <c r="F211" s="37" t="str">
        <f t="shared" si="23"/>
        <v>Q4-2024</v>
      </c>
      <c r="G211" s="32" t="s">
        <v>16</v>
      </c>
      <c r="H211" s="32" t="s">
        <v>148</v>
      </c>
      <c r="I211" s="32" t="s">
        <v>172</v>
      </c>
      <c r="J211" s="32" t="s">
        <v>19</v>
      </c>
      <c r="K211" s="32" t="s">
        <v>40</v>
      </c>
      <c r="L211" s="32" t="s">
        <v>75</v>
      </c>
      <c r="M211" s="32" t="s">
        <v>22</v>
      </c>
      <c r="N211" s="32" t="s">
        <v>523</v>
      </c>
      <c r="O211" s="37">
        <v>1095.6099999999999</v>
      </c>
      <c r="P211" s="38" t="str">
        <f t="shared" si="24"/>
        <v>High</v>
      </c>
      <c r="Q211" s="37">
        <v>2366.5100000000002</v>
      </c>
      <c r="R211" s="37">
        <v>0.152</v>
      </c>
      <c r="S211" s="37">
        <v>9</v>
      </c>
      <c r="T211" s="37">
        <f t="shared" si="21"/>
        <v>13476.28032</v>
      </c>
      <c r="U211" s="32">
        <f t="shared" si="22"/>
        <v>9860.49</v>
      </c>
      <c r="V211" s="37">
        <f t="shared" si="25"/>
        <v>3615.7903200000001</v>
      </c>
      <c r="W211" s="39">
        <f t="shared" si="26"/>
        <v>0.26830774027710341</v>
      </c>
    </row>
    <row r="212" spans="1:23" x14ac:dyDescent="0.3">
      <c r="A212" s="40" t="s">
        <v>524</v>
      </c>
      <c r="B212" s="41">
        <v>45852</v>
      </c>
      <c r="C212" s="42">
        <v>45873</v>
      </c>
      <c r="D212" s="43">
        <f t="shared" si="27"/>
        <v>21</v>
      </c>
      <c r="E212" s="43" t="str">
        <f>TEXT(Data!B212,"MMM-YYYY")</f>
        <v>Jul-2025</v>
      </c>
      <c r="F212" s="43" t="str">
        <f t="shared" si="23"/>
        <v>Q3-2025</v>
      </c>
      <c r="G212" s="33" t="s">
        <v>52</v>
      </c>
      <c r="H212" s="33" t="s">
        <v>53</v>
      </c>
      <c r="I212" s="33" t="s">
        <v>144</v>
      </c>
      <c r="J212" s="33" t="s">
        <v>48</v>
      </c>
      <c r="K212" s="33" t="s">
        <v>28</v>
      </c>
      <c r="L212" s="33" t="s">
        <v>92</v>
      </c>
      <c r="M212" s="33" t="s">
        <v>64</v>
      </c>
      <c r="N212" s="33" t="s">
        <v>525</v>
      </c>
      <c r="O212" s="43">
        <v>90.3</v>
      </c>
      <c r="P212" s="44" t="str">
        <f t="shared" si="24"/>
        <v>Medium</v>
      </c>
      <c r="Q212" s="43">
        <v>131.76</v>
      </c>
      <c r="R212" s="43">
        <v>0.10199999999999999</v>
      </c>
      <c r="S212" s="43">
        <v>15</v>
      </c>
      <c r="T212" s="43">
        <f t="shared" si="21"/>
        <v>37144.063799999996</v>
      </c>
      <c r="U212" s="33">
        <f t="shared" si="22"/>
        <v>1354.5</v>
      </c>
      <c r="V212" s="43">
        <f t="shared" si="25"/>
        <v>35789.563799999996</v>
      </c>
      <c r="W212" s="45">
        <f t="shared" si="26"/>
        <v>0.96353387697982573</v>
      </c>
    </row>
    <row r="213" spans="1:23" x14ac:dyDescent="0.3">
      <c r="A213" s="34" t="s">
        <v>526</v>
      </c>
      <c r="B213" s="35">
        <v>45544</v>
      </c>
      <c r="C213" s="36">
        <v>45566</v>
      </c>
      <c r="D213" s="37">
        <f t="shared" si="27"/>
        <v>22</v>
      </c>
      <c r="E213" s="37" t="str">
        <f>TEXT(Data!B213,"MMM-YYYY")</f>
        <v>Sep-2024</v>
      </c>
      <c r="F213" s="37" t="str">
        <f t="shared" si="23"/>
        <v>Q3-2024</v>
      </c>
      <c r="G213" s="32" t="s">
        <v>45</v>
      </c>
      <c r="H213" s="32" t="s">
        <v>116</v>
      </c>
      <c r="I213" s="32" t="s">
        <v>117</v>
      </c>
      <c r="J213" s="32" t="s">
        <v>48</v>
      </c>
      <c r="K213" s="32" t="s">
        <v>98</v>
      </c>
      <c r="L213" s="32" t="s">
        <v>49</v>
      </c>
      <c r="M213" s="32" t="s">
        <v>30</v>
      </c>
      <c r="N213" s="32" t="s">
        <v>527</v>
      </c>
      <c r="O213" s="37">
        <v>1166.18</v>
      </c>
      <c r="P213" s="38" t="str">
        <f t="shared" si="24"/>
        <v>High</v>
      </c>
      <c r="Q213" s="37">
        <v>1335.02</v>
      </c>
      <c r="R213" s="37">
        <v>0.128</v>
      </c>
      <c r="S213" s="37">
        <v>6</v>
      </c>
      <c r="T213" s="37">
        <f t="shared" si="21"/>
        <v>4571.46</v>
      </c>
      <c r="U213" s="32">
        <f t="shared" si="22"/>
        <v>6997.08</v>
      </c>
      <c r="V213" s="37">
        <f t="shared" si="25"/>
        <v>-2425.62</v>
      </c>
      <c r="W213" s="39">
        <f t="shared" si="26"/>
        <v>-0.53060072712000106</v>
      </c>
    </row>
    <row r="214" spans="1:23" x14ac:dyDescent="0.3">
      <c r="A214" s="40" t="s">
        <v>528</v>
      </c>
      <c r="B214" s="41">
        <v>45686</v>
      </c>
      <c r="C214" s="42">
        <v>45694</v>
      </c>
      <c r="D214" s="43">
        <f t="shared" si="27"/>
        <v>8</v>
      </c>
      <c r="E214" s="43" t="str">
        <f>TEXT(Data!B214,"MMM-YYYY")</f>
        <v>Jan-2025</v>
      </c>
      <c r="F214" s="43" t="str">
        <f t="shared" si="23"/>
        <v>Q1-2025</v>
      </c>
      <c r="G214" s="33" t="s">
        <v>16</v>
      </c>
      <c r="H214" s="33" t="s">
        <v>17</v>
      </c>
      <c r="I214" s="33" t="s">
        <v>18</v>
      </c>
      <c r="J214" s="33" t="s">
        <v>27</v>
      </c>
      <c r="K214" s="33" t="s">
        <v>20</v>
      </c>
      <c r="L214" s="33" t="s">
        <v>56</v>
      </c>
      <c r="M214" s="33" t="s">
        <v>42</v>
      </c>
      <c r="N214" s="33" t="s">
        <v>529</v>
      </c>
      <c r="O214" s="43">
        <v>1445.27</v>
      </c>
      <c r="P214" s="44" t="str">
        <f t="shared" si="24"/>
        <v>High</v>
      </c>
      <c r="Q214" s="43">
        <v>2691.45</v>
      </c>
      <c r="R214" s="43">
        <v>0</v>
      </c>
      <c r="S214" s="43">
        <v>9</v>
      </c>
      <c r="T214" s="43">
        <f t="shared" si="21"/>
        <v>2326.6799999999998</v>
      </c>
      <c r="U214" s="33">
        <f t="shared" si="22"/>
        <v>13007.43</v>
      </c>
      <c r="V214" s="43">
        <f t="shared" si="25"/>
        <v>-10680.75</v>
      </c>
      <c r="W214" s="45">
        <f t="shared" si="26"/>
        <v>-4.5905539223270928</v>
      </c>
    </row>
    <row r="215" spans="1:23" x14ac:dyDescent="0.3">
      <c r="A215" s="34" t="s">
        <v>530</v>
      </c>
      <c r="B215" s="35">
        <v>45240</v>
      </c>
      <c r="C215" s="36">
        <v>45258</v>
      </c>
      <c r="D215" s="37">
        <f t="shared" si="27"/>
        <v>18</v>
      </c>
      <c r="E215" s="37" t="str">
        <f>TEXT(Data!B215,"MMM-YYYY")</f>
        <v>Nov-2023</v>
      </c>
      <c r="F215" s="37" t="str">
        <f t="shared" si="23"/>
        <v>Q4-2023</v>
      </c>
      <c r="G215" s="32" t="s">
        <v>52</v>
      </c>
      <c r="H215" s="32" t="s">
        <v>73</v>
      </c>
      <c r="I215" s="32" t="s">
        <v>87</v>
      </c>
      <c r="J215" s="32" t="s">
        <v>27</v>
      </c>
      <c r="K215" s="32" t="s">
        <v>40</v>
      </c>
      <c r="L215" s="32" t="s">
        <v>49</v>
      </c>
      <c r="M215" s="32" t="s">
        <v>81</v>
      </c>
      <c r="N215" s="32" t="s">
        <v>531</v>
      </c>
      <c r="O215" s="37">
        <v>388.51</v>
      </c>
      <c r="P215" s="38" t="str">
        <f t="shared" si="24"/>
        <v>High</v>
      </c>
      <c r="Q215" s="37">
        <v>776.46</v>
      </c>
      <c r="R215" s="37">
        <v>0.157</v>
      </c>
      <c r="S215" s="37">
        <v>12</v>
      </c>
      <c r="T215" s="37">
        <f t="shared" si="21"/>
        <v>6137.98416</v>
      </c>
      <c r="U215" s="32">
        <f t="shared" si="22"/>
        <v>4662.12</v>
      </c>
      <c r="V215" s="37">
        <f t="shared" si="25"/>
        <v>1475.8641600000001</v>
      </c>
      <c r="W215" s="39">
        <f t="shared" si="26"/>
        <v>0.24044769773403912</v>
      </c>
    </row>
    <row r="216" spans="1:23" x14ac:dyDescent="0.3">
      <c r="A216" s="40" t="s">
        <v>532</v>
      </c>
      <c r="B216" s="41">
        <v>45351</v>
      </c>
      <c r="C216" s="42">
        <v>45381</v>
      </c>
      <c r="D216" s="43">
        <f t="shared" si="27"/>
        <v>1</v>
      </c>
      <c r="E216" s="43" t="str">
        <f>TEXT(Data!B216,"MMM-YYYY")</f>
        <v>Feb-2024</v>
      </c>
      <c r="F216" s="43" t="str">
        <f t="shared" si="23"/>
        <v>Q1-2024</v>
      </c>
      <c r="G216" s="33" t="s">
        <v>45</v>
      </c>
      <c r="H216" s="33" t="s">
        <v>46</v>
      </c>
      <c r="I216" s="33" t="s">
        <v>231</v>
      </c>
      <c r="J216" s="33" t="s">
        <v>62</v>
      </c>
      <c r="K216" s="33" t="s">
        <v>98</v>
      </c>
      <c r="L216" s="33" t="s">
        <v>34</v>
      </c>
      <c r="M216" s="33" t="s">
        <v>35</v>
      </c>
      <c r="N216" s="33" t="s">
        <v>533</v>
      </c>
      <c r="O216" s="43">
        <v>231.11</v>
      </c>
      <c r="P216" s="44" t="str">
        <f t="shared" si="24"/>
        <v>High</v>
      </c>
      <c r="Q216" s="43">
        <v>318.17</v>
      </c>
      <c r="R216" s="43">
        <v>0.20100000000000001</v>
      </c>
      <c r="S216" s="43">
        <v>60</v>
      </c>
      <c r="T216" s="43">
        <f t="shared" si="21"/>
        <v>64128.8586</v>
      </c>
      <c r="U216" s="33">
        <f t="shared" si="22"/>
        <v>13866.6</v>
      </c>
      <c r="V216" s="43">
        <f t="shared" si="25"/>
        <v>50262.258600000001</v>
      </c>
      <c r="W216" s="45">
        <f t="shared" si="26"/>
        <v>0.7837697363913475</v>
      </c>
    </row>
    <row r="217" spans="1:23" x14ac:dyDescent="0.3">
      <c r="A217" s="34" t="s">
        <v>534</v>
      </c>
      <c r="B217" s="35">
        <v>45280</v>
      </c>
      <c r="C217" s="36">
        <v>45305</v>
      </c>
      <c r="D217" s="37">
        <f t="shared" si="27"/>
        <v>25</v>
      </c>
      <c r="E217" s="37" t="str">
        <f>TEXT(Data!B217,"MMM-YYYY")</f>
        <v>Dec-2023</v>
      </c>
      <c r="F217" s="37" t="str">
        <f t="shared" si="23"/>
        <v>Q4-2023</v>
      </c>
      <c r="G217" s="32" t="s">
        <v>45</v>
      </c>
      <c r="H217" s="32" t="s">
        <v>60</v>
      </c>
      <c r="I217" s="32" t="s">
        <v>220</v>
      </c>
      <c r="J217" s="32" t="s">
        <v>39</v>
      </c>
      <c r="K217" s="32" t="s">
        <v>40</v>
      </c>
      <c r="L217" s="32" t="s">
        <v>49</v>
      </c>
      <c r="M217" s="32" t="s">
        <v>64</v>
      </c>
      <c r="N217" s="32" t="s">
        <v>535</v>
      </c>
      <c r="O217" s="37">
        <v>1085.6099999999999</v>
      </c>
      <c r="P217" s="38" t="str">
        <f t="shared" si="24"/>
        <v>High</v>
      </c>
      <c r="Q217" s="37">
        <v>1246.4100000000001</v>
      </c>
      <c r="R217" s="37">
        <v>0.113</v>
      </c>
      <c r="S217" s="37">
        <v>7</v>
      </c>
      <c r="T217" s="37">
        <f t="shared" si="21"/>
        <v>11133.23372</v>
      </c>
      <c r="U217" s="32">
        <f t="shared" si="22"/>
        <v>7599.2699999999995</v>
      </c>
      <c r="V217" s="37">
        <f t="shared" si="25"/>
        <v>3533.9637200000006</v>
      </c>
      <c r="W217" s="39">
        <f t="shared" si="26"/>
        <v>0.31742473111397151</v>
      </c>
    </row>
    <row r="218" spans="1:23" x14ac:dyDescent="0.3">
      <c r="A218" s="40" t="s">
        <v>536</v>
      </c>
      <c r="B218" s="41">
        <v>44948</v>
      </c>
      <c r="C218" s="42">
        <v>44947</v>
      </c>
      <c r="D218" s="43">
        <f>DATEDIF(C218,B218, "MD")</f>
        <v>1</v>
      </c>
      <c r="E218" s="43" t="str">
        <f>TEXT(Data!B218,"MMM-YYYY")</f>
        <v>Jan-2023</v>
      </c>
      <c r="F218" s="43" t="str">
        <f t="shared" si="23"/>
        <v>Q1-2023</v>
      </c>
      <c r="G218" s="33" t="s">
        <v>78</v>
      </c>
      <c r="H218" s="33" t="s">
        <v>79</v>
      </c>
      <c r="I218" s="33" t="s">
        <v>159</v>
      </c>
      <c r="J218" s="33" t="s">
        <v>19</v>
      </c>
      <c r="K218" s="33" t="s">
        <v>98</v>
      </c>
      <c r="L218" s="33" t="s">
        <v>84</v>
      </c>
      <c r="M218" s="33" t="s">
        <v>64</v>
      </c>
      <c r="N218" s="33" t="s">
        <v>537</v>
      </c>
      <c r="O218" s="43">
        <v>150.86000000000001</v>
      </c>
      <c r="P218" s="44" t="str">
        <f t="shared" si="24"/>
        <v>High</v>
      </c>
      <c r="Q218" s="43">
        <v>346.96</v>
      </c>
      <c r="R218" s="43">
        <v>0.19600000000000001</v>
      </c>
      <c r="S218" s="43">
        <v>8</v>
      </c>
      <c r="T218" s="43">
        <f t="shared" si="21"/>
        <v>789.46368000000007</v>
      </c>
      <c r="U218" s="33">
        <f t="shared" si="22"/>
        <v>1206.8800000000001</v>
      </c>
      <c r="V218" s="43">
        <f t="shared" si="25"/>
        <v>-417.41632000000004</v>
      </c>
      <c r="W218" s="45">
        <f t="shared" si="26"/>
        <v>-0.52873403878440617</v>
      </c>
    </row>
    <row r="219" spans="1:23" x14ac:dyDescent="0.3">
      <c r="A219" s="34" t="s">
        <v>538</v>
      </c>
      <c r="B219" s="35">
        <v>45576</v>
      </c>
      <c r="C219" s="36">
        <v>45605</v>
      </c>
      <c r="D219" s="37">
        <f t="shared" si="27"/>
        <v>29</v>
      </c>
      <c r="E219" s="37" t="str">
        <f>TEXT(Data!B219,"MMM-YYYY")</f>
        <v>Oct-2024</v>
      </c>
      <c r="F219" s="37" t="str">
        <f t="shared" si="23"/>
        <v>Q4-2024</v>
      </c>
      <c r="G219" s="32" t="s">
        <v>45</v>
      </c>
      <c r="H219" s="32" t="s">
        <v>116</v>
      </c>
      <c r="I219" s="32" t="s">
        <v>162</v>
      </c>
      <c r="J219" s="32" t="s">
        <v>39</v>
      </c>
      <c r="K219" s="32" t="s">
        <v>28</v>
      </c>
      <c r="L219" s="32" t="s">
        <v>84</v>
      </c>
      <c r="M219" s="32" t="s">
        <v>30</v>
      </c>
      <c r="N219" s="32" t="s">
        <v>539</v>
      </c>
      <c r="O219" s="37">
        <v>391.64</v>
      </c>
      <c r="P219" s="38" t="str">
        <f t="shared" si="24"/>
        <v>High</v>
      </c>
      <c r="Q219" s="37">
        <v>504.76</v>
      </c>
      <c r="R219" s="37">
        <v>4.0000000000000001E-3</v>
      </c>
      <c r="S219" s="37">
        <v>13</v>
      </c>
      <c r="T219" s="37">
        <f t="shared" si="21"/>
        <v>12014.83764</v>
      </c>
      <c r="U219" s="32">
        <f t="shared" si="22"/>
        <v>5091.32</v>
      </c>
      <c r="V219" s="37">
        <f t="shared" si="25"/>
        <v>6923.51764</v>
      </c>
      <c r="W219" s="39">
        <f t="shared" si="26"/>
        <v>0.57624729084562143</v>
      </c>
    </row>
    <row r="220" spans="1:23" x14ac:dyDescent="0.3">
      <c r="A220" s="40" t="s">
        <v>540</v>
      </c>
      <c r="B220" s="41">
        <v>45554</v>
      </c>
      <c r="C220" s="42">
        <v>45579</v>
      </c>
      <c r="D220" s="43">
        <f t="shared" si="27"/>
        <v>25</v>
      </c>
      <c r="E220" s="43" t="str">
        <f>TEXT(Data!B220,"MMM-YYYY")</f>
        <v>Sep-2024</v>
      </c>
      <c r="F220" s="43" t="str">
        <f t="shared" si="23"/>
        <v>Q3-2024</v>
      </c>
      <c r="G220" s="33" t="s">
        <v>52</v>
      </c>
      <c r="H220" s="33" t="s">
        <v>73</v>
      </c>
      <c r="I220" s="33" t="s">
        <v>225</v>
      </c>
      <c r="J220" s="33" t="s">
        <v>62</v>
      </c>
      <c r="K220" s="33" t="s">
        <v>20</v>
      </c>
      <c r="L220" s="33" t="s">
        <v>95</v>
      </c>
      <c r="M220" s="33" t="s">
        <v>30</v>
      </c>
      <c r="N220" s="33" t="s">
        <v>541</v>
      </c>
      <c r="O220" s="43">
        <v>386.96</v>
      </c>
      <c r="P220" s="44" t="str">
        <f t="shared" si="24"/>
        <v>High</v>
      </c>
      <c r="Q220" s="43">
        <v>937.46</v>
      </c>
      <c r="R220" s="43">
        <v>0.26600000000000001</v>
      </c>
      <c r="S220" s="43">
        <v>41</v>
      </c>
      <c r="T220" s="43">
        <f t="shared" si="21"/>
        <v>4570.6767199999995</v>
      </c>
      <c r="U220" s="33">
        <f t="shared" si="22"/>
        <v>15865.359999999999</v>
      </c>
      <c r="V220" s="43">
        <f t="shared" si="25"/>
        <v>-11294.683279999999</v>
      </c>
      <c r="W220" s="45">
        <f t="shared" si="26"/>
        <v>-2.4711183861631763</v>
      </c>
    </row>
    <row r="221" spans="1:23" x14ac:dyDescent="0.3">
      <c r="A221" s="34" t="s">
        <v>542</v>
      </c>
      <c r="B221" s="35">
        <v>45894</v>
      </c>
      <c r="C221" s="36">
        <v>45924</v>
      </c>
      <c r="D221" s="37">
        <f t="shared" si="27"/>
        <v>30</v>
      </c>
      <c r="E221" s="37" t="str">
        <f>TEXT(Data!B221,"MMM-YYYY")</f>
        <v>Aug-2025</v>
      </c>
      <c r="F221" s="37" t="str">
        <f t="shared" si="23"/>
        <v>Q3-2025</v>
      </c>
      <c r="G221" s="32" t="s">
        <v>16</v>
      </c>
      <c r="H221" s="32" t="s">
        <v>17</v>
      </c>
      <c r="I221" s="32" t="s">
        <v>33</v>
      </c>
      <c r="J221" s="32" t="s">
        <v>48</v>
      </c>
      <c r="K221" s="32" t="s">
        <v>98</v>
      </c>
      <c r="L221" s="32" t="s">
        <v>56</v>
      </c>
      <c r="M221" s="32" t="s">
        <v>22</v>
      </c>
      <c r="N221" s="32" t="s">
        <v>543</v>
      </c>
      <c r="O221" s="37">
        <v>589.14</v>
      </c>
      <c r="P221" s="38" t="str">
        <f t="shared" si="24"/>
        <v>High</v>
      </c>
      <c r="Q221" s="37">
        <v>1300.58</v>
      </c>
      <c r="R221" s="37">
        <v>5.5E-2</v>
      </c>
      <c r="S221" s="37">
        <v>11</v>
      </c>
      <c r="T221" s="37">
        <f t="shared" si="21"/>
        <v>22977.108</v>
      </c>
      <c r="U221" s="32">
        <f t="shared" si="22"/>
        <v>6480.54</v>
      </c>
      <c r="V221" s="37">
        <f t="shared" si="25"/>
        <v>16496.567999999999</v>
      </c>
      <c r="W221" s="39">
        <f t="shared" si="26"/>
        <v>0.71795667235406646</v>
      </c>
    </row>
    <row r="222" spans="1:23" x14ac:dyDescent="0.3">
      <c r="A222" s="40" t="s">
        <v>544</v>
      </c>
      <c r="B222" s="41">
        <v>45194</v>
      </c>
      <c r="C222" s="42">
        <v>45201</v>
      </c>
      <c r="D222" s="43">
        <f t="shared" si="27"/>
        <v>7</v>
      </c>
      <c r="E222" s="43" t="str">
        <f>TEXT(Data!B222,"MMM-YYYY")</f>
        <v>Sep-2023</v>
      </c>
      <c r="F222" s="43" t="str">
        <f t="shared" si="23"/>
        <v>Q3-2023</v>
      </c>
      <c r="G222" s="33" t="s">
        <v>52</v>
      </c>
      <c r="H222" s="33" t="s">
        <v>122</v>
      </c>
      <c r="I222" s="33" t="s">
        <v>387</v>
      </c>
      <c r="J222" s="33" t="s">
        <v>27</v>
      </c>
      <c r="K222" s="33" t="s">
        <v>40</v>
      </c>
      <c r="L222" s="33" t="s">
        <v>34</v>
      </c>
      <c r="M222" s="33" t="s">
        <v>81</v>
      </c>
      <c r="N222" s="33" t="s">
        <v>545</v>
      </c>
      <c r="O222" s="43">
        <v>145.58000000000001</v>
      </c>
      <c r="P222" s="44" t="str">
        <f t="shared" si="24"/>
        <v>High</v>
      </c>
      <c r="Q222" s="43">
        <v>228.15</v>
      </c>
      <c r="R222" s="43">
        <v>0.20399999999999999</v>
      </c>
      <c r="S222" s="43">
        <v>5</v>
      </c>
      <c r="T222" s="43">
        <f t="shared" si="21"/>
        <v>158.16520000000003</v>
      </c>
      <c r="U222" s="33">
        <f t="shared" si="22"/>
        <v>727.90000000000009</v>
      </c>
      <c r="V222" s="43">
        <f t="shared" si="25"/>
        <v>-569.73480000000006</v>
      </c>
      <c r="W222" s="45">
        <f t="shared" si="26"/>
        <v>-3.602150156924532</v>
      </c>
    </row>
    <row r="223" spans="1:23" x14ac:dyDescent="0.3">
      <c r="A223" s="34" t="s">
        <v>546</v>
      </c>
      <c r="B223" s="35">
        <v>45164</v>
      </c>
      <c r="C223" s="36">
        <v>45179</v>
      </c>
      <c r="D223" s="37">
        <f t="shared" si="27"/>
        <v>15</v>
      </c>
      <c r="E223" s="37" t="str">
        <f>TEXT(Data!B223,"MMM-YYYY")</f>
        <v>Aug-2023</v>
      </c>
      <c r="F223" s="37" t="str">
        <f t="shared" si="23"/>
        <v>Q3-2023</v>
      </c>
      <c r="G223" s="32" t="s">
        <v>16</v>
      </c>
      <c r="H223" s="32" t="s">
        <v>148</v>
      </c>
      <c r="I223" s="32" t="s">
        <v>258</v>
      </c>
      <c r="J223" s="32" t="s">
        <v>39</v>
      </c>
      <c r="K223" s="32" t="s">
        <v>98</v>
      </c>
      <c r="L223" s="32" t="s">
        <v>126</v>
      </c>
      <c r="M223" s="32" t="s">
        <v>22</v>
      </c>
      <c r="N223" s="32" t="s">
        <v>547</v>
      </c>
      <c r="O223" s="37">
        <v>241.14</v>
      </c>
      <c r="P223" s="38" t="str">
        <f t="shared" si="24"/>
        <v>High</v>
      </c>
      <c r="Q223" s="37">
        <v>496.52</v>
      </c>
      <c r="R223" s="37">
        <v>9.2999999999999999E-2</v>
      </c>
      <c r="S223" s="37">
        <v>10</v>
      </c>
      <c r="T223" s="37">
        <f t="shared" si="21"/>
        <v>9151.630000000001</v>
      </c>
      <c r="U223" s="32">
        <f t="shared" si="22"/>
        <v>2411.3999999999996</v>
      </c>
      <c r="V223" s="37">
        <f t="shared" si="25"/>
        <v>6740.2300000000014</v>
      </c>
      <c r="W223" s="39">
        <f t="shared" si="26"/>
        <v>0.73650595576962796</v>
      </c>
    </row>
    <row r="224" spans="1:23" x14ac:dyDescent="0.3">
      <c r="A224" s="40" t="s">
        <v>548</v>
      </c>
      <c r="B224" s="41">
        <v>45854</v>
      </c>
      <c r="C224" s="42">
        <v>45855</v>
      </c>
      <c r="D224" s="43">
        <f t="shared" si="27"/>
        <v>1</v>
      </c>
      <c r="E224" s="43" t="str">
        <f>TEXT(Data!B224,"MMM-YYYY")</f>
        <v>Jul-2025</v>
      </c>
      <c r="F224" s="43" t="str">
        <f t="shared" si="23"/>
        <v>Q3-2025</v>
      </c>
      <c r="G224" s="33" t="s">
        <v>16</v>
      </c>
      <c r="H224" s="33" t="s">
        <v>148</v>
      </c>
      <c r="I224" s="33" t="s">
        <v>172</v>
      </c>
      <c r="J224" s="33" t="s">
        <v>62</v>
      </c>
      <c r="K224" s="33" t="s">
        <v>55</v>
      </c>
      <c r="L224" s="33" t="s">
        <v>56</v>
      </c>
      <c r="M224" s="33" t="s">
        <v>35</v>
      </c>
      <c r="N224" s="33" t="s">
        <v>549</v>
      </c>
      <c r="O224" s="43">
        <v>1198.9000000000001</v>
      </c>
      <c r="P224" s="44" t="str">
        <f t="shared" si="24"/>
        <v>High</v>
      </c>
      <c r="Q224" s="43">
        <v>2941.2</v>
      </c>
      <c r="R224" s="43">
        <v>5.0999999999999997E-2</v>
      </c>
      <c r="S224" s="43">
        <v>24</v>
      </c>
      <c r="T224" s="43">
        <f t="shared" si="21"/>
        <v>37663.304640000002</v>
      </c>
      <c r="U224" s="33">
        <f t="shared" si="22"/>
        <v>28773.600000000002</v>
      </c>
      <c r="V224" s="43">
        <f t="shared" si="25"/>
        <v>8889.7046399999999</v>
      </c>
      <c r="W224" s="45">
        <f t="shared" si="26"/>
        <v>0.23603092519286697</v>
      </c>
    </row>
    <row r="225" spans="1:23" x14ac:dyDescent="0.3">
      <c r="A225" s="34" t="s">
        <v>550</v>
      </c>
      <c r="B225" s="35">
        <v>45035</v>
      </c>
      <c r="C225" s="36">
        <v>45053</v>
      </c>
      <c r="D225" s="37">
        <f t="shared" si="27"/>
        <v>18</v>
      </c>
      <c r="E225" s="37" t="str">
        <f>TEXT(Data!B225,"MMM-YYYY")</f>
        <v>Apr-2023</v>
      </c>
      <c r="F225" s="37" t="str">
        <f t="shared" si="23"/>
        <v>Q2-2023</v>
      </c>
      <c r="G225" s="32" t="s">
        <v>78</v>
      </c>
      <c r="H225" s="32" t="s">
        <v>108</v>
      </c>
      <c r="I225" s="32" t="s">
        <v>109</v>
      </c>
      <c r="J225" s="32" t="s">
        <v>105</v>
      </c>
      <c r="K225" s="32" t="s">
        <v>20</v>
      </c>
      <c r="L225" s="32" t="s">
        <v>126</v>
      </c>
      <c r="M225" s="32" t="s">
        <v>57</v>
      </c>
      <c r="N225" s="32" t="s">
        <v>551</v>
      </c>
      <c r="O225" s="37">
        <v>1089.1500000000001</v>
      </c>
      <c r="P225" s="38" t="str">
        <f t="shared" si="24"/>
        <v>High</v>
      </c>
      <c r="Q225" s="37">
        <v>1088.2</v>
      </c>
      <c r="R225" s="37">
        <v>5.0999999999999997E-2</v>
      </c>
      <c r="S225" s="37">
        <v>15</v>
      </c>
      <c r="T225" s="37">
        <f t="shared" si="21"/>
        <v>14458.4895</v>
      </c>
      <c r="U225" s="32">
        <f t="shared" si="22"/>
        <v>16337.250000000002</v>
      </c>
      <c r="V225" s="37">
        <f t="shared" si="25"/>
        <v>-1878.7605000000021</v>
      </c>
      <c r="W225" s="39">
        <f t="shared" si="26"/>
        <v>-0.12994168581718044</v>
      </c>
    </row>
    <row r="226" spans="1:23" x14ac:dyDescent="0.3">
      <c r="A226" s="40" t="s">
        <v>552</v>
      </c>
      <c r="B226" s="41">
        <v>45279</v>
      </c>
      <c r="C226" s="42">
        <v>45280</v>
      </c>
      <c r="D226" s="43">
        <f t="shared" si="27"/>
        <v>1</v>
      </c>
      <c r="E226" s="43" t="str">
        <f>TEXT(Data!B226,"MMM-YYYY")</f>
        <v>Dec-2023</v>
      </c>
      <c r="F226" s="43" t="str">
        <f t="shared" si="23"/>
        <v>Q4-2023</v>
      </c>
      <c r="G226" s="33" t="s">
        <v>52</v>
      </c>
      <c r="H226" s="33" t="s">
        <v>73</v>
      </c>
      <c r="I226" s="33" t="s">
        <v>225</v>
      </c>
      <c r="J226" s="33" t="s">
        <v>48</v>
      </c>
      <c r="K226" s="33" t="s">
        <v>55</v>
      </c>
      <c r="L226" s="33" t="s">
        <v>29</v>
      </c>
      <c r="M226" s="33" t="s">
        <v>42</v>
      </c>
      <c r="N226" s="33" t="s">
        <v>553</v>
      </c>
      <c r="O226" s="43">
        <v>1080.43</v>
      </c>
      <c r="P226" s="44" t="str">
        <f t="shared" si="24"/>
        <v>High</v>
      </c>
      <c r="Q226" s="43">
        <v>2529.15</v>
      </c>
      <c r="R226" s="43">
        <v>0.14699999999999999</v>
      </c>
      <c r="S226" s="43">
        <v>10</v>
      </c>
      <c r="T226" s="43">
        <f t="shared" si="21"/>
        <v>7783.1984999999995</v>
      </c>
      <c r="U226" s="33">
        <f t="shared" si="22"/>
        <v>10804.300000000001</v>
      </c>
      <c r="V226" s="43">
        <f t="shared" si="25"/>
        <v>-3021.1015000000016</v>
      </c>
      <c r="W226" s="45">
        <f t="shared" si="26"/>
        <v>-0.38815680982567796</v>
      </c>
    </row>
    <row r="227" spans="1:23" x14ac:dyDescent="0.3">
      <c r="A227" s="34" t="s">
        <v>554</v>
      </c>
      <c r="B227" s="35">
        <v>45137</v>
      </c>
      <c r="C227" s="36">
        <v>45145</v>
      </c>
      <c r="D227" s="37">
        <f t="shared" si="27"/>
        <v>8</v>
      </c>
      <c r="E227" s="37" t="str">
        <f>TEXT(Data!B227,"MMM-YYYY")</f>
        <v>Jul-2023</v>
      </c>
      <c r="F227" s="37" t="str">
        <f t="shared" si="23"/>
        <v>Q3-2023</v>
      </c>
      <c r="G227" s="32" t="s">
        <v>45</v>
      </c>
      <c r="H227" s="32" t="s">
        <v>46</v>
      </c>
      <c r="I227" s="32" t="s">
        <v>231</v>
      </c>
      <c r="J227" s="32" t="s">
        <v>27</v>
      </c>
      <c r="K227" s="32" t="s">
        <v>40</v>
      </c>
      <c r="L227" s="32" t="s">
        <v>75</v>
      </c>
      <c r="M227" s="32" t="s">
        <v>35</v>
      </c>
      <c r="N227" s="32" t="s">
        <v>555</v>
      </c>
      <c r="O227" s="37">
        <v>1352.44</v>
      </c>
      <c r="P227" s="38" t="str">
        <f t="shared" si="24"/>
        <v>High</v>
      </c>
      <c r="Q227" s="37">
        <v>2698.01</v>
      </c>
      <c r="R227" s="37">
        <v>0.13100000000000001</v>
      </c>
      <c r="S227" s="37">
        <v>13</v>
      </c>
      <c r="T227" s="37">
        <f t="shared" si="21"/>
        <v>9209.201430000001</v>
      </c>
      <c r="U227" s="32">
        <f t="shared" si="22"/>
        <v>17581.72</v>
      </c>
      <c r="V227" s="37">
        <f t="shared" si="25"/>
        <v>-8372.5185700000002</v>
      </c>
      <c r="W227" s="39">
        <f t="shared" si="26"/>
        <v>-0.90914707791335603</v>
      </c>
    </row>
    <row r="228" spans="1:23" x14ac:dyDescent="0.3">
      <c r="A228" s="40" t="s">
        <v>556</v>
      </c>
      <c r="B228" s="41">
        <v>45203</v>
      </c>
      <c r="C228" s="42">
        <v>45228</v>
      </c>
      <c r="D228" s="43">
        <f t="shared" si="27"/>
        <v>25</v>
      </c>
      <c r="E228" s="43" t="str">
        <f>TEXT(Data!B228,"MMM-YYYY")</f>
        <v>Oct-2023</v>
      </c>
      <c r="F228" s="43" t="str">
        <f t="shared" si="23"/>
        <v>Q4-2023</v>
      </c>
      <c r="G228" s="33" t="s">
        <v>52</v>
      </c>
      <c r="H228" s="33" t="s">
        <v>122</v>
      </c>
      <c r="I228" s="33" t="s">
        <v>167</v>
      </c>
      <c r="J228" s="33" t="s">
        <v>62</v>
      </c>
      <c r="K228" s="33" t="s">
        <v>55</v>
      </c>
      <c r="L228" s="33" t="s">
        <v>68</v>
      </c>
      <c r="M228" s="33" t="s">
        <v>81</v>
      </c>
      <c r="N228" s="33" t="s">
        <v>557</v>
      </c>
      <c r="O228" s="43">
        <v>1239.8399999999999</v>
      </c>
      <c r="P228" s="44" t="str">
        <f t="shared" si="24"/>
        <v>High</v>
      </c>
      <c r="Q228" s="43">
        <v>1482.75</v>
      </c>
      <c r="R228" s="43">
        <v>6.7000000000000004E-2</v>
      </c>
      <c r="S228" s="43">
        <v>4</v>
      </c>
      <c r="T228" s="43">
        <f t="shared" si="21"/>
        <v>6770.0719200000003</v>
      </c>
      <c r="U228" s="33">
        <f t="shared" si="22"/>
        <v>4959.3599999999997</v>
      </c>
      <c r="V228" s="43">
        <f t="shared" si="25"/>
        <v>1810.7119200000006</v>
      </c>
      <c r="W228" s="45">
        <f t="shared" si="26"/>
        <v>0.26745829902498297</v>
      </c>
    </row>
    <row r="229" spans="1:23" x14ac:dyDescent="0.3">
      <c r="A229" s="34" t="s">
        <v>558</v>
      </c>
      <c r="B229" s="35">
        <v>45879</v>
      </c>
      <c r="C229" s="36">
        <v>45899</v>
      </c>
      <c r="D229" s="37">
        <f t="shared" si="27"/>
        <v>20</v>
      </c>
      <c r="E229" s="37" t="str">
        <f>TEXT(Data!B229,"MMM-YYYY")</f>
        <v>Aug-2025</v>
      </c>
      <c r="F229" s="37" t="str">
        <f t="shared" si="23"/>
        <v>Q3-2025</v>
      </c>
      <c r="G229" s="32" t="s">
        <v>52</v>
      </c>
      <c r="H229" s="32" t="s">
        <v>122</v>
      </c>
      <c r="I229" s="32" t="s">
        <v>167</v>
      </c>
      <c r="J229" s="32" t="s">
        <v>19</v>
      </c>
      <c r="K229" s="32" t="s">
        <v>40</v>
      </c>
      <c r="L229" s="32" t="s">
        <v>95</v>
      </c>
      <c r="M229" s="32" t="s">
        <v>30</v>
      </c>
      <c r="N229" s="32" t="s">
        <v>559</v>
      </c>
      <c r="O229" s="37">
        <v>933.29</v>
      </c>
      <c r="P229" s="38" t="str">
        <f t="shared" si="24"/>
        <v>High</v>
      </c>
      <c r="Q229" s="37">
        <v>1456.81</v>
      </c>
      <c r="R229" s="37">
        <v>0.123</v>
      </c>
      <c r="S229" s="37">
        <v>13</v>
      </c>
      <c r="T229" s="37">
        <f t="shared" si="21"/>
        <v>8652.4469199999985</v>
      </c>
      <c r="U229" s="32">
        <f t="shared" si="22"/>
        <v>12132.77</v>
      </c>
      <c r="V229" s="37">
        <f t="shared" si="25"/>
        <v>-3480.3230800000019</v>
      </c>
      <c r="W229" s="39">
        <f t="shared" si="26"/>
        <v>-0.4022357042093247</v>
      </c>
    </row>
    <row r="230" spans="1:23" x14ac:dyDescent="0.3">
      <c r="A230" s="40" t="s">
        <v>560</v>
      </c>
      <c r="B230" s="41">
        <v>44992</v>
      </c>
      <c r="C230" s="42">
        <v>45017</v>
      </c>
      <c r="D230" s="43">
        <f t="shared" si="27"/>
        <v>25</v>
      </c>
      <c r="E230" s="43" t="str">
        <f>TEXT(Data!B230,"MMM-YYYY")</f>
        <v>Mar-2023</v>
      </c>
      <c r="F230" s="43" t="str">
        <f t="shared" si="23"/>
        <v>Q1-2023</v>
      </c>
      <c r="G230" s="33" t="s">
        <v>16</v>
      </c>
      <c r="H230" s="33" t="s">
        <v>17</v>
      </c>
      <c r="I230" s="33" t="s">
        <v>33</v>
      </c>
      <c r="J230" s="33" t="s">
        <v>48</v>
      </c>
      <c r="K230" s="33" t="s">
        <v>40</v>
      </c>
      <c r="L230" s="33" t="s">
        <v>145</v>
      </c>
      <c r="M230" s="33" t="s">
        <v>30</v>
      </c>
      <c r="N230" s="33" t="s">
        <v>561</v>
      </c>
      <c r="O230" s="43">
        <v>1024.0999999999999</v>
      </c>
      <c r="P230" s="44" t="str">
        <f t="shared" si="24"/>
        <v>High</v>
      </c>
      <c r="Q230" s="43">
        <v>918.19</v>
      </c>
      <c r="R230" s="43">
        <v>0.189</v>
      </c>
      <c r="S230" s="43">
        <v>10</v>
      </c>
      <c r="T230" s="43">
        <f t="shared" si="21"/>
        <v>13522.938400000001</v>
      </c>
      <c r="U230" s="33">
        <f t="shared" si="22"/>
        <v>10241</v>
      </c>
      <c r="V230" s="43">
        <f t="shared" si="25"/>
        <v>3281.9384000000009</v>
      </c>
      <c r="W230" s="45">
        <f t="shared" si="26"/>
        <v>0.24269417658517181</v>
      </c>
    </row>
    <row r="231" spans="1:23" x14ac:dyDescent="0.3">
      <c r="A231" s="34" t="s">
        <v>562</v>
      </c>
      <c r="B231" s="35">
        <v>45069</v>
      </c>
      <c r="C231" s="36">
        <v>45087</v>
      </c>
      <c r="D231" s="37">
        <f t="shared" si="27"/>
        <v>18</v>
      </c>
      <c r="E231" s="37" t="str">
        <f>TEXT(Data!B231,"MMM-YYYY")</f>
        <v>May-2023</v>
      </c>
      <c r="F231" s="37" t="str">
        <f t="shared" si="23"/>
        <v>Q2-2023</v>
      </c>
      <c r="G231" s="32" t="s">
        <v>45</v>
      </c>
      <c r="H231" s="32" t="s">
        <v>116</v>
      </c>
      <c r="I231" s="32" t="s">
        <v>162</v>
      </c>
      <c r="J231" s="32" t="s">
        <v>19</v>
      </c>
      <c r="K231" s="32" t="s">
        <v>55</v>
      </c>
      <c r="L231" s="32" t="s">
        <v>63</v>
      </c>
      <c r="M231" s="32" t="s">
        <v>22</v>
      </c>
      <c r="N231" s="32" t="s">
        <v>563</v>
      </c>
      <c r="O231" s="37">
        <v>54.62</v>
      </c>
      <c r="P231" s="38" t="str">
        <f t="shared" si="24"/>
        <v>Low</v>
      </c>
      <c r="Q231" s="37">
        <v>48.94</v>
      </c>
      <c r="R231" s="37">
        <v>0.14799999999999999</v>
      </c>
      <c r="S231" s="37">
        <v>16</v>
      </c>
      <c r="T231" s="37">
        <f t="shared" si="21"/>
        <v>34932.681600000004</v>
      </c>
      <c r="U231" s="32">
        <f t="shared" si="22"/>
        <v>873.92</v>
      </c>
      <c r="V231" s="37">
        <f t="shared" si="25"/>
        <v>34058.761600000005</v>
      </c>
      <c r="W231" s="39">
        <f t="shared" si="26"/>
        <v>0.9749827393726338</v>
      </c>
    </row>
    <row r="232" spans="1:23" x14ac:dyDescent="0.3">
      <c r="A232" s="40" t="s">
        <v>564</v>
      </c>
      <c r="B232" s="41">
        <v>45771</v>
      </c>
      <c r="C232" s="42">
        <v>45783</v>
      </c>
      <c r="D232" s="43">
        <f t="shared" si="27"/>
        <v>12</v>
      </c>
      <c r="E232" s="43" t="str">
        <f>TEXT(Data!B232,"MMM-YYYY")</f>
        <v>Apr-2025</v>
      </c>
      <c r="F232" s="43" t="str">
        <f t="shared" si="23"/>
        <v>Q2-2025</v>
      </c>
      <c r="G232" s="33" t="s">
        <v>52</v>
      </c>
      <c r="H232" s="33" t="s">
        <v>73</v>
      </c>
      <c r="I232" s="33" t="s">
        <v>87</v>
      </c>
      <c r="J232" s="33" t="s">
        <v>48</v>
      </c>
      <c r="K232" s="33" t="s">
        <v>28</v>
      </c>
      <c r="L232" s="33" t="s">
        <v>21</v>
      </c>
      <c r="M232" s="33" t="s">
        <v>42</v>
      </c>
      <c r="N232" s="33" t="s">
        <v>565</v>
      </c>
      <c r="O232" s="43">
        <v>394.13</v>
      </c>
      <c r="P232" s="44" t="str">
        <f t="shared" si="24"/>
        <v>High</v>
      </c>
      <c r="Q232" s="43">
        <v>932.29</v>
      </c>
      <c r="R232" s="43">
        <v>0.109</v>
      </c>
      <c r="S232" s="43">
        <v>7</v>
      </c>
      <c r="T232" s="43">
        <f t="shared" si="21"/>
        <v>4648.9350599999998</v>
      </c>
      <c r="U232" s="33">
        <f t="shared" si="22"/>
        <v>2758.91</v>
      </c>
      <c r="V232" s="43">
        <f t="shared" si="25"/>
        <v>1890.0250599999999</v>
      </c>
      <c r="W232" s="45">
        <f t="shared" si="26"/>
        <v>0.40655010999443819</v>
      </c>
    </row>
    <row r="233" spans="1:23" x14ac:dyDescent="0.3">
      <c r="A233" s="34" t="s">
        <v>566</v>
      </c>
      <c r="B233" s="35">
        <v>45538</v>
      </c>
      <c r="C233" s="36">
        <v>45543</v>
      </c>
      <c r="D233" s="37">
        <f t="shared" si="27"/>
        <v>5</v>
      </c>
      <c r="E233" s="37" t="str">
        <f>TEXT(Data!B233,"MMM-YYYY")</f>
        <v>Sep-2024</v>
      </c>
      <c r="F233" s="37" t="str">
        <f t="shared" si="23"/>
        <v>Q3-2024</v>
      </c>
      <c r="G233" s="32" t="s">
        <v>16</v>
      </c>
      <c r="H233" s="32" t="s">
        <v>25</v>
      </c>
      <c r="I233" s="32" t="s">
        <v>38</v>
      </c>
      <c r="J233" s="32" t="s">
        <v>62</v>
      </c>
      <c r="K233" s="32" t="s">
        <v>98</v>
      </c>
      <c r="L233" s="32" t="s">
        <v>95</v>
      </c>
      <c r="M233" s="32" t="s">
        <v>30</v>
      </c>
      <c r="N233" s="32" t="s">
        <v>567</v>
      </c>
      <c r="O233" s="37">
        <v>197.63</v>
      </c>
      <c r="P233" s="38" t="str">
        <f t="shared" si="24"/>
        <v>High</v>
      </c>
      <c r="Q233" s="37">
        <v>325.79000000000002</v>
      </c>
      <c r="R233" s="37">
        <v>0.11600000000000001</v>
      </c>
      <c r="S233" s="37">
        <v>10</v>
      </c>
      <c r="T233" s="37">
        <f t="shared" si="21"/>
        <v>6081.4780000000001</v>
      </c>
      <c r="U233" s="32">
        <f t="shared" si="22"/>
        <v>1976.3</v>
      </c>
      <c r="V233" s="37">
        <f t="shared" si="25"/>
        <v>4105.1779999999999</v>
      </c>
      <c r="W233" s="39">
        <f t="shared" si="26"/>
        <v>0.67502965561990025</v>
      </c>
    </row>
    <row r="234" spans="1:23" x14ac:dyDescent="0.3">
      <c r="A234" s="40" t="s">
        <v>568</v>
      </c>
      <c r="B234" s="41">
        <v>45540</v>
      </c>
      <c r="C234" s="42">
        <v>45560</v>
      </c>
      <c r="D234" s="43">
        <f t="shared" si="27"/>
        <v>20</v>
      </c>
      <c r="E234" s="43" t="str">
        <f>TEXT(Data!B234,"MMM-YYYY")</f>
        <v>Sep-2024</v>
      </c>
      <c r="F234" s="43" t="str">
        <f t="shared" si="23"/>
        <v>Q3-2024</v>
      </c>
      <c r="G234" s="33" t="s">
        <v>45</v>
      </c>
      <c r="H234" s="33" t="s">
        <v>46</v>
      </c>
      <c r="I234" s="33" t="s">
        <v>47</v>
      </c>
      <c r="J234" s="33" t="s">
        <v>105</v>
      </c>
      <c r="K234" s="33" t="s">
        <v>55</v>
      </c>
      <c r="L234" s="33" t="s">
        <v>145</v>
      </c>
      <c r="M234" s="33" t="s">
        <v>64</v>
      </c>
      <c r="N234" s="33" t="s">
        <v>569</v>
      </c>
      <c r="O234" s="43">
        <v>195.54</v>
      </c>
      <c r="P234" s="44" t="str">
        <f t="shared" si="24"/>
        <v>High</v>
      </c>
      <c r="Q234" s="43">
        <v>405.97</v>
      </c>
      <c r="R234" s="43">
        <v>0.187</v>
      </c>
      <c r="S234" s="43">
        <v>16</v>
      </c>
      <c r="T234" s="43">
        <f t="shared" si="21"/>
        <v>7155.3105599999999</v>
      </c>
      <c r="U234" s="33">
        <f t="shared" si="22"/>
        <v>3128.64</v>
      </c>
      <c r="V234" s="43">
        <f t="shared" si="25"/>
        <v>4026.67056</v>
      </c>
      <c r="W234" s="45">
        <f t="shared" si="26"/>
        <v>0.56275273116866642</v>
      </c>
    </row>
    <row r="235" spans="1:23" x14ac:dyDescent="0.3">
      <c r="A235" s="34" t="s">
        <v>570</v>
      </c>
      <c r="B235" s="35">
        <v>44999</v>
      </c>
      <c r="C235" s="36">
        <v>45015</v>
      </c>
      <c r="D235" s="37">
        <f t="shared" si="27"/>
        <v>16</v>
      </c>
      <c r="E235" s="37" t="str">
        <f>TEXT(Data!B235,"MMM-YYYY")</f>
        <v>Mar-2023</v>
      </c>
      <c r="F235" s="37" t="str">
        <f t="shared" si="23"/>
        <v>Q1-2023</v>
      </c>
      <c r="G235" s="32" t="s">
        <v>16</v>
      </c>
      <c r="H235" s="32" t="s">
        <v>148</v>
      </c>
      <c r="I235" s="32" t="s">
        <v>258</v>
      </c>
      <c r="J235" s="32" t="s">
        <v>48</v>
      </c>
      <c r="K235" s="32" t="s">
        <v>55</v>
      </c>
      <c r="L235" s="32" t="s">
        <v>95</v>
      </c>
      <c r="M235" s="32" t="s">
        <v>22</v>
      </c>
      <c r="N235" s="32" t="s">
        <v>571</v>
      </c>
      <c r="O235" s="37">
        <v>1309.77</v>
      </c>
      <c r="P235" s="38" t="str">
        <f t="shared" si="24"/>
        <v>High</v>
      </c>
      <c r="Q235" s="37">
        <v>1589.07</v>
      </c>
      <c r="R235" s="37">
        <v>0.10199999999999999</v>
      </c>
      <c r="S235" s="37">
        <v>10</v>
      </c>
      <c r="T235" s="37">
        <f t="shared" si="21"/>
        <v>18572.525799999999</v>
      </c>
      <c r="U235" s="32">
        <f t="shared" si="22"/>
        <v>13097.7</v>
      </c>
      <c r="V235" s="37">
        <f t="shared" si="25"/>
        <v>5474.8257999999987</v>
      </c>
      <c r="W235" s="39">
        <f t="shared" si="26"/>
        <v>0.29478089619883574</v>
      </c>
    </row>
    <row r="236" spans="1:23" x14ac:dyDescent="0.3">
      <c r="A236" s="40" t="s">
        <v>572</v>
      </c>
      <c r="B236" s="41">
        <v>45302</v>
      </c>
      <c r="C236" s="42">
        <v>45324</v>
      </c>
      <c r="D236" s="43">
        <f t="shared" si="27"/>
        <v>22</v>
      </c>
      <c r="E236" s="43" t="str">
        <f>TEXT(Data!B236,"MMM-YYYY")</f>
        <v>Jan-2024</v>
      </c>
      <c r="F236" s="43" t="str">
        <f t="shared" si="23"/>
        <v>Q1-2024</v>
      </c>
      <c r="G236" s="33" t="s">
        <v>45</v>
      </c>
      <c r="H236" s="33" t="s">
        <v>46</v>
      </c>
      <c r="I236" s="33" t="s">
        <v>231</v>
      </c>
      <c r="J236" s="33" t="s">
        <v>62</v>
      </c>
      <c r="K236" s="33" t="s">
        <v>28</v>
      </c>
      <c r="L236" s="33" t="s">
        <v>1364</v>
      </c>
      <c r="M236" s="33" t="s">
        <v>30</v>
      </c>
      <c r="N236" s="33" t="s">
        <v>573</v>
      </c>
      <c r="O236" s="43">
        <v>1237.68</v>
      </c>
      <c r="P236" s="44" t="str">
        <f t="shared" si="24"/>
        <v>High</v>
      </c>
      <c r="Q236" s="43">
        <v>1432.8</v>
      </c>
      <c r="R236" s="43">
        <v>6.8000000000000005E-2</v>
      </c>
      <c r="S236" s="43">
        <v>13</v>
      </c>
      <c r="T236" s="43">
        <f t="shared" si="21"/>
        <v>31218.691400000003</v>
      </c>
      <c r="U236" s="33">
        <f t="shared" si="22"/>
        <v>16089.84</v>
      </c>
      <c r="V236" s="43">
        <f t="shared" si="25"/>
        <v>15128.851400000003</v>
      </c>
      <c r="W236" s="45">
        <f t="shared" si="26"/>
        <v>0.48460876230065175</v>
      </c>
    </row>
    <row r="237" spans="1:23" x14ac:dyDescent="0.3">
      <c r="A237" s="34" t="s">
        <v>574</v>
      </c>
      <c r="B237" s="35">
        <v>45548</v>
      </c>
      <c r="C237" s="36">
        <v>45567</v>
      </c>
      <c r="D237" s="37">
        <f t="shared" si="27"/>
        <v>19</v>
      </c>
      <c r="E237" s="37" t="str">
        <f>TEXT(Data!B237,"MMM-YYYY")</f>
        <v>Sep-2024</v>
      </c>
      <c r="F237" s="37" t="str">
        <f t="shared" si="23"/>
        <v>Q3-2024</v>
      </c>
      <c r="G237" s="32" t="s">
        <v>16</v>
      </c>
      <c r="H237" s="32" t="s">
        <v>17</v>
      </c>
      <c r="I237" s="32" t="s">
        <v>113</v>
      </c>
      <c r="J237" s="32" t="s">
        <v>62</v>
      </c>
      <c r="K237" s="32" t="s">
        <v>20</v>
      </c>
      <c r="L237" s="32" t="s">
        <v>110</v>
      </c>
      <c r="M237" s="32" t="s">
        <v>42</v>
      </c>
      <c r="N237" s="32" t="s">
        <v>575</v>
      </c>
      <c r="O237" s="37">
        <v>1338.99</v>
      </c>
      <c r="P237" s="38" t="str">
        <f t="shared" si="24"/>
        <v>High</v>
      </c>
      <c r="Q237" s="37">
        <v>1765.76</v>
      </c>
      <c r="R237" s="37">
        <v>0.126</v>
      </c>
      <c r="S237" s="37">
        <v>24</v>
      </c>
      <c r="T237" s="37">
        <f t="shared" si="21"/>
        <v>21901.880639999999</v>
      </c>
      <c r="U237" s="32">
        <f t="shared" si="22"/>
        <v>32135.760000000002</v>
      </c>
      <c r="V237" s="37">
        <f t="shared" si="25"/>
        <v>-10233.879360000003</v>
      </c>
      <c r="W237" s="39">
        <f t="shared" si="26"/>
        <v>-0.46726030189889678</v>
      </c>
    </row>
    <row r="238" spans="1:23" x14ac:dyDescent="0.3">
      <c r="A238" s="40" t="s">
        <v>576</v>
      </c>
      <c r="B238" s="41">
        <v>45855</v>
      </c>
      <c r="C238" s="42">
        <v>45861</v>
      </c>
      <c r="D238" s="43">
        <f t="shared" si="27"/>
        <v>6</v>
      </c>
      <c r="E238" s="43" t="str">
        <f>TEXT(Data!B238,"MMM-YYYY")</f>
        <v>Jul-2025</v>
      </c>
      <c r="F238" s="43" t="str">
        <f t="shared" si="23"/>
        <v>Q3-2025</v>
      </c>
      <c r="G238" s="33" t="s">
        <v>52</v>
      </c>
      <c r="H238" s="33" t="s">
        <v>53</v>
      </c>
      <c r="I238" s="33" t="s">
        <v>179</v>
      </c>
      <c r="J238" s="33" t="s">
        <v>48</v>
      </c>
      <c r="K238" s="33" t="s">
        <v>28</v>
      </c>
      <c r="L238" s="33" t="s">
        <v>92</v>
      </c>
      <c r="M238" s="33" t="s">
        <v>22</v>
      </c>
      <c r="N238" s="33" t="s">
        <v>577</v>
      </c>
      <c r="O238" s="43">
        <v>1364.89</v>
      </c>
      <c r="P238" s="44" t="str">
        <f t="shared" si="24"/>
        <v>High</v>
      </c>
      <c r="Q238" s="43">
        <v>2757.54</v>
      </c>
      <c r="R238" s="43">
        <v>0.17199999999999999</v>
      </c>
      <c r="S238" s="43">
        <v>61</v>
      </c>
      <c r="T238" s="43">
        <f t="shared" si="21"/>
        <v>5002.3123200000009</v>
      </c>
      <c r="U238" s="33">
        <f t="shared" si="22"/>
        <v>83258.290000000008</v>
      </c>
      <c r="V238" s="43">
        <f t="shared" si="25"/>
        <v>-78255.977680000011</v>
      </c>
      <c r="W238" s="45">
        <f t="shared" si="26"/>
        <v>-15.643960767327698</v>
      </c>
    </row>
    <row r="239" spans="1:23" x14ac:dyDescent="0.3">
      <c r="A239" s="34" t="s">
        <v>578</v>
      </c>
      <c r="B239" s="35">
        <v>45258</v>
      </c>
      <c r="C239" s="36">
        <v>45267</v>
      </c>
      <c r="D239" s="37">
        <f t="shared" si="27"/>
        <v>9</v>
      </c>
      <c r="E239" s="37" t="str">
        <f>TEXT(Data!B239,"MMM-YYYY")</f>
        <v>Nov-2023</v>
      </c>
      <c r="F239" s="37" t="str">
        <f t="shared" si="23"/>
        <v>Q4-2023</v>
      </c>
      <c r="G239" s="32" t="s">
        <v>45</v>
      </c>
      <c r="H239" s="32" t="s">
        <v>60</v>
      </c>
      <c r="I239" s="32" t="s">
        <v>141</v>
      </c>
      <c r="J239" s="32" t="s">
        <v>105</v>
      </c>
      <c r="K239" s="32" t="s">
        <v>40</v>
      </c>
      <c r="L239" s="32" t="s">
        <v>49</v>
      </c>
      <c r="M239" s="32" t="s">
        <v>42</v>
      </c>
      <c r="N239" s="32" t="s">
        <v>579</v>
      </c>
      <c r="O239" s="37">
        <v>699.33</v>
      </c>
      <c r="P239" s="38" t="str">
        <f t="shared" si="24"/>
        <v>High</v>
      </c>
      <c r="Q239" s="37">
        <v>873.75</v>
      </c>
      <c r="R239" s="37">
        <v>0.23499999999999999</v>
      </c>
      <c r="S239" s="37">
        <v>10</v>
      </c>
      <c r="T239" s="37">
        <f t="shared" si="21"/>
        <v>15275.5965</v>
      </c>
      <c r="U239" s="32">
        <f t="shared" si="22"/>
        <v>6993.3</v>
      </c>
      <c r="V239" s="37">
        <f t="shared" si="25"/>
        <v>8282.2965000000004</v>
      </c>
      <c r="W239" s="39">
        <f t="shared" si="26"/>
        <v>0.5421913638527962</v>
      </c>
    </row>
    <row r="240" spans="1:23" x14ac:dyDescent="0.3">
      <c r="A240" s="40" t="s">
        <v>580</v>
      </c>
      <c r="B240" s="41">
        <v>45381</v>
      </c>
      <c r="C240" s="42">
        <v>45406</v>
      </c>
      <c r="D240" s="43">
        <f t="shared" si="27"/>
        <v>25</v>
      </c>
      <c r="E240" s="43" t="str">
        <f>TEXT(Data!B240,"MMM-YYYY")</f>
        <v>Mar-2024</v>
      </c>
      <c r="F240" s="43" t="str">
        <f t="shared" si="23"/>
        <v>Q1-2024</v>
      </c>
      <c r="G240" s="33" t="s">
        <v>52</v>
      </c>
      <c r="H240" s="33" t="s">
        <v>122</v>
      </c>
      <c r="I240" s="33" t="s">
        <v>326</v>
      </c>
      <c r="J240" s="33" t="s">
        <v>39</v>
      </c>
      <c r="K240" s="33" t="s">
        <v>28</v>
      </c>
      <c r="L240" s="33" t="s">
        <v>41</v>
      </c>
      <c r="M240" s="33" t="s">
        <v>57</v>
      </c>
      <c r="N240" s="33" t="s">
        <v>581</v>
      </c>
      <c r="O240" s="43">
        <v>160.82</v>
      </c>
      <c r="P240" s="44" t="str">
        <f t="shared" si="24"/>
        <v>High</v>
      </c>
      <c r="Q240" s="43">
        <v>258.52</v>
      </c>
      <c r="R240" s="43">
        <v>0.13</v>
      </c>
      <c r="S240" s="43">
        <v>17</v>
      </c>
      <c r="T240" s="43">
        <f t="shared" si="21"/>
        <v>13631.647199999999</v>
      </c>
      <c r="U240" s="33">
        <f t="shared" si="22"/>
        <v>2733.94</v>
      </c>
      <c r="V240" s="43">
        <f t="shared" si="25"/>
        <v>10897.707199999999</v>
      </c>
      <c r="W240" s="45">
        <f t="shared" si="26"/>
        <v>0.79944169916604058</v>
      </c>
    </row>
    <row r="241" spans="1:23" x14ac:dyDescent="0.3">
      <c r="A241" s="34" t="s">
        <v>582</v>
      </c>
      <c r="B241" s="35">
        <v>45188</v>
      </c>
      <c r="C241" s="36">
        <v>45207</v>
      </c>
      <c r="D241" s="37">
        <f t="shared" si="27"/>
        <v>19</v>
      </c>
      <c r="E241" s="37" t="str">
        <f>TEXT(Data!B241,"MMM-YYYY")</f>
        <v>Sep-2023</v>
      </c>
      <c r="F241" s="37" t="str">
        <f t="shared" si="23"/>
        <v>Q3-2023</v>
      </c>
      <c r="G241" s="32" t="s">
        <v>45</v>
      </c>
      <c r="H241" s="32" t="s">
        <v>60</v>
      </c>
      <c r="I241" s="32" t="s">
        <v>61</v>
      </c>
      <c r="J241" s="32" t="s">
        <v>27</v>
      </c>
      <c r="K241" s="32" t="s">
        <v>98</v>
      </c>
      <c r="L241" s="32" t="s">
        <v>29</v>
      </c>
      <c r="M241" s="32" t="s">
        <v>30</v>
      </c>
      <c r="N241" s="32" t="s">
        <v>583</v>
      </c>
      <c r="O241" s="37">
        <v>385.32</v>
      </c>
      <c r="P241" s="38" t="str">
        <f t="shared" si="24"/>
        <v>High</v>
      </c>
      <c r="Q241" s="37">
        <v>606.76</v>
      </c>
      <c r="R241" s="37">
        <v>8.5999999999999993E-2</v>
      </c>
      <c r="S241" s="37">
        <v>8</v>
      </c>
      <c r="T241" s="37">
        <f t="shared" si="21"/>
        <v>18307.712480000002</v>
      </c>
      <c r="U241" s="32">
        <f t="shared" si="22"/>
        <v>3082.56</v>
      </c>
      <c r="V241" s="37">
        <f t="shared" si="25"/>
        <v>15225.152480000002</v>
      </c>
      <c r="W241" s="39">
        <f t="shared" si="26"/>
        <v>0.8316250594732959</v>
      </c>
    </row>
    <row r="242" spans="1:23" x14ac:dyDescent="0.3">
      <c r="A242" s="40" t="s">
        <v>584</v>
      </c>
      <c r="B242" s="41">
        <v>45793</v>
      </c>
      <c r="C242" s="42">
        <v>45804</v>
      </c>
      <c r="D242" s="43">
        <f t="shared" si="27"/>
        <v>11</v>
      </c>
      <c r="E242" s="43" t="str">
        <f>TEXT(Data!B242,"MMM-YYYY")</f>
        <v>May-2025</v>
      </c>
      <c r="F242" s="43" t="str">
        <f t="shared" si="23"/>
        <v>Q2-2025</v>
      </c>
      <c r="G242" s="33" t="s">
        <v>45</v>
      </c>
      <c r="H242" s="33" t="s">
        <v>116</v>
      </c>
      <c r="I242" s="33" t="s">
        <v>338</v>
      </c>
      <c r="J242" s="33" t="s">
        <v>105</v>
      </c>
      <c r="K242" s="33" t="s">
        <v>28</v>
      </c>
      <c r="L242" s="33" t="s">
        <v>84</v>
      </c>
      <c r="M242" s="33" t="s">
        <v>42</v>
      </c>
      <c r="N242" s="33" t="s">
        <v>585</v>
      </c>
      <c r="O242" s="43">
        <v>918.12</v>
      </c>
      <c r="P242" s="44" t="str">
        <f t="shared" si="24"/>
        <v>High</v>
      </c>
      <c r="Q242" s="43">
        <v>1337.69</v>
      </c>
      <c r="R242" s="43">
        <v>9.5000000000000001E-2</v>
      </c>
      <c r="S242" s="43">
        <v>8</v>
      </c>
      <c r="T242" s="43">
        <f t="shared" si="21"/>
        <v>17830.4548</v>
      </c>
      <c r="U242" s="33">
        <f t="shared" si="22"/>
        <v>7344.96</v>
      </c>
      <c r="V242" s="43">
        <f t="shared" si="25"/>
        <v>10485.4948</v>
      </c>
      <c r="W242" s="45">
        <f t="shared" si="26"/>
        <v>0.58806659267042372</v>
      </c>
    </row>
    <row r="243" spans="1:23" x14ac:dyDescent="0.3">
      <c r="A243" s="34" t="s">
        <v>586</v>
      </c>
      <c r="B243" s="35">
        <v>45871</v>
      </c>
      <c r="C243" s="36">
        <v>45877</v>
      </c>
      <c r="D243" s="37">
        <f t="shared" si="27"/>
        <v>6</v>
      </c>
      <c r="E243" s="37" t="str">
        <f>TEXT(Data!B243,"MMM-YYYY")</f>
        <v>Aug-2025</v>
      </c>
      <c r="F243" s="37" t="str">
        <f t="shared" si="23"/>
        <v>Q3-2025</v>
      </c>
      <c r="G243" s="32" t="s">
        <v>45</v>
      </c>
      <c r="H243" s="32" t="s">
        <v>46</v>
      </c>
      <c r="I243" s="32" t="s">
        <v>47</v>
      </c>
      <c r="J243" s="32" t="s">
        <v>48</v>
      </c>
      <c r="K243" s="32" t="s">
        <v>98</v>
      </c>
      <c r="L243" s="32" t="s">
        <v>126</v>
      </c>
      <c r="M243" s="32" t="s">
        <v>57</v>
      </c>
      <c r="N243" s="32" t="s">
        <v>587</v>
      </c>
      <c r="O243" s="37">
        <v>1225.94</v>
      </c>
      <c r="P243" s="38" t="str">
        <f t="shared" si="24"/>
        <v>High</v>
      </c>
      <c r="Q243" s="37">
        <v>1793.08</v>
      </c>
      <c r="R243" s="37">
        <v>0.13600000000000001</v>
      </c>
      <c r="S243" s="37">
        <v>22</v>
      </c>
      <c r="T243" s="37">
        <f t="shared" si="21"/>
        <v>9431.7695999999996</v>
      </c>
      <c r="U243" s="32">
        <f t="shared" si="22"/>
        <v>26970.68</v>
      </c>
      <c r="V243" s="37">
        <f t="shared" si="25"/>
        <v>-17538.910400000001</v>
      </c>
      <c r="W243" s="39">
        <f t="shared" si="26"/>
        <v>-1.8595567050323198</v>
      </c>
    </row>
    <row r="244" spans="1:23" x14ac:dyDescent="0.3">
      <c r="A244" s="40" t="s">
        <v>588</v>
      </c>
      <c r="B244" s="41">
        <v>45630</v>
      </c>
      <c r="C244" s="42">
        <v>45638</v>
      </c>
      <c r="D244" s="43">
        <f t="shared" si="27"/>
        <v>8</v>
      </c>
      <c r="E244" s="43" t="str">
        <f>TEXT(Data!B244,"MMM-YYYY")</f>
        <v>Dec-2024</v>
      </c>
      <c r="F244" s="43" t="str">
        <f t="shared" si="23"/>
        <v>Q4-2024</v>
      </c>
      <c r="G244" s="33" t="s">
        <v>78</v>
      </c>
      <c r="H244" s="33" t="s">
        <v>79</v>
      </c>
      <c r="I244" s="33" t="s">
        <v>335</v>
      </c>
      <c r="J244" s="33" t="s">
        <v>105</v>
      </c>
      <c r="K244" s="33" t="s">
        <v>40</v>
      </c>
      <c r="L244" s="33" t="s">
        <v>56</v>
      </c>
      <c r="M244" s="33" t="s">
        <v>30</v>
      </c>
      <c r="N244" s="33" t="s">
        <v>589</v>
      </c>
      <c r="O244" s="43">
        <v>72.06</v>
      </c>
      <c r="P244" s="44" t="str">
        <f t="shared" si="24"/>
        <v>Medium</v>
      </c>
      <c r="Q244" s="43">
        <v>122.74</v>
      </c>
      <c r="R244" s="43">
        <v>0.23799999999999999</v>
      </c>
      <c r="S244" s="43">
        <v>8</v>
      </c>
      <c r="T244" s="43">
        <f t="shared" si="21"/>
        <v>5532.6686399999999</v>
      </c>
      <c r="U244" s="33">
        <f t="shared" si="22"/>
        <v>576.48</v>
      </c>
      <c r="V244" s="43">
        <f t="shared" si="25"/>
        <v>4956.1886400000003</v>
      </c>
      <c r="W244" s="45">
        <f t="shared" si="26"/>
        <v>0.89580435093615152</v>
      </c>
    </row>
    <row r="245" spans="1:23" x14ac:dyDescent="0.3">
      <c r="A245" s="34" t="s">
        <v>590</v>
      </c>
      <c r="B245" s="35">
        <v>45035</v>
      </c>
      <c r="C245" s="36">
        <v>45044</v>
      </c>
      <c r="D245" s="37">
        <f t="shared" si="27"/>
        <v>9</v>
      </c>
      <c r="E245" s="37" t="str">
        <f>TEXT(Data!B245,"MMM-YYYY")</f>
        <v>Apr-2023</v>
      </c>
      <c r="F245" s="37" t="str">
        <f t="shared" si="23"/>
        <v>Q2-2023</v>
      </c>
      <c r="G245" s="32" t="s">
        <v>52</v>
      </c>
      <c r="H245" s="32" t="s">
        <v>73</v>
      </c>
      <c r="I245" s="32" t="s">
        <v>225</v>
      </c>
      <c r="J245" s="32" t="s">
        <v>19</v>
      </c>
      <c r="K245" s="32" t="s">
        <v>55</v>
      </c>
      <c r="L245" s="32" t="s">
        <v>110</v>
      </c>
      <c r="M245" s="32" t="s">
        <v>42</v>
      </c>
      <c r="N245" s="32" t="s">
        <v>591</v>
      </c>
      <c r="O245" s="37">
        <v>1013.54</v>
      </c>
      <c r="P245" s="38" t="str">
        <f t="shared" si="24"/>
        <v>High</v>
      </c>
      <c r="Q245" s="37">
        <v>927.93</v>
      </c>
      <c r="R245" s="37">
        <v>0.17499999999999999</v>
      </c>
      <c r="S245" s="37">
        <v>16</v>
      </c>
      <c r="T245" s="37">
        <f t="shared" si="21"/>
        <v>4411.308</v>
      </c>
      <c r="U245" s="32">
        <f t="shared" si="22"/>
        <v>16216.64</v>
      </c>
      <c r="V245" s="37">
        <f t="shared" si="25"/>
        <v>-11805.331999999999</v>
      </c>
      <c r="W245" s="39">
        <f t="shared" si="26"/>
        <v>-2.6761522886182507</v>
      </c>
    </row>
    <row r="246" spans="1:23" x14ac:dyDescent="0.3">
      <c r="A246" s="40" t="s">
        <v>592</v>
      </c>
      <c r="B246" s="41">
        <v>45357</v>
      </c>
      <c r="C246" s="42">
        <v>45377</v>
      </c>
      <c r="D246" s="43">
        <f t="shared" si="27"/>
        <v>20</v>
      </c>
      <c r="E246" s="43" t="str">
        <f>TEXT(Data!B246,"MMM-YYYY")</f>
        <v>Mar-2024</v>
      </c>
      <c r="F246" s="43" t="str">
        <f t="shared" si="23"/>
        <v>Q1-2024</v>
      </c>
      <c r="G246" s="33" t="s">
        <v>16</v>
      </c>
      <c r="H246" s="33" t="s">
        <v>25</v>
      </c>
      <c r="I246" s="33" t="s">
        <v>26</v>
      </c>
      <c r="J246" s="33" t="s">
        <v>48</v>
      </c>
      <c r="K246" s="33" t="s">
        <v>40</v>
      </c>
      <c r="L246" s="33" t="s">
        <v>34</v>
      </c>
      <c r="M246" s="33" t="s">
        <v>42</v>
      </c>
      <c r="N246" s="33" t="s">
        <v>593</v>
      </c>
      <c r="O246" s="43">
        <v>65.64</v>
      </c>
      <c r="P246" s="44" t="str">
        <f t="shared" si="24"/>
        <v>Medium</v>
      </c>
      <c r="Q246" s="43">
        <v>151.88</v>
      </c>
      <c r="R246" s="43">
        <v>0.16700000000000001</v>
      </c>
      <c r="S246" s="43">
        <v>23</v>
      </c>
      <c r="T246" s="43">
        <f t="shared" si="21"/>
        <v>10322.677609999999</v>
      </c>
      <c r="U246" s="33">
        <f t="shared" si="22"/>
        <v>1509.72</v>
      </c>
      <c r="V246" s="43">
        <f t="shared" si="25"/>
        <v>8812.9576099999995</v>
      </c>
      <c r="W246" s="45">
        <f t="shared" si="26"/>
        <v>0.8537472488206479</v>
      </c>
    </row>
    <row r="247" spans="1:23" x14ac:dyDescent="0.3">
      <c r="A247" s="34" t="s">
        <v>594</v>
      </c>
      <c r="B247" s="35">
        <v>45338</v>
      </c>
      <c r="C247" s="36">
        <v>45355</v>
      </c>
      <c r="D247" s="37">
        <f t="shared" si="27"/>
        <v>17</v>
      </c>
      <c r="E247" s="37" t="str">
        <f>TEXT(Data!B247,"MMM-YYYY")</f>
        <v>Feb-2024</v>
      </c>
      <c r="F247" s="37" t="str">
        <f t="shared" si="23"/>
        <v>Q1-2024</v>
      </c>
      <c r="G247" s="32" t="s">
        <v>52</v>
      </c>
      <c r="H247" s="32" t="s">
        <v>53</v>
      </c>
      <c r="I247" s="32" t="s">
        <v>144</v>
      </c>
      <c r="J247" s="32" t="s">
        <v>39</v>
      </c>
      <c r="K247" s="32" t="s">
        <v>20</v>
      </c>
      <c r="L247" s="32" t="s">
        <v>145</v>
      </c>
      <c r="M247" s="32" t="s">
        <v>57</v>
      </c>
      <c r="N247" s="32" t="s">
        <v>595</v>
      </c>
      <c r="O247" s="37">
        <v>1350.98</v>
      </c>
      <c r="P247" s="38" t="str">
        <f t="shared" si="24"/>
        <v>High</v>
      </c>
      <c r="Q247" s="37">
        <v>2210.4</v>
      </c>
      <c r="R247" s="37">
        <v>0.26300000000000001</v>
      </c>
      <c r="S247" s="37">
        <v>6</v>
      </c>
      <c r="T247" s="37">
        <f t="shared" si="21"/>
        <v>6352.3798799999995</v>
      </c>
      <c r="U247" s="32">
        <f t="shared" si="22"/>
        <v>8105.88</v>
      </c>
      <c r="V247" s="37">
        <f t="shared" si="25"/>
        <v>-1753.5001200000006</v>
      </c>
      <c r="W247" s="39">
        <f t="shared" si="26"/>
        <v>-0.27603829637468102</v>
      </c>
    </row>
    <row r="248" spans="1:23" x14ac:dyDescent="0.3">
      <c r="A248" s="40" t="s">
        <v>596</v>
      </c>
      <c r="B248" s="41">
        <v>45769</v>
      </c>
      <c r="C248" s="42">
        <v>45779</v>
      </c>
      <c r="D248" s="43">
        <f t="shared" si="27"/>
        <v>10</v>
      </c>
      <c r="E248" s="43" t="str">
        <f>TEXT(Data!B248,"MMM-YYYY")</f>
        <v>Apr-2025</v>
      </c>
      <c r="F248" s="43" t="str">
        <f t="shared" si="23"/>
        <v>Q2-2025</v>
      </c>
      <c r="G248" s="33" t="s">
        <v>78</v>
      </c>
      <c r="H248" s="33" t="s">
        <v>79</v>
      </c>
      <c r="I248" s="33" t="s">
        <v>80</v>
      </c>
      <c r="J248" s="33" t="s">
        <v>19</v>
      </c>
      <c r="K248" s="33" t="s">
        <v>40</v>
      </c>
      <c r="L248" s="33" t="s">
        <v>21</v>
      </c>
      <c r="M248" s="33" t="s">
        <v>64</v>
      </c>
      <c r="N248" s="33" t="s">
        <v>597</v>
      </c>
      <c r="O248" s="43">
        <v>20.149999999999999</v>
      </c>
      <c r="P248" s="44" t="str">
        <f t="shared" si="24"/>
        <v>Low</v>
      </c>
      <c r="Q248" s="43">
        <v>39.74</v>
      </c>
      <c r="R248" s="43">
        <v>0.151</v>
      </c>
      <c r="S248" s="43">
        <v>18</v>
      </c>
      <c r="T248" s="43">
        <f t="shared" si="21"/>
        <v>26996.417099999999</v>
      </c>
      <c r="U248" s="33">
        <f t="shared" si="22"/>
        <v>362.7</v>
      </c>
      <c r="V248" s="43">
        <f t="shared" si="25"/>
        <v>26633.717099999998</v>
      </c>
      <c r="W248" s="45">
        <f t="shared" si="26"/>
        <v>0.98656488382675045</v>
      </c>
    </row>
    <row r="249" spans="1:23" x14ac:dyDescent="0.3">
      <c r="A249" s="34" t="s">
        <v>598</v>
      </c>
      <c r="B249" s="35">
        <v>45604</v>
      </c>
      <c r="C249" s="36">
        <v>45604</v>
      </c>
      <c r="D249" s="37">
        <f t="shared" si="27"/>
        <v>0</v>
      </c>
      <c r="E249" s="37" t="str">
        <f>TEXT(Data!B249,"MMM-YYYY")</f>
        <v>Nov-2024</v>
      </c>
      <c r="F249" s="37" t="str">
        <f t="shared" si="23"/>
        <v>Q4-2024</v>
      </c>
      <c r="G249" s="32" t="s">
        <v>16</v>
      </c>
      <c r="H249" s="32" t="s">
        <v>17</v>
      </c>
      <c r="I249" s="32" t="s">
        <v>135</v>
      </c>
      <c r="J249" s="32" t="s">
        <v>105</v>
      </c>
      <c r="K249" s="32" t="s">
        <v>40</v>
      </c>
      <c r="L249" s="32" t="s">
        <v>110</v>
      </c>
      <c r="M249" s="32" t="s">
        <v>35</v>
      </c>
      <c r="N249" s="32" t="s">
        <v>599</v>
      </c>
      <c r="O249" s="37">
        <v>803.28</v>
      </c>
      <c r="P249" s="38" t="str">
        <f t="shared" si="24"/>
        <v>High</v>
      </c>
      <c r="Q249" s="37">
        <v>1009</v>
      </c>
      <c r="R249" s="37">
        <v>0.11</v>
      </c>
      <c r="S249" s="37">
        <v>4</v>
      </c>
      <c r="T249" s="37">
        <f t="shared" si="21"/>
        <v>2237.6023999999998</v>
      </c>
      <c r="U249" s="32">
        <f t="shared" si="22"/>
        <v>3213.12</v>
      </c>
      <c r="V249" s="37">
        <f t="shared" si="25"/>
        <v>-975.51760000000013</v>
      </c>
      <c r="W249" s="39">
        <f t="shared" si="26"/>
        <v>-0.43596556743056775</v>
      </c>
    </row>
    <row r="250" spans="1:23" x14ac:dyDescent="0.3">
      <c r="A250" s="40" t="s">
        <v>600</v>
      </c>
      <c r="B250" s="41">
        <v>45912</v>
      </c>
      <c r="C250" s="42">
        <v>45930</v>
      </c>
      <c r="D250" s="43">
        <f t="shared" si="27"/>
        <v>18</v>
      </c>
      <c r="E250" s="43" t="str">
        <f>TEXT(Data!B250,"MMM-YYYY")</f>
        <v>Sep-2025</v>
      </c>
      <c r="F250" s="43" t="str">
        <f t="shared" si="23"/>
        <v>Q3-2025</v>
      </c>
      <c r="G250" s="33" t="s">
        <v>45</v>
      </c>
      <c r="H250" s="33" t="s">
        <v>46</v>
      </c>
      <c r="I250" s="33" t="s">
        <v>231</v>
      </c>
      <c r="J250" s="33" t="s">
        <v>39</v>
      </c>
      <c r="K250" s="33" t="s">
        <v>40</v>
      </c>
      <c r="L250" s="33" t="s">
        <v>84</v>
      </c>
      <c r="M250" s="33" t="s">
        <v>64</v>
      </c>
      <c r="N250" s="33" t="s">
        <v>601</v>
      </c>
      <c r="O250" s="43">
        <v>1212.99</v>
      </c>
      <c r="P250" s="44" t="str">
        <f t="shared" si="24"/>
        <v>High</v>
      </c>
      <c r="Q250" s="43">
        <v>1653.64</v>
      </c>
      <c r="R250" s="43">
        <v>0.107</v>
      </c>
      <c r="S250" s="43">
        <v>8</v>
      </c>
      <c r="T250" s="43">
        <f t="shared" si="21"/>
        <v>11792.958000000001</v>
      </c>
      <c r="U250" s="33">
        <f t="shared" si="22"/>
        <v>9703.92</v>
      </c>
      <c r="V250" s="43">
        <f t="shared" si="25"/>
        <v>2089.0380000000005</v>
      </c>
      <c r="W250" s="45">
        <f t="shared" si="26"/>
        <v>0.17714283388442495</v>
      </c>
    </row>
    <row r="251" spans="1:23" x14ac:dyDescent="0.3">
      <c r="A251" s="34" t="s">
        <v>602</v>
      </c>
      <c r="B251" s="35">
        <v>45537</v>
      </c>
      <c r="C251" s="36">
        <v>45543</v>
      </c>
      <c r="D251" s="37">
        <f t="shared" si="27"/>
        <v>6</v>
      </c>
      <c r="E251" s="37" t="str">
        <f>TEXT(Data!B251,"MMM-YYYY")</f>
        <v>Sep-2024</v>
      </c>
      <c r="F251" s="37" t="str">
        <f t="shared" si="23"/>
        <v>Q3-2024</v>
      </c>
      <c r="G251" s="32" t="s">
        <v>52</v>
      </c>
      <c r="H251" s="32" t="s">
        <v>122</v>
      </c>
      <c r="I251" s="32" t="s">
        <v>326</v>
      </c>
      <c r="J251" s="32" t="s">
        <v>48</v>
      </c>
      <c r="K251" s="32" t="s">
        <v>98</v>
      </c>
      <c r="L251" s="32" t="s">
        <v>92</v>
      </c>
      <c r="M251" s="32" t="s">
        <v>22</v>
      </c>
      <c r="N251" s="32" t="s">
        <v>603</v>
      </c>
      <c r="O251" s="37">
        <v>462.94</v>
      </c>
      <c r="P251" s="38" t="str">
        <f t="shared" si="24"/>
        <v>High</v>
      </c>
      <c r="Q251" s="37">
        <v>1015.7</v>
      </c>
      <c r="R251" s="37">
        <v>0.14299999999999999</v>
      </c>
      <c r="S251" s="37">
        <v>14</v>
      </c>
      <c r="T251" s="37">
        <f t="shared" si="21"/>
        <v>26961.185719999998</v>
      </c>
      <c r="U251" s="32">
        <f t="shared" si="22"/>
        <v>6481.16</v>
      </c>
      <c r="V251" s="37">
        <f t="shared" si="25"/>
        <v>20480.025719999998</v>
      </c>
      <c r="W251" s="39">
        <f t="shared" si="26"/>
        <v>0.75961146266678359</v>
      </c>
    </row>
    <row r="252" spans="1:23" x14ac:dyDescent="0.3">
      <c r="A252" s="40" t="s">
        <v>604</v>
      </c>
      <c r="B252" s="41">
        <v>44989</v>
      </c>
      <c r="C252" s="42">
        <v>45009</v>
      </c>
      <c r="D252" s="43">
        <f t="shared" si="27"/>
        <v>20</v>
      </c>
      <c r="E252" s="43" t="str">
        <f>TEXT(Data!B252,"MMM-YYYY")</f>
        <v>Mar-2023</v>
      </c>
      <c r="F252" s="43" t="str">
        <f t="shared" si="23"/>
        <v>Q1-2023</v>
      </c>
      <c r="G252" s="33" t="s">
        <v>52</v>
      </c>
      <c r="H252" s="33" t="s">
        <v>53</v>
      </c>
      <c r="I252" s="33" t="s">
        <v>144</v>
      </c>
      <c r="J252" s="33" t="s">
        <v>48</v>
      </c>
      <c r="K252" s="33" t="s">
        <v>55</v>
      </c>
      <c r="L252" s="33" t="s">
        <v>34</v>
      </c>
      <c r="M252" s="33" t="s">
        <v>57</v>
      </c>
      <c r="N252" s="33" t="s">
        <v>605</v>
      </c>
      <c r="O252" s="43">
        <v>481.71</v>
      </c>
      <c r="P252" s="44" t="str">
        <f t="shared" si="24"/>
        <v>High</v>
      </c>
      <c r="Q252" s="43">
        <v>912.45</v>
      </c>
      <c r="R252" s="43">
        <v>0.20300000000000001</v>
      </c>
      <c r="S252" s="43">
        <v>24</v>
      </c>
      <c r="T252" s="43">
        <f t="shared" si="21"/>
        <v>17084.938320000001</v>
      </c>
      <c r="U252" s="33">
        <f t="shared" si="22"/>
        <v>11561.039999999999</v>
      </c>
      <c r="V252" s="43">
        <f t="shared" si="25"/>
        <v>5523.8983200000021</v>
      </c>
      <c r="W252" s="45">
        <f t="shared" si="26"/>
        <v>0.3233197695266834</v>
      </c>
    </row>
    <row r="253" spans="1:23" x14ac:dyDescent="0.3">
      <c r="A253" s="34" t="s">
        <v>606</v>
      </c>
      <c r="B253" s="35">
        <v>45366</v>
      </c>
      <c r="C253" s="36">
        <v>45391</v>
      </c>
      <c r="D253" s="37">
        <f t="shared" si="27"/>
        <v>25</v>
      </c>
      <c r="E253" s="37" t="str">
        <f>TEXT(Data!B253,"MMM-YYYY")</f>
        <v>Mar-2024</v>
      </c>
      <c r="F253" s="37" t="str">
        <f t="shared" si="23"/>
        <v>Q1-2024</v>
      </c>
      <c r="G253" s="32" t="s">
        <v>52</v>
      </c>
      <c r="H253" s="32" t="s">
        <v>53</v>
      </c>
      <c r="I253" s="32" t="s">
        <v>179</v>
      </c>
      <c r="J253" s="32" t="s">
        <v>48</v>
      </c>
      <c r="K253" s="32" t="s">
        <v>28</v>
      </c>
      <c r="L253" s="32" t="s">
        <v>84</v>
      </c>
      <c r="M253" s="32" t="s">
        <v>64</v>
      </c>
      <c r="N253" s="32" t="s">
        <v>607</v>
      </c>
      <c r="O253" s="37">
        <v>648.64</v>
      </c>
      <c r="P253" s="38" t="str">
        <f t="shared" si="24"/>
        <v>High</v>
      </c>
      <c r="Q253" s="37">
        <v>815.19</v>
      </c>
      <c r="R253" s="37">
        <v>0.22500000000000001</v>
      </c>
      <c r="S253" s="37">
        <v>28</v>
      </c>
      <c r="T253" s="37">
        <f t="shared" si="21"/>
        <v>50537.130000000005</v>
      </c>
      <c r="U253" s="32">
        <f t="shared" si="22"/>
        <v>18161.919999999998</v>
      </c>
      <c r="V253" s="37">
        <f t="shared" si="25"/>
        <v>32375.210000000006</v>
      </c>
      <c r="W253" s="39">
        <f t="shared" si="26"/>
        <v>0.64062225140208795</v>
      </c>
    </row>
    <row r="254" spans="1:23" x14ac:dyDescent="0.3">
      <c r="A254" s="40" t="s">
        <v>608</v>
      </c>
      <c r="B254" s="41">
        <v>45502</v>
      </c>
      <c r="C254" s="42">
        <v>45504</v>
      </c>
      <c r="D254" s="43">
        <f t="shared" si="27"/>
        <v>2</v>
      </c>
      <c r="E254" s="43" t="str">
        <f>TEXT(Data!B254,"MMM-YYYY")</f>
        <v>Jul-2024</v>
      </c>
      <c r="F254" s="43" t="str">
        <f t="shared" si="23"/>
        <v>Q3-2024</v>
      </c>
      <c r="G254" s="33" t="s">
        <v>52</v>
      </c>
      <c r="H254" s="33" t="s">
        <v>122</v>
      </c>
      <c r="I254" s="33" t="s">
        <v>387</v>
      </c>
      <c r="J254" s="33" t="s">
        <v>27</v>
      </c>
      <c r="K254" s="33" t="s">
        <v>40</v>
      </c>
      <c r="L254" s="33" t="s">
        <v>34</v>
      </c>
      <c r="M254" s="33" t="s">
        <v>30</v>
      </c>
      <c r="N254" s="33" t="s">
        <v>609</v>
      </c>
      <c r="O254" s="43">
        <v>798.97</v>
      </c>
      <c r="P254" s="44" t="str">
        <f t="shared" si="24"/>
        <v>High</v>
      </c>
      <c r="Q254" s="43">
        <v>1814.06</v>
      </c>
      <c r="R254" s="43">
        <v>0.122</v>
      </c>
      <c r="S254" s="43">
        <v>16</v>
      </c>
      <c r="T254" s="43">
        <f t="shared" si="21"/>
        <v>29033.704000000002</v>
      </c>
      <c r="U254" s="33">
        <f t="shared" si="22"/>
        <v>12783.52</v>
      </c>
      <c r="V254" s="43">
        <f t="shared" si="25"/>
        <v>16250.184000000001</v>
      </c>
      <c r="W254" s="45">
        <f t="shared" si="26"/>
        <v>0.55970068441835741</v>
      </c>
    </row>
    <row r="255" spans="1:23" x14ac:dyDescent="0.3">
      <c r="A255" s="34" t="s">
        <v>610</v>
      </c>
      <c r="B255" s="35">
        <v>45592</v>
      </c>
      <c r="C255" s="36">
        <v>45616</v>
      </c>
      <c r="D255" s="37">
        <f t="shared" si="27"/>
        <v>24</v>
      </c>
      <c r="E255" s="37" t="str">
        <f>TEXT(Data!B255,"MMM-YYYY")</f>
        <v>Oct-2024</v>
      </c>
      <c r="F255" s="37" t="str">
        <f t="shared" si="23"/>
        <v>Q4-2024</v>
      </c>
      <c r="G255" s="32" t="s">
        <v>45</v>
      </c>
      <c r="H255" s="32" t="s">
        <v>46</v>
      </c>
      <c r="I255" s="32" t="s">
        <v>231</v>
      </c>
      <c r="J255" s="32" t="s">
        <v>39</v>
      </c>
      <c r="K255" s="32" t="s">
        <v>28</v>
      </c>
      <c r="L255" s="32" t="s">
        <v>92</v>
      </c>
      <c r="M255" s="32" t="s">
        <v>64</v>
      </c>
      <c r="N255" s="32" t="s">
        <v>611</v>
      </c>
      <c r="O255" s="37">
        <v>317.25</v>
      </c>
      <c r="P255" s="38" t="str">
        <f t="shared" si="24"/>
        <v>High</v>
      </c>
      <c r="Q255" s="37">
        <v>758.92</v>
      </c>
      <c r="R255" s="37">
        <v>5.2999999999999999E-2</v>
      </c>
      <c r="S255" s="37">
        <v>9</v>
      </c>
      <c r="T255" s="37">
        <f t="shared" si="21"/>
        <v>18599.828130000002</v>
      </c>
      <c r="U255" s="32">
        <f t="shared" si="22"/>
        <v>2855.25</v>
      </c>
      <c r="V255" s="37">
        <f t="shared" si="25"/>
        <v>15744.578130000002</v>
      </c>
      <c r="W255" s="39">
        <f t="shared" si="26"/>
        <v>0.84649051700672895</v>
      </c>
    </row>
    <row r="256" spans="1:23" x14ac:dyDescent="0.3">
      <c r="A256" s="40" t="s">
        <v>612</v>
      </c>
      <c r="B256" s="41">
        <v>45411</v>
      </c>
      <c r="C256" s="42">
        <v>45431</v>
      </c>
      <c r="D256" s="43">
        <f t="shared" si="27"/>
        <v>20</v>
      </c>
      <c r="E256" s="43" t="str">
        <f>TEXT(Data!B256,"MMM-YYYY")</f>
        <v>Apr-2024</v>
      </c>
      <c r="F256" s="43" t="str">
        <f t="shared" si="23"/>
        <v>Q2-2024</v>
      </c>
      <c r="G256" s="33" t="s">
        <v>78</v>
      </c>
      <c r="H256" s="33" t="s">
        <v>79</v>
      </c>
      <c r="I256" s="33" t="s">
        <v>335</v>
      </c>
      <c r="J256" s="33" t="s">
        <v>105</v>
      </c>
      <c r="K256" s="33" t="s">
        <v>40</v>
      </c>
      <c r="L256" s="33" t="s">
        <v>21</v>
      </c>
      <c r="M256" s="33" t="s">
        <v>57</v>
      </c>
      <c r="N256" s="33" t="s">
        <v>613</v>
      </c>
      <c r="O256" s="43">
        <v>668.97</v>
      </c>
      <c r="P256" s="44" t="str">
        <f t="shared" si="24"/>
        <v>High</v>
      </c>
      <c r="Q256" s="43">
        <v>1667.44</v>
      </c>
      <c r="R256" s="43">
        <v>3.4000000000000002E-2</v>
      </c>
      <c r="S256" s="43">
        <v>15</v>
      </c>
      <c r="T256" s="43">
        <f t="shared" si="21"/>
        <v>39508.723799999992</v>
      </c>
      <c r="U256" s="33">
        <f t="shared" si="22"/>
        <v>10034.550000000001</v>
      </c>
      <c r="V256" s="43">
        <f t="shared" si="25"/>
        <v>29474.17379999999</v>
      </c>
      <c r="W256" s="45">
        <f t="shared" si="26"/>
        <v>0.74601685311839905</v>
      </c>
    </row>
    <row r="257" spans="1:23" x14ac:dyDescent="0.3">
      <c r="A257" s="34" t="s">
        <v>614</v>
      </c>
      <c r="B257" s="35">
        <v>45204</v>
      </c>
      <c r="C257" s="36">
        <v>45205</v>
      </c>
      <c r="D257" s="37">
        <f t="shared" si="27"/>
        <v>1</v>
      </c>
      <c r="E257" s="37" t="str">
        <f>TEXT(Data!B257,"MMM-YYYY")</f>
        <v>Oct-2023</v>
      </c>
      <c r="F257" s="37" t="str">
        <f t="shared" si="23"/>
        <v>Q4-2023</v>
      </c>
      <c r="G257" s="32" t="s">
        <v>45</v>
      </c>
      <c r="H257" s="32" t="s">
        <v>60</v>
      </c>
      <c r="I257" s="32" t="s">
        <v>61</v>
      </c>
      <c r="J257" s="32" t="s">
        <v>39</v>
      </c>
      <c r="K257" s="32" t="s">
        <v>28</v>
      </c>
      <c r="L257" s="32" t="s">
        <v>34</v>
      </c>
      <c r="M257" s="32" t="s">
        <v>22</v>
      </c>
      <c r="N257" s="32" t="s">
        <v>615</v>
      </c>
      <c r="O257" s="37">
        <v>1470.26</v>
      </c>
      <c r="P257" s="38" t="str">
        <f t="shared" si="24"/>
        <v>High</v>
      </c>
      <c r="Q257" s="37">
        <v>2562.5500000000002</v>
      </c>
      <c r="R257" s="37">
        <v>0.17299999999999999</v>
      </c>
      <c r="S257" s="37">
        <v>9</v>
      </c>
      <c r="T257" s="37">
        <f t="shared" ref="T257:T320" si="28">(Q283*S257)*(1-R257)</f>
        <v>828.33146999999997</v>
      </c>
      <c r="U257" s="32">
        <f t="shared" ref="U257:U320" si="29">(O257*S257)</f>
        <v>13232.34</v>
      </c>
      <c r="V257" s="37">
        <f t="shared" si="25"/>
        <v>-12404.008530000001</v>
      </c>
      <c r="W257" s="39">
        <f t="shared" si="26"/>
        <v>-14.974691870634834</v>
      </c>
    </row>
    <row r="258" spans="1:23" x14ac:dyDescent="0.3">
      <c r="A258" s="40" t="s">
        <v>616</v>
      </c>
      <c r="B258" s="41">
        <v>45035</v>
      </c>
      <c r="C258" s="42">
        <v>45053</v>
      </c>
      <c r="D258" s="43">
        <f t="shared" si="27"/>
        <v>18</v>
      </c>
      <c r="E258" s="43" t="str">
        <f>TEXT(Data!B258,"MMM-YYYY")</f>
        <v>Apr-2023</v>
      </c>
      <c r="F258" s="43" t="str">
        <f t="shared" ref="F258:F321" si="30">"Q"&amp;ROUNDUP(MONTH(B258)/3,0)&amp;"-"&amp;YEAR(B258)</f>
        <v>Q2-2023</v>
      </c>
      <c r="G258" s="33" t="s">
        <v>78</v>
      </c>
      <c r="H258" s="33" t="s">
        <v>108</v>
      </c>
      <c r="I258" s="33" t="s">
        <v>152</v>
      </c>
      <c r="J258" s="33" t="s">
        <v>39</v>
      </c>
      <c r="K258" s="33" t="s">
        <v>98</v>
      </c>
      <c r="L258" s="33" t="s">
        <v>92</v>
      </c>
      <c r="M258" s="33" t="s">
        <v>35</v>
      </c>
      <c r="N258" s="33" t="s">
        <v>617</v>
      </c>
      <c r="O258" s="43">
        <v>516.96</v>
      </c>
      <c r="P258" s="44" t="str">
        <f t="shared" ref="P258:P321" si="31">IF(Q258&lt;50, "Low", IF(Q258&lt;200, "Medium", "High"))</f>
        <v>High</v>
      </c>
      <c r="Q258" s="43">
        <v>745.38</v>
      </c>
      <c r="R258" s="43">
        <v>0.19700000000000001</v>
      </c>
      <c r="S258" s="43">
        <v>4</v>
      </c>
      <c r="T258" s="43">
        <f t="shared" si="28"/>
        <v>3533.4890799999994</v>
      </c>
      <c r="U258" s="33">
        <f t="shared" si="29"/>
        <v>2067.84</v>
      </c>
      <c r="V258" s="43">
        <f t="shared" ref="V258:V321" si="32">(T258-U258)</f>
        <v>1465.6490799999992</v>
      </c>
      <c r="W258" s="45">
        <f t="shared" ref="W258:W321" si="33">IF(T258=0, 0, V258/T258)</f>
        <v>0.41478805985159561</v>
      </c>
    </row>
    <row r="259" spans="1:23" x14ac:dyDescent="0.3">
      <c r="A259" s="34" t="s">
        <v>618</v>
      </c>
      <c r="B259" s="35">
        <v>45835</v>
      </c>
      <c r="C259" s="36">
        <v>45843</v>
      </c>
      <c r="D259" s="37">
        <f t="shared" ref="D259:D321" si="34">DATEDIF(B259,C259, "MD")</f>
        <v>8</v>
      </c>
      <c r="E259" s="37" t="str">
        <f>TEXT(Data!B259,"MMM-YYYY")</f>
        <v>Jun-2025</v>
      </c>
      <c r="F259" s="37" t="str">
        <f t="shared" si="30"/>
        <v>Q2-2025</v>
      </c>
      <c r="G259" s="32" t="s">
        <v>78</v>
      </c>
      <c r="H259" s="32" t="s">
        <v>79</v>
      </c>
      <c r="I259" s="32" t="s">
        <v>159</v>
      </c>
      <c r="J259" s="32" t="s">
        <v>62</v>
      </c>
      <c r="K259" s="32" t="s">
        <v>98</v>
      </c>
      <c r="L259" s="32" t="s">
        <v>41</v>
      </c>
      <c r="M259" s="32" t="s">
        <v>64</v>
      </c>
      <c r="N259" s="32" t="s">
        <v>619</v>
      </c>
      <c r="O259" s="37">
        <v>314.93</v>
      </c>
      <c r="P259" s="38" t="str">
        <f t="shared" si="31"/>
        <v>High</v>
      </c>
      <c r="Q259" s="37">
        <v>687.95</v>
      </c>
      <c r="R259" s="37">
        <v>0.20499999999999999</v>
      </c>
      <c r="S259" s="37">
        <v>8</v>
      </c>
      <c r="T259" s="37">
        <f t="shared" si="28"/>
        <v>9725.3304000000007</v>
      </c>
      <c r="U259" s="32">
        <f t="shared" si="29"/>
        <v>2519.44</v>
      </c>
      <c r="V259" s="37">
        <f t="shared" si="32"/>
        <v>7205.8904000000002</v>
      </c>
      <c r="W259" s="39">
        <f t="shared" si="33"/>
        <v>0.74094042090333501</v>
      </c>
    </row>
    <row r="260" spans="1:23" x14ac:dyDescent="0.3">
      <c r="A260" s="40" t="s">
        <v>620</v>
      </c>
      <c r="B260" s="41">
        <v>45210</v>
      </c>
      <c r="C260" s="42">
        <v>45212</v>
      </c>
      <c r="D260" s="43">
        <f t="shared" si="34"/>
        <v>2</v>
      </c>
      <c r="E260" s="43" t="str">
        <f>TEXT(Data!B260,"MMM-YYYY")</f>
        <v>Oct-2023</v>
      </c>
      <c r="F260" s="43" t="str">
        <f t="shared" si="30"/>
        <v>Q4-2023</v>
      </c>
      <c r="G260" s="33" t="s">
        <v>52</v>
      </c>
      <c r="H260" s="33" t="s">
        <v>73</v>
      </c>
      <c r="I260" s="33" t="s">
        <v>87</v>
      </c>
      <c r="J260" s="33" t="s">
        <v>48</v>
      </c>
      <c r="K260" s="33" t="s">
        <v>55</v>
      </c>
      <c r="L260" s="33" t="s">
        <v>1364</v>
      </c>
      <c r="M260" s="33" t="s">
        <v>81</v>
      </c>
      <c r="N260" s="33" t="s">
        <v>621</v>
      </c>
      <c r="O260" s="43">
        <v>715.94</v>
      </c>
      <c r="P260" s="44" t="str">
        <f t="shared" si="31"/>
        <v>High</v>
      </c>
      <c r="Q260" s="43">
        <v>550.07000000000005</v>
      </c>
      <c r="R260" s="43">
        <v>0.14000000000000001</v>
      </c>
      <c r="S260" s="43">
        <v>16</v>
      </c>
      <c r="T260" s="43">
        <f t="shared" si="28"/>
        <v>10026.7744</v>
      </c>
      <c r="U260" s="33">
        <f t="shared" si="29"/>
        <v>11455.04</v>
      </c>
      <c r="V260" s="43">
        <f t="shared" si="32"/>
        <v>-1428.2656000000006</v>
      </c>
      <c r="W260" s="45">
        <f t="shared" si="33"/>
        <v>-0.14244517159975201</v>
      </c>
    </row>
    <row r="261" spans="1:23" x14ac:dyDescent="0.3">
      <c r="A261" s="34" t="s">
        <v>622</v>
      </c>
      <c r="B261" s="35">
        <v>45066</v>
      </c>
      <c r="C261" s="36">
        <v>45084</v>
      </c>
      <c r="D261" s="37">
        <f t="shared" si="34"/>
        <v>18</v>
      </c>
      <c r="E261" s="37" t="str">
        <f>TEXT(Data!B261,"MMM-YYYY")</f>
        <v>May-2023</v>
      </c>
      <c r="F261" s="37" t="str">
        <f t="shared" si="30"/>
        <v>Q2-2023</v>
      </c>
      <c r="G261" s="32" t="s">
        <v>16</v>
      </c>
      <c r="H261" s="32" t="s">
        <v>25</v>
      </c>
      <c r="I261" s="32" t="s">
        <v>26</v>
      </c>
      <c r="J261" s="32" t="s">
        <v>105</v>
      </c>
      <c r="K261" s="32" t="s">
        <v>55</v>
      </c>
      <c r="L261" s="32" t="s">
        <v>63</v>
      </c>
      <c r="M261" s="32" t="s">
        <v>22</v>
      </c>
      <c r="N261" s="32" t="s">
        <v>623</v>
      </c>
      <c r="O261" s="37">
        <v>1120.06</v>
      </c>
      <c r="P261" s="38" t="str">
        <f t="shared" si="31"/>
        <v>High</v>
      </c>
      <c r="Q261" s="37">
        <v>2068.21</v>
      </c>
      <c r="R261" s="37">
        <v>7.8E-2</v>
      </c>
      <c r="S261" s="37">
        <v>12</v>
      </c>
      <c r="T261" s="37">
        <f t="shared" si="28"/>
        <v>69.481920000000002</v>
      </c>
      <c r="U261" s="32">
        <f t="shared" si="29"/>
        <v>13440.72</v>
      </c>
      <c r="V261" s="37">
        <f t="shared" si="32"/>
        <v>-13371.238079999999</v>
      </c>
      <c r="W261" s="39">
        <f t="shared" si="33"/>
        <v>-192.44197742376721</v>
      </c>
    </row>
    <row r="262" spans="1:23" x14ac:dyDescent="0.3">
      <c r="A262" s="40" t="s">
        <v>624</v>
      </c>
      <c r="B262" s="41">
        <v>45073</v>
      </c>
      <c r="C262" s="42">
        <v>45096</v>
      </c>
      <c r="D262" s="43">
        <f t="shared" si="34"/>
        <v>23</v>
      </c>
      <c r="E262" s="43" t="str">
        <f>TEXT(Data!B262,"MMM-YYYY")</f>
        <v>May-2023</v>
      </c>
      <c r="F262" s="43" t="str">
        <f t="shared" si="30"/>
        <v>Q2-2023</v>
      </c>
      <c r="G262" s="33" t="s">
        <v>78</v>
      </c>
      <c r="H262" s="33" t="s">
        <v>79</v>
      </c>
      <c r="I262" s="33" t="s">
        <v>80</v>
      </c>
      <c r="J262" s="33" t="s">
        <v>27</v>
      </c>
      <c r="K262" s="33" t="s">
        <v>20</v>
      </c>
      <c r="L262" s="33" t="s">
        <v>68</v>
      </c>
      <c r="M262" s="33" t="s">
        <v>81</v>
      </c>
      <c r="N262" s="33" t="s">
        <v>625</v>
      </c>
      <c r="O262" s="43">
        <v>1471.58</v>
      </c>
      <c r="P262" s="44" t="str">
        <f t="shared" si="31"/>
        <v>High</v>
      </c>
      <c r="Q262" s="43">
        <v>2576.65</v>
      </c>
      <c r="R262" s="43">
        <v>4.0000000000000001E-3</v>
      </c>
      <c r="S262" s="43">
        <v>7</v>
      </c>
      <c r="T262" s="43">
        <f t="shared" si="28"/>
        <v>17916.436439999998</v>
      </c>
      <c r="U262" s="33">
        <f t="shared" si="29"/>
        <v>10301.06</v>
      </c>
      <c r="V262" s="43">
        <f t="shared" si="32"/>
        <v>7615.3764399999982</v>
      </c>
      <c r="W262" s="45">
        <f t="shared" si="33"/>
        <v>0.42504972824830334</v>
      </c>
    </row>
    <row r="263" spans="1:23" x14ac:dyDescent="0.3">
      <c r="A263" s="34" t="s">
        <v>626</v>
      </c>
      <c r="B263" s="35">
        <v>45142</v>
      </c>
      <c r="C263" s="36">
        <v>45162</v>
      </c>
      <c r="D263" s="37">
        <f t="shared" si="34"/>
        <v>20</v>
      </c>
      <c r="E263" s="37" t="str">
        <f>TEXT(Data!B263,"MMM-YYYY")</f>
        <v>Aug-2023</v>
      </c>
      <c r="F263" s="37" t="str">
        <f t="shared" si="30"/>
        <v>Q3-2023</v>
      </c>
      <c r="G263" s="32" t="s">
        <v>52</v>
      </c>
      <c r="H263" s="32" t="s">
        <v>73</v>
      </c>
      <c r="I263" s="32" t="s">
        <v>87</v>
      </c>
      <c r="J263" s="32" t="s">
        <v>39</v>
      </c>
      <c r="K263" s="32" t="s">
        <v>98</v>
      </c>
      <c r="L263" s="32" t="s">
        <v>1364</v>
      </c>
      <c r="M263" s="32" t="s">
        <v>35</v>
      </c>
      <c r="N263" s="32" t="s">
        <v>627</v>
      </c>
      <c r="O263" s="37">
        <v>582.88</v>
      </c>
      <c r="P263" s="38" t="str">
        <f t="shared" si="31"/>
        <v>High</v>
      </c>
      <c r="Q263" s="37">
        <v>1044.1400000000001</v>
      </c>
      <c r="R263" s="37">
        <v>0.216</v>
      </c>
      <c r="S263" s="37">
        <v>10</v>
      </c>
      <c r="T263" s="37">
        <f t="shared" si="28"/>
        <v>12481.436800000001</v>
      </c>
      <c r="U263" s="32">
        <f t="shared" si="29"/>
        <v>5828.8</v>
      </c>
      <c r="V263" s="37">
        <f t="shared" si="32"/>
        <v>6652.6368000000011</v>
      </c>
      <c r="W263" s="39">
        <f t="shared" si="33"/>
        <v>0.53300248253470306</v>
      </c>
    </row>
    <row r="264" spans="1:23" x14ac:dyDescent="0.3">
      <c r="A264" s="40" t="s">
        <v>628</v>
      </c>
      <c r="B264" s="41">
        <v>45829</v>
      </c>
      <c r="C264" s="42">
        <v>45835</v>
      </c>
      <c r="D264" s="43">
        <f t="shared" si="34"/>
        <v>6</v>
      </c>
      <c r="E264" s="43" t="str">
        <f>TEXT(Data!B264,"MMM-YYYY")</f>
        <v>Jun-2025</v>
      </c>
      <c r="F264" s="43" t="str">
        <f t="shared" si="30"/>
        <v>Q2-2025</v>
      </c>
      <c r="G264" s="33" t="s">
        <v>16</v>
      </c>
      <c r="H264" s="33" t="s">
        <v>148</v>
      </c>
      <c r="I264" s="33" t="s">
        <v>172</v>
      </c>
      <c r="J264" s="33" t="s">
        <v>105</v>
      </c>
      <c r="K264" s="33" t="s">
        <v>55</v>
      </c>
      <c r="L264" s="33" t="s">
        <v>126</v>
      </c>
      <c r="M264" s="33" t="s">
        <v>42</v>
      </c>
      <c r="N264" s="33" t="s">
        <v>629</v>
      </c>
      <c r="O264" s="43">
        <v>93.91</v>
      </c>
      <c r="P264" s="44" t="str">
        <f t="shared" si="31"/>
        <v>Medium</v>
      </c>
      <c r="Q264" s="43">
        <v>99.04</v>
      </c>
      <c r="R264" s="43">
        <v>5.7000000000000002E-2</v>
      </c>
      <c r="S264" s="43">
        <v>6</v>
      </c>
      <c r="T264" s="43">
        <f t="shared" si="28"/>
        <v>5632.3692599999995</v>
      </c>
      <c r="U264" s="33">
        <f t="shared" si="29"/>
        <v>563.46</v>
      </c>
      <c r="V264" s="43">
        <f t="shared" si="32"/>
        <v>5068.9092599999994</v>
      </c>
      <c r="W264" s="45">
        <f t="shared" si="33"/>
        <v>0.89996039428707486</v>
      </c>
    </row>
    <row r="265" spans="1:23" x14ac:dyDescent="0.3">
      <c r="A265" s="34" t="s">
        <v>630</v>
      </c>
      <c r="B265" s="35">
        <v>45763</v>
      </c>
      <c r="C265" s="36">
        <v>45773</v>
      </c>
      <c r="D265" s="37">
        <f t="shared" si="34"/>
        <v>10</v>
      </c>
      <c r="E265" s="37" t="str">
        <f>TEXT(Data!B265,"MMM-YYYY")</f>
        <v>Apr-2025</v>
      </c>
      <c r="F265" s="37" t="str">
        <f t="shared" si="30"/>
        <v>Q2-2025</v>
      </c>
      <c r="G265" s="32" t="s">
        <v>16</v>
      </c>
      <c r="H265" s="32" t="s">
        <v>25</v>
      </c>
      <c r="I265" s="32" t="s">
        <v>26</v>
      </c>
      <c r="J265" s="32" t="s">
        <v>105</v>
      </c>
      <c r="K265" s="32" t="s">
        <v>40</v>
      </c>
      <c r="L265" s="32" t="s">
        <v>84</v>
      </c>
      <c r="M265" s="32" t="s">
        <v>57</v>
      </c>
      <c r="N265" s="32" t="s">
        <v>631</v>
      </c>
      <c r="O265" s="37">
        <v>1457.44</v>
      </c>
      <c r="P265" s="38" t="str">
        <f t="shared" si="31"/>
        <v>High</v>
      </c>
      <c r="Q265" s="37">
        <v>1996.81</v>
      </c>
      <c r="R265" s="37">
        <v>0.126</v>
      </c>
      <c r="S265" s="37">
        <v>23</v>
      </c>
      <c r="T265" s="37">
        <f t="shared" si="28"/>
        <v>24932.711619999998</v>
      </c>
      <c r="U265" s="32">
        <f t="shared" si="29"/>
        <v>33521.120000000003</v>
      </c>
      <c r="V265" s="37">
        <f t="shared" si="32"/>
        <v>-8588.4083800000044</v>
      </c>
      <c r="W265" s="39">
        <f t="shared" si="33"/>
        <v>-0.3444634707566559</v>
      </c>
    </row>
    <row r="266" spans="1:23" x14ac:dyDescent="0.3">
      <c r="A266" s="40" t="s">
        <v>632</v>
      </c>
      <c r="B266" s="41">
        <v>45902</v>
      </c>
      <c r="C266" s="42">
        <v>45911</v>
      </c>
      <c r="D266" s="43">
        <f t="shared" si="34"/>
        <v>9</v>
      </c>
      <c r="E266" s="43" t="str">
        <f>TEXT(Data!B266,"MMM-YYYY")</f>
        <v>Sep-2025</v>
      </c>
      <c r="F266" s="43" t="str">
        <f t="shared" si="30"/>
        <v>Q3-2025</v>
      </c>
      <c r="G266" s="33" t="s">
        <v>52</v>
      </c>
      <c r="H266" s="33" t="s">
        <v>53</v>
      </c>
      <c r="I266" s="33" t="s">
        <v>54</v>
      </c>
      <c r="J266" s="33" t="s">
        <v>19</v>
      </c>
      <c r="K266" s="33" t="s">
        <v>55</v>
      </c>
      <c r="L266" s="33" t="s">
        <v>110</v>
      </c>
      <c r="M266" s="33" t="s">
        <v>30</v>
      </c>
      <c r="N266" s="33" t="s">
        <v>633</v>
      </c>
      <c r="O266" s="43">
        <v>1207.6300000000001</v>
      </c>
      <c r="P266" s="44" t="str">
        <f t="shared" si="31"/>
        <v>High</v>
      </c>
      <c r="Q266" s="43">
        <v>921.68</v>
      </c>
      <c r="R266" s="43">
        <v>0.19600000000000001</v>
      </c>
      <c r="S266" s="43">
        <v>17</v>
      </c>
      <c r="T266" s="43">
        <f t="shared" si="28"/>
        <v>1617.8811600000001</v>
      </c>
      <c r="U266" s="33">
        <f t="shared" si="29"/>
        <v>20529.710000000003</v>
      </c>
      <c r="V266" s="43">
        <f t="shared" si="32"/>
        <v>-18911.828840000002</v>
      </c>
      <c r="W266" s="45">
        <f t="shared" si="33"/>
        <v>-11.689257102171831</v>
      </c>
    </row>
    <row r="267" spans="1:23" x14ac:dyDescent="0.3">
      <c r="A267" s="34" t="s">
        <v>634</v>
      </c>
      <c r="B267" s="35">
        <v>45573</v>
      </c>
      <c r="C267" s="36">
        <v>45573</v>
      </c>
      <c r="D267" s="37">
        <f t="shared" si="34"/>
        <v>0</v>
      </c>
      <c r="E267" s="37" t="str">
        <f>TEXT(Data!B267,"MMM-YYYY")</f>
        <v>Oct-2024</v>
      </c>
      <c r="F267" s="37" t="str">
        <f t="shared" si="30"/>
        <v>Q4-2024</v>
      </c>
      <c r="G267" s="32" t="s">
        <v>78</v>
      </c>
      <c r="H267" s="32" t="s">
        <v>108</v>
      </c>
      <c r="I267" s="32" t="s">
        <v>152</v>
      </c>
      <c r="J267" s="32" t="s">
        <v>19</v>
      </c>
      <c r="K267" s="32" t="s">
        <v>28</v>
      </c>
      <c r="L267" s="32" t="s">
        <v>63</v>
      </c>
      <c r="M267" s="32" t="s">
        <v>64</v>
      </c>
      <c r="N267" s="32" t="s">
        <v>635</v>
      </c>
      <c r="O267" s="37">
        <v>1108.1099999999999</v>
      </c>
      <c r="P267" s="38" t="str">
        <f t="shared" si="31"/>
        <v>High</v>
      </c>
      <c r="Q267" s="37">
        <v>2503.79</v>
      </c>
      <c r="R267" s="37">
        <v>0.184</v>
      </c>
      <c r="S267" s="37">
        <v>19</v>
      </c>
      <c r="T267" s="37">
        <f t="shared" si="28"/>
        <v>32644.137120000007</v>
      </c>
      <c r="U267" s="32">
        <f t="shared" si="29"/>
        <v>21054.089999999997</v>
      </c>
      <c r="V267" s="37">
        <f t="shared" si="32"/>
        <v>11590.04712000001</v>
      </c>
      <c r="W267" s="39">
        <f t="shared" si="33"/>
        <v>0.35504222633898824</v>
      </c>
    </row>
    <row r="268" spans="1:23" x14ac:dyDescent="0.3">
      <c r="A268" s="40" t="s">
        <v>636</v>
      </c>
      <c r="B268" s="41">
        <v>45053</v>
      </c>
      <c r="C268" s="42">
        <v>45051</v>
      </c>
      <c r="D268" s="43">
        <f>DATEDIF(C268,B268, "MD")</f>
        <v>2</v>
      </c>
      <c r="E268" s="43" t="str">
        <f>TEXT(Data!B268,"MMM-YYYY")</f>
        <v>May-2023</v>
      </c>
      <c r="F268" s="43" t="str">
        <f t="shared" si="30"/>
        <v>Q2-2023</v>
      </c>
      <c r="G268" s="33" t="s">
        <v>16</v>
      </c>
      <c r="H268" s="33" t="s">
        <v>25</v>
      </c>
      <c r="I268" s="33" t="s">
        <v>26</v>
      </c>
      <c r="J268" s="33" t="s">
        <v>39</v>
      </c>
      <c r="K268" s="33" t="s">
        <v>40</v>
      </c>
      <c r="L268" s="33" t="s">
        <v>75</v>
      </c>
      <c r="M268" s="33" t="s">
        <v>22</v>
      </c>
      <c r="N268" s="33" t="s">
        <v>637</v>
      </c>
      <c r="O268" s="43">
        <v>1269.6500000000001</v>
      </c>
      <c r="P268" s="44" t="str">
        <f t="shared" si="31"/>
        <v>High</v>
      </c>
      <c r="Q268" s="43">
        <v>2462.77</v>
      </c>
      <c r="R268" s="43">
        <v>0.107</v>
      </c>
      <c r="S268" s="43">
        <v>8</v>
      </c>
      <c r="T268" s="43">
        <f t="shared" si="28"/>
        <v>3736.3119999999999</v>
      </c>
      <c r="U268" s="33">
        <f t="shared" si="29"/>
        <v>10157.200000000001</v>
      </c>
      <c r="V268" s="43">
        <f t="shared" si="32"/>
        <v>-6420.8880000000008</v>
      </c>
      <c r="W268" s="45">
        <f t="shared" si="33"/>
        <v>-1.7185095891349547</v>
      </c>
    </row>
    <row r="269" spans="1:23" x14ac:dyDescent="0.3">
      <c r="A269" s="34" t="s">
        <v>638</v>
      </c>
      <c r="B269" s="35">
        <v>45284</v>
      </c>
      <c r="C269" s="36">
        <v>45292</v>
      </c>
      <c r="D269" s="37">
        <f t="shared" si="34"/>
        <v>8</v>
      </c>
      <c r="E269" s="37" t="str">
        <f>TEXT(Data!B269,"MMM-YYYY")</f>
        <v>Dec-2023</v>
      </c>
      <c r="F269" s="37" t="str">
        <f t="shared" si="30"/>
        <v>Q4-2023</v>
      </c>
      <c r="G269" s="32" t="s">
        <v>52</v>
      </c>
      <c r="H269" s="32" t="s">
        <v>73</v>
      </c>
      <c r="I269" s="32" t="s">
        <v>74</v>
      </c>
      <c r="J269" s="32" t="s">
        <v>27</v>
      </c>
      <c r="K269" s="32" t="s">
        <v>98</v>
      </c>
      <c r="L269" s="32" t="s">
        <v>21</v>
      </c>
      <c r="M269" s="32" t="s">
        <v>42</v>
      </c>
      <c r="N269" s="32" t="s">
        <v>639</v>
      </c>
      <c r="O269" s="37">
        <v>526.49</v>
      </c>
      <c r="P269" s="38" t="str">
        <f t="shared" si="31"/>
        <v>High</v>
      </c>
      <c r="Q269" s="37">
        <v>496.2</v>
      </c>
      <c r="R269" s="37">
        <v>0</v>
      </c>
      <c r="S269" s="37">
        <v>14</v>
      </c>
      <c r="T269" s="37">
        <f t="shared" si="28"/>
        <v>15054.199999999999</v>
      </c>
      <c r="U269" s="32">
        <f t="shared" si="29"/>
        <v>7370.8600000000006</v>
      </c>
      <c r="V269" s="37">
        <f t="shared" si="32"/>
        <v>7683.3399999999983</v>
      </c>
      <c r="W269" s="39">
        <f t="shared" si="33"/>
        <v>0.51037849902352828</v>
      </c>
    </row>
    <row r="270" spans="1:23" x14ac:dyDescent="0.3">
      <c r="A270" s="40" t="s">
        <v>640</v>
      </c>
      <c r="B270" s="41">
        <v>45301</v>
      </c>
      <c r="C270" s="42">
        <v>45314</v>
      </c>
      <c r="D270" s="43">
        <f t="shared" si="34"/>
        <v>13</v>
      </c>
      <c r="E270" s="43" t="str">
        <f>TEXT(Data!B270,"MMM-YYYY")</f>
        <v>Jan-2024</v>
      </c>
      <c r="F270" s="43" t="str">
        <f t="shared" si="30"/>
        <v>Q1-2024</v>
      </c>
      <c r="G270" s="33" t="s">
        <v>78</v>
      </c>
      <c r="H270" s="33" t="s">
        <v>90</v>
      </c>
      <c r="I270" s="33" t="s">
        <v>91</v>
      </c>
      <c r="J270" s="33" t="s">
        <v>19</v>
      </c>
      <c r="K270" s="33" t="s">
        <v>98</v>
      </c>
      <c r="L270" s="33" t="s">
        <v>75</v>
      </c>
      <c r="M270" s="33" t="s">
        <v>30</v>
      </c>
      <c r="N270" s="33" t="s">
        <v>641</v>
      </c>
      <c r="O270" s="43">
        <v>720</v>
      </c>
      <c r="P270" s="44" t="str">
        <f t="shared" si="31"/>
        <v>High</v>
      </c>
      <c r="Q270" s="43">
        <v>907.59</v>
      </c>
      <c r="R270" s="43">
        <v>0.154</v>
      </c>
      <c r="S270" s="43">
        <v>10</v>
      </c>
      <c r="T270" s="43">
        <f t="shared" si="28"/>
        <v>27872.062200000004</v>
      </c>
      <c r="U270" s="33">
        <f t="shared" si="29"/>
        <v>7200</v>
      </c>
      <c r="V270" s="43">
        <f t="shared" si="32"/>
        <v>20672.062200000004</v>
      </c>
      <c r="W270" s="45">
        <f t="shared" si="33"/>
        <v>0.7416768106954067</v>
      </c>
    </row>
    <row r="271" spans="1:23" x14ac:dyDescent="0.3">
      <c r="A271" s="34" t="s">
        <v>642</v>
      </c>
      <c r="B271" s="35">
        <v>45141</v>
      </c>
      <c r="C271" s="36">
        <v>45152</v>
      </c>
      <c r="D271" s="37">
        <f t="shared" si="34"/>
        <v>11</v>
      </c>
      <c r="E271" s="37" t="str">
        <f>TEXT(Data!B271,"MMM-YYYY")</f>
        <v>Aug-2023</v>
      </c>
      <c r="F271" s="37" t="str">
        <f t="shared" si="30"/>
        <v>Q3-2023</v>
      </c>
      <c r="G271" s="32" t="s">
        <v>52</v>
      </c>
      <c r="H271" s="32" t="s">
        <v>73</v>
      </c>
      <c r="I271" s="32" t="s">
        <v>87</v>
      </c>
      <c r="J271" s="32" t="s">
        <v>19</v>
      </c>
      <c r="K271" s="32" t="s">
        <v>98</v>
      </c>
      <c r="L271" s="32" t="s">
        <v>29</v>
      </c>
      <c r="M271" s="32" t="s">
        <v>81</v>
      </c>
      <c r="N271" s="32" t="s">
        <v>643</v>
      </c>
      <c r="O271" s="37">
        <v>232.73</v>
      </c>
      <c r="P271" s="38" t="str">
        <f t="shared" si="31"/>
        <v>High</v>
      </c>
      <c r="Q271" s="37">
        <v>334.19</v>
      </c>
      <c r="R271" s="37">
        <v>0.13400000000000001</v>
      </c>
      <c r="S271" s="37">
        <v>25</v>
      </c>
      <c r="T271" s="37">
        <f t="shared" si="28"/>
        <v>10046.682500000001</v>
      </c>
      <c r="U271" s="32">
        <f t="shared" si="29"/>
        <v>5818.25</v>
      </c>
      <c r="V271" s="37">
        <f t="shared" si="32"/>
        <v>4228.4325000000008</v>
      </c>
      <c r="W271" s="39">
        <f t="shared" si="33"/>
        <v>0.42087848401698774</v>
      </c>
    </row>
    <row r="272" spans="1:23" x14ac:dyDescent="0.3">
      <c r="A272" s="40" t="s">
        <v>644</v>
      </c>
      <c r="B272" s="41">
        <v>45707</v>
      </c>
      <c r="C272" s="42">
        <v>45725</v>
      </c>
      <c r="D272" s="43">
        <f t="shared" si="34"/>
        <v>18</v>
      </c>
      <c r="E272" s="43" t="str">
        <f>TEXT(Data!B272,"MMM-YYYY")</f>
        <v>Feb-2025</v>
      </c>
      <c r="F272" s="43" t="str">
        <f t="shared" si="30"/>
        <v>Q1-2025</v>
      </c>
      <c r="G272" s="33" t="s">
        <v>45</v>
      </c>
      <c r="H272" s="33" t="s">
        <v>60</v>
      </c>
      <c r="I272" s="33" t="s">
        <v>141</v>
      </c>
      <c r="J272" s="33" t="s">
        <v>62</v>
      </c>
      <c r="K272" s="33" t="s">
        <v>98</v>
      </c>
      <c r="L272" s="33" t="s">
        <v>68</v>
      </c>
      <c r="M272" s="33" t="s">
        <v>64</v>
      </c>
      <c r="N272" s="33" t="s">
        <v>645</v>
      </c>
      <c r="O272" s="43">
        <v>325.87</v>
      </c>
      <c r="P272" s="44" t="str">
        <f t="shared" si="31"/>
        <v>High</v>
      </c>
      <c r="Q272" s="43">
        <v>538.79</v>
      </c>
      <c r="R272" s="43">
        <v>0.17399999999999999</v>
      </c>
      <c r="S272" s="43">
        <v>16</v>
      </c>
      <c r="T272" s="43">
        <f t="shared" si="28"/>
        <v>6753.7724800000005</v>
      </c>
      <c r="U272" s="33">
        <f t="shared" si="29"/>
        <v>5213.92</v>
      </c>
      <c r="V272" s="43">
        <f t="shared" si="32"/>
        <v>1539.8524800000005</v>
      </c>
      <c r="W272" s="45">
        <f t="shared" si="33"/>
        <v>0.22799886797489516</v>
      </c>
    </row>
    <row r="273" spans="1:23" x14ac:dyDescent="0.3">
      <c r="A273" s="34" t="s">
        <v>646</v>
      </c>
      <c r="B273" s="35">
        <v>45382</v>
      </c>
      <c r="C273" s="36">
        <v>45399</v>
      </c>
      <c r="D273" s="37">
        <f t="shared" si="34"/>
        <v>17</v>
      </c>
      <c r="E273" s="37" t="str">
        <f>TEXT(Data!B273,"MMM-YYYY")</f>
        <v>Mar-2024</v>
      </c>
      <c r="F273" s="37" t="str">
        <f t="shared" si="30"/>
        <v>Q1-2024</v>
      </c>
      <c r="G273" s="32" t="s">
        <v>78</v>
      </c>
      <c r="H273" s="32" t="s">
        <v>79</v>
      </c>
      <c r="I273" s="32" t="s">
        <v>335</v>
      </c>
      <c r="J273" s="32" t="s">
        <v>27</v>
      </c>
      <c r="K273" s="32" t="s">
        <v>98</v>
      </c>
      <c r="L273" s="32" t="s">
        <v>92</v>
      </c>
      <c r="M273" s="32" t="s">
        <v>64</v>
      </c>
      <c r="N273" s="32" t="s">
        <v>647</v>
      </c>
      <c r="O273" s="37">
        <v>1025.51</v>
      </c>
      <c r="P273" s="38" t="str">
        <f t="shared" si="31"/>
        <v>High</v>
      </c>
      <c r="Q273" s="37">
        <v>1436.54</v>
      </c>
      <c r="R273" s="37">
        <v>0.13900000000000001</v>
      </c>
      <c r="S273" s="37">
        <v>28</v>
      </c>
      <c r="T273" s="37">
        <f t="shared" si="28"/>
        <v>101.73576</v>
      </c>
      <c r="U273" s="32">
        <f t="shared" si="29"/>
        <v>28714.28</v>
      </c>
      <c r="V273" s="37">
        <f t="shared" si="32"/>
        <v>-28612.544239999999</v>
      </c>
      <c r="W273" s="39">
        <f t="shared" si="33"/>
        <v>-281.24372629643699</v>
      </c>
    </row>
    <row r="274" spans="1:23" x14ac:dyDescent="0.3">
      <c r="A274" s="40" t="s">
        <v>648</v>
      </c>
      <c r="B274" s="41">
        <v>45131</v>
      </c>
      <c r="C274" s="42">
        <v>45151</v>
      </c>
      <c r="D274" s="43">
        <f t="shared" si="34"/>
        <v>20</v>
      </c>
      <c r="E274" s="43" t="str">
        <f>TEXT(Data!B274,"MMM-YYYY")</f>
        <v>Jul-2023</v>
      </c>
      <c r="F274" s="43" t="str">
        <f t="shared" si="30"/>
        <v>Q3-2023</v>
      </c>
      <c r="G274" s="33" t="s">
        <v>52</v>
      </c>
      <c r="H274" s="33" t="s">
        <v>53</v>
      </c>
      <c r="I274" s="33" t="s">
        <v>144</v>
      </c>
      <c r="J274" s="33" t="s">
        <v>27</v>
      </c>
      <c r="K274" s="33" t="s">
        <v>98</v>
      </c>
      <c r="L274" s="33" t="s">
        <v>21</v>
      </c>
      <c r="M274" s="33" t="s">
        <v>64</v>
      </c>
      <c r="N274" s="33" t="s">
        <v>649</v>
      </c>
      <c r="O274" s="43">
        <v>1082.3800000000001</v>
      </c>
      <c r="P274" s="44" t="str">
        <f t="shared" si="31"/>
        <v>High</v>
      </c>
      <c r="Q274" s="43">
        <v>1766.55</v>
      </c>
      <c r="R274" s="43">
        <v>0.16400000000000001</v>
      </c>
      <c r="S274" s="43">
        <v>20</v>
      </c>
      <c r="T274" s="43">
        <f t="shared" si="28"/>
        <v>9651.4527999999991</v>
      </c>
      <c r="U274" s="33">
        <f t="shared" si="29"/>
        <v>21647.600000000002</v>
      </c>
      <c r="V274" s="43">
        <f t="shared" si="32"/>
        <v>-11996.147200000003</v>
      </c>
      <c r="W274" s="45">
        <f t="shared" si="33"/>
        <v>-1.242936938986015</v>
      </c>
    </row>
    <row r="275" spans="1:23" x14ac:dyDescent="0.3">
      <c r="A275" s="34" t="s">
        <v>650</v>
      </c>
      <c r="B275" s="35">
        <v>45367</v>
      </c>
      <c r="C275" s="36">
        <v>45395</v>
      </c>
      <c r="D275" s="37">
        <f t="shared" si="34"/>
        <v>28</v>
      </c>
      <c r="E275" s="37" t="str">
        <f>TEXT(Data!B275,"MMM-YYYY")</f>
        <v>Mar-2024</v>
      </c>
      <c r="F275" s="37" t="str">
        <f t="shared" si="30"/>
        <v>Q1-2024</v>
      </c>
      <c r="G275" s="32" t="s">
        <v>78</v>
      </c>
      <c r="H275" s="32" t="s">
        <v>90</v>
      </c>
      <c r="I275" s="32" t="s">
        <v>217</v>
      </c>
      <c r="J275" s="32" t="s">
        <v>62</v>
      </c>
      <c r="K275" s="32" t="s">
        <v>28</v>
      </c>
      <c r="L275" s="32" t="s">
        <v>95</v>
      </c>
      <c r="M275" s="32" t="s">
        <v>30</v>
      </c>
      <c r="N275" s="32" t="s">
        <v>651</v>
      </c>
      <c r="O275" s="37">
        <v>287.61</v>
      </c>
      <c r="P275" s="38" t="str">
        <f t="shared" si="31"/>
        <v>High</v>
      </c>
      <c r="Q275" s="37">
        <v>628.54</v>
      </c>
      <c r="R275" s="37">
        <v>0.13500000000000001</v>
      </c>
      <c r="S275" s="37">
        <v>21</v>
      </c>
      <c r="T275" s="37">
        <f t="shared" si="28"/>
        <v>25903.83495</v>
      </c>
      <c r="U275" s="32">
        <f t="shared" si="29"/>
        <v>6039.81</v>
      </c>
      <c r="V275" s="37">
        <f t="shared" si="32"/>
        <v>19864.024949999999</v>
      </c>
      <c r="W275" s="39">
        <f t="shared" si="33"/>
        <v>0.76683722654741504</v>
      </c>
    </row>
    <row r="276" spans="1:23" x14ac:dyDescent="0.3">
      <c r="A276" s="40" t="s">
        <v>652</v>
      </c>
      <c r="B276" s="41">
        <v>45316</v>
      </c>
      <c r="C276" s="42">
        <v>45318</v>
      </c>
      <c r="D276" s="43">
        <f t="shared" si="34"/>
        <v>2</v>
      </c>
      <c r="E276" s="43" t="str">
        <f>TEXT(Data!B276,"MMM-YYYY")</f>
        <v>Jan-2024</v>
      </c>
      <c r="F276" s="43" t="str">
        <f t="shared" si="30"/>
        <v>Q1-2024</v>
      </c>
      <c r="G276" s="33" t="s">
        <v>52</v>
      </c>
      <c r="H276" s="33" t="s">
        <v>73</v>
      </c>
      <c r="I276" s="33" t="s">
        <v>74</v>
      </c>
      <c r="J276" s="33" t="s">
        <v>39</v>
      </c>
      <c r="K276" s="33" t="s">
        <v>40</v>
      </c>
      <c r="L276" s="33" t="s">
        <v>126</v>
      </c>
      <c r="M276" s="33" t="s">
        <v>57</v>
      </c>
      <c r="N276" s="33" t="s">
        <v>653</v>
      </c>
      <c r="O276" s="43">
        <v>1410.97</v>
      </c>
      <c r="P276" s="44" t="str">
        <f t="shared" si="31"/>
        <v>High</v>
      </c>
      <c r="Q276" s="43">
        <v>1650.75</v>
      </c>
      <c r="R276" s="43">
        <v>0.13500000000000001</v>
      </c>
      <c r="S276" s="43">
        <v>6</v>
      </c>
      <c r="T276" s="43">
        <f t="shared" si="28"/>
        <v>7059.0227999999997</v>
      </c>
      <c r="U276" s="33">
        <f t="shared" si="29"/>
        <v>8465.82</v>
      </c>
      <c r="V276" s="43">
        <f t="shared" si="32"/>
        <v>-1406.7972</v>
      </c>
      <c r="W276" s="45">
        <f t="shared" si="33"/>
        <v>-0.19929064402511917</v>
      </c>
    </row>
    <row r="277" spans="1:23" x14ac:dyDescent="0.3">
      <c r="A277" s="34" t="s">
        <v>654</v>
      </c>
      <c r="B277" s="35">
        <v>45378</v>
      </c>
      <c r="C277" s="36">
        <v>45393</v>
      </c>
      <c r="D277" s="37">
        <f t="shared" si="34"/>
        <v>15</v>
      </c>
      <c r="E277" s="37" t="str">
        <f>TEXT(Data!B277,"MMM-YYYY")</f>
        <v>Mar-2024</v>
      </c>
      <c r="F277" s="37" t="str">
        <f t="shared" si="30"/>
        <v>Q1-2024</v>
      </c>
      <c r="G277" s="32" t="s">
        <v>52</v>
      </c>
      <c r="H277" s="32" t="s">
        <v>122</v>
      </c>
      <c r="I277" s="32" t="s">
        <v>167</v>
      </c>
      <c r="J277" s="32" t="s">
        <v>62</v>
      </c>
      <c r="K277" s="32" t="s">
        <v>98</v>
      </c>
      <c r="L277" s="32" t="s">
        <v>68</v>
      </c>
      <c r="M277" s="32" t="s">
        <v>35</v>
      </c>
      <c r="N277" s="32" t="s">
        <v>655</v>
      </c>
      <c r="O277" s="37">
        <v>1338.35</v>
      </c>
      <c r="P277" s="38" t="str">
        <f t="shared" si="31"/>
        <v>High</v>
      </c>
      <c r="Q277" s="37">
        <v>2247.14</v>
      </c>
      <c r="R277" s="37">
        <v>0.115</v>
      </c>
      <c r="S277" s="37">
        <v>40</v>
      </c>
      <c r="T277" s="37">
        <f t="shared" si="28"/>
        <v>73316.94</v>
      </c>
      <c r="U277" s="32">
        <f t="shared" si="29"/>
        <v>53534</v>
      </c>
      <c r="V277" s="37">
        <f t="shared" si="32"/>
        <v>19782.940000000002</v>
      </c>
      <c r="W277" s="39">
        <f t="shared" si="33"/>
        <v>0.26982768238827209</v>
      </c>
    </row>
    <row r="278" spans="1:23" x14ac:dyDescent="0.3">
      <c r="A278" s="40" t="s">
        <v>656</v>
      </c>
      <c r="B278" s="41">
        <v>45832</v>
      </c>
      <c r="C278" s="42">
        <v>45852</v>
      </c>
      <c r="D278" s="43">
        <f t="shared" si="34"/>
        <v>20</v>
      </c>
      <c r="E278" s="43" t="str">
        <f>TEXT(Data!B278,"MMM-YYYY")</f>
        <v>Jun-2025</v>
      </c>
      <c r="F278" s="43" t="str">
        <f t="shared" si="30"/>
        <v>Q2-2025</v>
      </c>
      <c r="G278" s="33" t="s">
        <v>78</v>
      </c>
      <c r="H278" s="33" t="s">
        <v>79</v>
      </c>
      <c r="I278" s="33" t="s">
        <v>80</v>
      </c>
      <c r="J278" s="33" t="s">
        <v>19</v>
      </c>
      <c r="K278" s="33" t="s">
        <v>98</v>
      </c>
      <c r="L278" s="33" t="s">
        <v>68</v>
      </c>
      <c r="M278" s="33" t="s">
        <v>81</v>
      </c>
      <c r="N278" s="33" t="s">
        <v>657</v>
      </c>
      <c r="O278" s="43">
        <v>385.08</v>
      </c>
      <c r="P278" s="44" t="str">
        <f t="shared" si="31"/>
        <v>High</v>
      </c>
      <c r="Q278" s="43">
        <v>893.19</v>
      </c>
      <c r="R278" s="43">
        <v>0.151</v>
      </c>
      <c r="S278" s="43">
        <v>8</v>
      </c>
      <c r="T278" s="43">
        <f t="shared" si="28"/>
        <v>6655.0732799999996</v>
      </c>
      <c r="U278" s="33">
        <f t="shared" si="29"/>
        <v>3080.64</v>
      </c>
      <c r="V278" s="43">
        <f t="shared" si="32"/>
        <v>3574.4332799999997</v>
      </c>
      <c r="W278" s="45">
        <f t="shared" si="33"/>
        <v>0.53709901147775185</v>
      </c>
    </row>
    <row r="279" spans="1:23" x14ac:dyDescent="0.3">
      <c r="A279" s="34" t="s">
        <v>658</v>
      </c>
      <c r="B279" s="35">
        <v>45459</v>
      </c>
      <c r="C279" s="36">
        <v>45476</v>
      </c>
      <c r="D279" s="37">
        <f t="shared" si="34"/>
        <v>17</v>
      </c>
      <c r="E279" s="37" t="str">
        <f>TEXT(Data!B279,"MMM-YYYY")</f>
        <v>Jun-2024</v>
      </c>
      <c r="F279" s="37" t="str">
        <f t="shared" si="30"/>
        <v>Q2-2024</v>
      </c>
      <c r="G279" s="32" t="s">
        <v>16</v>
      </c>
      <c r="H279" s="32" t="s">
        <v>148</v>
      </c>
      <c r="I279" s="32" t="s">
        <v>149</v>
      </c>
      <c r="J279" s="32" t="s">
        <v>105</v>
      </c>
      <c r="K279" s="32" t="s">
        <v>40</v>
      </c>
      <c r="L279" s="32" t="s">
        <v>84</v>
      </c>
      <c r="M279" s="32" t="s">
        <v>42</v>
      </c>
      <c r="N279" s="32" t="s">
        <v>659</v>
      </c>
      <c r="O279" s="37">
        <v>1173.83</v>
      </c>
      <c r="P279" s="38" t="str">
        <f t="shared" si="31"/>
        <v>High</v>
      </c>
      <c r="Q279" s="37">
        <v>2328.9</v>
      </c>
      <c r="R279" s="37">
        <v>0.12</v>
      </c>
      <c r="S279" s="37">
        <v>17</v>
      </c>
      <c r="T279" s="37">
        <f t="shared" si="28"/>
        <v>8039.3543999999993</v>
      </c>
      <c r="U279" s="32">
        <f t="shared" si="29"/>
        <v>19955.11</v>
      </c>
      <c r="V279" s="37">
        <f t="shared" si="32"/>
        <v>-11915.7556</v>
      </c>
      <c r="W279" s="39">
        <f t="shared" si="33"/>
        <v>-1.4821781709237749</v>
      </c>
    </row>
    <row r="280" spans="1:23" x14ac:dyDescent="0.3">
      <c r="A280" s="40" t="s">
        <v>660</v>
      </c>
      <c r="B280" s="41">
        <v>45229</v>
      </c>
      <c r="C280" s="42">
        <v>45244</v>
      </c>
      <c r="D280" s="43">
        <f t="shared" si="34"/>
        <v>15</v>
      </c>
      <c r="E280" s="43" t="str">
        <f>TEXT(Data!B280,"MMM-YYYY")</f>
        <v>Oct-2023</v>
      </c>
      <c r="F280" s="43" t="str">
        <f t="shared" si="30"/>
        <v>Q4-2023</v>
      </c>
      <c r="G280" s="33" t="s">
        <v>45</v>
      </c>
      <c r="H280" s="33" t="s">
        <v>60</v>
      </c>
      <c r="I280" s="33" t="s">
        <v>61</v>
      </c>
      <c r="J280" s="33" t="s">
        <v>19</v>
      </c>
      <c r="K280" s="33" t="s">
        <v>28</v>
      </c>
      <c r="L280" s="33" t="s">
        <v>84</v>
      </c>
      <c r="M280" s="33" t="s">
        <v>57</v>
      </c>
      <c r="N280" s="33" t="s">
        <v>661</v>
      </c>
      <c r="O280" s="43">
        <v>953.46</v>
      </c>
      <c r="P280" s="44" t="str">
        <f t="shared" si="31"/>
        <v>High</v>
      </c>
      <c r="Q280" s="43">
        <v>2066.75</v>
      </c>
      <c r="R280" s="43">
        <v>0.13800000000000001</v>
      </c>
      <c r="S280" s="43">
        <v>5</v>
      </c>
      <c r="T280" s="43">
        <f t="shared" si="28"/>
        <v>919.40919999999994</v>
      </c>
      <c r="U280" s="33">
        <f t="shared" si="29"/>
        <v>4767.3</v>
      </c>
      <c r="V280" s="43">
        <f t="shared" si="32"/>
        <v>-3847.8908000000001</v>
      </c>
      <c r="W280" s="45">
        <f t="shared" si="33"/>
        <v>-4.1851776118838062</v>
      </c>
    </row>
    <row r="281" spans="1:23" x14ac:dyDescent="0.3">
      <c r="A281" s="34" t="s">
        <v>662</v>
      </c>
      <c r="B281" s="35">
        <v>45092</v>
      </c>
      <c r="C281" s="36">
        <v>45100</v>
      </c>
      <c r="D281" s="37">
        <f t="shared" si="34"/>
        <v>8</v>
      </c>
      <c r="E281" s="37" t="str">
        <f>TEXT(Data!B281,"MMM-YYYY")</f>
        <v>Jun-2023</v>
      </c>
      <c r="F281" s="37" t="str">
        <f t="shared" si="30"/>
        <v>Q2-2023</v>
      </c>
      <c r="G281" s="32" t="s">
        <v>52</v>
      </c>
      <c r="H281" s="32" t="s">
        <v>122</v>
      </c>
      <c r="I281" s="32" t="s">
        <v>167</v>
      </c>
      <c r="J281" s="32" t="s">
        <v>48</v>
      </c>
      <c r="K281" s="32" t="s">
        <v>55</v>
      </c>
      <c r="L281" s="32" t="s">
        <v>68</v>
      </c>
      <c r="M281" s="32" t="s">
        <v>64</v>
      </c>
      <c r="N281" s="32" t="s">
        <v>663</v>
      </c>
      <c r="O281" s="37">
        <v>1097.0899999999999</v>
      </c>
      <c r="P281" s="38" t="str">
        <f t="shared" si="31"/>
        <v>High</v>
      </c>
      <c r="Q281" s="37">
        <v>2182.31</v>
      </c>
      <c r="R281" s="37">
        <v>0.112</v>
      </c>
      <c r="S281" s="37">
        <v>9</v>
      </c>
      <c r="T281" s="37">
        <f t="shared" si="28"/>
        <v>15941.402639999998</v>
      </c>
      <c r="U281" s="32">
        <f t="shared" si="29"/>
        <v>9873.81</v>
      </c>
      <c r="V281" s="37">
        <f t="shared" si="32"/>
        <v>6067.5926399999989</v>
      </c>
      <c r="W281" s="39">
        <f t="shared" si="33"/>
        <v>0.38061849242646062</v>
      </c>
    </row>
    <row r="282" spans="1:23" x14ac:dyDescent="0.3">
      <c r="A282" s="40" t="s">
        <v>664</v>
      </c>
      <c r="B282" s="41">
        <v>45730</v>
      </c>
      <c r="C282" s="42">
        <v>45745</v>
      </c>
      <c r="D282" s="43">
        <f t="shared" si="34"/>
        <v>15</v>
      </c>
      <c r="E282" s="43" t="str">
        <f>TEXT(Data!B282,"MMM-YYYY")</f>
        <v>Mar-2025</v>
      </c>
      <c r="F282" s="43" t="str">
        <f t="shared" si="30"/>
        <v>Q1-2025</v>
      </c>
      <c r="G282" s="33" t="s">
        <v>45</v>
      </c>
      <c r="H282" s="33" t="s">
        <v>46</v>
      </c>
      <c r="I282" s="33" t="s">
        <v>214</v>
      </c>
      <c r="J282" s="33" t="s">
        <v>39</v>
      </c>
      <c r="K282" s="33" t="s">
        <v>98</v>
      </c>
      <c r="L282" s="33" t="s">
        <v>92</v>
      </c>
      <c r="M282" s="33" t="s">
        <v>35</v>
      </c>
      <c r="N282" s="33" t="s">
        <v>665</v>
      </c>
      <c r="O282" s="43">
        <v>1106.96</v>
      </c>
      <c r="P282" s="44" t="str">
        <f t="shared" si="31"/>
        <v>High</v>
      </c>
      <c r="Q282" s="43">
        <v>2726.62</v>
      </c>
      <c r="R282" s="43">
        <v>0.317</v>
      </c>
      <c r="S282" s="43">
        <v>7</v>
      </c>
      <c r="T282" s="43">
        <f t="shared" si="28"/>
        <v>2643.1280400000001</v>
      </c>
      <c r="U282" s="33">
        <f t="shared" si="29"/>
        <v>7748.72</v>
      </c>
      <c r="V282" s="43">
        <f t="shared" si="32"/>
        <v>-5105.5919599999997</v>
      </c>
      <c r="W282" s="45">
        <f t="shared" si="33"/>
        <v>-1.9316476094741137</v>
      </c>
    </row>
    <row r="283" spans="1:23" x14ac:dyDescent="0.3">
      <c r="A283" s="34" t="s">
        <v>666</v>
      </c>
      <c r="B283" s="35">
        <v>45153</v>
      </c>
      <c r="C283" s="36">
        <v>45163</v>
      </c>
      <c r="D283" s="37">
        <f t="shared" si="34"/>
        <v>10</v>
      </c>
      <c r="E283" s="37" t="str">
        <f>TEXT(Data!B283,"MMM-YYYY")</f>
        <v>Aug-2023</v>
      </c>
      <c r="F283" s="37" t="str">
        <f t="shared" si="30"/>
        <v>Q3-2023</v>
      </c>
      <c r="G283" s="32" t="s">
        <v>16</v>
      </c>
      <c r="H283" s="32" t="s">
        <v>17</v>
      </c>
      <c r="I283" s="32" t="s">
        <v>33</v>
      </c>
      <c r="J283" s="32" t="s">
        <v>62</v>
      </c>
      <c r="K283" s="32" t="s">
        <v>20</v>
      </c>
      <c r="L283" s="32" t="s">
        <v>126</v>
      </c>
      <c r="M283" s="32" t="s">
        <v>42</v>
      </c>
      <c r="N283" s="32" t="s">
        <v>667</v>
      </c>
      <c r="O283" s="37">
        <v>91.85</v>
      </c>
      <c r="P283" s="38" t="str">
        <f t="shared" si="31"/>
        <v>Medium</v>
      </c>
      <c r="Q283" s="37">
        <v>111.29</v>
      </c>
      <c r="R283" s="37">
        <v>0</v>
      </c>
      <c r="S283" s="37">
        <v>6</v>
      </c>
      <c r="T283" s="37">
        <f t="shared" si="28"/>
        <v>1349.6999999999998</v>
      </c>
      <c r="U283" s="32">
        <f t="shared" si="29"/>
        <v>551.09999999999991</v>
      </c>
      <c r="V283" s="37">
        <f t="shared" si="32"/>
        <v>798.59999999999991</v>
      </c>
      <c r="W283" s="39">
        <f t="shared" si="33"/>
        <v>0.59168704156479224</v>
      </c>
    </row>
    <row r="284" spans="1:23" x14ac:dyDescent="0.3">
      <c r="A284" s="40" t="s">
        <v>668</v>
      </c>
      <c r="B284" s="41">
        <v>45794</v>
      </c>
      <c r="C284" s="42">
        <v>45805</v>
      </c>
      <c r="D284" s="43">
        <f t="shared" si="34"/>
        <v>11</v>
      </c>
      <c r="E284" s="43" t="str">
        <f>TEXT(Data!B284,"MMM-YYYY")</f>
        <v>May-2025</v>
      </c>
      <c r="F284" s="43" t="str">
        <f t="shared" si="30"/>
        <v>Q2-2025</v>
      </c>
      <c r="G284" s="33" t="s">
        <v>45</v>
      </c>
      <c r="H284" s="33" t="s">
        <v>60</v>
      </c>
      <c r="I284" s="33" t="s">
        <v>61</v>
      </c>
      <c r="J284" s="33" t="s">
        <v>19</v>
      </c>
      <c r="K284" s="33" t="s">
        <v>55</v>
      </c>
      <c r="L284" s="33" t="s">
        <v>56</v>
      </c>
      <c r="M284" s="33" t="s">
        <v>57</v>
      </c>
      <c r="N284" s="33" t="s">
        <v>669</v>
      </c>
      <c r="O284" s="43">
        <v>623.4</v>
      </c>
      <c r="P284" s="44" t="str">
        <f t="shared" si="31"/>
        <v>High</v>
      </c>
      <c r="Q284" s="43">
        <v>1100.0899999999999</v>
      </c>
      <c r="R284" s="43">
        <v>0.114</v>
      </c>
      <c r="S284" s="43">
        <v>12</v>
      </c>
      <c r="T284" s="43">
        <f t="shared" si="28"/>
        <v>8208.8608800000002</v>
      </c>
      <c r="U284" s="33">
        <f t="shared" si="29"/>
        <v>7480.7999999999993</v>
      </c>
      <c r="V284" s="43">
        <f t="shared" si="32"/>
        <v>728.06088000000091</v>
      </c>
      <c r="W284" s="45">
        <f t="shared" si="33"/>
        <v>8.8692071974790357E-2</v>
      </c>
    </row>
    <row r="285" spans="1:23" x14ac:dyDescent="0.3">
      <c r="A285" s="34" t="s">
        <v>670</v>
      </c>
      <c r="B285" s="35">
        <v>45304</v>
      </c>
      <c r="C285" s="36">
        <v>45327</v>
      </c>
      <c r="D285" s="37">
        <f t="shared" si="34"/>
        <v>23</v>
      </c>
      <c r="E285" s="37" t="str">
        <f>TEXT(Data!B285,"MMM-YYYY")</f>
        <v>Jan-2024</v>
      </c>
      <c r="F285" s="37" t="str">
        <f t="shared" si="30"/>
        <v>Q1-2024</v>
      </c>
      <c r="G285" s="32" t="s">
        <v>78</v>
      </c>
      <c r="H285" s="32" t="s">
        <v>79</v>
      </c>
      <c r="I285" s="32" t="s">
        <v>335</v>
      </c>
      <c r="J285" s="32" t="s">
        <v>27</v>
      </c>
      <c r="K285" s="32" t="s">
        <v>98</v>
      </c>
      <c r="L285" s="32" t="s">
        <v>56</v>
      </c>
      <c r="M285" s="32" t="s">
        <v>57</v>
      </c>
      <c r="N285" s="32" t="s">
        <v>671</v>
      </c>
      <c r="O285" s="37">
        <v>1017.93</v>
      </c>
      <c r="P285" s="38" t="str">
        <f t="shared" si="31"/>
        <v>High</v>
      </c>
      <c r="Q285" s="37">
        <v>1529.14</v>
      </c>
      <c r="R285" s="37">
        <v>0.155</v>
      </c>
      <c r="S285" s="37">
        <v>12</v>
      </c>
      <c r="T285" s="37">
        <f t="shared" si="28"/>
        <v>31932.989400000002</v>
      </c>
      <c r="U285" s="32">
        <f t="shared" si="29"/>
        <v>12215.16</v>
      </c>
      <c r="V285" s="37">
        <f t="shared" si="32"/>
        <v>19717.829400000002</v>
      </c>
      <c r="W285" s="39">
        <f t="shared" si="33"/>
        <v>0.61747521201381794</v>
      </c>
    </row>
    <row r="286" spans="1:23" x14ac:dyDescent="0.3">
      <c r="A286" s="40" t="s">
        <v>672</v>
      </c>
      <c r="B286" s="41">
        <v>45101</v>
      </c>
      <c r="C286" s="42">
        <v>45128</v>
      </c>
      <c r="D286" s="43">
        <f t="shared" si="34"/>
        <v>27</v>
      </c>
      <c r="E286" s="43" t="str">
        <f>TEXT(Data!B286,"MMM-YYYY")</f>
        <v>Jun-2023</v>
      </c>
      <c r="F286" s="43" t="str">
        <f t="shared" si="30"/>
        <v>Q2-2023</v>
      </c>
      <c r="G286" s="33" t="s">
        <v>45</v>
      </c>
      <c r="H286" s="33" t="s">
        <v>46</v>
      </c>
      <c r="I286" s="33" t="s">
        <v>231</v>
      </c>
      <c r="J286" s="33" t="s">
        <v>48</v>
      </c>
      <c r="K286" s="33" t="s">
        <v>40</v>
      </c>
      <c r="L286" s="33" t="s">
        <v>29</v>
      </c>
      <c r="M286" s="33" t="s">
        <v>42</v>
      </c>
      <c r="N286" s="33" t="s">
        <v>673</v>
      </c>
      <c r="O286" s="43">
        <v>554.76</v>
      </c>
      <c r="P286" s="44" t="str">
        <f t="shared" si="31"/>
        <v>High</v>
      </c>
      <c r="Q286" s="43">
        <v>728.69</v>
      </c>
      <c r="R286" s="43">
        <v>0.22</v>
      </c>
      <c r="S286" s="43">
        <v>7</v>
      </c>
      <c r="T286" s="43">
        <f t="shared" si="28"/>
        <v>314.11380000000003</v>
      </c>
      <c r="U286" s="33">
        <f t="shared" si="29"/>
        <v>3883.3199999999997</v>
      </c>
      <c r="V286" s="43">
        <f t="shared" si="32"/>
        <v>-3569.2061999999996</v>
      </c>
      <c r="W286" s="45">
        <f t="shared" si="33"/>
        <v>-11.362780622818862</v>
      </c>
    </row>
    <row r="287" spans="1:23" x14ac:dyDescent="0.3">
      <c r="A287" s="34" t="s">
        <v>674</v>
      </c>
      <c r="B287" s="35">
        <v>45751</v>
      </c>
      <c r="C287" s="36">
        <v>45760</v>
      </c>
      <c r="D287" s="37">
        <f t="shared" si="34"/>
        <v>9</v>
      </c>
      <c r="E287" s="37" t="str">
        <f>TEXT(Data!B287,"MMM-YYYY")</f>
        <v>Apr-2025</v>
      </c>
      <c r="F287" s="37" t="str">
        <f t="shared" si="30"/>
        <v>Q2-2025</v>
      </c>
      <c r="G287" s="32" t="s">
        <v>78</v>
      </c>
      <c r="H287" s="32" t="s">
        <v>79</v>
      </c>
      <c r="I287" s="32" t="s">
        <v>159</v>
      </c>
      <c r="J287" s="32" t="s">
        <v>48</v>
      </c>
      <c r="K287" s="32" t="s">
        <v>40</v>
      </c>
      <c r="L287" s="32" t="s">
        <v>84</v>
      </c>
      <c r="M287" s="32" t="s">
        <v>42</v>
      </c>
      <c r="N287" s="32" t="s">
        <v>675</v>
      </c>
      <c r="O287" s="37">
        <v>7.02</v>
      </c>
      <c r="P287" s="38" t="str">
        <f t="shared" si="31"/>
        <v>Low</v>
      </c>
      <c r="Q287" s="37">
        <v>6.28</v>
      </c>
      <c r="R287" s="37">
        <v>0.13400000000000001</v>
      </c>
      <c r="S287" s="37">
        <v>14</v>
      </c>
      <c r="T287" s="37">
        <f t="shared" si="28"/>
        <v>9999.9964400000008</v>
      </c>
      <c r="U287" s="32">
        <f t="shared" si="29"/>
        <v>98.28</v>
      </c>
      <c r="V287" s="37">
        <f t="shared" si="32"/>
        <v>9901.7164400000001</v>
      </c>
      <c r="W287" s="39">
        <f t="shared" si="33"/>
        <v>0.99017199650123067</v>
      </c>
    </row>
    <row r="288" spans="1:23" x14ac:dyDescent="0.3">
      <c r="A288" s="40" t="s">
        <v>676</v>
      </c>
      <c r="B288" s="41">
        <v>45542</v>
      </c>
      <c r="C288" s="42">
        <v>45542</v>
      </c>
      <c r="D288" s="43">
        <f t="shared" si="34"/>
        <v>0</v>
      </c>
      <c r="E288" s="43" t="str">
        <f>TEXT(Data!B288,"MMM-YYYY")</f>
        <v>Sep-2024</v>
      </c>
      <c r="F288" s="43" t="str">
        <f t="shared" si="30"/>
        <v>Q3-2024</v>
      </c>
      <c r="G288" s="33" t="s">
        <v>45</v>
      </c>
      <c r="H288" s="33" t="s">
        <v>60</v>
      </c>
      <c r="I288" s="33" t="s">
        <v>220</v>
      </c>
      <c r="J288" s="33" t="s">
        <v>27</v>
      </c>
      <c r="K288" s="33" t="s">
        <v>55</v>
      </c>
      <c r="L288" s="33" t="s">
        <v>56</v>
      </c>
      <c r="M288" s="33" t="s">
        <v>35</v>
      </c>
      <c r="N288" s="33" t="s">
        <v>677</v>
      </c>
      <c r="O288" s="43">
        <v>1066.6500000000001</v>
      </c>
      <c r="P288" s="44" t="str">
        <f t="shared" si="31"/>
        <v>High</v>
      </c>
      <c r="Q288" s="43">
        <v>2569.77</v>
      </c>
      <c r="R288" s="43">
        <v>0.13400000000000001</v>
      </c>
      <c r="S288" s="43">
        <v>9</v>
      </c>
      <c r="T288" s="43">
        <f t="shared" si="28"/>
        <v>11640.572819999999</v>
      </c>
      <c r="U288" s="33">
        <f t="shared" si="29"/>
        <v>9599.85</v>
      </c>
      <c r="V288" s="43">
        <f t="shared" si="32"/>
        <v>2040.722819999999</v>
      </c>
      <c r="W288" s="45">
        <f t="shared" si="33"/>
        <v>0.17531120259767416</v>
      </c>
    </row>
    <row r="289" spans="1:23" x14ac:dyDescent="0.3">
      <c r="A289" s="34" t="s">
        <v>678</v>
      </c>
      <c r="B289" s="35">
        <v>45319</v>
      </c>
      <c r="C289" s="36">
        <v>45321</v>
      </c>
      <c r="D289" s="37">
        <f t="shared" si="34"/>
        <v>2</v>
      </c>
      <c r="E289" s="37" t="str">
        <f>TEXT(Data!B289,"MMM-YYYY")</f>
        <v>Jan-2024</v>
      </c>
      <c r="F289" s="37" t="str">
        <f t="shared" si="30"/>
        <v>Q1-2024</v>
      </c>
      <c r="G289" s="32" t="s">
        <v>16</v>
      </c>
      <c r="H289" s="32" t="s">
        <v>148</v>
      </c>
      <c r="I289" s="32" t="s">
        <v>258</v>
      </c>
      <c r="J289" s="32" t="s">
        <v>48</v>
      </c>
      <c r="K289" s="32" t="s">
        <v>98</v>
      </c>
      <c r="L289" s="32" t="s">
        <v>84</v>
      </c>
      <c r="M289" s="32" t="s">
        <v>81</v>
      </c>
      <c r="N289" s="32" t="s">
        <v>679</v>
      </c>
      <c r="O289" s="37">
        <v>798.45</v>
      </c>
      <c r="P289" s="38" t="str">
        <f t="shared" si="31"/>
        <v>High</v>
      </c>
      <c r="Q289" s="37">
        <v>1592.02</v>
      </c>
      <c r="R289" s="37">
        <v>6.6000000000000003E-2</v>
      </c>
      <c r="S289" s="37">
        <v>18</v>
      </c>
      <c r="T289" s="37">
        <f t="shared" si="28"/>
        <v>12473.159039999999</v>
      </c>
      <c r="U289" s="32">
        <f t="shared" si="29"/>
        <v>14372.1</v>
      </c>
      <c r="V289" s="37">
        <f t="shared" si="32"/>
        <v>-1898.9409600000017</v>
      </c>
      <c r="W289" s="39">
        <f t="shared" si="33"/>
        <v>-0.15224218290733843</v>
      </c>
    </row>
    <row r="290" spans="1:23" x14ac:dyDescent="0.3">
      <c r="A290" s="40" t="s">
        <v>680</v>
      </c>
      <c r="B290" s="41">
        <v>45125</v>
      </c>
      <c r="C290" s="42">
        <v>45148</v>
      </c>
      <c r="D290" s="43">
        <f t="shared" si="34"/>
        <v>23</v>
      </c>
      <c r="E290" s="43" t="str">
        <f>TEXT(Data!B290,"MMM-YYYY")</f>
        <v>Jul-2023</v>
      </c>
      <c r="F290" s="43" t="str">
        <f t="shared" si="30"/>
        <v>Q3-2023</v>
      </c>
      <c r="G290" s="33" t="s">
        <v>16</v>
      </c>
      <c r="H290" s="33" t="s">
        <v>148</v>
      </c>
      <c r="I290" s="33" t="s">
        <v>149</v>
      </c>
      <c r="J290" s="33" t="s">
        <v>62</v>
      </c>
      <c r="K290" s="33" t="s">
        <v>20</v>
      </c>
      <c r="L290" s="33" t="s">
        <v>49</v>
      </c>
      <c r="M290" s="33" t="s">
        <v>22</v>
      </c>
      <c r="N290" s="33" t="s">
        <v>681</v>
      </c>
      <c r="O290" s="43">
        <v>1271.56</v>
      </c>
      <c r="P290" s="44" t="str">
        <f t="shared" si="31"/>
        <v>High</v>
      </c>
      <c r="Q290" s="43">
        <v>995.47</v>
      </c>
      <c r="R290" s="43">
        <v>0.192</v>
      </c>
      <c r="S290" s="43">
        <v>13</v>
      </c>
      <c r="T290" s="43">
        <f t="shared" si="28"/>
        <v>7796.3839200000002</v>
      </c>
      <c r="U290" s="33">
        <f t="shared" si="29"/>
        <v>16530.28</v>
      </c>
      <c r="V290" s="43">
        <f t="shared" si="32"/>
        <v>-8733.8960799999986</v>
      </c>
      <c r="W290" s="45">
        <f t="shared" si="33"/>
        <v>-1.1202496143878966</v>
      </c>
    </row>
    <row r="291" spans="1:23" x14ac:dyDescent="0.3">
      <c r="A291" s="34" t="s">
        <v>682</v>
      </c>
      <c r="B291" s="35">
        <v>45897</v>
      </c>
      <c r="C291" s="36">
        <v>45895</v>
      </c>
      <c r="D291" s="37">
        <f>DATEDIF(C291,B291, "MD")</f>
        <v>2</v>
      </c>
      <c r="E291" s="37" t="str">
        <f>TEXT(Data!B291,"MMM-YYYY")</f>
        <v>Aug-2025</v>
      </c>
      <c r="F291" s="37" t="str">
        <f t="shared" si="30"/>
        <v>Q3-2025</v>
      </c>
      <c r="G291" s="32" t="s">
        <v>16</v>
      </c>
      <c r="H291" s="32" t="s">
        <v>25</v>
      </c>
      <c r="I291" s="32" t="s">
        <v>26</v>
      </c>
      <c r="J291" s="32" t="s">
        <v>62</v>
      </c>
      <c r="K291" s="32" t="s">
        <v>20</v>
      </c>
      <c r="L291" s="32" t="s">
        <v>75</v>
      </c>
      <c r="M291" s="32" t="s">
        <v>81</v>
      </c>
      <c r="N291" s="32" t="s">
        <v>683</v>
      </c>
      <c r="O291" s="37">
        <v>521.05999999999995</v>
      </c>
      <c r="P291" s="38" t="str">
        <f t="shared" si="31"/>
        <v>High</v>
      </c>
      <c r="Q291" s="37">
        <v>1240.31</v>
      </c>
      <c r="R291" s="37">
        <v>0.14599999999999999</v>
      </c>
      <c r="S291" s="37">
        <v>18</v>
      </c>
      <c r="T291" s="37">
        <f t="shared" si="28"/>
        <v>7371.4888800000008</v>
      </c>
      <c r="U291" s="32">
        <f t="shared" si="29"/>
        <v>9379.0799999999981</v>
      </c>
      <c r="V291" s="37">
        <f t="shared" si="32"/>
        <v>-2007.5911199999973</v>
      </c>
      <c r="W291" s="39">
        <f t="shared" si="33"/>
        <v>-0.27234540439271437</v>
      </c>
    </row>
    <row r="292" spans="1:23" x14ac:dyDescent="0.3">
      <c r="A292" s="40" t="s">
        <v>684</v>
      </c>
      <c r="B292" s="41">
        <v>45746</v>
      </c>
      <c r="C292" s="42">
        <v>45754</v>
      </c>
      <c r="D292" s="43">
        <f t="shared" si="34"/>
        <v>8</v>
      </c>
      <c r="E292" s="43" t="str">
        <f>TEXT(Data!B292,"MMM-YYYY")</f>
        <v>Mar-2025</v>
      </c>
      <c r="F292" s="43" t="str">
        <f t="shared" si="30"/>
        <v>Q1-2025</v>
      </c>
      <c r="G292" s="33" t="s">
        <v>52</v>
      </c>
      <c r="H292" s="33" t="s">
        <v>73</v>
      </c>
      <c r="I292" s="33" t="s">
        <v>74</v>
      </c>
      <c r="J292" s="33" t="s">
        <v>39</v>
      </c>
      <c r="K292" s="33" t="s">
        <v>98</v>
      </c>
      <c r="L292" s="33" t="s">
        <v>49</v>
      </c>
      <c r="M292" s="33" t="s">
        <v>30</v>
      </c>
      <c r="N292" s="33" t="s">
        <v>685</v>
      </c>
      <c r="O292" s="43">
        <v>71.62</v>
      </c>
      <c r="P292" s="44" t="str">
        <f t="shared" si="31"/>
        <v>Medium</v>
      </c>
      <c r="Q292" s="43">
        <v>118.37</v>
      </c>
      <c r="R292" s="43">
        <v>0.156</v>
      </c>
      <c r="S292" s="43">
        <v>11</v>
      </c>
      <c r="T292" s="43">
        <f t="shared" si="28"/>
        <v>10911.020999999999</v>
      </c>
      <c r="U292" s="33">
        <f t="shared" si="29"/>
        <v>787.82</v>
      </c>
      <c r="V292" s="43">
        <f t="shared" si="32"/>
        <v>10123.200999999999</v>
      </c>
      <c r="W292" s="45">
        <f t="shared" si="33"/>
        <v>0.92779594136973986</v>
      </c>
    </row>
    <row r="293" spans="1:23" x14ac:dyDescent="0.3">
      <c r="A293" s="34" t="s">
        <v>686</v>
      </c>
      <c r="B293" s="35">
        <v>45220</v>
      </c>
      <c r="C293" s="36">
        <v>45239</v>
      </c>
      <c r="D293" s="37">
        <f t="shared" si="34"/>
        <v>19</v>
      </c>
      <c r="E293" s="37" t="str">
        <f>TEXT(Data!B293,"MMM-YYYY")</f>
        <v>Oct-2023</v>
      </c>
      <c r="F293" s="37" t="str">
        <f t="shared" si="30"/>
        <v>Q4-2023</v>
      </c>
      <c r="G293" s="32" t="s">
        <v>78</v>
      </c>
      <c r="H293" s="32" t="s">
        <v>108</v>
      </c>
      <c r="I293" s="32" t="s">
        <v>152</v>
      </c>
      <c r="J293" s="32" t="s">
        <v>39</v>
      </c>
      <c r="K293" s="32" t="s">
        <v>98</v>
      </c>
      <c r="L293" s="32" t="s">
        <v>75</v>
      </c>
      <c r="M293" s="32" t="s">
        <v>81</v>
      </c>
      <c r="N293" s="32" t="s">
        <v>687</v>
      </c>
      <c r="O293" s="37">
        <v>1142.48</v>
      </c>
      <c r="P293" s="38" t="str">
        <f t="shared" si="31"/>
        <v>High</v>
      </c>
      <c r="Q293" s="37">
        <v>2105.5300000000002</v>
      </c>
      <c r="R293" s="37">
        <v>0.20699999999999999</v>
      </c>
      <c r="S293" s="37">
        <v>14</v>
      </c>
      <c r="T293" s="37">
        <f t="shared" si="28"/>
        <v>2525.1498999999999</v>
      </c>
      <c r="U293" s="32">
        <f t="shared" si="29"/>
        <v>15994.720000000001</v>
      </c>
      <c r="V293" s="37">
        <f t="shared" si="32"/>
        <v>-13469.570100000001</v>
      </c>
      <c r="W293" s="39">
        <f t="shared" si="33"/>
        <v>-5.3341665379944381</v>
      </c>
    </row>
    <row r="294" spans="1:23" x14ac:dyDescent="0.3">
      <c r="A294" s="40" t="s">
        <v>688</v>
      </c>
      <c r="B294" s="41">
        <v>45161</v>
      </c>
      <c r="C294" s="42">
        <v>45191</v>
      </c>
      <c r="D294" s="43">
        <f t="shared" si="34"/>
        <v>30</v>
      </c>
      <c r="E294" s="43" t="str">
        <f>TEXT(Data!B294,"MMM-YYYY")</f>
        <v>Aug-2023</v>
      </c>
      <c r="F294" s="43" t="str">
        <f t="shared" si="30"/>
        <v>Q3-2023</v>
      </c>
      <c r="G294" s="33" t="s">
        <v>78</v>
      </c>
      <c r="H294" s="33" t="s">
        <v>108</v>
      </c>
      <c r="I294" s="33" t="s">
        <v>152</v>
      </c>
      <c r="J294" s="33" t="s">
        <v>48</v>
      </c>
      <c r="K294" s="33" t="s">
        <v>55</v>
      </c>
      <c r="L294" s="33" t="s">
        <v>68</v>
      </c>
      <c r="M294" s="33" t="s">
        <v>81</v>
      </c>
      <c r="N294" s="33" t="s">
        <v>689</v>
      </c>
      <c r="O294" s="43">
        <v>209.81</v>
      </c>
      <c r="P294" s="44" t="str">
        <f t="shared" si="31"/>
        <v>High</v>
      </c>
      <c r="Q294" s="43">
        <v>523</v>
      </c>
      <c r="R294" s="43">
        <v>5.8999999999999997E-2</v>
      </c>
      <c r="S294" s="43">
        <v>15</v>
      </c>
      <c r="T294" s="43">
        <f t="shared" si="28"/>
        <v>16636.221300000001</v>
      </c>
      <c r="U294" s="33">
        <f t="shared" si="29"/>
        <v>3147.15</v>
      </c>
      <c r="V294" s="43">
        <f t="shared" si="32"/>
        <v>13489.071300000001</v>
      </c>
      <c r="W294" s="45">
        <f t="shared" si="33"/>
        <v>0.81082543065233215</v>
      </c>
    </row>
    <row r="295" spans="1:23" x14ac:dyDescent="0.3">
      <c r="A295" s="34" t="s">
        <v>690</v>
      </c>
      <c r="B295" s="35">
        <v>45758</v>
      </c>
      <c r="C295" s="36">
        <v>45781</v>
      </c>
      <c r="D295" s="37">
        <f t="shared" si="34"/>
        <v>23</v>
      </c>
      <c r="E295" s="37" t="str">
        <f>TEXT(Data!B295,"MMM-YYYY")</f>
        <v>Apr-2025</v>
      </c>
      <c r="F295" s="37" t="str">
        <f t="shared" si="30"/>
        <v>Q2-2025</v>
      </c>
      <c r="G295" s="32" t="s">
        <v>45</v>
      </c>
      <c r="H295" s="32" t="s">
        <v>46</v>
      </c>
      <c r="I295" s="32" t="s">
        <v>47</v>
      </c>
      <c r="J295" s="32" t="s">
        <v>62</v>
      </c>
      <c r="K295" s="32" t="s">
        <v>28</v>
      </c>
      <c r="L295" s="32" t="s">
        <v>110</v>
      </c>
      <c r="M295" s="32" t="s">
        <v>22</v>
      </c>
      <c r="N295" s="32" t="s">
        <v>691</v>
      </c>
      <c r="O295" s="37">
        <v>786.2</v>
      </c>
      <c r="P295" s="38" t="str">
        <f t="shared" si="31"/>
        <v>High</v>
      </c>
      <c r="Q295" s="37">
        <v>1075.3</v>
      </c>
      <c r="R295" s="37">
        <v>0.08</v>
      </c>
      <c r="S295" s="37">
        <v>9</v>
      </c>
      <c r="T295" s="37">
        <f t="shared" si="28"/>
        <v>20054.987999999998</v>
      </c>
      <c r="U295" s="32">
        <f t="shared" si="29"/>
        <v>7075.8</v>
      </c>
      <c r="V295" s="37">
        <f t="shared" si="32"/>
        <v>12979.187999999998</v>
      </c>
      <c r="W295" s="39">
        <f t="shared" si="33"/>
        <v>0.64718004318925548</v>
      </c>
    </row>
    <row r="296" spans="1:23" x14ac:dyDescent="0.3">
      <c r="A296" s="40" t="s">
        <v>692</v>
      </c>
      <c r="B296" s="41">
        <v>45809</v>
      </c>
      <c r="C296" s="42">
        <v>45835</v>
      </c>
      <c r="D296" s="43">
        <f t="shared" si="34"/>
        <v>26</v>
      </c>
      <c r="E296" s="43" t="str">
        <f>TEXT(Data!B296,"MMM-YYYY")</f>
        <v>Jun-2025</v>
      </c>
      <c r="F296" s="43" t="str">
        <f t="shared" si="30"/>
        <v>Q2-2025</v>
      </c>
      <c r="G296" s="33" t="s">
        <v>78</v>
      </c>
      <c r="H296" s="33" t="s">
        <v>79</v>
      </c>
      <c r="I296" s="33" t="s">
        <v>159</v>
      </c>
      <c r="J296" s="33" t="s">
        <v>48</v>
      </c>
      <c r="K296" s="33" t="s">
        <v>55</v>
      </c>
      <c r="L296" s="33" t="s">
        <v>63</v>
      </c>
      <c r="M296" s="33" t="s">
        <v>57</v>
      </c>
      <c r="N296" s="33" t="s">
        <v>693</v>
      </c>
      <c r="O296" s="43">
        <v>1362.31</v>
      </c>
      <c r="P296" s="44" t="str">
        <f t="shared" si="31"/>
        <v>High</v>
      </c>
      <c r="Q296" s="43">
        <v>3294.57</v>
      </c>
      <c r="R296" s="43">
        <v>0.113</v>
      </c>
      <c r="S296" s="43">
        <v>7</v>
      </c>
      <c r="T296" s="43">
        <f t="shared" si="28"/>
        <v>2693.96092</v>
      </c>
      <c r="U296" s="33">
        <f t="shared" si="29"/>
        <v>9536.17</v>
      </c>
      <c r="V296" s="43">
        <f t="shared" si="32"/>
        <v>-6842.2090800000005</v>
      </c>
      <c r="W296" s="45">
        <f t="shared" si="33"/>
        <v>-2.5398323447097373</v>
      </c>
    </row>
    <row r="297" spans="1:23" x14ac:dyDescent="0.3">
      <c r="A297" s="34" t="s">
        <v>694</v>
      </c>
      <c r="B297" s="35">
        <v>45353</v>
      </c>
      <c r="C297" s="36">
        <v>45367</v>
      </c>
      <c r="D297" s="37">
        <f t="shared" si="34"/>
        <v>14</v>
      </c>
      <c r="E297" s="37" t="str">
        <f>TEXT(Data!B297,"MMM-YYYY")</f>
        <v>Mar-2024</v>
      </c>
      <c r="F297" s="37" t="str">
        <f t="shared" si="30"/>
        <v>Q1-2024</v>
      </c>
      <c r="G297" s="32" t="s">
        <v>52</v>
      </c>
      <c r="H297" s="32" t="s">
        <v>53</v>
      </c>
      <c r="I297" s="32" t="s">
        <v>179</v>
      </c>
      <c r="J297" s="32" t="s">
        <v>39</v>
      </c>
      <c r="K297" s="32" t="s">
        <v>98</v>
      </c>
      <c r="L297" s="32" t="s">
        <v>68</v>
      </c>
      <c r="M297" s="32" t="s">
        <v>30</v>
      </c>
      <c r="N297" s="32" t="s">
        <v>695</v>
      </c>
      <c r="O297" s="37">
        <v>248.24</v>
      </c>
      <c r="P297" s="38" t="str">
        <f t="shared" si="31"/>
        <v>High</v>
      </c>
      <c r="Q297" s="37">
        <v>464.05</v>
      </c>
      <c r="R297" s="37">
        <v>0.16900000000000001</v>
      </c>
      <c r="S297" s="37">
        <v>11</v>
      </c>
      <c r="T297" s="37">
        <f t="shared" si="28"/>
        <v>28786.197329999999</v>
      </c>
      <c r="U297" s="32">
        <f t="shared" si="29"/>
        <v>2730.6400000000003</v>
      </c>
      <c r="V297" s="37">
        <f t="shared" si="32"/>
        <v>26055.55733</v>
      </c>
      <c r="W297" s="39">
        <f t="shared" si="33"/>
        <v>0.90514064887777934</v>
      </c>
    </row>
    <row r="298" spans="1:23" x14ac:dyDescent="0.3">
      <c r="A298" s="40" t="s">
        <v>696</v>
      </c>
      <c r="B298" s="41">
        <v>45097</v>
      </c>
      <c r="C298" s="42">
        <v>45115</v>
      </c>
      <c r="D298" s="43">
        <f t="shared" si="34"/>
        <v>18</v>
      </c>
      <c r="E298" s="43" t="str">
        <f>TEXT(Data!B298,"MMM-YYYY")</f>
        <v>Jun-2023</v>
      </c>
      <c r="F298" s="43" t="str">
        <f t="shared" si="30"/>
        <v>Q2-2023</v>
      </c>
      <c r="G298" s="33" t="s">
        <v>52</v>
      </c>
      <c r="H298" s="33" t="s">
        <v>122</v>
      </c>
      <c r="I298" s="33" t="s">
        <v>326</v>
      </c>
      <c r="J298" s="33" t="s">
        <v>39</v>
      </c>
      <c r="K298" s="33" t="s">
        <v>98</v>
      </c>
      <c r="L298" s="33" t="s">
        <v>84</v>
      </c>
      <c r="M298" s="33" t="s">
        <v>64</v>
      </c>
      <c r="N298" s="33" t="s">
        <v>697</v>
      </c>
      <c r="O298" s="43">
        <v>337</v>
      </c>
      <c r="P298" s="44" t="str">
        <f t="shared" si="31"/>
        <v>High</v>
      </c>
      <c r="Q298" s="43">
        <v>511.03</v>
      </c>
      <c r="R298" s="43">
        <v>0.108</v>
      </c>
      <c r="S298" s="43">
        <v>7</v>
      </c>
      <c r="T298" s="43">
        <f t="shared" si="28"/>
        <v>409.91860000000008</v>
      </c>
      <c r="U298" s="33">
        <f t="shared" si="29"/>
        <v>2359</v>
      </c>
      <c r="V298" s="43">
        <f t="shared" si="32"/>
        <v>-1949.0814</v>
      </c>
      <c r="W298" s="45">
        <f t="shared" si="33"/>
        <v>-4.7548010751402829</v>
      </c>
    </row>
    <row r="299" spans="1:23" x14ac:dyDescent="0.3">
      <c r="A299" s="34" t="s">
        <v>698</v>
      </c>
      <c r="B299" s="35">
        <v>45377</v>
      </c>
      <c r="C299" s="36">
        <v>45387</v>
      </c>
      <c r="D299" s="37">
        <f t="shared" si="34"/>
        <v>10</v>
      </c>
      <c r="E299" s="37" t="str">
        <f>TEXT(Data!B299,"MMM-YYYY")</f>
        <v>Mar-2024</v>
      </c>
      <c r="F299" s="37" t="str">
        <f t="shared" si="30"/>
        <v>Q1-2024</v>
      </c>
      <c r="G299" s="32" t="s">
        <v>52</v>
      </c>
      <c r="H299" s="32" t="s">
        <v>122</v>
      </c>
      <c r="I299" s="32" t="s">
        <v>326</v>
      </c>
      <c r="J299" s="32" t="s">
        <v>48</v>
      </c>
      <c r="K299" s="32" t="s">
        <v>98</v>
      </c>
      <c r="L299" s="32" t="s">
        <v>29</v>
      </c>
      <c r="M299" s="32" t="s">
        <v>64</v>
      </c>
      <c r="N299" s="32" t="s">
        <v>699</v>
      </c>
      <c r="O299" s="37">
        <v>5.66</v>
      </c>
      <c r="P299" s="38" t="str">
        <f t="shared" si="31"/>
        <v>Low</v>
      </c>
      <c r="Q299" s="37">
        <v>4.22</v>
      </c>
      <c r="R299" s="37">
        <v>0.11899999999999999</v>
      </c>
      <c r="S299" s="37">
        <v>18</v>
      </c>
      <c r="T299" s="37">
        <f t="shared" si="28"/>
        <v>39520.356119999997</v>
      </c>
      <c r="U299" s="32">
        <f t="shared" si="29"/>
        <v>101.88</v>
      </c>
      <c r="V299" s="37">
        <f t="shared" si="32"/>
        <v>39418.476119999999</v>
      </c>
      <c r="W299" s="39">
        <f t="shared" si="33"/>
        <v>0.99742208800723742</v>
      </c>
    </row>
    <row r="300" spans="1:23" x14ac:dyDescent="0.3">
      <c r="A300" s="40" t="s">
        <v>700</v>
      </c>
      <c r="B300" s="41">
        <v>45679</v>
      </c>
      <c r="C300" s="42">
        <v>45679</v>
      </c>
      <c r="D300" s="43">
        <f t="shared" si="34"/>
        <v>0</v>
      </c>
      <c r="E300" s="43" t="str">
        <f>TEXT(Data!B300,"MMM-YYYY")</f>
        <v>Jan-2025</v>
      </c>
      <c r="F300" s="43" t="str">
        <f t="shared" si="30"/>
        <v>Q1-2025</v>
      </c>
      <c r="G300" s="33" t="s">
        <v>78</v>
      </c>
      <c r="H300" s="33" t="s">
        <v>90</v>
      </c>
      <c r="I300" s="33" t="s">
        <v>138</v>
      </c>
      <c r="J300" s="33" t="s">
        <v>62</v>
      </c>
      <c r="K300" s="33" t="s">
        <v>28</v>
      </c>
      <c r="L300" s="33" t="s">
        <v>56</v>
      </c>
      <c r="M300" s="33" t="s">
        <v>81</v>
      </c>
      <c r="N300" s="33" t="s">
        <v>701</v>
      </c>
      <c r="O300" s="43">
        <v>591.72</v>
      </c>
      <c r="P300" s="44" t="str">
        <f t="shared" si="31"/>
        <v>High</v>
      </c>
      <c r="Q300" s="43">
        <v>577.24</v>
      </c>
      <c r="R300" s="43">
        <v>0</v>
      </c>
      <c r="S300" s="43">
        <v>22</v>
      </c>
      <c r="T300" s="43">
        <f t="shared" si="28"/>
        <v>20500.48</v>
      </c>
      <c r="U300" s="33">
        <f t="shared" si="29"/>
        <v>13017.84</v>
      </c>
      <c r="V300" s="43">
        <f t="shared" si="32"/>
        <v>7482.6399999999994</v>
      </c>
      <c r="W300" s="45">
        <f t="shared" si="33"/>
        <v>0.36499828296703296</v>
      </c>
    </row>
    <row r="301" spans="1:23" x14ac:dyDescent="0.3">
      <c r="A301" s="34" t="s">
        <v>702</v>
      </c>
      <c r="B301" s="35">
        <v>45787</v>
      </c>
      <c r="C301" s="36">
        <v>45804</v>
      </c>
      <c r="D301" s="37">
        <f t="shared" si="34"/>
        <v>17</v>
      </c>
      <c r="E301" s="37" t="str">
        <f>TEXT(Data!B301,"MMM-YYYY")</f>
        <v>May-2025</v>
      </c>
      <c r="F301" s="37" t="str">
        <f t="shared" si="30"/>
        <v>Q2-2025</v>
      </c>
      <c r="G301" s="32" t="s">
        <v>52</v>
      </c>
      <c r="H301" s="32" t="s">
        <v>53</v>
      </c>
      <c r="I301" s="32" t="s">
        <v>179</v>
      </c>
      <c r="J301" s="32" t="s">
        <v>27</v>
      </c>
      <c r="K301" s="32" t="s">
        <v>98</v>
      </c>
      <c r="L301" s="32" t="s">
        <v>21</v>
      </c>
      <c r="M301" s="32" t="s">
        <v>22</v>
      </c>
      <c r="N301" s="32" t="s">
        <v>703</v>
      </c>
      <c r="O301" s="37">
        <v>862.89</v>
      </c>
      <c r="P301" s="38" t="str">
        <f t="shared" si="31"/>
        <v>High</v>
      </c>
      <c r="Q301" s="37">
        <v>1426.03</v>
      </c>
      <c r="R301" s="37">
        <v>5.6000000000000001E-2</v>
      </c>
      <c r="S301" s="37">
        <v>19</v>
      </c>
      <c r="T301" s="37">
        <f t="shared" si="28"/>
        <v>11111.531359999999</v>
      </c>
      <c r="U301" s="32">
        <f t="shared" si="29"/>
        <v>16394.91</v>
      </c>
      <c r="V301" s="37">
        <f t="shared" si="32"/>
        <v>-5283.3786400000008</v>
      </c>
      <c r="W301" s="39">
        <f t="shared" si="33"/>
        <v>-0.4754860935747745</v>
      </c>
    </row>
    <row r="302" spans="1:23" x14ac:dyDescent="0.3">
      <c r="A302" s="40" t="s">
        <v>704</v>
      </c>
      <c r="B302" s="41">
        <v>45204</v>
      </c>
      <c r="C302" s="42">
        <v>45230</v>
      </c>
      <c r="D302" s="43">
        <f t="shared" si="34"/>
        <v>26</v>
      </c>
      <c r="E302" s="43" t="str">
        <f>TEXT(Data!B302,"MMM-YYYY")</f>
        <v>Oct-2023</v>
      </c>
      <c r="F302" s="43" t="str">
        <f t="shared" si="30"/>
        <v>Q4-2023</v>
      </c>
      <c r="G302" s="33" t="s">
        <v>45</v>
      </c>
      <c r="H302" s="33" t="s">
        <v>116</v>
      </c>
      <c r="I302" s="33" t="s">
        <v>162</v>
      </c>
      <c r="J302" s="33" t="s">
        <v>48</v>
      </c>
      <c r="K302" s="33" t="s">
        <v>1364</v>
      </c>
      <c r="L302" s="33" t="s">
        <v>29</v>
      </c>
      <c r="M302" s="33" t="s">
        <v>30</v>
      </c>
      <c r="N302" s="33" t="s">
        <v>705</v>
      </c>
      <c r="O302" s="43">
        <v>649.91</v>
      </c>
      <c r="P302" s="44" t="str">
        <f t="shared" si="31"/>
        <v>High</v>
      </c>
      <c r="Q302" s="43">
        <v>1360.12</v>
      </c>
      <c r="R302" s="43">
        <v>0.19400000000000001</v>
      </c>
      <c r="S302" s="43">
        <v>9</v>
      </c>
      <c r="T302" s="43">
        <f t="shared" si="28"/>
        <v>10311.923699999999</v>
      </c>
      <c r="U302" s="33">
        <f t="shared" si="29"/>
        <v>5849.19</v>
      </c>
      <c r="V302" s="43">
        <f t="shared" si="32"/>
        <v>4462.7336999999998</v>
      </c>
      <c r="W302" s="45">
        <f t="shared" si="33"/>
        <v>0.43277411953697836</v>
      </c>
    </row>
    <row r="303" spans="1:23" x14ac:dyDescent="0.3">
      <c r="A303" s="34" t="s">
        <v>706</v>
      </c>
      <c r="B303" s="35">
        <v>45125</v>
      </c>
      <c r="C303" s="36">
        <v>45129</v>
      </c>
      <c r="D303" s="37">
        <f t="shared" si="34"/>
        <v>4</v>
      </c>
      <c r="E303" s="37" t="str">
        <f>TEXT(Data!B303,"MMM-YYYY")</f>
        <v>Jul-2023</v>
      </c>
      <c r="F303" s="37" t="str">
        <f t="shared" si="30"/>
        <v>Q3-2023</v>
      </c>
      <c r="G303" s="32" t="s">
        <v>52</v>
      </c>
      <c r="H303" s="32" t="s">
        <v>73</v>
      </c>
      <c r="I303" s="32" t="s">
        <v>74</v>
      </c>
      <c r="J303" s="32" t="s">
        <v>48</v>
      </c>
      <c r="K303" s="32" t="s">
        <v>98</v>
      </c>
      <c r="L303" s="32" t="s">
        <v>84</v>
      </c>
      <c r="M303" s="32" t="s">
        <v>35</v>
      </c>
      <c r="N303" s="32" t="s">
        <v>707</v>
      </c>
      <c r="O303" s="37">
        <v>1269.55</v>
      </c>
      <c r="P303" s="38" t="str">
        <f t="shared" si="31"/>
        <v>High</v>
      </c>
      <c r="Q303" s="37">
        <v>2071.1</v>
      </c>
      <c r="R303" s="37">
        <v>0.129</v>
      </c>
      <c r="S303" s="37">
        <v>22</v>
      </c>
      <c r="T303" s="37">
        <f t="shared" si="28"/>
        <v>18252.954719999998</v>
      </c>
      <c r="U303" s="32">
        <f t="shared" si="29"/>
        <v>27930.1</v>
      </c>
      <c r="V303" s="37">
        <f t="shared" si="32"/>
        <v>-9677.1452800000006</v>
      </c>
      <c r="W303" s="39">
        <f t="shared" si="33"/>
        <v>-0.53016870027057195</v>
      </c>
    </row>
    <row r="304" spans="1:23" x14ac:dyDescent="0.3">
      <c r="A304" s="40" t="s">
        <v>708</v>
      </c>
      <c r="B304" s="41">
        <v>45830</v>
      </c>
      <c r="C304" s="42">
        <v>45846</v>
      </c>
      <c r="D304" s="43">
        <f t="shared" si="34"/>
        <v>16</v>
      </c>
      <c r="E304" s="43" t="str">
        <f>TEXT(Data!B304,"MMM-YYYY")</f>
        <v>Jun-2025</v>
      </c>
      <c r="F304" s="43" t="str">
        <f t="shared" si="30"/>
        <v>Q2-2025</v>
      </c>
      <c r="G304" s="33" t="s">
        <v>78</v>
      </c>
      <c r="H304" s="33" t="s">
        <v>108</v>
      </c>
      <c r="I304" s="33" t="s">
        <v>152</v>
      </c>
      <c r="J304" s="33" t="s">
        <v>27</v>
      </c>
      <c r="K304" s="33" t="s">
        <v>98</v>
      </c>
      <c r="L304" s="33" t="s">
        <v>75</v>
      </c>
      <c r="M304" s="33" t="s">
        <v>42</v>
      </c>
      <c r="N304" s="33" t="s">
        <v>709</v>
      </c>
      <c r="O304" s="43">
        <v>892.73</v>
      </c>
      <c r="P304" s="44" t="str">
        <f t="shared" si="31"/>
        <v>High</v>
      </c>
      <c r="Q304" s="43">
        <v>979.84</v>
      </c>
      <c r="R304" s="43">
        <v>0.17399999999999999</v>
      </c>
      <c r="S304" s="43">
        <v>10</v>
      </c>
      <c r="T304" s="43">
        <f t="shared" si="28"/>
        <v>26053.196400000001</v>
      </c>
      <c r="U304" s="33">
        <f t="shared" si="29"/>
        <v>8927.2999999999993</v>
      </c>
      <c r="V304" s="43">
        <f t="shared" si="32"/>
        <v>17125.896400000001</v>
      </c>
      <c r="W304" s="45">
        <f t="shared" si="33"/>
        <v>0.65734338839129935</v>
      </c>
    </row>
    <row r="305" spans="1:23" x14ac:dyDescent="0.3">
      <c r="A305" s="34" t="s">
        <v>710</v>
      </c>
      <c r="B305" s="35">
        <v>45462</v>
      </c>
      <c r="C305" s="36">
        <v>45463</v>
      </c>
      <c r="D305" s="37">
        <f t="shared" si="34"/>
        <v>1</v>
      </c>
      <c r="E305" s="37" t="str">
        <f>TEXT(Data!B305,"MMM-YYYY")</f>
        <v>Jun-2024</v>
      </c>
      <c r="F305" s="37" t="str">
        <f t="shared" si="30"/>
        <v>Q2-2024</v>
      </c>
      <c r="G305" s="32" t="s">
        <v>16</v>
      </c>
      <c r="H305" s="32" t="s">
        <v>17</v>
      </c>
      <c r="I305" s="32" t="s">
        <v>18</v>
      </c>
      <c r="J305" s="32" t="s">
        <v>62</v>
      </c>
      <c r="K305" s="32" t="s">
        <v>98</v>
      </c>
      <c r="L305" s="32" t="s">
        <v>29</v>
      </c>
      <c r="M305" s="32" t="s">
        <v>57</v>
      </c>
      <c r="N305" s="32" t="s">
        <v>711</v>
      </c>
      <c r="O305" s="37">
        <v>231.63</v>
      </c>
      <c r="P305" s="38" t="str">
        <f t="shared" si="31"/>
        <v>High</v>
      </c>
      <c r="Q305" s="37">
        <v>537.39</v>
      </c>
      <c r="R305" s="37">
        <v>0.08</v>
      </c>
      <c r="S305" s="37">
        <v>12</v>
      </c>
      <c r="T305" s="37">
        <f t="shared" si="28"/>
        <v>2496.5855999999999</v>
      </c>
      <c r="U305" s="32">
        <f t="shared" si="29"/>
        <v>2779.56</v>
      </c>
      <c r="V305" s="37">
        <f t="shared" si="32"/>
        <v>-282.97440000000006</v>
      </c>
      <c r="W305" s="39">
        <f t="shared" si="33"/>
        <v>-0.11334456146827093</v>
      </c>
    </row>
    <row r="306" spans="1:23" x14ac:dyDescent="0.3">
      <c r="A306" s="40" t="s">
        <v>712</v>
      </c>
      <c r="B306" s="41">
        <v>45756</v>
      </c>
      <c r="C306" s="42">
        <v>45759</v>
      </c>
      <c r="D306" s="43">
        <f t="shared" si="34"/>
        <v>3</v>
      </c>
      <c r="E306" s="43" t="str">
        <f>TEXT(Data!B306,"MMM-YYYY")</f>
        <v>Apr-2025</v>
      </c>
      <c r="F306" s="43" t="str">
        <f t="shared" si="30"/>
        <v>Q2-2025</v>
      </c>
      <c r="G306" s="33" t="s">
        <v>78</v>
      </c>
      <c r="H306" s="33" t="s">
        <v>90</v>
      </c>
      <c r="I306" s="33" t="s">
        <v>138</v>
      </c>
      <c r="J306" s="33" t="s">
        <v>62</v>
      </c>
      <c r="K306" s="33" t="s">
        <v>55</v>
      </c>
      <c r="L306" s="33" t="s">
        <v>92</v>
      </c>
      <c r="M306" s="33" t="s">
        <v>64</v>
      </c>
      <c r="N306" s="33" t="s">
        <v>713</v>
      </c>
      <c r="O306" s="43">
        <v>86.68</v>
      </c>
      <c r="P306" s="44" t="str">
        <f t="shared" si="31"/>
        <v>High</v>
      </c>
      <c r="Q306" s="43">
        <v>213.32</v>
      </c>
      <c r="R306" s="43">
        <v>3.7999999999999999E-2</v>
      </c>
      <c r="S306" s="43">
        <v>8</v>
      </c>
      <c r="T306" s="43">
        <f t="shared" si="28"/>
        <v>6818.0403199999992</v>
      </c>
      <c r="U306" s="33">
        <f t="shared" si="29"/>
        <v>693.44</v>
      </c>
      <c r="V306" s="43">
        <f t="shared" si="32"/>
        <v>6124.6003199999996</v>
      </c>
      <c r="W306" s="45">
        <f t="shared" si="33"/>
        <v>0.89829335594190218</v>
      </c>
    </row>
    <row r="307" spans="1:23" x14ac:dyDescent="0.3">
      <c r="A307" s="34" t="s">
        <v>714</v>
      </c>
      <c r="B307" s="35">
        <v>45741</v>
      </c>
      <c r="C307" s="36">
        <v>45742</v>
      </c>
      <c r="D307" s="37">
        <f t="shared" si="34"/>
        <v>1</v>
      </c>
      <c r="E307" s="37" t="str">
        <f>TEXT(Data!B307,"MMM-YYYY")</f>
        <v>Mar-2025</v>
      </c>
      <c r="F307" s="37" t="str">
        <f t="shared" si="30"/>
        <v>Q1-2025</v>
      </c>
      <c r="G307" s="32" t="s">
        <v>16</v>
      </c>
      <c r="H307" s="32" t="s">
        <v>25</v>
      </c>
      <c r="I307" s="32" t="s">
        <v>38</v>
      </c>
      <c r="J307" s="32" t="s">
        <v>27</v>
      </c>
      <c r="K307" s="32" t="s">
        <v>55</v>
      </c>
      <c r="L307" s="32" t="s">
        <v>41</v>
      </c>
      <c r="M307" s="32" t="s">
        <v>81</v>
      </c>
      <c r="N307" s="32" t="s">
        <v>715</v>
      </c>
      <c r="O307" s="37">
        <v>1450.43</v>
      </c>
      <c r="P307" s="38" t="str">
        <f t="shared" si="31"/>
        <v>High</v>
      </c>
      <c r="Q307" s="37">
        <v>1994.67</v>
      </c>
      <c r="R307" s="37">
        <v>0.1</v>
      </c>
      <c r="S307" s="37">
        <v>24</v>
      </c>
      <c r="T307" s="37">
        <f t="shared" si="28"/>
        <v>52560.144000000008</v>
      </c>
      <c r="U307" s="32">
        <f t="shared" si="29"/>
        <v>34810.32</v>
      </c>
      <c r="V307" s="37">
        <f t="shared" si="32"/>
        <v>17749.824000000008</v>
      </c>
      <c r="W307" s="39">
        <f t="shared" si="33"/>
        <v>0.33770501085385163</v>
      </c>
    </row>
    <row r="308" spans="1:23" x14ac:dyDescent="0.3">
      <c r="A308" s="40" t="s">
        <v>716</v>
      </c>
      <c r="B308" s="41">
        <v>45795</v>
      </c>
      <c r="C308" s="42">
        <v>45817</v>
      </c>
      <c r="D308" s="43">
        <f t="shared" si="34"/>
        <v>22</v>
      </c>
      <c r="E308" s="43" t="str">
        <f>TEXT(Data!B308,"MMM-YYYY")</f>
        <v>May-2025</v>
      </c>
      <c r="F308" s="43" t="str">
        <f t="shared" si="30"/>
        <v>Q2-2025</v>
      </c>
      <c r="G308" s="33" t="s">
        <v>52</v>
      </c>
      <c r="H308" s="33" t="s">
        <v>122</v>
      </c>
      <c r="I308" s="33" t="s">
        <v>387</v>
      </c>
      <c r="J308" s="33" t="s">
        <v>48</v>
      </c>
      <c r="K308" s="33" t="s">
        <v>20</v>
      </c>
      <c r="L308" s="33" t="s">
        <v>92</v>
      </c>
      <c r="M308" s="33" t="s">
        <v>35</v>
      </c>
      <c r="N308" s="33" t="s">
        <v>717</v>
      </c>
      <c r="O308" s="43">
        <v>382.96</v>
      </c>
      <c r="P308" s="44" t="str">
        <f t="shared" si="31"/>
        <v>High</v>
      </c>
      <c r="Q308" s="43">
        <v>552.84</v>
      </c>
      <c r="R308" s="43">
        <v>0.17599999999999999</v>
      </c>
      <c r="S308" s="43">
        <v>8</v>
      </c>
      <c r="T308" s="43">
        <f t="shared" si="28"/>
        <v>7609.4092799999999</v>
      </c>
      <c r="U308" s="33">
        <f t="shared" si="29"/>
        <v>3063.68</v>
      </c>
      <c r="V308" s="43">
        <f t="shared" si="32"/>
        <v>4545.7292799999996</v>
      </c>
      <c r="W308" s="45">
        <f t="shared" si="33"/>
        <v>0.59738267620164065</v>
      </c>
    </row>
    <row r="309" spans="1:23" x14ac:dyDescent="0.3">
      <c r="A309" s="34" t="s">
        <v>718</v>
      </c>
      <c r="B309" s="35">
        <v>45679</v>
      </c>
      <c r="C309" s="36">
        <v>45692</v>
      </c>
      <c r="D309" s="37">
        <f t="shared" si="34"/>
        <v>13</v>
      </c>
      <c r="E309" s="37" t="str">
        <f>TEXT(Data!B309,"MMM-YYYY")</f>
        <v>Jan-2025</v>
      </c>
      <c r="F309" s="37" t="str">
        <f t="shared" si="30"/>
        <v>Q1-2025</v>
      </c>
      <c r="G309" s="32" t="s">
        <v>45</v>
      </c>
      <c r="H309" s="32" t="s">
        <v>46</v>
      </c>
      <c r="I309" s="32" t="s">
        <v>214</v>
      </c>
      <c r="J309" s="32" t="s">
        <v>62</v>
      </c>
      <c r="K309" s="32" t="s">
        <v>55</v>
      </c>
      <c r="L309" s="32" t="s">
        <v>49</v>
      </c>
      <c r="M309" s="32" t="s">
        <v>30</v>
      </c>
      <c r="N309" s="32" t="s">
        <v>719</v>
      </c>
      <c r="O309" s="37">
        <v>122.29</v>
      </c>
      <c r="P309" s="38" t="str">
        <f t="shared" si="31"/>
        <v>High</v>
      </c>
      <c r="Q309" s="37">
        <v>224.95</v>
      </c>
      <c r="R309" s="37">
        <v>0.153</v>
      </c>
      <c r="S309" s="37">
        <v>28</v>
      </c>
      <c r="T309" s="37">
        <f t="shared" si="28"/>
        <v>26941.13884</v>
      </c>
      <c r="U309" s="32">
        <f t="shared" si="29"/>
        <v>3424.1200000000003</v>
      </c>
      <c r="V309" s="37">
        <f t="shared" si="32"/>
        <v>23517.018840000001</v>
      </c>
      <c r="W309" s="39">
        <f t="shared" si="33"/>
        <v>0.8729036652705956</v>
      </c>
    </row>
    <row r="310" spans="1:23" x14ac:dyDescent="0.3">
      <c r="A310" s="40" t="s">
        <v>720</v>
      </c>
      <c r="B310" s="41">
        <v>44936</v>
      </c>
      <c r="C310" s="42">
        <v>44955</v>
      </c>
      <c r="D310" s="43">
        <f t="shared" si="34"/>
        <v>19</v>
      </c>
      <c r="E310" s="43" t="str">
        <f>TEXT(Data!B310,"MMM-YYYY")</f>
        <v>Jan-2023</v>
      </c>
      <c r="F310" s="43" t="str">
        <f t="shared" si="30"/>
        <v>Q1-2023</v>
      </c>
      <c r="G310" s="33" t="s">
        <v>78</v>
      </c>
      <c r="H310" s="33" t="s">
        <v>90</v>
      </c>
      <c r="I310" s="33" t="s">
        <v>138</v>
      </c>
      <c r="J310" s="33" t="s">
        <v>39</v>
      </c>
      <c r="K310" s="33" t="s">
        <v>98</v>
      </c>
      <c r="L310" s="33" t="s">
        <v>145</v>
      </c>
      <c r="M310" s="33" t="s">
        <v>57</v>
      </c>
      <c r="N310" s="33" t="s">
        <v>721</v>
      </c>
      <c r="O310" s="43">
        <v>401.66</v>
      </c>
      <c r="P310" s="44" t="str">
        <f t="shared" si="31"/>
        <v>High</v>
      </c>
      <c r="Q310" s="43">
        <v>772.09</v>
      </c>
      <c r="R310" s="43">
        <v>8.8999999999999996E-2</v>
      </c>
      <c r="S310" s="43">
        <v>14</v>
      </c>
      <c r="T310" s="43">
        <f t="shared" si="28"/>
        <v>35096.967360000002</v>
      </c>
      <c r="U310" s="33">
        <f t="shared" si="29"/>
        <v>5623.2400000000007</v>
      </c>
      <c r="V310" s="43">
        <f t="shared" si="32"/>
        <v>29473.727360000001</v>
      </c>
      <c r="W310" s="45">
        <f t="shared" si="33"/>
        <v>0.83977988917615698</v>
      </c>
    </row>
    <row r="311" spans="1:23" x14ac:dyDescent="0.3">
      <c r="A311" s="34" t="s">
        <v>722</v>
      </c>
      <c r="B311" s="35">
        <v>45655</v>
      </c>
      <c r="C311" s="36">
        <v>45669</v>
      </c>
      <c r="D311" s="37">
        <f t="shared" si="34"/>
        <v>14</v>
      </c>
      <c r="E311" s="37" t="str">
        <f>TEXT(Data!B311,"MMM-YYYY")</f>
        <v>Dec-2024</v>
      </c>
      <c r="F311" s="37" t="str">
        <f t="shared" si="30"/>
        <v>Q4-2024</v>
      </c>
      <c r="G311" s="32" t="s">
        <v>78</v>
      </c>
      <c r="H311" s="32" t="s">
        <v>108</v>
      </c>
      <c r="I311" s="32" t="s">
        <v>228</v>
      </c>
      <c r="J311" s="32" t="s">
        <v>19</v>
      </c>
      <c r="K311" s="32" t="s">
        <v>98</v>
      </c>
      <c r="L311" s="32" t="s">
        <v>56</v>
      </c>
      <c r="M311" s="32" t="s">
        <v>64</v>
      </c>
      <c r="N311" s="32" t="s">
        <v>723</v>
      </c>
      <c r="O311" s="37">
        <v>1399.72</v>
      </c>
      <c r="P311" s="38" t="str">
        <f t="shared" si="31"/>
        <v>High</v>
      </c>
      <c r="Q311" s="37">
        <v>3149.21</v>
      </c>
      <c r="R311" s="37">
        <v>0.185</v>
      </c>
      <c r="S311" s="37">
        <v>12</v>
      </c>
      <c r="T311" s="37">
        <f t="shared" si="28"/>
        <v>13444.761599999998</v>
      </c>
      <c r="U311" s="32">
        <f t="shared" si="29"/>
        <v>16796.64</v>
      </c>
      <c r="V311" s="37">
        <f t="shared" si="32"/>
        <v>-3351.8784000000014</v>
      </c>
      <c r="W311" s="39">
        <f t="shared" si="33"/>
        <v>-0.24930738823959525</v>
      </c>
    </row>
    <row r="312" spans="1:23" x14ac:dyDescent="0.3">
      <c r="A312" s="40" t="s">
        <v>724</v>
      </c>
      <c r="B312" s="41">
        <v>45435</v>
      </c>
      <c r="C312" s="42">
        <v>45449</v>
      </c>
      <c r="D312" s="43">
        <f t="shared" si="34"/>
        <v>14</v>
      </c>
      <c r="E312" s="43" t="str">
        <f>TEXT(Data!B312,"MMM-YYYY")</f>
        <v>May-2024</v>
      </c>
      <c r="F312" s="43" t="str">
        <f t="shared" si="30"/>
        <v>Q2-2024</v>
      </c>
      <c r="G312" s="33" t="s">
        <v>52</v>
      </c>
      <c r="H312" s="33" t="s">
        <v>73</v>
      </c>
      <c r="I312" s="33" t="s">
        <v>225</v>
      </c>
      <c r="J312" s="33" t="s">
        <v>39</v>
      </c>
      <c r="K312" s="33" t="s">
        <v>28</v>
      </c>
      <c r="L312" s="33" t="s">
        <v>34</v>
      </c>
      <c r="M312" s="33" t="s">
        <v>35</v>
      </c>
      <c r="N312" s="33" t="s">
        <v>725</v>
      </c>
      <c r="O312" s="43">
        <v>51.13</v>
      </c>
      <c r="P312" s="44" t="str">
        <f t="shared" si="31"/>
        <v>Medium</v>
      </c>
      <c r="Q312" s="43">
        <v>57.53</v>
      </c>
      <c r="R312" s="43">
        <v>4.4999999999999998E-2</v>
      </c>
      <c r="S312" s="43">
        <v>16</v>
      </c>
      <c r="T312" s="43">
        <f t="shared" si="28"/>
        <v>20144.693599999999</v>
      </c>
      <c r="U312" s="33">
        <f t="shared" si="29"/>
        <v>818.08</v>
      </c>
      <c r="V312" s="43">
        <f t="shared" si="32"/>
        <v>19326.613599999997</v>
      </c>
      <c r="W312" s="45">
        <f t="shared" si="33"/>
        <v>0.95938980178879452</v>
      </c>
    </row>
    <row r="313" spans="1:23" x14ac:dyDescent="0.3">
      <c r="A313" s="34" t="s">
        <v>726</v>
      </c>
      <c r="B313" s="35">
        <v>45101</v>
      </c>
      <c r="C313" s="36">
        <v>45099</v>
      </c>
      <c r="D313" s="37">
        <f>DATEDIF(C313,B313, "MD")</f>
        <v>2</v>
      </c>
      <c r="E313" s="37" t="str">
        <f>TEXT(Data!B313,"MMM-YYYY")</f>
        <v>Jun-2023</v>
      </c>
      <c r="F313" s="37" t="str">
        <f t="shared" si="30"/>
        <v>Q2-2023</v>
      </c>
      <c r="G313" s="32" t="s">
        <v>52</v>
      </c>
      <c r="H313" s="32" t="s">
        <v>53</v>
      </c>
      <c r="I313" s="32" t="s">
        <v>54</v>
      </c>
      <c r="J313" s="32" t="s">
        <v>39</v>
      </c>
      <c r="K313" s="32" t="s">
        <v>20</v>
      </c>
      <c r="L313" s="32" t="s">
        <v>110</v>
      </c>
      <c r="M313" s="32" t="s">
        <v>81</v>
      </c>
      <c r="N313" s="32" t="s">
        <v>727</v>
      </c>
      <c r="O313" s="37">
        <v>471.42</v>
      </c>
      <c r="P313" s="38" t="str">
        <f t="shared" si="31"/>
        <v>High</v>
      </c>
      <c r="Q313" s="37">
        <v>824.81</v>
      </c>
      <c r="R313" s="37">
        <v>8.7999999999999995E-2</v>
      </c>
      <c r="S313" s="37">
        <v>15</v>
      </c>
      <c r="T313" s="37">
        <f t="shared" si="28"/>
        <v>6043.0032000000001</v>
      </c>
      <c r="U313" s="32">
        <f t="shared" si="29"/>
        <v>7071.3</v>
      </c>
      <c r="V313" s="37">
        <f t="shared" si="32"/>
        <v>-1028.2968000000001</v>
      </c>
      <c r="W313" s="39">
        <f t="shared" si="33"/>
        <v>-0.17016320626803574</v>
      </c>
    </row>
    <row r="314" spans="1:23" x14ac:dyDescent="0.3">
      <c r="A314" s="40" t="s">
        <v>728</v>
      </c>
      <c r="B314" s="41">
        <v>45600</v>
      </c>
      <c r="C314" s="42">
        <v>45601</v>
      </c>
      <c r="D314" s="43">
        <f t="shared" si="34"/>
        <v>1</v>
      </c>
      <c r="E314" s="43" t="str">
        <f>TEXT(Data!B314,"MMM-YYYY")</f>
        <v>Nov-2024</v>
      </c>
      <c r="F314" s="43" t="str">
        <f t="shared" si="30"/>
        <v>Q4-2024</v>
      </c>
      <c r="G314" s="33" t="s">
        <v>78</v>
      </c>
      <c r="H314" s="33" t="s">
        <v>108</v>
      </c>
      <c r="I314" s="33" t="s">
        <v>152</v>
      </c>
      <c r="J314" s="33" t="s">
        <v>19</v>
      </c>
      <c r="K314" s="33" t="s">
        <v>20</v>
      </c>
      <c r="L314" s="33" t="s">
        <v>110</v>
      </c>
      <c r="M314" s="33" t="s">
        <v>30</v>
      </c>
      <c r="N314" s="33" t="s">
        <v>729</v>
      </c>
      <c r="O314" s="43">
        <v>840.68</v>
      </c>
      <c r="P314" s="44" t="str">
        <f t="shared" si="31"/>
        <v>High</v>
      </c>
      <c r="Q314" s="43">
        <v>1493.53</v>
      </c>
      <c r="R314" s="43">
        <v>0</v>
      </c>
      <c r="S314" s="43">
        <v>27</v>
      </c>
      <c r="T314" s="43">
        <f t="shared" si="28"/>
        <v>35911.89</v>
      </c>
      <c r="U314" s="33">
        <f t="shared" si="29"/>
        <v>22698.359999999997</v>
      </c>
      <c r="V314" s="43">
        <f t="shared" si="32"/>
        <v>13213.530000000002</v>
      </c>
      <c r="W314" s="45">
        <f t="shared" si="33"/>
        <v>0.36794304059184862</v>
      </c>
    </row>
    <row r="315" spans="1:23" x14ac:dyDescent="0.3">
      <c r="A315" s="34" t="s">
        <v>730</v>
      </c>
      <c r="B315" s="35">
        <v>45451</v>
      </c>
      <c r="C315" s="36">
        <v>45467</v>
      </c>
      <c r="D315" s="37">
        <f t="shared" si="34"/>
        <v>16</v>
      </c>
      <c r="E315" s="37" t="str">
        <f>TEXT(Data!B315,"MMM-YYYY")</f>
        <v>Jun-2024</v>
      </c>
      <c r="F315" s="37" t="str">
        <f t="shared" si="30"/>
        <v>Q2-2024</v>
      </c>
      <c r="G315" s="32" t="s">
        <v>16</v>
      </c>
      <c r="H315" s="32" t="s">
        <v>148</v>
      </c>
      <c r="I315" s="32" t="s">
        <v>172</v>
      </c>
      <c r="J315" s="32" t="s">
        <v>27</v>
      </c>
      <c r="K315" s="32" t="s">
        <v>55</v>
      </c>
      <c r="L315" s="32" t="s">
        <v>92</v>
      </c>
      <c r="M315" s="32" t="s">
        <v>64</v>
      </c>
      <c r="N315" s="32" t="s">
        <v>731</v>
      </c>
      <c r="O315" s="37">
        <v>597.85</v>
      </c>
      <c r="P315" s="38" t="str">
        <f t="shared" si="31"/>
        <v>High</v>
      </c>
      <c r="Q315" s="37">
        <v>741.92</v>
      </c>
      <c r="R315" s="37">
        <v>3.1E-2</v>
      </c>
      <c r="S315" s="37">
        <v>7</v>
      </c>
      <c r="T315" s="37">
        <f t="shared" si="28"/>
        <v>11089.255379999999</v>
      </c>
      <c r="U315" s="32">
        <f t="shared" si="29"/>
        <v>4184.95</v>
      </c>
      <c r="V315" s="37">
        <f t="shared" si="32"/>
        <v>6904.3053799999989</v>
      </c>
      <c r="W315" s="39">
        <f t="shared" si="33"/>
        <v>0.62261217217995024</v>
      </c>
    </row>
    <row r="316" spans="1:23" x14ac:dyDescent="0.3">
      <c r="A316" s="40" t="s">
        <v>732</v>
      </c>
      <c r="B316" s="41">
        <v>45809</v>
      </c>
      <c r="C316" s="42">
        <v>45814</v>
      </c>
      <c r="D316" s="43">
        <f t="shared" si="34"/>
        <v>5</v>
      </c>
      <c r="E316" s="43" t="str">
        <f>TEXT(Data!B316,"MMM-YYYY")</f>
        <v>Jun-2025</v>
      </c>
      <c r="F316" s="43" t="str">
        <f t="shared" si="30"/>
        <v>Q2-2025</v>
      </c>
      <c r="G316" s="33" t="s">
        <v>78</v>
      </c>
      <c r="H316" s="33" t="s">
        <v>90</v>
      </c>
      <c r="I316" s="33" t="s">
        <v>217</v>
      </c>
      <c r="J316" s="33" t="s">
        <v>48</v>
      </c>
      <c r="K316" s="33" t="s">
        <v>55</v>
      </c>
      <c r="L316" s="33" t="s">
        <v>41</v>
      </c>
      <c r="M316" s="33" t="s">
        <v>22</v>
      </c>
      <c r="N316" s="33" t="s">
        <v>733</v>
      </c>
      <c r="O316" s="43">
        <v>379.45</v>
      </c>
      <c r="P316" s="44" t="str">
        <f t="shared" si="31"/>
        <v>High</v>
      </c>
      <c r="Q316" s="43">
        <v>742.23</v>
      </c>
      <c r="R316" s="43">
        <v>0.09</v>
      </c>
      <c r="S316" s="43">
        <v>13</v>
      </c>
      <c r="T316" s="43">
        <f t="shared" si="28"/>
        <v>835.19799999999998</v>
      </c>
      <c r="U316" s="33">
        <f t="shared" si="29"/>
        <v>4932.8499999999995</v>
      </c>
      <c r="V316" s="43">
        <f t="shared" si="32"/>
        <v>-4097.6519999999991</v>
      </c>
      <c r="W316" s="45">
        <f t="shared" si="33"/>
        <v>-4.9062042773090919</v>
      </c>
    </row>
    <row r="317" spans="1:23" x14ac:dyDescent="0.3">
      <c r="A317" s="34" t="s">
        <v>734</v>
      </c>
      <c r="B317" s="35">
        <v>45052</v>
      </c>
      <c r="C317" s="36">
        <v>45060</v>
      </c>
      <c r="D317" s="37">
        <f t="shared" si="34"/>
        <v>8</v>
      </c>
      <c r="E317" s="37" t="str">
        <f>TEXT(Data!B317,"MMM-YYYY")</f>
        <v>May-2023</v>
      </c>
      <c r="F317" s="37" t="str">
        <f t="shared" si="30"/>
        <v>Q2-2023</v>
      </c>
      <c r="G317" s="32" t="s">
        <v>45</v>
      </c>
      <c r="H317" s="32" t="s">
        <v>46</v>
      </c>
      <c r="I317" s="32" t="s">
        <v>47</v>
      </c>
      <c r="J317" s="32" t="s">
        <v>105</v>
      </c>
      <c r="K317" s="32" t="s">
        <v>40</v>
      </c>
      <c r="L317" s="32" t="s">
        <v>56</v>
      </c>
      <c r="M317" s="32" t="s">
        <v>42</v>
      </c>
      <c r="N317" s="32" t="s">
        <v>735</v>
      </c>
      <c r="O317" s="37">
        <v>291.18</v>
      </c>
      <c r="P317" s="38" t="str">
        <f t="shared" si="31"/>
        <v>High</v>
      </c>
      <c r="Q317" s="37">
        <v>479.54</v>
      </c>
      <c r="R317" s="37">
        <v>0.14099999999999999</v>
      </c>
      <c r="S317" s="37">
        <v>22</v>
      </c>
      <c r="T317" s="37">
        <f t="shared" si="28"/>
        <v>34451.80992</v>
      </c>
      <c r="U317" s="32">
        <f t="shared" si="29"/>
        <v>6405.96</v>
      </c>
      <c r="V317" s="37">
        <f t="shared" si="32"/>
        <v>28045.849920000001</v>
      </c>
      <c r="W317" s="39">
        <f t="shared" si="33"/>
        <v>0.81406027680765747</v>
      </c>
    </row>
    <row r="318" spans="1:23" x14ac:dyDescent="0.3">
      <c r="A318" s="40" t="s">
        <v>736</v>
      </c>
      <c r="B318" s="41">
        <v>45244</v>
      </c>
      <c r="C318" s="42">
        <v>45260</v>
      </c>
      <c r="D318" s="43">
        <f t="shared" si="34"/>
        <v>16</v>
      </c>
      <c r="E318" s="43" t="str">
        <f>TEXT(Data!B318,"MMM-YYYY")</f>
        <v>Nov-2023</v>
      </c>
      <c r="F318" s="43" t="str">
        <f t="shared" si="30"/>
        <v>Q4-2023</v>
      </c>
      <c r="G318" s="33" t="s">
        <v>52</v>
      </c>
      <c r="H318" s="33" t="s">
        <v>73</v>
      </c>
      <c r="I318" s="33" t="s">
        <v>74</v>
      </c>
      <c r="J318" s="33" t="s">
        <v>105</v>
      </c>
      <c r="K318" s="33" t="s">
        <v>98</v>
      </c>
      <c r="L318" s="33" t="s">
        <v>95</v>
      </c>
      <c r="M318" s="33" t="s">
        <v>35</v>
      </c>
      <c r="N318" s="33" t="s">
        <v>737</v>
      </c>
      <c r="O318" s="43">
        <v>1017.92</v>
      </c>
      <c r="P318" s="44" t="str">
        <f t="shared" si="31"/>
        <v>High</v>
      </c>
      <c r="Q318" s="43">
        <v>1175.25</v>
      </c>
      <c r="R318" s="43">
        <v>7.4999999999999997E-2</v>
      </c>
      <c r="S318" s="43">
        <v>15</v>
      </c>
      <c r="T318" s="43">
        <f t="shared" si="28"/>
        <v>27971.861250000002</v>
      </c>
      <c r="U318" s="33">
        <f t="shared" si="29"/>
        <v>15268.8</v>
      </c>
      <c r="V318" s="43">
        <f t="shared" si="32"/>
        <v>12703.061250000002</v>
      </c>
      <c r="W318" s="45">
        <f t="shared" si="33"/>
        <v>0.45413714648681097</v>
      </c>
    </row>
    <row r="319" spans="1:23" x14ac:dyDescent="0.3">
      <c r="A319" s="34" t="s">
        <v>738</v>
      </c>
      <c r="B319" s="35">
        <v>45748</v>
      </c>
      <c r="C319" s="36">
        <v>45774</v>
      </c>
      <c r="D319" s="37">
        <f t="shared" si="34"/>
        <v>26</v>
      </c>
      <c r="E319" s="37" t="str">
        <f>TEXT(Data!B319,"MMM-YYYY")</f>
        <v>Apr-2025</v>
      </c>
      <c r="F319" s="37" t="str">
        <f t="shared" si="30"/>
        <v>Q2-2025</v>
      </c>
      <c r="G319" s="32" t="s">
        <v>52</v>
      </c>
      <c r="H319" s="32" t="s">
        <v>122</v>
      </c>
      <c r="I319" s="32" t="s">
        <v>167</v>
      </c>
      <c r="J319" s="32" t="s">
        <v>19</v>
      </c>
      <c r="K319" s="32" t="s">
        <v>98</v>
      </c>
      <c r="L319" s="32" t="s">
        <v>34</v>
      </c>
      <c r="M319" s="32" t="s">
        <v>64</v>
      </c>
      <c r="N319" s="32" t="s">
        <v>739</v>
      </c>
      <c r="O319" s="37">
        <v>156.55000000000001</v>
      </c>
      <c r="P319" s="38" t="str">
        <f t="shared" si="31"/>
        <v>High</v>
      </c>
      <c r="Q319" s="37">
        <v>227.45</v>
      </c>
      <c r="R319" s="37">
        <v>1.4E-2</v>
      </c>
      <c r="S319" s="37">
        <v>13</v>
      </c>
      <c r="T319" s="37">
        <f t="shared" si="28"/>
        <v>3129.2583399999999</v>
      </c>
      <c r="U319" s="32">
        <f t="shared" si="29"/>
        <v>2035.15</v>
      </c>
      <c r="V319" s="37">
        <f t="shared" si="32"/>
        <v>1094.1083399999998</v>
      </c>
      <c r="W319" s="39">
        <f t="shared" si="33"/>
        <v>0.34963822769583153</v>
      </c>
    </row>
    <row r="320" spans="1:23" x14ac:dyDescent="0.3">
      <c r="A320" s="40" t="s">
        <v>740</v>
      </c>
      <c r="B320" s="41">
        <v>45008</v>
      </c>
      <c r="C320" s="42">
        <v>45031</v>
      </c>
      <c r="D320" s="43">
        <f t="shared" si="34"/>
        <v>23</v>
      </c>
      <c r="E320" s="43" t="str">
        <f>TEXT(Data!B320,"MMM-YYYY")</f>
        <v>Mar-2023</v>
      </c>
      <c r="F320" s="43" t="str">
        <f t="shared" si="30"/>
        <v>Q1-2023</v>
      </c>
      <c r="G320" s="33" t="s">
        <v>16</v>
      </c>
      <c r="H320" s="33" t="s">
        <v>17</v>
      </c>
      <c r="I320" s="33" t="s">
        <v>113</v>
      </c>
      <c r="J320" s="33" t="s">
        <v>62</v>
      </c>
      <c r="K320" s="33" t="s">
        <v>20</v>
      </c>
      <c r="L320" s="33" t="s">
        <v>21</v>
      </c>
      <c r="M320" s="33" t="s">
        <v>81</v>
      </c>
      <c r="N320" s="33" t="s">
        <v>741</v>
      </c>
      <c r="O320" s="43">
        <v>875.36</v>
      </c>
      <c r="P320" s="44" t="str">
        <f t="shared" si="31"/>
        <v>High</v>
      </c>
      <c r="Q320" s="43">
        <v>1178.6199999999999</v>
      </c>
      <c r="R320" s="43">
        <v>0.151</v>
      </c>
      <c r="S320" s="43">
        <v>53</v>
      </c>
      <c r="T320" s="43">
        <f t="shared" si="28"/>
        <v>125232.05063999999</v>
      </c>
      <c r="U320" s="33">
        <f t="shared" si="29"/>
        <v>46394.080000000002</v>
      </c>
      <c r="V320" s="43">
        <f t="shared" si="32"/>
        <v>78837.970639999985</v>
      </c>
      <c r="W320" s="45">
        <f t="shared" si="33"/>
        <v>0.62953509295022747</v>
      </c>
    </row>
    <row r="321" spans="1:23" x14ac:dyDescent="0.3">
      <c r="A321" s="34" t="s">
        <v>742</v>
      </c>
      <c r="B321" s="35">
        <v>45440</v>
      </c>
      <c r="C321" s="36">
        <v>45461</v>
      </c>
      <c r="D321" s="37">
        <f t="shared" si="34"/>
        <v>21</v>
      </c>
      <c r="E321" s="37" t="str">
        <f>TEXT(Data!B321,"MMM-YYYY")</f>
        <v>May-2024</v>
      </c>
      <c r="F321" s="37" t="str">
        <f t="shared" si="30"/>
        <v>Q2-2024</v>
      </c>
      <c r="G321" s="32" t="s">
        <v>78</v>
      </c>
      <c r="H321" s="32" t="s">
        <v>79</v>
      </c>
      <c r="I321" s="32" t="s">
        <v>335</v>
      </c>
      <c r="J321" s="32" t="s">
        <v>62</v>
      </c>
      <c r="K321" s="32" t="s">
        <v>28</v>
      </c>
      <c r="L321" s="32" t="s">
        <v>63</v>
      </c>
      <c r="M321" s="32" t="s">
        <v>42</v>
      </c>
      <c r="N321" s="32" t="s">
        <v>743</v>
      </c>
      <c r="O321" s="37">
        <v>986.85</v>
      </c>
      <c r="P321" s="38" t="str">
        <f t="shared" si="31"/>
        <v>High</v>
      </c>
      <c r="Q321" s="37">
        <v>2422.1</v>
      </c>
      <c r="R321" s="37">
        <v>7.5999999999999998E-2</v>
      </c>
      <c r="S321" s="37">
        <v>10</v>
      </c>
      <c r="T321" s="37">
        <f t="shared" ref="T321:T384" si="35">(Q347*S321)*(1-R321)</f>
        <v>18944.864399999999</v>
      </c>
      <c r="U321" s="32">
        <f t="shared" ref="U321:U384" si="36">(O321*S321)</f>
        <v>9868.5</v>
      </c>
      <c r="V321" s="37">
        <f t="shared" si="32"/>
        <v>9076.3643999999986</v>
      </c>
      <c r="W321" s="39">
        <f t="shared" si="33"/>
        <v>0.47909365875429538</v>
      </c>
    </row>
    <row r="322" spans="1:23" x14ac:dyDescent="0.3">
      <c r="A322" s="40" t="s">
        <v>744</v>
      </c>
      <c r="B322" s="41">
        <v>45293</v>
      </c>
      <c r="C322" s="42">
        <v>45292</v>
      </c>
      <c r="D322" s="43">
        <f>DATEDIF(C322,B322, "MD")</f>
        <v>1</v>
      </c>
      <c r="E322" s="43" t="str">
        <f>TEXT(Data!B322,"MMM-YYYY")</f>
        <v>Jan-2024</v>
      </c>
      <c r="F322" s="43" t="str">
        <f t="shared" ref="F322:F385" si="37">"Q"&amp;ROUNDUP(MONTH(B322)/3,0)&amp;"-"&amp;YEAR(B322)</f>
        <v>Q1-2024</v>
      </c>
      <c r="G322" s="33" t="s">
        <v>52</v>
      </c>
      <c r="H322" s="33" t="s">
        <v>122</v>
      </c>
      <c r="I322" s="33" t="s">
        <v>123</v>
      </c>
      <c r="J322" s="33" t="s">
        <v>27</v>
      </c>
      <c r="K322" s="33" t="s">
        <v>40</v>
      </c>
      <c r="L322" s="33" t="s">
        <v>56</v>
      </c>
      <c r="M322" s="33" t="s">
        <v>35</v>
      </c>
      <c r="N322" s="33" t="s">
        <v>745</v>
      </c>
      <c r="O322" s="43">
        <v>404.77</v>
      </c>
      <c r="P322" s="44" t="str">
        <f t="shared" ref="P322:P385" si="38">IF(Q322&lt;50, "Low", IF(Q322&lt;200, "Medium", "High"))</f>
        <v>High</v>
      </c>
      <c r="Q322" s="43">
        <v>433.88</v>
      </c>
      <c r="R322" s="43">
        <v>0.215</v>
      </c>
      <c r="S322" s="43">
        <v>22</v>
      </c>
      <c r="T322" s="43">
        <f t="shared" si="35"/>
        <v>2540.7624000000005</v>
      </c>
      <c r="U322" s="33">
        <f t="shared" si="36"/>
        <v>8904.9399999999987</v>
      </c>
      <c r="V322" s="43">
        <f t="shared" ref="V322:V385" si="39">(T322-U322)</f>
        <v>-6364.1775999999982</v>
      </c>
      <c r="W322" s="45">
        <f t="shared" ref="W322:W385" si="40">IF(T322=0, 0, V322/T322)</f>
        <v>-2.504829888855407</v>
      </c>
    </row>
    <row r="323" spans="1:23" x14ac:dyDescent="0.3">
      <c r="A323" s="34" t="s">
        <v>746</v>
      </c>
      <c r="B323" s="35">
        <v>44985</v>
      </c>
      <c r="C323" s="36">
        <v>44984</v>
      </c>
      <c r="D323" s="37">
        <f>DATEDIF(C323,B323, "MD")</f>
        <v>1</v>
      </c>
      <c r="E323" s="37" t="str">
        <f>TEXT(Data!B323,"MMM-YYYY")</f>
        <v>Feb-2023</v>
      </c>
      <c r="F323" s="37" t="str">
        <f t="shared" si="37"/>
        <v>Q1-2023</v>
      </c>
      <c r="G323" s="32" t="s">
        <v>78</v>
      </c>
      <c r="H323" s="32" t="s">
        <v>90</v>
      </c>
      <c r="I323" s="32" t="s">
        <v>91</v>
      </c>
      <c r="J323" s="32" t="s">
        <v>19</v>
      </c>
      <c r="K323" s="32" t="s">
        <v>20</v>
      </c>
      <c r="L323" s="32" t="s">
        <v>95</v>
      </c>
      <c r="M323" s="32" t="s">
        <v>35</v>
      </c>
      <c r="N323" s="32" t="s">
        <v>747</v>
      </c>
      <c r="O323" s="37">
        <v>1299.81</v>
      </c>
      <c r="P323" s="38" t="str">
        <f t="shared" si="38"/>
        <v>High</v>
      </c>
      <c r="Q323" s="37">
        <v>3149.13</v>
      </c>
      <c r="R323" s="37">
        <v>0.10299999999999999</v>
      </c>
      <c r="S323" s="37">
        <v>14</v>
      </c>
      <c r="T323" s="37">
        <f t="shared" si="35"/>
        <v>24902.262840000003</v>
      </c>
      <c r="U323" s="32">
        <f t="shared" si="36"/>
        <v>18197.34</v>
      </c>
      <c r="V323" s="37">
        <f t="shared" si="39"/>
        <v>6704.9228400000029</v>
      </c>
      <c r="W323" s="39">
        <f t="shared" si="40"/>
        <v>0.26924954101881943</v>
      </c>
    </row>
    <row r="324" spans="1:23" x14ac:dyDescent="0.3">
      <c r="A324" s="40" t="s">
        <v>748</v>
      </c>
      <c r="B324" s="41">
        <v>45340</v>
      </c>
      <c r="C324" s="42">
        <v>45362</v>
      </c>
      <c r="D324" s="43">
        <f t="shared" ref="D324:D387" si="41">DATEDIF(B324,C324, "MD")</f>
        <v>22</v>
      </c>
      <c r="E324" s="43" t="str">
        <f>TEXT(Data!B324,"MMM-YYYY")</f>
        <v>Feb-2024</v>
      </c>
      <c r="F324" s="43" t="str">
        <f t="shared" si="37"/>
        <v>Q1-2024</v>
      </c>
      <c r="G324" s="33" t="s">
        <v>52</v>
      </c>
      <c r="H324" s="33" t="s">
        <v>73</v>
      </c>
      <c r="I324" s="33" t="s">
        <v>74</v>
      </c>
      <c r="J324" s="33" t="s">
        <v>48</v>
      </c>
      <c r="K324" s="33" t="s">
        <v>28</v>
      </c>
      <c r="L324" s="33" t="s">
        <v>75</v>
      </c>
      <c r="M324" s="33" t="s">
        <v>22</v>
      </c>
      <c r="N324" s="33" t="s">
        <v>749</v>
      </c>
      <c r="O324" s="43">
        <v>80.48</v>
      </c>
      <c r="P324" s="44" t="str">
        <f t="shared" si="38"/>
        <v>Medium</v>
      </c>
      <c r="Q324" s="43">
        <v>65.650000000000006</v>
      </c>
      <c r="R324" s="43">
        <v>0.17599999999999999</v>
      </c>
      <c r="S324" s="43">
        <v>13</v>
      </c>
      <c r="T324" s="43">
        <f t="shared" si="35"/>
        <v>24630.101600000002</v>
      </c>
      <c r="U324" s="33">
        <f t="shared" si="36"/>
        <v>1046.24</v>
      </c>
      <c r="V324" s="43">
        <f t="shared" si="39"/>
        <v>23583.8616</v>
      </c>
      <c r="W324" s="45">
        <f t="shared" si="40"/>
        <v>0.95752189670220433</v>
      </c>
    </row>
    <row r="325" spans="1:23" x14ac:dyDescent="0.3">
      <c r="A325" s="34" t="s">
        <v>750</v>
      </c>
      <c r="B325" s="35">
        <v>45544</v>
      </c>
      <c r="C325" s="36">
        <v>45573</v>
      </c>
      <c r="D325" s="37">
        <f t="shared" si="41"/>
        <v>29</v>
      </c>
      <c r="E325" s="37" t="str">
        <f>TEXT(Data!B325,"MMM-YYYY")</f>
        <v>Sep-2024</v>
      </c>
      <c r="F325" s="37" t="str">
        <f t="shared" si="37"/>
        <v>Q3-2024</v>
      </c>
      <c r="G325" s="32" t="s">
        <v>52</v>
      </c>
      <c r="H325" s="32" t="s">
        <v>73</v>
      </c>
      <c r="I325" s="32" t="s">
        <v>74</v>
      </c>
      <c r="J325" s="32" t="s">
        <v>27</v>
      </c>
      <c r="K325" s="32" t="s">
        <v>98</v>
      </c>
      <c r="L325" s="32" t="s">
        <v>29</v>
      </c>
      <c r="M325" s="32" t="s">
        <v>22</v>
      </c>
      <c r="N325" s="32" t="s">
        <v>751</v>
      </c>
      <c r="O325" s="37">
        <v>1010.33</v>
      </c>
      <c r="P325" s="38" t="str">
        <f t="shared" si="38"/>
        <v>High</v>
      </c>
      <c r="Q325" s="37">
        <v>2492.14</v>
      </c>
      <c r="R325" s="37">
        <v>5.0999999999999997E-2</v>
      </c>
      <c r="S325" s="37">
        <v>11</v>
      </c>
      <c r="T325" s="37">
        <f t="shared" si="35"/>
        <v>4829.1857899999995</v>
      </c>
      <c r="U325" s="32">
        <f t="shared" si="36"/>
        <v>11113.630000000001</v>
      </c>
      <c r="V325" s="37">
        <f t="shared" si="39"/>
        <v>-6284.4442100000015</v>
      </c>
      <c r="W325" s="39">
        <f t="shared" si="40"/>
        <v>-1.3013465381707756</v>
      </c>
    </row>
    <row r="326" spans="1:23" x14ac:dyDescent="0.3">
      <c r="A326" s="40" t="s">
        <v>752</v>
      </c>
      <c r="B326" s="41">
        <v>45053</v>
      </c>
      <c r="C326" s="42">
        <v>45075</v>
      </c>
      <c r="D326" s="43">
        <f t="shared" si="41"/>
        <v>22</v>
      </c>
      <c r="E326" s="43" t="str">
        <f>TEXT(Data!B326,"MMM-YYYY")</f>
        <v>May-2023</v>
      </c>
      <c r="F326" s="43" t="str">
        <f t="shared" si="37"/>
        <v>Q2-2023</v>
      </c>
      <c r="G326" s="33" t="s">
        <v>16</v>
      </c>
      <c r="H326" s="33" t="s">
        <v>148</v>
      </c>
      <c r="I326" s="33" t="s">
        <v>172</v>
      </c>
      <c r="J326" s="33" t="s">
        <v>27</v>
      </c>
      <c r="K326" s="33" t="s">
        <v>55</v>
      </c>
      <c r="L326" s="33" t="s">
        <v>95</v>
      </c>
      <c r="M326" s="33" t="s">
        <v>81</v>
      </c>
      <c r="N326" s="33" t="s">
        <v>753</v>
      </c>
      <c r="O326" s="43">
        <v>653.86</v>
      </c>
      <c r="P326" s="44" t="str">
        <f t="shared" si="38"/>
        <v>High</v>
      </c>
      <c r="Q326" s="43">
        <v>931.84</v>
      </c>
      <c r="R326" s="43">
        <v>0.121</v>
      </c>
      <c r="S326" s="43">
        <v>12</v>
      </c>
      <c r="T326" s="43">
        <f t="shared" si="35"/>
        <v>11533.077720000001</v>
      </c>
      <c r="U326" s="33">
        <f t="shared" si="36"/>
        <v>7846.32</v>
      </c>
      <c r="V326" s="43">
        <f t="shared" si="39"/>
        <v>3686.7577200000014</v>
      </c>
      <c r="W326" s="45">
        <f t="shared" si="40"/>
        <v>0.3196681587956906</v>
      </c>
    </row>
    <row r="327" spans="1:23" x14ac:dyDescent="0.3">
      <c r="A327" s="34" t="s">
        <v>754</v>
      </c>
      <c r="B327" s="35">
        <v>45303</v>
      </c>
      <c r="C327" s="36">
        <v>45320</v>
      </c>
      <c r="D327" s="37">
        <f t="shared" si="41"/>
        <v>17</v>
      </c>
      <c r="E327" s="37" t="str">
        <f>TEXT(Data!B327,"MMM-YYYY")</f>
        <v>Jan-2024</v>
      </c>
      <c r="F327" s="37" t="str">
        <f t="shared" si="37"/>
        <v>Q1-2024</v>
      </c>
      <c r="G327" s="32" t="s">
        <v>45</v>
      </c>
      <c r="H327" s="32" t="s">
        <v>60</v>
      </c>
      <c r="I327" s="32" t="s">
        <v>281</v>
      </c>
      <c r="J327" s="32" t="s">
        <v>62</v>
      </c>
      <c r="K327" s="32" t="s">
        <v>98</v>
      </c>
      <c r="L327" s="32" t="s">
        <v>56</v>
      </c>
      <c r="M327" s="32" t="s">
        <v>22</v>
      </c>
      <c r="N327" s="32" t="s">
        <v>755</v>
      </c>
      <c r="O327" s="37">
        <v>310.02</v>
      </c>
      <c r="P327" s="38" t="str">
        <f t="shared" si="38"/>
        <v>High</v>
      </c>
      <c r="Q327" s="37">
        <v>619.51</v>
      </c>
      <c r="R327" s="37">
        <v>4.2000000000000003E-2</v>
      </c>
      <c r="S327" s="37">
        <v>4</v>
      </c>
      <c r="T327" s="37">
        <f t="shared" si="35"/>
        <v>5572.5710399999998</v>
      </c>
      <c r="U327" s="32">
        <f t="shared" si="36"/>
        <v>1240.08</v>
      </c>
      <c r="V327" s="37">
        <f t="shared" si="39"/>
        <v>4332.4910399999999</v>
      </c>
      <c r="W327" s="39">
        <f t="shared" si="40"/>
        <v>0.77746717070115634</v>
      </c>
    </row>
    <row r="328" spans="1:23" x14ac:dyDescent="0.3">
      <c r="A328" s="40" t="s">
        <v>756</v>
      </c>
      <c r="B328" s="41">
        <v>45087</v>
      </c>
      <c r="C328" s="42">
        <v>45095</v>
      </c>
      <c r="D328" s="43">
        <f t="shared" si="41"/>
        <v>8</v>
      </c>
      <c r="E328" s="43" t="str">
        <f>TEXT(Data!B328,"MMM-YYYY")</f>
        <v>Jun-2023</v>
      </c>
      <c r="F328" s="43" t="str">
        <f t="shared" si="37"/>
        <v>Q2-2023</v>
      </c>
      <c r="G328" s="33" t="s">
        <v>16</v>
      </c>
      <c r="H328" s="33" t="s">
        <v>17</v>
      </c>
      <c r="I328" s="33" t="s">
        <v>135</v>
      </c>
      <c r="J328" s="33" t="s">
        <v>105</v>
      </c>
      <c r="K328" s="33" t="s">
        <v>98</v>
      </c>
      <c r="L328" s="33" t="s">
        <v>92</v>
      </c>
      <c r="M328" s="33" t="s">
        <v>42</v>
      </c>
      <c r="N328" s="33" t="s">
        <v>757</v>
      </c>
      <c r="O328" s="43">
        <v>894.23</v>
      </c>
      <c r="P328" s="44" t="str">
        <f t="shared" si="38"/>
        <v>High</v>
      </c>
      <c r="Q328" s="43">
        <v>1421.55</v>
      </c>
      <c r="R328" s="43">
        <v>0.109</v>
      </c>
      <c r="S328" s="43">
        <v>3</v>
      </c>
      <c r="T328" s="43">
        <f t="shared" si="35"/>
        <v>5667.829200000001</v>
      </c>
      <c r="U328" s="33">
        <f t="shared" si="36"/>
        <v>2682.69</v>
      </c>
      <c r="V328" s="43">
        <f t="shared" si="39"/>
        <v>2985.139200000001</v>
      </c>
      <c r="W328" s="45">
        <f t="shared" si="40"/>
        <v>0.52668122038681064</v>
      </c>
    </row>
    <row r="329" spans="1:23" x14ac:dyDescent="0.3">
      <c r="A329" s="34" t="s">
        <v>758</v>
      </c>
      <c r="B329" s="35">
        <v>45796</v>
      </c>
      <c r="C329" s="36">
        <v>45794</v>
      </c>
      <c r="D329" s="37">
        <f>DATEDIF(C329,B329, "MD")</f>
        <v>2</v>
      </c>
      <c r="E329" s="37" t="str">
        <f>TEXT(Data!B329,"MMM-YYYY")</f>
        <v>May-2025</v>
      </c>
      <c r="F329" s="37" t="str">
        <f t="shared" si="37"/>
        <v>Q2-2025</v>
      </c>
      <c r="G329" s="32" t="s">
        <v>52</v>
      </c>
      <c r="H329" s="32" t="s">
        <v>73</v>
      </c>
      <c r="I329" s="32" t="s">
        <v>74</v>
      </c>
      <c r="J329" s="32" t="s">
        <v>62</v>
      </c>
      <c r="K329" s="32" t="s">
        <v>55</v>
      </c>
      <c r="L329" s="32" t="s">
        <v>49</v>
      </c>
      <c r="M329" s="32" t="s">
        <v>64</v>
      </c>
      <c r="N329" s="32" t="s">
        <v>759</v>
      </c>
      <c r="O329" s="37">
        <v>383.77</v>
      </c>
      <c r="P329" s="38" t="str">
        <f t="shared" si="38"/>
        <v>High</v>
      </c>
      <c r="Q329" s="37">
        <v>952.56</v>
      </c>
      <c r="R329" s="37">
        <v>0.34599999999999997</v>
      </c>
      <c r="S329" s="37">
        <v>10</v>
      </c>
      <c r="T329" s="37">
        <f t="shared" si="35"/>
        <v>841.56720000000018</v>
      </c>
      <c r="U329" s="32">
        <f t="shared" si="36"/>
        <v>3837.7</v>
      </c>
      <c r="V329" s="37">
        <f t="shared" si="39"/>
        <v>-2996.1327999999994</v>
      </c>
      <c r="W329" s="39">
        <f t="shared" si="40"/>
        <v>-3.5601824785946965</v>
      </c>
    </row>
    <row r="330" spans="1:23" x14ac:dyDescent="0.3">
      <c r="A330" s="40" t="s">
        <v>760</v>
      </c>
      <c r="B330" s="41">
        <v>45221</v>
      </c>
      <c r="C330" s="42">
        <v>45246</v>
      </c>
      <c r="D330" s="43">
        <f t="shared" si="41"/>
        <v>25</v>
      </c>
      <c r="E330" s="43" t="str">
        <f>TEXT(Data!B330,"MMM-YYYY")</f>
        <v>Oct-2023</v>
      </c>
      <c r="F330" s="43" t="str">
        <f t="shared" si="37"/>
        <v>Q4-2023</v>
      </c>
      <c r="G330" s="33" t="s">
        <v>52</v>
      </c>
      <c r="H330" s="33" t="s">
        <v>53</v>
      </c>
      <c r="I330" s="33" t="s">
        <v>54</v>
      </c>
      <c r="J330" s="33" t="s">
        <v>62</v>
      </c>
      <c r="K330" s="33" t="s">
        <v>40</v>
      </c>
      <c r="L330" s="33" t="s">
        <v>34</v>
      </c>
      <c r="M330" s="33" t="s">
        <v>57</v>
      </c>
      <c r="N330" s="33" t="s">
        <v>761</v>
      </c>
      <c r="O330" s="43">
        <v>1373.31</v>
      </c>
      <c r="P330" s="44" t="str">
        <f t="shared" si="38"/>
        <v>High</v>
      </c>
      <c r="Q330" s="43">
        <v>3154.14</v>
      </c>
      <c r="R330" s="43">
        <v>0.2</v>
      </c>
      <c r="S330" s="43">
        <v>11</v>
      </c>
      <c r="T330" s="43">
        <f t="shared" si="35"/>
        <v>11668.448000000002</v>
      </c>
      <c r="U330" s="33">
        <f t="shared" si="36"/>
        <v>15106.41</v>
      </c>
      <c r="V330" s="43">
        <f t="shared" si="39"/>
        <v>-3437.9619999999977</v>
      </c>
      <c r="W330" s="45">
        <f t="shared" si="40"/>
        <v>-0.29463747021026249</v>
      </c>
    </row>
    <row r="331" spans="1:23" x14ac:dyDescent="0.3">
      <c r="A331" s="34" t="s">
        <v>762</v>
      </c>
      <c r="B331" s="35">
        <v>45668</v>
      </c>
      <c r="C331" s="36">
        <v>45680</v>
      </c>
      <c r="D331" s="37">
        <f t="shared" si="41"/>
        <v>12</v>
      </c>
      <c r="E331" s="37" t="str">
        <f>TEXT(Data!B331,"MMM-YYYY")</f>
        <v>Jan-2025</v>
      </c>
      <c r="F331" s="37" t="str">
        <f t="shared" si="37"/>
        <v>Q1-2025</v>
      </c>
      <c r="G331" s="32" t="s">
        <v>52</v>
      </c>
      <c r="H331" s="32" t="s">
        <v>122</v>
      </c>
      <c r="I331" s="32" t="s">
        <v>326</v>
      </c>
      <c r="J331" s="32" t="s">
        <v>48</v>
      </c>
      <c r="K331" s="32" t="s">
        <v>55</v>
      </c>
      <c r="L331" s="32" t="s">
        <v>92</v>
      </c>
      <c r="M331" s="32" t="s">
        <v>42</v>
      </c>
      <c r="N331" s="32" t="s">
        <v>763</v>
      </c>
      <c r="O331" s="37">
        <v>100.69</v>
      </c>
      <c r="P331" s="38" t="str">
        <f t="shared" si="38"/>
        <v>High</v>
      </c>
      <c r="Q331" s="37">
        <v>226.14</v>
      </c>
      <c r="R331" s="37">
        <v>6.5000000000000002E-2</v>
      </c>
      <c r="S331" s="37">
        <v>12</v>
      </c>
      <c r="T331" s="37">
        <f t="shared" si="35"/>
        <v>27369.282600000002</v>
      </c>
      <c r="U331" s="32">
        <f t="shared" si="36"/>
        <v>1208.28</v>
      </c>
      <c r="V331" s="37">
        <f t="shared" si="39"/>
        <v>26161.002600000003</v>
      </c>
      <c r="W331" s="39">
        <f t="shared" si="40"/>
        <v>0.95585269743241286</v>
      </c>
    </row>
    <row r="332" spans="1:23" x14ac:dyDescent="0.3">
      <c r="A332" s="40" t="s">
        <v>764</v>
      </c>
      <c r="B332" s="41">
        <v>45914</v>
      </c>
      <c r="C332" s="42">
        <v>45926</v>
      </c>
      <c r="D332" s="43">
        <f t="shared" si="41"/>
        <v>12</v>
      </c>
      <c r="E332" s="43" t="str">
        <f>TEXT(Data!B332,"MMM-YYYY")</f>
        <v>Sep-2025</v>
      </c>
      <c r="F332" s="43" t="str">
        <f t="shared" si="37"/>
        <v>Q3-2025</v>
      </c>
      <c r="G332" s="33" t="s">
        <v>78</v>
      </c>
      <c r="H332" s="33" t="s">
        <v>108</v>
      </c>
      <c r="I332" s="33" t="s">
        <v>152</v>
      </c>
      <c r="J332" s="33" t="s">
        <v>62</v>
      </c>
      <c r="K332" s="33" t="s">
        <v>98</v>
      </c>
      <c r="L332" s="33" t="s">
        <v>126</v>
      </c>
      <c r="M332" s="33" t="s">
        <v>35</v>
      </c>
      <c r="N332" s="33" t="s">
        <v>765</v>
      </c>
      <c r="O332" s="43">
        <v>425.15</v>
      </c>
      <c r="P332" s="44" t="str">
        <f t="shared" si="38"/>
        <v>High</v>
      </c>
      <c r="Q332" s="43">
        <v>885.92</v>
      </c>
      <c r="R332" s="43">
        <v>0.23899999999999999</v>
      </c>
      <c r="S332" s="43">
        <v>13</v>
      </c>
      <c r="T332" s="43">
        <f t="shared" si="35"/>
        <v>21779.835220000001</v>
      </c>
      <c r="U332" s="33">
        <f t="shared" si="36"/>
        <v>5526.95</v>
      </c>
      <c r="V332" s="43">
        <f t="shared" si="39"/>
        <v>16252.88522</v>
      </c>
      <c r="W332" s="45">
        <f t="shared" si="40"/>
        <v>0.74623545384196899</v>
      </c>
    </row>
    <row r="333" spans="1:23" x14ac:dyDescent="0.3">
      <c r="A333" s="34" t="s">
        <v>766</v>
      </c>
      <c r="B333" s="35">
        <v>45168</v>
      </c>
      <c r="C333" s="36">
        <v>45172</v>
      </c>
      <c r="D333" s="37">
        <f t="shared" si="41"/>
        <v>4</v>
      </c>
      <c r="E333" s="37" t="str">
        <f>TEXT(Data!B333,"MMM-YYYY")</f>
        <v>Aug-2023</v>
      </c>
      <c r="F333" s="37" t="str">
        <f t="shared" si="37"/>
        <v>Q3-2023</v>
      </c>
      <c r="G333" s="32" t="s">
        <v>45</v>
      </c>
      <c r="H333" s="32" t="s">
        <v>60</v>
      </c>
      <c r="I333" s="32" t="s">
        <v>141</v>
      </c>
      <c r="J333" s="32" t="s">
        <v>62</v>
      </c>
      <c r="K333" s="32" t="s">
        <v>40</v>
      </c>
      <c r="L333" s="32" t="s">
        <v>49</v>
      </c>
      <c r="M333" s="32" t="s">
        <v>81</v>
      </c>
      <c r="N333" s="32" t="s">
        <v>767</v>
      </c>
      <c r="O333" s="37">
        <v>1082.25</v>
      </c>
      <c r="P333" s="38" t="str">
        <f t="shared" si="38"/>
        <v>High</v>
      </c>
      <c r="Q333" s="37">
        <v>2433.34</v>
      </c>
      <c r="R333" s="37">
        <v>0.27</v>
      </c>
      <c r="S333" s="37">
        <v>4</v>
      </c>
      <c r="T333" s="37">
        <f t="shared" si="35"/>
        <v>2377.9312</v>
      </c>
      <c r="U333" s="32">
        <f t="shared" si="36"/>
        <v>4329</v>
      </c>
      <c r="V333" s="37">
        <f t="shared" si="39"/>
        <v>-1951.0688</v>
      </c>
      <c r="W333" s="39">
        <f t="shared" si="40"/>
        <v>-0.82049001249489473</v>
      </c>
    </row>
    <row r="334" spans="1:23" x14ac:dyDescent="0.3">
      <c r="A334" s="40" t="s">
        <v>768</v>
      </c>
      <c r="B334" s="41">
        <v>45245</v>
      </c>
      <c r="C334" s="42">
        <v>45266</v>
      </c>
      <c r="D334" s="43">
        <f t="shared" si="41"/>
        <v>21</v>
      </c>
      <c r="E334" s="43" t="str">
        <f>TEXT(Data!B334,"MMM-YYYY")</f>
        <v>Nov-2023</v>
      </c>
      <c r="F334" s="43" t="str">
        <f t="shared" si="37"/>
        <v>Q4-2023</v>
      </c>
      <c r="G334" s="33" t="s">
        <v>78</v>
      </c>
      <c r="H334" s="33" t="s">
        <v>108</v>
      </c>
      <c r="I334" s="33" t="s">
        <v>228</v>
      </c>
      <c r="J334" s="33" t="s">
        <v>27</v>
      </c>
      <c r="K334" s="33" t="s">
        <v>98</v>
      </c>
      <c r="L334" s="33" t="s">
        <v>92</v>
      </c>
      <c r="M334" s="33" t="s">
        <v>81</v>
      </c>
      <c r="N334" s="33" t="s">
        <v>769</v>
      </c>
      <c r="O334" s="43">
        <v>1184.99</v>
      </c>
      <c r="P334" s="44" t="str">
        <f t="shared" si="38"/>
        <v>High</v>
      </c>
      <c r="Q334" s="43">
        <v>1154.3399999999999</v>
      </c>
      <c r="R334" s="43">
        <v>2.8000000000000001E-2</v>
      </c>
      <c r="S334" s="43">
        <v>5</v>
      </c>
      <c r="T334" s="43">
        <f t="shared" si="35"/>
        <v>6720.9426000000003</v>
      </c>
      <c r="U334" s="33">
        <f t="shared" si="36"/>
        <v>5924.95</v>
      </c>
      <c r="V334" s="43">
        <f t="shared" si="39"/>
        <v>795.99260000000049</v>
      </c>
      <c r="W334" s="45">
        <f t="shared" si="40"/>
        <v>0.11843466718492737</v>
      </c>
    </row>
    <row r="335" spans="1:23" x14ac:dyDescent="0.3">
      <c r="A335" s="34" t="s">
        <v>770</v>
      </c>
      <c r="B335" s="35">
        <v>45774</v>
      </c>
      <c r="C335" s="36">
        <v>45804</v>
      </c>
      <c r="D335" s="37">
        <f t="shared" si="41"/>
        <v>0</v>
      </c>
      <c r="E335" s="37" t="str">
        <f>TEXT(Data!B335,"MMM-YYYY")</f>
        <v>Apr-2025</v>
      </c>
      <c r="F335" s="37" t="str">
        <f t="shared" si="37"/>
        <v>Q2-2025</v>
      </c>
      <c r="G335" s="32" t="s">
        <v>45</v>
      </c>
      <c r="H335" s="32" t="s">
        <v>60</v>
      </c>
      <c r="I335" s="32" t="s">
        <v>1364</v>
      </c>
      <c r="J335" s="32" t="s">
        <v>105</v>
      </c>
      <c r="K335" s="32" t="s">
        <v>40</v>
      </c>
      <c r="L335" s="32" t="s">
        <v>92</v>
      </c>
      <c r="M335" s="32" t="s">
        <v>42</v>
      </c>
      <c r="N335" s="32" t="s">
        <v>771</v>
      </c>
      <c r="O335" s="37">
        <v>481.32</v>
      </c>
      <c r="P335" s="38" t="str">
        <f t="shared" si="38"/>
        <v>High</v>
      </c>
      <c r="Q335" s="37">
        <v>1135.99</v>
      </c>
      <c r="R335" s="37">
        <v>0.14499999999999999</v>
      </c>
      <c r="S335" s="37">
        <v>5</v>
      </c>
      <c r="T335" s="37">
        <f t="shared" si="35"/>
        <v>7038.4882499999994</v>
      </c>
      <c r="U335" s="32">
        <f t="shared" si="36"/>
        <v>2406.6</v>
      </c>
      <c r="V335" s="37">
        <f t="shared" si="39"/>
        <v>4631.88825</v>
      </c>
      <c r="W335" s="39">
        <f t="shared" si="40"/>
        <v>0.65807998613906904</v>
      </c>
    </row>
    <row r="336" spans="1:23" x14ac:dyDescent="0.3">
      <c r="A336" s="40" t="s">
        <v>772</v>
      </c>
      <c r="B336" s="41">
        <v>45391</v>
      </c>
      <c r="C336" s="42">
        <v>45400</v>
      </c>
      <c r="D336" s="43">
        <f t="shared" si="41"/>
        <v>9</v>
      </c>
      <c r="E336" s="43" t="str">
        <f>TEXT(Data!B336,"MMM-YYYY")</f>
        <v>Apr-2024</v>
      </c>
      <c r="F336" s="43" t="str">
        <f t="shared" si="37"/>
        <v>Q2-2024</v>
      </c>
      <c r="G336" s="33" t="s">
        <v>78</v>
      </c>
      <c r="H336" s="33" t="s">
        <v>90</v>
      </c>
      <c r="I336" s="33" t="s">
        <v>138</v>
      </c>
      <c r="J336" s="33" t="s">
        <v>48</v>
      </c>
      <c r="K336" s="33" t="s">
        <v>28</v>
      </c>
      <c r="L336" s="33" t="s">
        <v>63</v>
      </c>
      <c r="M336" s="33" t="s">
        <v>30</v>
      </c>
      <c r="N336" s="33" t="s">
        <v>773</v>
      </c>
      <c r="O336" s="43">
        <v>1288.8499999999999</v>
      </c>
      <c r="P336" s="44" t="str">
        <f t="shared" si="38"/>
        <v>High</v>
      </c>
      <c r="Q336" s="43">
        <v>2751.84</v>
      </c>
      <c r="R336" s="43">
        <v>0.158</v>
      </c>
      <c r="S336" s="43">
        <v>7</v>
      </c>
      <c r="T336" s="43">
        <f t="shared" si="35"/>
        <v>2362.5509599999996</v>
      </c>
      <c r="U336" s="33">
        <f t="shared" si="36"/>
        <v>9021.9499999999989</v>
      </c>
      <c r="V336" s="43">
        <f t="shared" si="39"/>
        <v>-6659.3990399999993</v>
      </c>
      <c r="W336" s="45">
        <f t="shared" si="40"/>
        <v>-2.8187324433416667</v>
      </c>
    </row>
    <row r="337" spans="1:23" x14ac:dyDescent="0.3">
      <c r="A337" s="34" t="s">
        <v>774</v>
      </c>
      <c r="B337" s="35">
        <v>45484</v>
      </c>
      <c r="C337" s="36">
        <v>45504</v>
      </c>
      <c r="D337" s="37">
        <f t="shared" si="41"/>
        <v>20</v>
      </c>
      <c r="E337" s="37" t="str">
        <f>TEXT(Data!B337,"MMM-YYYY")</f>
        <v>Jul-2024</v>
      </c>
      <c r="F337" s="37" t="str">
        <f t="shared" si="37"/>
        <v>Q3-2024</v>
      </c>
      <c r="G337" s="32" t="s">
        <v>45</v>
      </c>
      <c r="H337" s="32" t="s">
        <v>116</v>
      </c>
      <c r="I337" s="32" t="s">
        <v>117</v>
      </c>
      <c r="J337" s="32" t="s">
        <v>48</v>
      </c>
      <c r="K337" s="32" t="s">
        <v>28</v>
      </c>
      <c r="L337" s="32" t="s">
        <v>41</v>
      </c>
      <c r="M337" s="32" t="s">
        <v>42</v>
      </c>
      <c r="N337" s="32" t="s">
        <v>775</v>
      </c>
      <c r="O337" s="37">
        <v>647.26</v>
      </c>
      <c r="P337" s="38" t="str">
        <f t="shared" si="38"/>
        <v>High</v>
      </c>
      <c r="Q337" s="37">
        <v>1374.72</v>
      </c>
      <c r="R337" s="37">
        <v>6.6000000000000003E-2</v>
      </c>
      <c r="S337" s="37">
        <v>22</v>
      </c>
      <c r="T337" s="37">
        <f t="shared" si="35"/>
        <v>36586.946879999996</v>
      </c>
      <c r="U337" s="32">
        <f t="shared" si="36"/>
        <v>14239.72</v>
      </c>
      <c r="V337" s="37">
        <f t="shared" si="39"/>
        <v>22347.226879999995</v>
      </c>
      <c r="W337" s="39">
        <f t="shared" si="40"/>
        <v>0.6107978059305067</v>
      </c>
    </row>
    <row r="338" spans="1:23" x14ac:dyDescent="0.3">
      <c r="A338" s="40" t="s">
        <v>776</v>
      </c>
      <c r="B338" s="41">
        <v>45340</v>
      </c>
      <c r="C338" s="42">
        <v>45354</v>
      </c>
      <c r="D338" s="43">
        <f t="shared" si="41"/>
        <v>14</v>
      </c>
      <c r="E338" s="43" t="str">
        <f>TEXT(Data!B338,"MMM-YYYY")</f>
        <v>Feb-2024</v>
      </c>
      <c r="F338" s="43" t="str">
        <f t="shared" si="37"/>
        <v>Q1-2024</v>
      </c>
      <c r="G338" s="33" t="s">
        <v>52</v>
      </c>
      <c r="H338" s="33" t="s">
        <v>73</v>
      </c>
      <c r="I338" s="33" t="s">
        <v>1364</v>
      </c>
      <c r="J338" s="33" t="s">
        <v>105</v>
      </c>
      <c r="K338" s="33" t="s">
        <v>55</v>
      </c>
      <c r="L338" s="33" t="s">
        <v>75</v>
      </c>
      <c r="M338" s="33" t="s">
        <v>30</v>
      </c>
      <c r="N338" s="33" t="s">
        <v>777</v>
      </c>
      <c r="O338" s="43">
        <v>624.23</v>
      </c>
      <c r="P338" s="44" t="str">
        <f t="shared" si="38"/>
        <v>High</v>
      </c>
      <c r="Q338" s="43">
        <v>1318.37</v>
      </c>
      <c r="R338" s="43">
        <v>0.21</v>
      </c>
      <c r="S338" s="43">
        <v>37</v>
      </c>
      <c r="T338" s="43">
        <f t="shared" si="35"/>
        <v>32691.708900000005</v>
      </c>
      <c r="U338" s="33">
        <f t="shared" si="36"/>
        <v>23096.510000000002</v>
      </c>
      <c r="V338" s="43">
        <f t="shared" si="39"/>
        <v>9595.1989000000031</v>
      </c>
      <c r="W338" s="45">
        <f t="shared" si="40"/>
        <v>0.29350557749521627</v>
      </c>
    </row>
    <row r="339" spans="1:23" x14ac:dyDescent="0.3">
      <c r="A339" s="34" t="s">
        <v>778</v>
      </c>
      <c r="B339" s="35">
        <v>45132</v>
      </c>
      <c r="C339" s="36">
        <v>45148</v>
      </c>
      <c r="D339" s="37">
        <f t="shared" si="41"/>
        <v>16</v>
      </c>
      <c r="E339" s="37" t="str">
        <f>TEXT(Data!B339,"MMM-YYYY")</f>
        <v>Jul-2023</v>
      </c>
      <c r="F339" s="37" t="str">
        <f t="shared" si="37"/>
        <v>Q3-2023</v>
      </c>
      <c r="G339" s="32" t="s">
        <v>16</v>
      </c>
      <c r="H339" s="32" t="s">
        <v>25</v>
      </c>
      <c r="I339" s="32" t="s">
        <v>26</v>
      </c>
      <c r="J339" s="32" t="s">
        <v>19</v>
      </c>
      <c r="K339" s="32" t="s">
        <v>55</v>
      </c>
      <c r="L339" s="32" t="s">
        <v>34</v>
      </c>
      <c r="M339" s="32" t="s">
        <v>81</v>
      </c>
      <c r="N339" s="32" t="s">
        <v>779</v>
      </c>
      <c r="O339" s="37">
        <v>506.83</v>
      </c>
      <c r="P339" s="38" t="str">
        <f t="shared" si="38"/>
        <v>High</v>
      </c>
      <c r="Q339" s="37">
        <v>441.74</v>
      </c>
      <c r="R339" s="37">
        <v>0.24</v>
      </c>
      <c r="S339" s="37">
        <v>9</v>
      </c>
      <c r="T339" s="37">
        <f t="shared" si="35"/>
        <v>5274.4607999999998</v>
      </c>
      <c r="U339" s="32">
        <f t="shared" si="36"/>
        <v>4561.47</v>
      </c>
      <c r="V339" s="37">
        <f t="shared" si="39"/>
        <v>712.99079999999958</v>
      </c>
      <c r="W339" s="39">
        <f t="shared" si="40"/>
        <v>0.1351779503224291</v>
      </c>
    </row>
    <row r="340" spans="1:23" x14ac:dyDescent="0.3">
      <c r="A340" s="40" t="s">
        <v>780</v>
      </c>
      <c r="B340" s="41">
        <v>45121</v>
      </c>
      <c r="C340" s="42">
        <v>45128</v>
      </c>
      <c r="D340" s="43">
        <f t="shared" si="41"/>
        <v>7</v>
      </c>
      <c r="E340" s="43" t="str">
        <f>TEXT(Data!B340,"MMM-YYYY")</f>
        <v>Jul-2023</v>
      </c>
      <c r="F340" s="43" t="str">
        <f t="shared" si="37"/>
        <v>Q3-2023</v>
      </c>
      <c r="G340" s="33" t="s">
        <v>16</v>
      </c>
      <c r="H340" s="33" t="s">
        <v>148</v>
      </c>
      <c r="I340" s="33" t="s">
        <v>172</v>
      </c>
      <c r="J340" s="33" t="s">
        <v>105</v>
      </c>
      <c r="K340" s="33" t="s">
        <v>40</v>
      </c>
      <c r="L340" s="33" t="s">
        <v>1364</v>
      </c>
      <c r="M340" s="33" t="s">
        <v>64</v>
      </c>
      <c r="N340" s="33" t="s">
        <v>781</v>
      </c>
      <c r="O340" s="43">
        <v>620.74</v>
      </c>
      <c r="P340" s="44" t="str">
        <f t="shared" si="38"/>
        <v>High</v>
      </c>
      <c r="Q340" s="43">
        <v>1330.07</v>
      </c>
      <c r="R340" s="43">
        <v>0.29899999999999999</v>
      </c>
      <c r="S340" s="43">
        <v>28</v>
      </c>
      <c r="T340" s="43">
        <f t="shared" si="35"/>
        <v>23750.665119999998</v>
      </c>
      <c r="U340" s="33">
        <f t="shared" si="36"/>
        <v>17380.72</v>
      </c>
      <c r="V340" s="43">
        <f t="shared" si="39"/>
        <v>6369.9451199999967</v>
      </c>
      <c r="W340" s="45">
        <f t="shared" si="40"/>
        <v>0.26820070460409901</v>
      </c>
    </row>
    <row r="341" spans="1:23" x14ac:dyDescent="0.3">
      <c r="A341" s="34" t="s">
        <v>782</v>
      </c>
      <c r="B341" s="35">
        <v>45131</v>
      </c>
      <c r="C341" s="36">
        <v>45157</v>
      </c>
      <c r="D341" s="37">
        <f t="shared" si="41"/>
        <v>26</v>
      </c>
      <c r="E341" s="37" t="str">
        <f>TEXT(Data!B341,"MMM-YYYY")</f>
        <v>Jul-2023</v>
      </c>
      <c r="F341" s="37" t="str">
        <f t="shared" si="37"/>
        <v>Q3-2023</v>
      </c>
      <c r="G341" s="32" t="s">
        <v>16</v>
      </c>
      <c r="H341" s="32" t="s">
        <v>17</v>
      </c>
      <c r="I341" s="32" t="s">
        <v>33</v>
      </c>
      <c r="J341" s="32" t="s">
        <v>105</v>
      </c>
      <c r="K341" s="32" t="s">
        <v>55</v>
      </c>
      <c r="L341" s="32" t="s">
        <v>110</v>
      </c>
      <c r="M341" s="32" t="s">
        <v>81</v>
      </c>
      <c r="N341" s="32" t="s">
        <v>783</v>
      </c>
      <c r="O341" s="37">
        <v>661.45</v>
      </c>
      <c r="P341" s="38" t="str">
        <f t="shared" si="38"/>
        <v>High</v>
      </c>
      <c r="Q341" s="37">
        <v>1634.86</v>
      </c>
      <c r="R341" s="37">
        <v>0.56499999999999995</v>
      </c>
      <c r="S341" s="37">
        <v>24</v>
      </c>
      <c r="T341" s="37">
        <f t="shared" si="35"/>
        <v>31570.873200000005</v>
      </c>
      <c r="U341" s="32">
        <f t="shared" si="36"/>
        <v>15874.800000000001</v>
      </c>
      <c r="V341" s="37">
        <f t="shared" si="39"/>
        <v>15696.073200000004</v>
      </c>
      <c r="W341" s="39">
        <f t="shared" si="40"/>
        <v>0.49716943527555019</v>
      </c>
    </row>
    <row r="342" spans="1:23" x14ac:dyDescent="0.3">
      <c r="A342" s="40" t="s">
        <v>784</v>
      </c>
      <c r="B342" s="41">
        <v>45029</v>
      </c>
      <c r="C342" s="42">
        <v>45027</v>
      </c>
      <c r="D342" s="43">
        <f>DATEDIF(C342,B342, "MD")</f>
        <v>2</v>
      </c>
      <c r="E342" s="43" t="str">
        <f>TEXT(Data!B342,"MMM-YYYY")</f>
        <v>Apr-2023</v>
      </c>
      <c r="F342" s="43" t="str">
        <f t="shared" si="37"/>
        <v>Q2-2023</v>
      </c>
      <c r="G342" s="33" t="s">
        <v>52</v>
      </c>
      <c r="H342" s="33" t="s">
        <v>122</v>
      </c>
      <c r="I342" s="33" t="s">
        <v>167</v>
      </c>
      <c r="J342" s="33" t="s">
        <v>27</v>
      </c>
      <c r="K342" s="33" t="s">
        <v>40</v>
      </c>
      <c r="L342" s="33" t="s">
        <v>41</v>
      </c>
      <c r="M342" s="33" t="s">
        <v>35</v>
      </c>
      <c r="N342" s="33" t="s">
        <v>785</v>
      </c>
      <c r="O342" s="43">
        <v>32.1</v>
      </c>
      <c r="P342" s="44" t="str">
        <f t="shared" si="38"/>
        <v>Medium</v>
      </c>
      <c r="Q342" s="43">
        <v>70.599999999999994</v>
      </c>
      <c r="R342" s="43">
        <v>0.28199999999999997</v>
      </c>
      <c r="S342" s="43">
        <v>22</v>
      </c>
      <c r="T342" s="43">
        <f t="shared" si="35"/>
        <v>36385.454160000001</v>
      </c>
      <c r="U342" s="33">
        <f t="shared" si="36"/>
        <v>706.2</v>
      </c>
      <c r="V342" s="43">
        <f t="shared" si="39"/>
        <v>35679.254160000004</v>
      </c>
      <c r="W342" s="45">
        <f t="shared" si="40"/>
        <v>0.98059114510720191</v>
      </c>
    </row>
    <row r="343" spans="1:23" x14ac:dyDescent="0.3">
      <c r="A343" s="34" t="s">
        <v>786</v>
      </c>
      <c r="B343" s="35">
        <v>45594</v>
      </c>
      <c r="C343" s="36">
        <v>45600</v>
      </c>
      <c r="D343" s="37">
        <f t="shared" si="41"/>
        <v>6</v>
      </c>
      <c r="E343" s="37" t="str">
        <f>TEXT(Data!B343,"MMM-YYYY")</f>
        <v>Oct-2024</v>
      </c>
      <c r="F343" s="37" t="str">
        <f t="shared" si="37"/>
        <v>Q4-2024</v>
      </c>
      <c r="G343" s="32" t="s">
        <v>16</v>
      </c>
      <c r="H343" s="32" t="s">
        <v>17</v>
      </c>
      <c r="I343" s="32" t="s">
        <v>33</v>
      </c>
      <c r="J343" s="32" t="s">
        <v>19</v>
      </c>
      <c r="K343" s="32" t="s">
        <v>55</v>
      </c>
      <c r="L343" s="32" t="s">
        <v>110</v>
      </c>
      <c r="M343" s="32" t="s">
        <v>30</v>
      </c>
      <c r="N343" s="32" t="s">
        <v>787</v>
      </c>
      <c r="O343" s="37">
        <v>805.81</v>
      </c>
      <c r="P343" s="38" t="str">
        <f t="shared" si="38"/>
        <v>High</v>
      </c>
      <c r="Q343" s="37">
        <v>1823.04</v>
      </c>
      <c r="R343" s="37">
        <v>0</v>
      </c>
      <c r="S343" s="37">
        <v>11</v>
      </c>
      <c r="T343" s="37">
        <f t="shared" si="35"/>
        <v>33921.800000000003</v>
      </c>
      <c r="U343" s="32">
        <f t="shared" si="36"/>
        <v>8863.91</v>
      </c>
      <c r="V343" s="37">
        <f t="shared" si="39"/>
        <v>25057.890000000003</v>
      </c>
      <c r="W343" s="39">
        <f t="shared" si="40"/>
        <v>0.73869576496530254</v>
      </c>
    </row>
    <row r="344" spans="1:23" x14ac:dyDescent="0.3">
      <c r="A344" s="40" t="s">
        <v>788</v>
      </c>
      <c r="B344" s="41">
        <v>45339</v>
      </c>
      <c r="C344" s="42">
        <v>45355</v>
      </c>
      <c r="D344" s="43">
        <f t="shared" si="41"/>
        <v>16</v>
      </c>
      <c r="E344" s="43" t="str">
        <f>TEXT(Data!B344,"MMM-YYYY")</f>
        <v>Feb-2024</v>
      </c>
      <c r="F344" s="43" t="str">
        <f t="shared" si="37"/>
        <v>Q1-2024</v>
      </c>
      <c r="G344" s="33" t="s">
        <v>45</v>
      </c>
      <c r="H344" s="33" t="s">
        <v>60</v>
      </c>
      <c r="I344" s="33" t="s">
        <v>141</v>
      </c>
      <c r="J344" s="33" t="s">
        <v>62</v>
      </c>
      <c r="K344" s="33" t="s">
        <v>40</v>
      </c>
      <c r="L344" s="33" t="s">
        <v>84</v>
      </c>
      <c r="M344" s="33" t="s">
        <v>42</v>
      </c>
      <c r="N344" s="33" t="s">
        <v>789</v>
      </c>
      <c r="O344" s="43">
        <v>1231.8</v>
      </c>
      <c r="P344" s="44" t="str">
        <f t="shared" si="38"/>
        <v>High</v>
      </c>
      <c r="Q344" s="43">
        <v>2015.99</v>
      </c>
      <c r="R344" s="43">
        <v>0.26100000000000001</v>
      </c>
      <c r="S344" s="43">
        <v>6</v>
      </c>
      <c r="T344" s="43">
        <f t="shared" si="35"/>
        <v>1430.8961399999998</v>
      </c>
      <c r="U344" s="33">
        <f t="shared" si="36"/>
        <v>7390.7999999999993</v>
      </c>
      <c r="V344" s="43">
        <f t="shared" si="39"/>
        <v>-5959.9038599999994</v>
      </c>
      <c r="W344" s="45">
        <f t="shared" si="40"/>
        <v>-4.1651547539991265</v>
      </c>
    </row>
    <row r="345" spans="1:23" x14ac:dyDescent="0.3">
      <c r="A345" s="34" t="s">
        <v>790</v>
      </c>
      <c r="B345" s="35">
        <v>45486</v>
      </c>
      <c r="C345" s="36">
        <v>45485</v>
      </c>
      <c r="D345" s="37">
        <f>DATEDIF(C345,B345, "MD")</f>
        <v>1</v>
      </c>
      <c r="E345" s="37" t="str">
        <f>TEXT(Data!B345,"MMM-YYYY")</f>
        <v>Jul-2024</v>
      </c>
      <c r="F345" s="37" t="str">
        <f t="shared" si="37"/>
        <v>Q3-2024</v>
      </c>
      <c r="G345" s="32" t="s">
        <v>45</v>
      </c>
      <c r="H345" s="32" t="s">
        <v>46</v>
      </c>
      <c r="I345" s="32" t="s">
        <v>231</v>
      </c>
      <c r="J345" s="32" t="s">
        <v>62</v>
      </c>
      <c r="K345" s="32" t="s">
        <v>40</v>
      </c>
      <c r="L345" s="32" t="s">
        <v>84</v>
      </c>
      <c r="M345" s="32" t="s">
        <v>35</v>
      </c>
      <c r="N345" s="32" t="s">
        <v>791</v>
      </c>
      <c r="O345" s="37">
        <v>105.13</v>
      </c>
      <c r="P345" s="38" t="str">
        <f t="shared" si="38"/>
        <v>High</v>
      </c>
      <c r="Q345" s="37">
        <v>244.13</v>
      </c>
      <c r="R345" s="37">
        <v>7.0999999999999994E-2</v>
      </c>
      <c r="S345" s="37">
        <v>14</v>
      </c>
      <c r="T345" s="37">
        <f t="shared" si="35"/>
        <v>9511.1577400000006</v>
      </c>
      <c r="U345" s="32">
        <f t="shared" si="36"/>
        <v>1471.82</v>
      </c>
      <c r="V345" s="37">
        <f t="shared" si="39"/>
        <v>8039.3377400000008</v>
      </c>
      <c r="W345" s="39">
        <f t="shared" si="40"/>
        <v>0.84525332874986048</v>
      </c>
    </row>
    <row r="346" spans="1:23" x14ac:dyDescent="0.3">
      <c r="A346" s="40" t="s">
        <v>792</v>
      </c>
      <c r="B346" s="41">
        <v>45261</v>
      </c>
      <c r="C346" s="42">
        <v>45278</v>
      </c>
      <c r="D346" s="43">
        <f t="shared" si="41"/>
        <v>17</v>
      </c>
      <c r="E346" s="43" t="str">
        <f>TEXT(Data!B346,"MMM-YYYY")</f>
        <v>Dec-2023</v>
      </c>
      <c r="F346" s="43" t="str">
        <f t="shared" si="37"/>
        <v>Q4-2023</v>
      </c>
      <c r="G346" s="33" t="s">
        <v>45</v>
      </c>
      <c r="H346" s="33" t="s">
        <v>46</v>
      </c>
      <c r="I346" s="33" t="s">
        <v>231</v>
      </c>
      <c r="J346" s="33" t="s">
        <v>62</v>
      </c>
      <c r="K346" s="33" t="s">
        <v>98</v>
      </c>
      <c r="L346" s="33" t="s">
        <v>126</v>
      </c>
      <c r="M346" s="33" t="s">
        <v>57</v>
      </c>
      <c r="N346" s="33" t="s">
        <v>793</v>
      </c>
      <c r="O346" s="43">
        <v>1495.79</v>
      </c>
      <c r="P346" s="44" t="str">
        <f t="shared" si="38"/>
        <v>High</v>
      </c>
      <c r="Q346" s="43">
        <v>2783.12</v>
      </c>
      <c r="R346" s="43">
        <v>0.02</v>
      </c>
      <c r="S346" s="43">
        <v>5</v>
      </c>
      <c r="T346" s="43">
        <f t="shared" si="35"/>
        <v>7516.3549999999996</v>
      </c>
      <c r="U346" s="33">
        <f t="shared" si="36"/>
        <v>7478.95</v>
      </c>
      <c r="V346" s="43">
        <f t="shared" si="39"/>
        <v>37.404999999999745</v>
      </c>
      <c r="W346" s="45">
        <f t="shared" si="40"/>
        <v>4.9764812864745937E-3</v>
      </c>
    </row>
    <row r="347" spans="1:23" x14ac:dyDescent="0.3">
      <c r="A347" s="34" t="s">
        <v>794</v>
      </c>
      <c r="B347" s="35">
        <v>45498</v>
      </c>
      <c r="C347" s="36">
        <v>45506</v>
      </c>
      <c r="D347" s="37">
        <f t="shared" si="41"/>
        <v>8</v>
      </c>
      <c r="E347" s="37" t="str">
        <f>TEXT(Data!B347,"MMM-YYYY")</f>
        <v>Jul-2024</v>
      </c>
      <c r="F347" s="37" t="str">
        <f t="shared" si="37"/>
        <v>Q3-2024</v>
      </c>
      <c r="G347" s="32" t="s">
        <v>52</v>
      </c>
      <c r="H347" s="32" t="s">
        <v>53</v>
      </c>
      <c r="I347" s="32" t="s">
        <v>144</v>
      </c>
      <c r="J347" s="32" t="s">
        <v>48</v>
      </c>
      <c r="K347" s="32" t="s">
        <v>98</v>
      </c>
      <c r="L347" s="32" t="s">
        <v>29</v>
      </c>
      <c r="M347" s="32" t="s">
        <v>81</v>
      </c>
      <c r="N347" s="32" t="s">
        <v>795</v>
      </c>
      <c r="O347" s="37">
        <v>986.81</v>
      </c>
      <c r="P347" s="38" t="str">
        <f t="shared" si="38"/>
        <v>High</v>
      </c>
      <c r="Q347" s="37">
        <v>2050.31</v>
      </c>
      <c r="R347" s="37">
        <v>0.10299999999999999</v>
      </c>
      <c r="S347" s="37">
        <v>43</v>
      </c>
      <c r="T347" s="37">
        <f t="shared" si="35"/>
        <v>60620.497860000003</v>
      </c>
      <c r="U347" s="32">
        <f t="shared" si="36"/>
        <v>42432.829999999994</v>
      </c>
      <c r="V347" s="37">
        <f t="shared" si="39"/>
        <v>18187.667860000009</v>
      </c>
      <c r="W347" s="39">
        <f t="shared" si="40"/>
        <v>0.30002504931588508</v>
      </c>
    </row>
    <row r="348" spans="1:23" x14ac:dyDescent="0.3">
      <c r="A348" s="40" t="s">
        <v>796</v>
      </c>
      <c r="B348" s="41">
        <v>45050</v>
      </c>
      <c r="C348" s="42">
        <v>45062</v>
      </c>
      <c r="D348" s="43">
        <f t="shared" si="41"/>
        <v>12</v>
      </c>
      <c r="E348" s="43" t="str">
        <f>TEXT(Data!B348,"MMM-YYYY")</f>
        <v>May-2023</v>
      </c>
      <c r="F348" s="43" t="str">
        <f t="shared" si="37"/>
        <v>Q2-2023</v>
      </c>
      <c r="G348" s="33" t="s">
        <v>16</v>
      </c>
      <c r="H348" s="33" t="s">
        <v>25</v>
      </c>
      <c r="I348" s="33" t="s">
        <v>67</v>
      </c>
      <c r="J348" s="33" t="s">
        <v>62</v>
      </c>
      <c r="K348" s="33" t="s">
        <v>40</v>
      </c>
      <c r="L348" s="33" t="s">
        <v>29</v>
      </c>
      <c r="M348" s="33" t="s">
        <v>42</v>
      </c>
      <c r="N348" s="33" t="s">
        <v>797</v>
      </c>
      <c r="O348" s="43">
        <v>77.739999999999995</v>
      </c>
      <c r="P348" s="44" t="str">
        <f t="shared" si="38"/>
        <v>Medium</v>
      </c>
      <c r="Q348" s="43">
        <v>147.12</v>
      </c>
      <c r="R348" s="43">
        <v>0</v>
      </c>
      <c r="S348" s="43">
        <v>15</v>
      </c>
      <c r="T348" s="43">
        <f t="shared" si="35"/>
        <v>3760.95</v>
      </c>
      <c r="U348" s="33">
        <f t="shared" si="36"/>
        <v>1166.0999999999999</v>
      </c>
      <c r="V348" s="43">
        <f t="shared" si="39"/>
        <v>2594.85</v>
      </c>
      <c r="W348" s="45">
        <f t="shared" si="40"/>
        <v>0.68994535955011371</v>
      </c>
    </row>
    <row r="349" spans="1:23" x14ac:dyDescent="0.3">
      <c r="A349" s="34" t="s">
        <v>798</v>
      </c>
      <c r="B349" s="35">
        <v>45281</v>
      </c>
      <c r="C349" s="36">
        <v>45297</v>
      </c>
      <c r="D349" s="37">
        <f t="shared" si="41"/>
        <v>16</v>
      </c>
      <c r="E349" s="37" t="str">
        <f>TEXT(Data!B349,"MMM-YYYY")</f>
        <v>Dec-2023</v>
      </c>
      <c r="F349" s="37" t="str">
        <f t="shared" si="37"/>
        <v>Q4-2023</v>
      </c>
      <c r="G349" s="32" t="s">
        <v>16</v>
      </c>
      <c r="H349" s="32" t="s">
        <v>25</v>
      </c>
      <c r="I349" s="32" t="s">
        <v>1364</v>
      </c>
      <c r="J349" s="32" t="s">
        <v>19</v>
      </c>
      <c r="K349" s="32" t="s">
        <v>40</v>
      </c>
      <c r="L349" s="32" t="s">
        <v>95</v>
      </c>
      <c r="M349" s="32" t="s">
        <v>22</v>
      </c>
      <c r="N349" s="32" t="s">
        <v>799</v>
      </c>
      <c r="O349" s="37">
        <v>932.61</v>
      </c>
      <c r="P349" s="38" t="str">
        <f t="shared" si="38"/>
        <v>High</v>
      </c>
      <c r="Q349" s="37">
        <v>1982.98</v>
      </c>
      <c r="R349" s="37">
        <v>0.14399999999999999</v>
      </c>
      <c r="S349" s="37">
        <v>16</v>
      </c>
      <c r="T349" s="37">
        <f t="shared" si="35"/>
        <v>47563.605759999999</v>
      </c>
      <c r="U349" s="32">
        <f t="shared" si="36"/>
        <v>14921.76</v>
      </c>
      <c r="V349" s="37">
        <f t="shared" si="39"/>
        <v>32641.845759999997</v>
      </c>
      <c r="W349" s="39">
        <f t="shared" si="40"/>
        <v>0.68627777979463256</v>
      </c>
    </row>
    <row r="350" spans="1:23" x14ac:dyDescent="0.3">
      <c r="A350" s="40" t="s">
        <v>800</v>
      </c>
      <c r="B350" s="41">
        <v>45825</v>
      </c>
      <c r="C350" s="42">
        <v>45843</v>
      </c>
      <c r="D350" s="43">
        <f t="shared" si="41"/>
        <v>18</v>
      </c>
      <c r="E350" s="43" t="str">
        <f>TEXT(Data!B350,"MMM-YYYY")</f>
        <v>Jun-2025</v>
      </c>
      <c r="F350" s="43" t="str">
        <f t="shared" si="37"/>
        <v>Q2-2025</v>
      </c>
      <c r="G350" s="33" t="s">
        <v>45</v>
      </c>
      <c r="H350" s="33" t="s">
        <v>60</v>
      </c>
      <c r="I350" s="33" t="s">
        <v>141</v>
      </c>
      <c r="J350" s="33" t="s">
        <v>48</v>
      </c>
      <c r="K350" s="33" t="s">
        <v>40</v>
      </c>
      <c r="L350" s="33" t="s">
        <v>49</v>
      </c>
      <c r="M350" s="33" t="s">
        <v>57</v>
      </c>
      <c r="N350" s="33" t="s">
        <v>801</v>
      </c>
      <c r="O350" s="43">
        <v>982.93</v>
      </c>
      <c r="P350" s="44" t="str">
        <f t="shared" si="38"/>
        <v>High</v>
      </c>
      <c r="Q350" s="43">
        <v>2299.3000000000002</v>
      </c>
      <c r="R350" s="43">
        <v>0.113</v>
      </c>
      <c r="S350" s="43">
        <v>6</v>
      </c>
      <c r="T350" s="43">
        <f t="shared" si="35"/>
        <v>6418.5448799999995</v>
      </c>
      <c r="U350" s="33">
        <f t="shared" si="36"/>
        <v>5897.58</v>
      </c>
      <c r="V350" s="43">
        <f t="shared" si="39"/>
        <v>520.96487999999954</v>
      </c>
      <c r="W350" s="45">
        <f t="shared" si="40"/>
        <v>8.1165574088811171E-2</v>
      </c>
    </row>
    <row r="351" spans="1:23" x14ac:dyDescent="0.3">
      <c r="A351" s="34" t="s">
        <v>802</v>
      </c>
      <c r="B351" s="35">
        <v>44980</v>
      </c>
      <c r="C351" s="36">
        <v>44993</v>
      </c>
      <c r="D351" s="37">
        <f t="shared" si="41"/>
        <v>13</v>
      </c>
      <c r="E351" s="37" t="str">
        <f>TEXT(Data!B351,"MMM-YYYY")</f>
        <v>Feb-2023</v>
      </c>
      <c r="F351" s="37" t="str">
        <f t="shared" si="37"/>
        <v>Q1-2023</v>
      </c>
      <c r="G351" s="32" t="s">
        <v>78</v>
      </c>
      <c r="H351" s="32" t="s">
        <v>108</v>
      </c>
      <c r="I351" s="32" t="s">
        <v>228</v>
      </c>
      <c r="J351" s="32" t="s">
        <v>62</v>
      </c>
      <c r="K351" s="32" t="s">
        <v>98</v>
      </c>
      <c r="L351" s="32" t="s">
        <v>21</v>
      </c>
      <c r="M351" s="32" t="s">
        <v>30</v>
      </c>
      <c r="N351" s="32" t="s">
        <v>803</v>
      </c>
      <c r="O351" s="37">
        <v>307.37</v>
      </c>
      <c r="P351" s="38" t="str">
        <f t="shared" si="38"/>
        <v>High</v>
      </c>
      <c r="Q351" s="37">
        <v>462.61</v>
      </c>
      <c r="R351" s="37">
        <v>0.188</v>
      </c>
      <c r="S351" s="37">
        <v>11</v>
      </c>
      <c r="T351" s="37">
        <f t="shared" si="35"/>
        <v>19625.658360000001</v>
      </c>
      <c r="U351" s="32">
        <f t="shared" si="36"/>
        <v>3381.07</v>
      </c>
      <c r="V351" s="37">
        <f t="shared" si="39"/>
        <v>16244.588360000002</v>
      </c>
      <c r="W351" s="39">
        <f t="shared" si="40"/>
        <v>0.82772195775652957</v>
      </c>
    </row>
    <row r="352" spans="1:23" x14ac:dyDescent="0.3">
      <c r="A352" s="40" t="s">
        <v>804</v>
      </c>
      <c r="B352" s="41">
        <v>45262</v>
      </c>
      <c r="C352" s="42">
        <v>45276</v>
      </c>
      <c r="D352" s="43">
        <f t="shared" si="41"/>
        <v>14</v>
      </c>
      <c r="E352" s="43" t="str">
        <f>TEXT(Data!B352,"MMM-YYYY")</f>
        <v>Dec-2023</v>
      </c>
      <c r="F352" s="43" t="str">
        <f t="shared" si="37"/>
        <v>Q4-2023</v>
      </c>
      <c r="G352" s="33" t="s">
        <v>78</v>
      </c>
      <c r="H352" s="33" t="s">
        <v>79</v>
      </c>
      <c r="I352" s="33" t="s">
        <v>335</v>
      </c>
      <c r="J352" s="33" t="s">
        <v>27</v>
      </c>
      <c r="K352" s="33" t="s">
        <v>98</v>
      </c>
      <c r="L352" s="33" t="s">
        <v>126</v>
      </c>
      <c r="M352" s="33" t="s">
        <v>64</v>
      </c>
      <c r="N352" s="33" t="s">
        <v>805</v>
      </c>
      <c r="O352" s="43">
        <v>879.08</v>
      </c>
      <c r="P352" s="44" t="str">
        <f t="shared" si="38"/>
        <v>High</v>
      </c>
      <c r="Q352" s="43">
        <v>1093.3900000000001</v>
      </c>
      <c r="R352" s="43">
        <v>0.113</v>
      </c>
      <c r="S352" s="43">
        <v>17</v>
      </c>
      <c r="T352" s="43">
        <f t="shared" si="35"/>
        <v>24437.027399999999</v>
      </c>
      <c r="U352" s="33">
        <f t="shared" si="36"/>
        <v>14944.36</v>
      </c>
      <c r="V352" s="43">
        <f t="shared" si="39"/>
        <v>9492.6673999999985</v>
      </c>
      <c r="W352" s="45">
        <f t="shared" si="40"/>
        <v>0.38845426019369272</v>
      </c>
    </row>
    <row r="353" spans="1:23" x14ac:dyDescent="0.3">
      <c r="A353" s="34" t="s">
        <v>806</v>
      </c>
      <c r="B353" s="35">
        <v>45121</v>
      </c>
      <c r="C353" s="36">
        <v>45121</v>
      </c>
      <c r="D353" s="37">
        <f t="shared" si="41"/>
        <v>0</v>
      </c>
      <c r="E353" s="37" t="str">
        <f>TEXT(Data!B353,"MMM-YYYY")</f>
        <v>Jul-2023</v>
      </c>
      <c r="F353" s="37" t="str">
        <f t="shared" si="37"/>
        <v>Q3-2023</v>
      </c>
      <c r="G353" s="32" t="s">
        <v>16</v>
      </c>
      <c r="H353" s="32" t="s">
        <v>25</v>
      </c>
      <c r="I353" s="32" t="s">
        <v>38</v>
      </c>
      <c r="J353" s="32" t="s">
        <v>27</v>
      </c>
      <c r="K353" s="32" t="s">
        <v>20</v>
      </c>
      <c r="L353" s="32" t="s">
        <v>34</v>
      </c>
      <c r="M353" s="32" t="s">
        <v>81</v>
      </c>
      <c r="N353" s="32" t="s">
        <v>807</v>
      </c>
      <c r="O353" s="37">
        <v>956.38</v>
      </c>
      <c r="P353" s="38" t="str">
        <f t="shared" si="38"/>
        <v>High</v>
      </c>
      <c r="Q353" s="37">
        <v>1454.22</v>
      </c>
      <c r="R353" s="37">
        <v>3.9E-2</v>
      </c>
      <c r="S353" s="37">
        <v>19</v>
      </c>
      <c r="T353" s="37">
        <f t="shared" si="35"/>
        <v>18891.856940000001</v>
      </c>
      <c r="U353" s="32">
        <f t="shared" si="36"/>
        <v>18171.22</v>
      </c>
      <c r="V353" s="37">
        <f t="shared" si="39"/>
        <v>720.63694000000032</v>
      </c>
      <c r="W353" s="39">
        <f t="shared" si="40"/>
        <v>3.8145373548440616E-2</v>
      </c>
    </row>
    <row r="354" spans="1:23" x14ac:dyDescent="0.3">
      <c r="A354" s="40" t="s">
        <v>808</v>
      </c>
      <c r="B354" s="41">
        <v>45512</v>
      </c>
      <c r="C354" s="42">
        <v>45524</v>
      </c>
      <c r="D354" s="43">
        <f t="shared" si="41"/>
        <v>12</v>
      </c>
      <c r="E354" s="43" t="str">
        <f>TEXT(Data!B354,"MMM-YYYY")</f>
        <v>Aug-2024</v>
      </c>
      <c r="F354" s="43" t="str">
        <f t="shared" si="37"/>
        <v>Q3-2024</v>
      </c>
      <c r="G354" s="33" t="s">
        <v>45</v>
      </c>
      <c r="H354" s="33" t="s">
        <v>46</v>
      </c>
      <c r="I354" s="33" t="s">
        <v>47</v>
      </c>
      <c r="J354" s="33" t="s">
        <v>62</v>
      </c>
      <c r="K354" s="33" t="s">
        <v>20</v>
      </c>
      <c r="L354" s="33" t="s">
        <v>92</v>
      </c>
      <c r="M354" s="33" t="s">
        <v>35</v>
      </c>
      <c r="N354" s="33" t="s">
        <v>809</v>
      </c>
      <c r="O354" s="43">
        <v>1233.3599999999999</v>
      </c>
      <c r="P354" s="44" t="str">
        <f t="shared" si="38"/>
        <v>High</v>
      </c>
      <c r="Q354" s="43">
        <v>2120.4</v>
      </c>
      <c r="R354" s="43">
        <v>0.17899999999999999</v>
      </c>
      <c r="S354" s="43">
        <v>20</v>
      </c>
      <c r="T354" s="43">
        <f t="shared" si="35"/>
        <v>31286.9964</v>
      </c>
      <c r="U354" s="33">
        <f t="shared" si="36"/>
        <v>24667.199999999997</v>
      </c>
      <c r="V354" s="43">
        <f t="shared" si="39"/>
        <v>6619.7964000000029</v>
      </c>
      <c r="W354" s="45">
        <f t="shared" si="40"/>
        <v>0.21158299490838958</v>
      </c>
    </row>
    <row r="355" spans="1:23" x14ac:dyDescent="0.3">
      <c r="A355" s="34" t="s">
        <v>810</v>
      </c>
      <c r="B355" s="35">
        <v>45603</v>
      </c>
      <c r="C355" s="36">
        <v>45622</v>
      </c>
      <c r="D355" s="37">
        <f t="shared" si="41"/>
        <v>19</v>
      </c>
      <c r="E355" s="37" t="str">
        <f>TEXT(Data!B355,"MMM-YYYY")</f>
        <v>Nov-2024</v>
      </c>
      <c r="F355" s="37" t="str">
        <f t="shared" si="37"/>
        <v>Q4-2024</v>
      </c>
      <c r="G355" s="32" t="s">
        <v>52</v>
      </c>
      <c r="H355" s="32" t="s">
        <v>73</v>
      </c>
      <c r="I355" s="32" t="s">
        <v>225</v>
      </c>
      <c r="J355" s="32" t="s">
        <v>39</v>
      </c>
      <c r="K355" s="32" t="s">
        <v>55</v>
      </c>
      <c r="L355" s="32" t="s">
        <v>29</v>
      </c>
      <c r="M355" s="32" t="s">
        <v>30</v>
      </c>
      <c r="N355" s="32" t="s">
        <v>811</v>
      </c>
      <c r="O355" s="37">
        <v>55.35</v>
      </c>
      <c r="P355" s="38" t="str">
        <f t="shared" si="38"/>
        <v>Medium</v>
      </c>
      <c r="Q355" s="37">
        <v>128.68</v>
      </c>
      <c r="R355" s="37">
        <v>0.128</v>
      </c>
      <c r="S355" s="37">
        <v>10</v>
      </c>
      <c r="T355" s="37">
        <f t="shared" si="35"/>
        <v>4722.4031999999997</v>
      </c>
      <c r="U355" s="32">
        <f t="shared" si="36"/>
        <v>553.5</v>
      </c>
      <c r="V355" s="37">
        <f t="shared" si="39"/>
        <v>4168.9031999999997</v>
      </c>
      <c r="W355" s="39">
        <f t="shared" si="40"/>
        <v>0.88279272722837387</v>
      </c>
    </row>
    <row r="356" spans="1:23" x14ac:dyDescent="0.3">
      <c r="A356" s="40" t="s">
        <v>812</v>
      </c>
      <c r="B356" s="41">
        <v>45292</v>
      </c>
      <c r="C356" s="42">
        <v>45318</v>
      </c>
      <c r="D356" s="43">
        <f t="shared" si="41"/>
        <v>26</v>
      </c>
      <c r="E356" s="43" t="str">
        <f>TEXT(Data!B356,"MMM-YYYY")</f>
        <v>Jan-2024</v>
      </c>
      <c r="F356" s="43" t="str">
        <f t="shared" si="37"/>
        <v>Q1-2024</v>
      </c>
      <c r="G356" s="33" t="s">
        <v>78</v>
      </c>
      <c r="H356" s="33" t="s">
        <v>108</v>
      </c>
      <c r="I356" s="33" t="s">
        <v>228</v>
      </c>
      <c r="J356" s="33" t="s">
        <v>27</v>
      </c>
      <c r="K356" s="33" t="s">
        <v>55</v>
      </c>
      <c r="L356" s="33" t="s">
        <v>145</v>
      </c>
      <c r="M356" s="33" t="s">
        <v>81</v>
      </c>
      <c r="N356" s="33" t="s">
        <v>813</v>
      </c>
      <c r="O356" s="43">
        <v>657.45</v>
      </c>
      <c r="P356" s="44" t="str">
        <f t="shared" si="38"/>
        <v>High</v>
      </c>
      <c r="Q356" s="43">
        <v>1325.96</v>
      </c>
      <c r="R356" s="43">
        <v>0.16700000000000001</v>
      </c>
      <c r="S356" s="43">
        <v>21</v>
      </c>
      <c r="T356" s="43">
        <f t="shared" si="35"/>
        <v>19532.683799999999</v>
      </c>
      <c r="U356" s="33">
        <f t="shared" si="36"/>
        <v>13806.45</v>
      </c>
      <c r="V356" s="43">
        <f t="shared" si="39"/>
        <v>5726.2337999999982</v>
      </c>
      <c r="W356" s="45">
        <f t="shared" si="40"/>
        <v>0.29316164939914702</v>
      </c>
    </row>
    <row r="357" spans="1:23" x14ac:dyDescent="0.3">
      <c r="A357" s="34" t="s">
        <v>814</v>
      </c>
      <c r="B357" s="35">
        <v>45883</v>
      </c>
      <c r="C357" s="36">
        <v>45911</v>
      </c>
      <c r="D357" s="37">
        <f t="shared" si="41"/>
        <v>28</v>
      </c>
      <c r="E357" s="37" t="str">
        <f>TEXT(Data!B357,"MMM-YYYY")</f>
        <v>Aug-2025</v>
      </c>
      <c r="F357" s="37" t="str">
        <f t="shared" si="37"/>
        <v>Q3-2025</v>
      </c>
      <c r="G357" s="32" t="s">
        <v>52</v>
      </c>
      <c r="H357" s="32" t="s">
        <v>73</v>
      </c>
      <c r="I357" s="32" t="s">
        <v>74</v>
      </c>
      <c r="J357" s="32" t="s">
        <v>39</v>
      </c>
      <c r="K357" s="32" t="s">
        <v>98</v>
      </c>
      <c r="L357" s="32" t="s">
        <v>84</v>
      </c>
      <c r="M357" s="32" t="s">
        <v>30</v>
      </c>
      <c r="N357" s="32" t="s">
        <v>815</v>
      </c>
      <c r="O357" s="37">
        <v>1203.02</v>
      </c>
      <c r="P357" s="38" t="str">
        <f t="shared" si="38"/>
        <v>High</v>
      </c>
      <c r="Q357" s="37">
        <v>2439.33</v>
      </c>
      <c r="R357" s="37">
        <v>0</v>
      </c>
      <c r="S357" s="37">
        <v>18</v>
      </c>
      <c r="T357" s="37">
        <f t="shared" si="35"/>
        <v>26190</v>
      </c>
      <c r="U357" s="32">
        <f t="shared" si="36"/>
        <v>21654.36</v>
      </c>
      <c r="V357" s="37">
        <f t="shared" si="39"/>
        <v>4535.6399999999994</v>
      </c>
      <c r="W357" s="39">
        <f t="shared" si="40"/>
        <v>0.17318213058419241</v>
      </c>
    </row>
    <row r="358" spans="1:23" x14ac:dyDescent="0.3">
      <c r="A358" s="40" t="s">
        <v>816</v>
      </c>
      <c r="B358" s="41">
        <v>45385</v>
      </c>
      <c r="C358" s="42">
        <v>45403</v>
      </c>
      <c r="D358" s="43">
        <f t="shared" si="41"/>
        <v>18</v>
      </c>
      <c r="E358" s="43" t="str">
        <f>TEXT(Data!B358,"MMM-YYYY")</f>
        <v>Apr-2024</v>
      </c>
      <c r="F358" s="43" t="str">
        <f t="shared" si="37"/>
        <v>Q2-2024</v>
      </c>
      <c r="G358" s="33" t="s">
        <v>52</v>
      </c>
      <c r="H358" s="33" t="s">
        <v>73</v>
      </c>
      <c r="I358" s="33" t="s">
        <v>87</v>
      </c>
      <c r="J358" s="33" t="s">
        <v>62</v>
      </c>
      <c r="K358" s="33" t="s">
        <v>55</v>
      </c>
      <c r="L358" s="33" t="s">
        <v>56</v>
      </c>
      <c r="M358" s="33" t="s">
        <v>35</v>
      </c>
      <c r="N358" s="33" t="s">
        <v>817</v>
      </c>
      <c r="O358" s="43">
        <v>1176.69</v>
      </c>
      <c r="P358" s="44" t="str">
        <f t="shared" si="38"/>
        <v>High</v>
      </c>
      <c r="Q358" s="43">
        <v>2201.54</v>
      </c>
      <c r="R358" s="43">
        <v>0.17</v>
      </c>
      <c r="S358" s="43">
        <v>27</v>
      </c>
      <c r="T358" s="43">
        <f t="shared" si="35"/>
        <v>28646.702999999998</v>
      </c>
      <c r="U358" s="33">
        <f t="shared" si="36"/>
        <v>31770.63</v>
      </c>
      <c r="V358" s="43">
        <f t="shared" si="39"/>
        <v>-3123.9270000000033</v>
      </c>
      <c r="W358" s="45">
        <f t="shared" si="40"/>
        <v>-0.1090501409533936</v>
      </c>
    </row>
    <row r="359" spans="1:23" x14ac:dyDescent="0.3">
      <c r="A359" s="34" t="s">
        <v>818</v>
      </c>
      <c r="B359" s="35">
        <v>45621</v>
      </c>
      <c r="C359" s="36">
        <v>45633</v>
      </c>
      <c r="D359" s="37">
        <f t="shared" si="41"/>
        <v>12</v>
      </c>
      <c r="E359" s="37" t="str">
        <f>TEXT(Data!B359,"MMM-YYYY")</f>
        <v>Nov-2024</v>
      </c>
      <c r="F359" s="37" t="str">
        <f t="shared" si="37"/>
        <v>Q4-2024</v>
      </c>
      <c r="G359" s="32" t="s">
        <v>45</v>
      </c>
      <c r="H359" s="32" t="s">
        <v>116</v>
      </c>
      <c r="I359" s="32" t="s">
        <v>162</v>
      </c>
      <c r="J359" s="32" t="s">
        <v>19</v>
      </c>
      <c r="K359" s="32" t="s">
        <v>55</v>
      </c>
      <c r="L359" s="32" t="s">
        <v>75</v>
      </c>
      <c r="M359" s="32" t="s">
        <v>81</v>
      </c>
      <c r="N359" s="32" t="s">
        <v>819</v>
      </c>
      <c r="O359" s="37">
        <v>769.9</v>
      </c>
      <c r="P359" s="38" t="str">
        <f t="shared" si="38"/>
        <v>High</v>
      </c>
      <c r="Q359" s="37">
        <v>814.36</v>
      </c>
      <c r="R359" s="37">
        <v>0</v>
      </c>
      <c r="S359" s="37">
        <v>5</v>
      </c>
      <c r="T359" s="37">
        <f t="shared" si="35"/>
        <v>4499.1500000000005</v>
      </c>
      <c r="U359" s="32">
        <f t="shared" si="36"/>
        <v>3849.5</v>
      </c>
      <c r="V359" s="37">
        <f t="shared" si="39"/>
        <v>649.65000000000055</v>
      </c>
      <c r="W359" s="39">
        <f t="shared" si="40"/>
        <v>0.14439394107775924</v>
      </c>
    </row>
    <row r="360" spans="1:23" x14ac:dyDescent="0.3">
      <c r="A360" s="40" t="s">
        <v>820</v>
      </c>
      <c r="B360" s="41">
        <v>45309</v>
      </c>
      <c r="C360" s="42">
        <v>45325</v>
      </c>
      <c r="D360" s="43">
        <f t="shared" si="41"/>
        <v>16</v>
      </c>
      <c r="E360" s="43" t="str">
        <f>TEXT(Data!B360,"MMM-YYYY")</f>
        <v>Jan-2024</v>
      </c>
      <c r="F360" s="43" t="str">
        <f t="shared" si="37"/>
        <v>Q1-2024</v>
      </c>
      <c r="G360" s="33" t="s">
        <v>16</v>
      </c>
      <c r="H360" s="33" t="s">
        <v>148</v>
      </c>
      <c r="I360" s="33" t="s">
        <v>258</v>
      </c>
      <c r="J360" s="33" t="s">
        <v>39</v>
      </c>
      <c r="K360" s="33" t="s">
        <v>55</v>
      </c>
      <c r="L360" s="33" t="s">
        <v>49</v>
      </c>
      <c r="M360" s="33" t="s">
        <v>30</v>
      </c>
      <c r="N360" s="33" t="s">
        <v>821</v>
      </c>
      <c r="O360" s="43">
        <v>666.23</v>
      </c>
      <c r="P360" s="44" t="str">
        <f t="shared" si="38"/>
        <v>High</v>
      </c>
      <c r="Q360" s="43">
        <v>1382.91</v>
      </c>
      <c r="R360" s="43">
        <v>0.17599999999999999</v>
      </c>
      <c r="S360" s="43">
        <v>13</v>
      </c>
      <c r="T360" s="43">
        <f t="shared" si="35"/>
        <v>9412.9557600000007</v>
      </c>
      <c r="U360" s="33">
        <f t="shared" si="36"/>
        <v>8660.99</v>
      </c>
      <c r="V360" s="43">
        <f t="shared" si="39"/>
        <v>751.96576000000096</v>
      </c>
      <c r="W360" s="45">
        <f t="shared" si="40"/>
        <v>7.9886252434697616E-2</v>
      </c>
    </row>
    <row r="361" spans="1:23" x14ac:dyDescent="0.3">
      <c r="A361" s="34" t="s">
        <v>822</v>
      </c>
      <c r="B361" s="35">
        <v>45466</v>
      </c>
      <c r="C361" s="36">
        <v>45468</v>
      </c>
      <c r="D361" s="37">
        <f t="shared" si="41"/>
        <v>2</v>
      </c>
      <c r="E361" s="37" t="str">
        <f>TEXT(Data!B361,"MMM-YYYY")</f>
        <v>Jun-2024</v>
      </c>
      <c r="F361" s="37" t="str">
        <f t="shared" si="37"/>
        <v>Q2-2024</v>
      </c>
      <c r="G361" s="32" t="s">
        <v>78</v>
      </c>
      <c r="H361" s="32" t="s">
        <v>108</v>
      </c>
      <c r="I361" s="32" t="s">
        <v>109</v>
      </c>
      <c r="J361" s="32" t="s">
        <v>62</v>
      </c>
      <c r="K361" s="32" t="s">
        <v>40</v>
      </c>
      <c r="L361" s="32" t="s">
        <v>49</v>
      </c>
      <c r="M361" s="32" t="s">
        <v>81</v>
      </c>
      <c r="N361" s="32" t="s">
        <v>823</v>
      </c>
      <c r="O361" s="37">
        <v>951.44</v>
      </c>
      <c r="P361" s="38" t="str">
        <f t="shared" si="38"/>
        <v>High</v>
      </c>
      <c r="Q361" s="37">
        <v>1646.43</v>
      </c>
      <c r="R361" s="37">
        <v>0.11</v>
      </c>
      <c r="S361" s="37">
        <v>24</v>
      </c>
      <c r="T361" s="37">
        <f t="shared" si="35"/>
        <v>12696.811199999998</v>
      </c>
      <c r="U361" s="32">
        <f t="shared" si="36"/>
        <v>22834.560000000001</v>
      </c>
      <c r="V361" s="37">
        <f t="shared" si="39"/>
        <v>-10137.748800000003</v>
      </c>
      <c r="W361" s="39">
        <f t="shared" si="40"/>
        <v>-0.79844841671741995</v>
      </c>
    </row>
    <row r="362" spans="1:23" x14ac:dyDescent="0.3">
      <c r="A362" s="40" t="s">
        <v>824</v>
      </c>
      <c r="B362" s="41">
        <v>45833</v>
      </c>
      <c r="C362" s="42">
        <v>45848</v>
      </c>
      <c r="D362" s="43">
        <f t="shared" si="41"/>
        <v>15</v>
      </c>
      <c r="E362" s="43" t="str">
        <f>TEXT(Data!B362,"MMM-YYYY")</f>
        <v>Jun-2025</v>
      </c>
      <c r="F362" s="43" t="str">
        <f t="shared" si="37"/>
        <v>Q2-2025</v>
      </c>
      <c r="G362" s="33" t="s">
        <v>78</v>
      </c>
      <c r="H362" s="33" t="s">
        <v>108</v>
      </c>
      <c r="I362" s="33" t="s">
        <v>109</v>
      </c>
      <c r="J362" s="33" t="s">
        <v>39</v>
      </c>
      <c r="K362" s="33" t="s">
        <v>40</v>
      </c>
      <c r="L362" s="33" t="s">
        <v>145</v>
      </c>
      <c r="M362" s="33" t="s">
        <v>42</v>
      </c>
      <c r="N362" s="33" t="s">
        <v>825</v>
      </c>
      <c r="O362" s="43">
        <v>546.83000000000004</v>
      </c>
      <c r="P362" s="44" t="str">
        <f t="shared" si="38"/>
        <v>High</v>
      </c>
      <c r="Q362" s="43">
        <v>400.84</v>
      </c>
      <c r="R362" s="43">
        <v>7.8E-2</v>
      </c>
      <c r="S362" s="43">
        <v>13</v>
      </c>
      <c r="T362" s="43">
        <f t="shared" si="35"/>
        <v>19391.5501</v>
      </c>
      <c r="U362" s="33">
        <f t="shared" si="36"/>
        <v>7108.7900000000009</v>
      </c>
      <c r="V362" s="43">
        <f t="shared" si="39"/>
        <v>12282.7601</v>
      </c>
      <c r="W362" s="45">
        <f t="shared" si="40"/>
        <v>0.63340785221703344</v>
      </c>
    </row>
    <row r="363" spans="1:23" x14ac:dyDescent="0.3">
      <c r="A363" s="34" t="s">
        <v>826</v>
      </c>
      <c r="B363" s="35">
        <v>45108</v>
      </c>
      <c r="C363" s="36">
        <v>45115</v>
      </c>
      <c r="D363" s="37">
        <f t="shared" si="41"/>
        <v>7</v>
      </c>
      <c r="E363" s="37" t="str">
        <f>TEXT(Data!B363,"MMM-YYYY")</f>
        <v>Jul-2023</v>
      </c>
      <c r="F363" s="37" t="str">
        <f t="shared" si="37"/>
        <v>Q3-2023</v>
      </c>
      <c r="G363" s="32" t="s">
        <v>16</v>
      </c>
      <c r="H363" s="32" t="s">
        <v>25</v>
      </c>
      <c r="I363" s="32" t="s">
        <v>26</v>
      </c>
      <c r="J363" s="32" t="s">
        <v>19</v>
      </c>
      <c r="K363" s="32" t="s">
        <v>20</v>
      </c>
      <c r="L363" s="32" t="s">
        <v>75</v>
      </c>
      <c r="M363" s="32" t="s">
        <v>57</v>
      </c>
      <c r="N363" s="32" t="s">
        <v>827</v>
      </c>
      <c r="O363" s="37">
        <v>834.26</v>
      </c>
      <c r="P363" s="38" t="str">
        <f t="shared" si="38"/>
        <v>High</v>
      </c>
      <c r="Q363" s="37">
        <v>1780.56</v>
      </c>
      <c r="R363" s="37">
        <v>1.4E-2</v>
      </c>
      <c r="S363" s="37">
        <v>47</v>
      </c>
      <c r="T363" s="37">
        <f t="shared" si="35"/>
        <v>45086.595219999996</v>
      </c>
      <c r="U363" s="32">
        <f t="shared" si="36"/>
        <v>39210.22</v>
      </c>
      <c r="V363" s="37">
        <f t="shared" si="39"/>
        <v>5876.3752199999944</v>
      </c>
      <c r="W363" s="39">
        <f t="shared" si="40"/>
        <v>0.13033530678744376</v>
      </c>
    </row>
    <row r="364" spans="1:23" x14ac:dyDescent="0.3">
      <c r="A364" s="40" t="s">
        <v>828</v>
      </c>
      <c r="B364" s="41">
        <v>45360</v>
      </c>
      <c r="C364" s="42">
        <v>45377</v>
      </c>
      <c r="D364" s="43">
        <f t="shared" si="41"/>
        <v>17</v>
      </c>
      <c r="E364" s="43" t="str">
        <f>TEXT(Data!B364,"MMM-YYYY")</f>
        <v>Mar-2024</v>
      </c>
      <c r="F364" s="43" t="str">
        <f t="shared" si="37"/>
        <v>Q1-2024</v>
      </c>
      <c r="G364" s="33" t="s">
        <v>45</v>
      </c>
      <c r="H364" s="33" t="s">
        <v>116</v>
      </c>
      <c r="I364" s="33" t="s">
        <v>117</v>
      </c>
      <c r="J364" s="33" t="s">
        <v>105</v>
      </c>
      <c r="K364" s="33" t="s">
        <v>28</v>
      </c>
      <c r="L364" s="33" t="s">
        <v>95</v>
      </c>
      <c r="M364" s="33" t="s">
        <v>64</v>
      </c>
      <c r="N364" s="33" t="s">
        <v>829</v>
      </c>
      <c r="O364" s="43">
        <v>1029.67</v>
      </c>
      <c r="P364" s="44" t="str">
        <f t="shared" si="38"/>
        <v>High</v>
      </c>
      <c r="Q364" s="43">
        <v>1118.43</v>
      </c>
      <c r="R364" s="43">
        <v>0.27200000000000002</v>
      </c>
      <c r="S364" s="43">
        <v>9</v>
      </c>
      <c r="T364" s="43">
        <f t="shared" si="35"/>
        <v>278.85311999999999</v>
      </c>
      <c r="U364" s="33">
        <f t="shared" si="36"/>
        <v>9267.0300000000007</v>
      </c>
      <c r="V364" s="43">
        <f t="shared" si="39"/>
        <v>-8988.1768800000009</v>
      </c>
      <c r="W364" s="45">
        <f t="shared" si="40"/>
        <v>-32.232656676030743</v>
      </c>
    </row>
    <row r="365" spans="1:23" x14ac:dyDescent="0.3">
      <c r="A365" s="34" t="s">
        <v>830</v>
      </c>
      <c r="B365" s="35">
        <v>45082</v>
      </c>
      <c r="C365" s="36">
        <v>45105</v>
      </c>
      <c r="D365" s="37">
        <f t="shared" si="41"/>
        <v>23</v>
      </c>
      <c r="E365" s="37" t="str">
        <f>TEXT(Data!B365,"MMM-YYYY")</f>
        <v>Jun-2023</v>
      </c>
      <c r="F365" s="37" t="str">
        <f t="shared" si="37"/>
        <v>Q2-2023</v>
      </c>
      <c r="G365" s="32" t="s">
        <v>78</v>
      </c>
      <c r="H365" s="32" t="s">
        <v>108</v>
      </c>
      <c r="I365" s="32" t="s">
        <v>109</v>
      </c>
      <c r="J365" s="32" t="s">
        <v>19</v>
      </c>
      <c r="K365" s="32" t="s">
        <v>98</v>
      </c>
      <c r="L365" s="32" t="s">
        <v>95</v>
      </c>
      <c r="M365" s="32" t="s">
        <v>30</v>
      </c>
      <c r="N365" s="32" t="s">
        <v>831</v>
      </c>
      <c r="O365" s="37">
        <v>605.82000000000005</v>
      </c>
      <c r="P365" s="38" t="str">
        <f t="shared" si="38"/>
        <v>High</v>
      </c>
      <c r="Q365" s="37">
        <v>771.12</v>
      </c>
      <c r="R365" s="37">
        <v>0.13200000000000001</v>
      </c>
      <c r="S365" s="37">
        <v>19</v>
      </c>
      <c r="T365" s="37">
        <f t="shared" si="35"/>
        <v>24421.848359999996</v>
      </c>
      <c r="U365" s="32">
        <f t="shared" si="36"/>
        <v>11510.580000000002</v>
      </c>
      <c r="V365" s="37">
        <f t="shared" si="39"/>
        <v>12911.268359999995</v>
      </c>
      <c r="W365" s="39">
        <f t="shared" si="40"/>
        <v>0.52867695227962652</v>
      </c>
    </row>
    <row r="366" spans="1:23" x14ac:dyDescent="0.3">
      <c r="A366" s="40" t="s">
        <v>832</v>
      </c>
      <c r="B366" s="41">
        <v>45737</v>
      </c>
      <c r="C366" s="42">
        <v>45756</v>
      </c>
      <c r="D366" s="43">
        <f t="shared" si="41"/>
        <v>19</v>
      </c>
      <c r="E366" s="43" t="str">
        <f>TEXT(Data!B366,"MMM-YYYY")</f>
        <v>Mar-2025</v>
      </c>
      <c r="F366" s="43" t="str">
        <f t="shared" si="37"/>
        <v>Q1-2025</v>
      </c>
      <c r="G366" s="33" t="s">
        <v>45</v>
      </c>
      <c r="H366" s="33" t="s">
        <v>46</v>
      </c>
      <c r="I366" s="33" t="s">
        <v>214</v>
      </c>
      <c r="J366" s="33" t="s">
        <v>62</v>
      </c>
      <c r="K366" s="33" t="s">
        <v>55</v>
      </c>
      <c r="L366" s="33" t="s">
        <v>63</v>
      </c>
      <c r="M366" s="33" t="s">
        <v>22</v>
      </c>
      <c r="N366" s="33" t="s">
        <v>833</v>
      </c>
      <c r="O366" s="43">
        <v>1055.45</v>
      </c>
      <c r="P366" s="44" t="str">
        <f t="shared" si="38"/>
        <v>High</v>
      </c>
      <c r="Q366" s="43">
        <v>1210.04</v>
      </c>
      <c r="R366" s="43">
        <v>8.9999999999999993E-3</v>
      </c>
      <c r="S366" s="43">
        <v>18</v>
      </c>
      <c r="T366" s="43">
        <f t="shared" si="35"/>
        <v>10065.26988</v>
      </c>
      <c r="U366" s="33">
        <f t="shared" si="36"/>
        <v>18998.100000000002</v>
      </c>
      <c r="V366" s="43">
        <f t="shared" si="39"/>
        <v>-8932.8301200000024</v>
      </c>
      <c r="W366" s="45">
        <f t="shared" si="40"/>
        <v>-0.887490372985409</v>
      </c>
    </row>
    <row r="367" spans="1:23" x14ac:dyDescent="0.3">
      <c r="A367" s="34" t="s">
        <v>834</v>
      </c>
      <c r="B367" s="35">
        <v>45445</v>
      </c>
      <c r="C367" s="36">
        <v>45458</v>
      </c>
      <c r="D367" s="37">
        <f t="shared" si="41"/>
        <v>13</v>
      </c>
      <c r="E367" s="37" t="str">
        <f>TEXT(Data!B367,"MMM-YYYY")</f>
        <v>Jun-2024</v>
      </c>
      <c r="F367" s="37" t="str">
        <f t="shared" si="37"/>
        <v>Q2-2024</v>
      </c>
      <c r="G367" s="32" t="s">
        <v>16</v>
      </c>
      <c r="H367" s="32" t="s">
        <v>17</v>
      </c>
      <c r="I367" s="32" t="s">
        <v>113</v>
      </c>
      <c r="J367" s="32" t="s">
        <v>27</v>
      </c>
      <c r="K367" s="32" t="s">
        <v>28</v>
      </c>
      <c r="L367" s="32" t="s">
        <v>68</v>
      </c>
      <c r="M367" s="32" t="s">
        <v>42</v>
      </c>
      <c r="N367" s="32" t="s">
        <v>835</v>
      </c>
      <c r="O367" s="37">
        <v>1295.18</v>
      </c>
      <c r="P367" s="38" t="str">
        <f t="shared" si="38"/>
        <v>High</v>
      </c>
      <c r="Q367" s="37">
        <v>3024.03</v>
      </c>
      <c r="R367" s="37">
        <v>0.192</v>
      </c>
      <c r="S367" s="37">
        <v>8</v>
      </c>
      <c r="T367" s="37">
        <f t="shared" si="35"/>
        <v>13814.925440000001</v>
      </c>
      <c r="U367" s="32">
        <f t="shared" si="36"/>
        <v>10361.44</v>
      </c>
      <c r="V367" s="37">
        <f t="shared" si="39"/>
        <v>3453.4854400000004</v>
      </c>
      <c r="W367" s="39">
        <f t="shared" si="40"/>
        <v>0.24998219896292109</v>
      </c>
    </row>
    <row r="368" spans="1:23" x14ac:dyDescent="0.3">
      <c r="A368" s="40" t="s">
        <v>836</v>
      </c>
      <c r="B368" s="41">
        <v>45731</v>
      </c>
      <c r="C368" s="42">
        <v>45745</v>
      </c>
      <c r="D368" s="43">
        <f t="shared" si="41"/>
        <v>14</v>
      </c>
      <c r="E368" s="43" t="str">
        <f>TEXT(Data!B368,"MMM-YYYY")</f>
        <v>Mar-2025</v>
      </c>
      <c r="F368" s="43" t="str">
        <f t="shared" si="37"/>
        <v>Q1-2025</v>
      </c>
      <c r="G368" s="33" t="s">
        <v>45</v>
      </c>
      <c r="H368" s="33" t="s">
        <v>60</v>
      </c>
      <c r="I368" s="33" t="s">
        <v>220</v>
      </c>
      <c r="J368" s="33" t="s">
        <v>105</v>
      </c>
      <c r="K368" s="33" t="s">
        <v>98</v>
      </c>
      <c r="L368" s="33" t="s">
        <v>21</v>
      </c>
      <c r="M368" s="33" t="s">
        <v>22</v>
      </c>
      <c r="N368" s="33" t="s">
        <v>837</v>
      </c>
      <c r="O368" s="43">
        <v>935.83</v>
      </c>
      <c r="P368" s="44" t="str">
        <f t="shared" si="38"/>
        <v>High</v>
      </c>
      <c r="Q368" s="43">
        <v>2303.46</v>
      </c>
      <c r="R368" s="43">
        <v>0.105</v>
      </c>
      <c r="S368" s="43">
        <v>9</v>
      </c>
      <c r="T368" s="43">
        <f t="shared" si="35"/>
        <v>13539.891150000001</v>
      </c>
      <c r="U368" s="33">
        <f t="shared" si="36"/>
        <v>8422.4700000000012</v>
      </c>
      <c r="V368" s="43">
        <f t="shared" si="39"/>
        <v>5117.4211500000001</v>
      </c>
      <c r="W368" s="45">
        <f t="shared" si="40"/>
        <v>0.37795142466858012</v>
      </c>
    </row>
    <row r="369" spans="1:23" x14ac:dyDescent="0.3">
      <c r="A369" s="34" t="s">
        <v>838</v>
      </c>
      <c r="B369" s="35">
        <v>45194</v>
      </c>
      <c r="C369" s="36">
        <v>45208</v>
      </c>
      <c r="D369" s="37">
        <f t="shared" si="41"/>
        <v>14</v>
      </c>
      <c r="E369" s="37" t="str">
        <f>TEXT(Data!B369,"MMM-YYYY")</f>
        <v>Sep-2023</v>
      </c>
      <c r="F369" s="37" t="str">
        <f t="shared" si="37"/>
        <v>Q3-2023</v>
      </c>
      <c r="G369" s="32" t="s">
        <v>52</v>
      </c>
      <c r="H369" s="32" t="s">
        <v>122</v>
      </c>
      <c r="I369" s="32" t="s">
        <v>387</v>
      </c>
      <c r="J369" s="32" t="s">
        <v>62</v>
      </c>
      <c r="K369" s="32" t="s">
        <v>40</v>
      </c>
      <c r="L369" s="32" t="s">
        <v>29</v>
      </c>
      <c r="M369" s="32" t="s">
        <v>57</v>
      </c>
      <c r="N369" s="32" t="s">
        <v>839</v>
      </c>
      <c r="O369" s="37">
        <v>1279.56</v>
      </c>
      <c r="P369" s="38" t="str">
        <f t="shared" si="38"/>
        <v>High</v>
      </c>
      <c r="Q369" s="37">
        <v>3083.8</v>
      </c>
      <c r="R369" s="37">
        <v>0.106</v>
      </c>
      <c r="S369" s="37">
        <v>5</v>
      </c>
      <c r="T369" s="37">
        <f t="shared" si="35"/>
        <v>12985.618199999999</v>
      </c>
      <c r="U369" s="32">
        <f t="shared" si="36"/>
        <v>6397.7999999999993</v>
      </c>
      <c r="V369" s="37">
        <f t="shared" si="39"/>
        <v>6587.8181999999997</v>
      </c>
      <c r="W369" s="39">
        <f t="shared" si="40"/>
        <v>0.50731648648040495</v>
      </c>
    </row>
    <row r="370" spans="1:23" x14ac:dyDescent="0.3">
      <c r="A370" s="40" t="s">
        <v>840</v>
      </c>
      <c r="B370" s="41">
        <v>45832</v>
      </c>
      <c r="C370" s="42">
        <v>45861</v>
      </c>
      <c r="D370" s="43">
        <f t="shared" si="41"/>
        <v>29</v>
      </c>
      <c r="E370" s="43" t="str">
        <f>TEXT(Data!B370,"MMM-YYYY")</f>
        <v>Jun-2025</v>
      </c>
      <c r="F370" s="43" t="str">
        <f t="shared" si="37"/>
        <v>Q2-2025</v>
      </c>
      <c r="G370" s="33" t="s">
        <v>52</v>
      </c>
      <c r="H370" s="33" t="s">
        <v>53</v>
      </c>
      <c r="I370" s="33" t="s">
        <v>179</v>
      </c>
      <c r="J370" s="33" t="s">
        <v>39</v>
      </c>
      <c r="K370" s="33" t="s">
        <v>40</v>
      </c>
      <c r="L370" s="33" t="s">
        <v>34</v>
      </c>
      <c r="M370" s="33" t="s">
        <v>30</v>
      </c>
      <c r="N370" s="33" t="s">
        <v>841</v>
      </c>
      <c r="O370" s="43">
        <v>255.4</v>
      </c>
      <c r="P370" s="44" t="str">
        <f t="shared" si="38"/>
        <v>High</v>
      </c>
      <c r="Q370" s="43">
        <v>322.70999999999998</v>
      </c>
      <c r="R370" s="43">
        <v>0.115</v>
      </c>
      <c r="S370" s="43">
        <v>16</v>
      </c>
      <c r="T370" s="43">
        <f t="shared" si="35"/>
        <v>11923.994400000001</v>
      </c>
      <c r="U370" s="33">
        <f t="shared" si="36"/>
        <v>4086.4</v>
      </c>
      <c r="V370" s="43">
        <f t="shared" si="39"/>
        <v>7837.5944000000018</v>
      </c>
      <c r="W370" s="45">
        <f t="shared" si="40"/>
        <v>0.65729604837788258</v>
      </c>
    </row>
    <row r="371" spans="1:23" x14ac:dyDescent="0.3">
      <c r="A371" s="34" t="s">
        <v>842</v>
      </c>
      <c r="B371" s="35">
        <v>45286</v>
      </c>
      <c r="C371" s="36">
        <v>45294</v>
      </c>
      <c r="D371" s="37">
        <f t="shared" si="41"/>
        <v>8</v>
      </c>
      <c r="E371" s="37" t="str">
        <f>TEXT(Data!B371,"MMM-YYYY")</f>
        <v>Dec-2023</v>
      </c>
      <c r="F371" s="37" t="str">
        <f t="shared" si="37"/>
        <v>Q4-2023</v>
      </c>
      <c r="G371" s="32" t="s">
        <v>78</v>
      </c>
      <c r="H371" s="32" t="s">
        <v>90</v>
      </c>
      <c r="I371" s="32" t="s">
        <v>138</v>
      </c>
      <c r="J371" s="32" t="s">
        <v>62</v>
      </c>
      <c r="K371" s="32" t="s">
        <v>20</v>
      </c>
      <c r="L371" s="32" t="s">
        <v>110</v>
      </c>
      <c r="M371" s="32" t="s">
        <v>57</v>
      </c>
      <c r="N371" s="32" t="s">
        <v>843</v>
      </c>
      <c r="O371" s="37">
        <v>492.75</v>
      </c>
      <c r="P371" s="38" t="str">
        <f t="shared" si="38"/>
        <v>High</v>
      </c>
      <c r="Q371" s="37">
        <v>731.29</v>
      </c>
      <c r="R371" s="37">
        <v>5.8000000000000003E-2</v>
      </c>
      <c r="S371" s="37">
        <v>6</v>
      </c>
      <c r="T371" s="37">
        <f t="shared" si="35"/>
        <v>17698.503240000002</v>
      </c>
      <c r="U371" s="32">
        <f t="shared" si="36"/>
        <v>2956.5</v>
      </c>
      <c r="V371" s="37">
        <f t="shared" si="39"/>
        <v>14742.003240000002</v>
      </c>
      <c r="W371" s="39">
        <f t="shared" si="40"/>
        <v>0.83295197566096557</v>
      </c>
    </row>
    <row r="372" spans="1:23" x14ac:dyDescent="0.3">
      <c r="A372" s="40" t="s">
        <v>844</v>
      </c>
      <c r="B372" s="41">
        <v>44962</v>
      </c>
      <c r="C372" s="42">
        <v>44985</v>
      </c>
      <c r="D372" s="43">
        <f t="shared" si="41"/>
        <v>23</v>
      </c>
      <c r="E372" s="43" t="str">
        <f>TEXT(Data!B372,"MMM-YYYY")</f>
        <v>Feb-2023</v>
      </c>
      <c r="F372" s="43" t="str">
        <f t="shared" si="37"/>
        <v>Q1-2023</v>
      </c>
      <c r="G372" s="33" t="s">
        <v>52</v>
      </c>
      <c r="H372" s="33" t="s">
        <v>122</v>
      </c>
      <c r="I372" s="33" t="s">
        <v>326</v>
      </c>
      <c r="J372" s="33" t="s">
        <v>39</v>
      </c>
      <c r="K372" s="33" t="s">
        <v>55</v>
      </c>
      <c r="L372" s="33" t="s">
        <v>49</v>
      </c>
      <c r="M372" s="33" t="s">
        <v>42</v>
      </c>
      <c r="N372" s="33" t="s">
        <v>845</v>
      </c>
      <c r="O372" s="43">
        <v>1214.49</v>
      </c>
      <c r="P372" s="44" t="str">
        <f t="shared" si="38"/>
        <v>High</v>
      </c>
      <c r="Q372" s="43">
        <v>1533.95</v>
      </c>
      <c r="R372" s="43">
        <v>0</v>
      </c>
      <c r="S372" s="43">
        <v>11</v>
      </c>
      <c r="T372" s="43">
        <f t="shared" si="35"/>
        <v>15891.92</v>
      </c>
      <c r="U372" s="33">
        <f t="shared" si="36"/>
        <v>13359.39</v>
      </c>
      <c r="V372" s="43">
        <f t="shared" si="39"/>
        <v>2532.5300000000007</v>
      </c>
      <c r="W372" s="45">
        <f t="shared" si="40"/>
        <v>0.15935959909186559</v>
      </c>
    </row>
    <row r="373" spans="1:23" x14ac:dyDescent="0.3">
      <c r="A373" s="34" t="s">
        <v>846</v>
      </c>
      <c r="B373" s="35">
        <v>45022</v>
      </c>
      <c r="C373" s="36">
        <v>45024</v>
      </c>
      <c r="D373" s="37">
        <f t="shared" si="41"/>
        <v>2</v>
      </c>
      <c r="E373" s="37" t="str">
        <f>TEXT(Data!B373,"MMM-YYYY")</f>
        <v>Apr-2023</v>
      </c>
      <c r="F373" s="37" t="str">
        <f t="shared" si="37"/>
        <v>Q2-2023</v>
      </c>
      <c r="G373" s="32" t="s">
        <v>16</v>
      </c>
      <c r="H373" s="32" t="s">
        <v>25</v>
      </c>
      <c r="I373" s="32" t="s">
        <v>67</v>
      </c>
      <c r="J373" s="32" t="s">
        <v>62</v>
      </c>
      <c r="K373" s="32" t="s">
        <v>40</v>
      </c>
      <c r="L373" s="32" t="s">
        <v>95</v>
      </c>
      <c r="M373" s="32" t="s">
        <v>64</v>
      </c>
      <c r="N373" s="32" t="s">
        <v>847</v>
      </c>
      <c r="O373" s="37">
        <v>720.35</v>
      </c>
      <c r="P373" s="38" t="str">
        <f t="shared" si="38"/>
        <v>High</v>
      </c>
      <c r="Q373" s="37">
        <v>1571.66</v>
      </c>
      <c r="R373" s="37">
        <v>0.107</v>
      </c>
      <c r="S373" s="37">
        <v>23</v>
      </c>
      <c r="T373" s="37">
        <f t="shared" si="35"/>
        <v>59066.056200000006</v>
      </c>
      <c r="U373" s="32">
        <f t="shared" si="36"/>
        <v>16568.05</v>
      </c>
      <c r="V373" s="37">
        <f t="shared" si="39"/>
        <v>42498.006200000003</v>
      </c>
      <c r="W373" s="39">
        <f t="shared" si="40"/>
        <v>0.71949964047201787</v>
      </c>
    </row>
    <row r="374" spans="1:23" x14ac:dyDescent="0.3">
      <c r="A374" s="40" t="s">
        <v>848</v>
      </c>
      <c r="B374" s="41">
        <v>45751</v>
      </c>
      <c r="C374" s="42">
        <v>45757</v>
      </c>
      <c r="D374" s="43">
        <f t="shared" si="41"/>
        <v>6</v>
      </c>
      <c r="E374" s="43" t="str">
        <f>TEXT(Data!B374,"MMM-YYYY")</f>
        <v>Apr-2025</v>
      </c>
      <c r="F374" s="43" t="str">
        <f t="shared" si="37"/>
        <v>Q2-2025</v>
      </c>
      <c r="G374" s="33" t="s">
        <v>78</v>
      </c>
      <c r="H374" s="33" t="s">
        <v>108</v>
      </c>
      <c r="I374" s="33" t="s">
        <v>109</v>
      </c>
      <c r="J374" s="33" t="s">
        <v>39</v>
      </c>
      <c r="K374" s="33" t="s">
        <v>98</v>
      </c>
      <c r="L374" s="33" t="s">
        <v>126</v>
      </c>
      <c r="M374" s="33" t="s">
        <v>30</v>
      </c>
      <c r="N374" s="33" t="s">
        <v>849</v>
      </c>
      <c r="O374" s="43">
        <v>290.14</v>
      </c>
      <c r="P374" s="44" t="str">
        <f t="shared" si="38"/>
        <v>High</v>
      </c>
      <c r="Q374" s="43">
        <v>250.73</v>
      </c>
      <c r="R374" s="43">
        <v>3.4000000000000002E-2</v>
      </c>
      <c r="S374" s="43">
        <v>17</v>
      </c>
      <c r="T374" s="43">
        <f t="shared" si="35"/>
        <v>26958.519419999997</v>
      </c>
      <c r="U374" s="33">
        <f t="shared" si="36"/>
        <v>4932.38</v>
      </c>
      <c r="V374" s="43">
        <f t="shared" si="39"/>
        <v>22026.139419999996</v>
      </c>
      <c r="W374" s="45">
        <f t="shared" si="40"/>
        <v>0.81703817174986382</v>
      </c>
    </row>
    <row r="375" spans="1:23" x14ac:dyDescent="0.3">
      <c r="A375" s="34" t="s">
        <v>850</v>
      </c>
      <c r="B375" s="35">
        <v>45429</v>
      </c>
      <c r="C375" s="36">
        <v>45439</v>
      </c>
      <c r="D375" s="37">
        <f t="shared" si="41"/>
        <v>10</v>
      </c>
      <c r="E375" s="37" t="str">
        <f>TEXT(Data!B375,"MMM-YYYY")</f>
        <v>May-2024</v>
      </c>
      <c r="F375" s="37" t="str">
        <f t="shared" si="37"/>
        <v>Q2-2024</v>
      </c>
      <c r="G375" s="32" t="s">
        <v>52</v>
      </c>
      <c r="H375" s="32" t="s">
        <v>122</v>
      </c>
      <c r="I375" s="32" t="s">
        <v>326</v>
      </c>
      <c r="J375" s="32" t="s">
        <v>39</v>
      </c>
      <c r="K375" s="32" t="s">
        <v>28</v>
      </c>
      <c r="L375" s="32" t="s">
        <v>21</v>
      </c>
      <c r="M375" s="32" t="s">
        <v>42</v>
      </c>
      <c r="N375" s="32" t="s">
        <v>851</v>
      </c>
      <c r="O375" s="37">
        <v>1484.23</v>
      </c>
      <c r="P375" s="38" t="str">
        <f t="shared" si="38"/>
        <v>High</v>
      </c>
      <c r="Q375" s="37">
        <v>3472.81</v>
      </c>
      <c r="R375" s="37">
        <v>0.25600000000000001</v>
      </c>
      <c r="S375" s="37">
        <v>12</v>
      </c>
      <c r="T375" s="37">
        <f t="shared" si="35"/>
        <v>11597.65056</v>
      </c>
      <c r="U375" s="32">
        <f t="shared" si="36"/>
        <v>17810.760000000002</v>
      </c>
      <c r="V375" s="37">
        <f t="shared" si="39"/>
        <v>-6213.109440000002</v>
      </c>
      <c r="W375" s="39">
        <f t="shared" si="40"/>
        <v>-0.53572138665988589</v>
      </c>
    </row>
    <row r="376" spans="1:23" x14ac:dyDescent="0.3">
      <c r="A376" s="40" t="s">
        <v>852</v>
      </c>
      <c r="B376" s="41">
        <v>45354</v>
      </c>
      <c r="C376" s="42">
        <v>45370</v>
      </c>
      <c r="D376" s="43">
        <f t="shared" si="41"/>
        <v>16</v>
      </c>
      <c r="E376" s="43" t="str">
        <f>TEXT(Data!B376,"MMM-YYYY")</f>
        <v>Mar-2024</v>
      </c>
      <c r="F376" s="43" t="str">
        <f t="shared" si="37"/>
        <v>Q1-2024</v>
      </c>
      <c r="G376" s="33" t="s">
        <v>45</v>
      </c>
      <c r="H376" s="33" t="s">
        <v>116</v>
      </c>
      <c r="I376" s="33" t="s">
        <v>338</v>
      </c>
      <c r="J376" s="33" t="s">
        <v>48</v>
      </c>
      <c r="K376" s="33" t="s">
        <v>55</v>
      </c>
      <c r="L376" s="33" t="s">
        <v>41</v>
      </c>
      <c r="M376" s="33" t="s">
        <v>42</v>
      </c>
      <c r="N376" s="33" t="s">
        <v>853</v>
      </c>
      <c r="O376" s="43">
        <v>988.83</v>
      </c>
      <c r="P376" s="44" t="str">
        <f t="shared" si="38"/>
        <v>High</v>
      </c>
      <c r="Q376" s="43">
        <v>1206.04</v>
      </c>
      <c r="R376" s="43">
        <v>6.3E-2</v>
      </c>
      <c r="S376" s="43">
        <v>34</v>
      </c>
      <c r="T376" s="43">
        <f t="shared" si="35"/>
        <v>35635.084480000005</v>
      </c>
      <c r="U376" s="33">
        <f t="shared" si="36"/>
        <v>33620.22</v>
      </c>
      <c r="V376" s="43">
        <f t="shared" si="39"/>
        <v>2014.8644800000038</v>
      </c>
      <c r="W376" s="45">
        <f t="shared" si="40"/>
        <v>5.6541594033005182E-2</v>
      </c>
    </row>
    <row r="377" spans="1:23" x14ac:dyDescent="0.3">
      <c r="A377" s="34" t="s">
        <v>854</v>
      </c>
      <c r="B377" s="35">
        <v>45835</v>
      </c>
      <c r="C377" s="36">
        <v>45849</v>
      </c>
      <c r="D377" s="37">
        <f t="shared" si="41"/>
        <v>14</v>
      </c>
      <c r="E377" s="37" t="str">
        <f>TEXT(Data!B377,"MMM-YYYY")</f>
        <v>Jun-2025</v>
      </c>
      <c r="F377" s="37" t="str">
        <f t="shared" si="37"/>
        <v>Q2-2025</v>
      </c>
      <c r="G377" s="32" t="s">
        <v>45</v>
      </c>
      <c r="H377" s="32" t="s">
        <v>116</v>
      </c>
      <c r="I377" s="32" t="s">
        <v>162</v>
      </c>
      <c r="J377" s="32" t="s">
        <v>62</v>
      </c>
      <c r="K377" s="32" t="s">
        <v>40</v>
      </c>
      <c r="L377" s="32" t="s">
        <v>49</v>
      </c>
      <c r="M377" s="32" t="s">
        <v>35</v>
      </c>
      <c r="N377" s="32" t="s">
        <v>855</v>
      </c>
      <c r="O377" s="37">
        <v>1227.7</v>
      </c>
      <c r="P377" s="38" t="str">
        <f t="shared" si="38"/>
        <v>High</v>
      </c>
      <c r="Q377" s="37">
        <v>2197.23</v>
      </c>
      <c r="R377" s="37">
        <v>9.9000000000000005E-2</v>
      </c>
      <c r="S377" s="37">
        <v>22</v>
      </c>
      <c r="T377" s="37">
        <f t="shared" si="35"/>
        <v>23483.321620000002</v>
      </c>
      <c r="U377" s="32">
        <f t="shared" si="36"/>
        <v>27009.4</v>
      </c>
      <c r="V377" s="37">
        <f t="shared" si="39"/>
        <v>-3526.078379999999</v>
      </c>
      <c r="W377" s="39">
        <f t="shared" si="40"/>
        <v>-0.15015245445503542</v>
      </c>
    </row>
    <row r="378" spans="1:23" x14ac:dyDescent="0.3">
      <c r="A378" s="40" t="s">
        <v>856</v>
      </c>
      <c r="B378" s="41">
        <v>44998</v>
      </c>
      <c r="C378" s="42">
        <v>45020</v>
      </c>
      <c r="D378" s="43">
        <f t="shared" si="41"/>
        <v>22</v>
      </c>
      <c r="E378" s="43" t="str">
        <f>TEXT(Data!B378,"MMM-YYYY")</f>
        <v>Mar-2023</v>
      </c>
      <c r="F378" s="43" t="str">
        <f t="shared" si="37"/>
        <v>Q1-2023</v>
      </c>
      <c r="G378" s="33" t="s">
        <v>16</v>
      </c>
      <c r="H378" s="33" t="s">
        <v>148</v>
      </c>
      <c r="I378" s="33" t="s">
        <v>172</v>
      </c>
      <c r="J378" s="33" t="s">
        <v>62</v>
      </c>
      <c r="K378" s="33" t="s">
        <v>20</v>
      </c>
      <c r="L378" s="33" t="s">
        <v>75</v>
      </c>
      <c r="M378" s="33" t="s">
        <v>22</v>
      </c>
      <c r="N378" s="33" t="s">
        <v>857</v>
      </c>
      <c r="O378" s="43">
        <v>1113.7</v>
      </c>
      <c r="P378" s="44" t="str">
        <f t="shared" si="38"/>
        <v>High</v>
      </c>
      <c r="Q378" s="43">
        <v>1620.6</v>
      </c>
      <c r="R378" s="43">
        <v>0.13900000000000001</v>
      </c>
      <c r="S378" s="43">
        <v>11</v>
      </c>
      <c r="T378" s="43">
        <f t="shared" si="35"/>
        <v>11379.122369999999</v>
      </c>
      <c r="U378" s="33">
        <f t="shared" si="36"/>
        <v>12250.7</v>
      </c>
      <c r="V378" s="43">
        <f t="shared" si="39"/>
        <v>-871.57763000000159</v>
      </c>
      <c r="W378" s="45">
        <f t="shared" si="40"/>
        <v>-7.6594450930401736E-2</v>
      </c>
    </row>
    <row r="379" spans="1:23" x14ac:dyDescent="0.3">
      <c r="A379" s="34" t="s">
        <v>858</v>
      </c>
      <c r="B379" s="35">
        <v>45664</v>
      </c>
      <c r="C379" s="36">
        <v>45677</v>
      </c>
      <c r="D379" s="37">
        <f t="shared" si="41"/>
        <v>13</v>
      </c>
      <c r="E379" s="37" t="str">
        <f>TEXT(Data!B379,"MMM-YYYY")</f>
        <v>Jan-2025</v>
      </c>
      <c r="F379" s="37" t="str">
        <f t="shared" si="37"/>
        <v>Q1-2025</v>
      </c>
      <c r="G379" s="32" t="s">
        <v>16</v>
      </c>
      <c r="H379" s="32" t="s">
        <v>148</v>
      </c>
      <c r="I379" s="32" t="s">
        <v>258</v>
      </c>
      <c r="J379" s="32" t="s">
        <v>19</v>
      </c>
      <c r="K379" s="32" t="s">
        <v>98</v>
      </c>
      <c r="L379" s="32" t="s">
        <v>95</v>
      </c>
      <c r="M379" s="32" t="s">
        <v>35</v>
      </c>
      <c r="N379" s="32" t="s">
        <v>859</v>
      </c>
      <c r="O379" s="37">
        <v>432.13</v>
      </c>
      <c r="P379" s="38" t="str">
        <f t="shared" si="38"/>
        <v>High</v>
      </c>
      <c r="Q379" s="37">
        <v>1034.6600000000001</v>
      </c>
      <c r="R379" s="37">
        <v>9.1999999999999998E-2</v>
      </c>
      <c r="S379" s="37">
        <v>7</v>
      </c>
      <c r="T379" s="37">
        <f t="shared" si="35"/>
        <v>5599.5724400000008</v>
      </c>
      <c r="U379" s="32">
        <f t="shared" si="36"/>
        <v>3024.91</v>
      </c>
      <c r="V379" s="37">
        <f t="shared" si="39"/>
        <v>2574.662440000001</v>
      </c>
      <c r="W379" s="39">
        <f t="shared" si="40"/>
        <v>0.45979625544410324</v>
      </c>
    </row>
    <row r="380" spans="1:23" x14ac:dyDescent="0.3">
      <c r="A380" s="40" t="s">
        <v>860</v>
      </c>
      <c r="B380" s="41">
        <v>45694</v>
      </c>
      <c r="C380" s="42">
        <v>45703</v>
      </c>
      <c r="D380" s="43">
        <f t="shared" si="41"/>
        <v>9</v>
      </c>
      <c r="E380" s="43" t="str">
        <f>TEXT(Data!B380,"MMM-YYYY")</f>
        <v>Feb-2025</v>
      </c>
      <c r="F380" s="43" t="str">
        <f t="shared" si="37"/>
        <v>Q1-2025</v>
      </c>
      <c r="G380" s="33" t="s">
        <v>52</v>
      </c>
      <c r="H380" s="33" t="s">
        <v>73</v>
      </c>
      <c r="I380" s="33" t="s">
        <v>74</v>
      </c>
      <c r="J380" s="33" t="s">
        <v>39</v>
      </c>
      <c r="K380" s="33" t="s">
        <v>55</v>
      </c>
      <c r="L380" s="33" t="s">
        <v>84</v>
      </c>
      <c r="M380" s="33" t="s">
        <v>35</v>
      </c>
      <c r="N380" s="33" t="s">
        <v>861</v>
      </c>
      <c r="O380" s="43">
        <v>837.39</v>
      </c>
      <c r="P380" s="44" t="str">
        <f t="shared" si="38"/>
        <v>High</v>
      </c>
      <c r="Q380" s="43">
        <v>1905.42</v>
      </c>
      <c r="R380" s="43">
        <v>3.2000000000000001E-2</v>
      </c>
      <c r="S380" s="43">
        <v>18</v>
      </c>
      <c r="T380" s="43">
        <f t="shared" si="35"/>
        <v>35734.358879999992</v>
      </c>
      <c r="U380" s="33">
        <f t="shared" si="36"/>
        <v>15073.02</v>
      </c>
      <c r="V380" s="43">
        <f t="shared" si="39"/>
        <v>20661.338879999992</v>
      </c>
      <c r="W380" s="45">
        <f t="shared" si="40"/>
        <v>0.57819251632254265</v>
      </c>
    </row>
    <row r="381" spans="1:23" x14ac:dyDescent="0.3">
      <c r="A381" s="34" t="s">
        <v>862</v>
      </c>
      <c r="B381" s="35">
        <v>45688</v>
      </c>
      <c r="C381" s="36">
        <v>45705</v>
      </c>
      <c r="D381" s="37">
        <f t="shared" si="41"/>
        <v>17</v>
      </c>
      <c r="E381" s="37" t="str">
        <f>TEXT(Data!B381,"MMM-YYYY")</f>
        <v>Jan-2025</v>
      </c>
      <c r="F381" s="37" t="str">
        <f t="shared" si="37"/>
        <v>Q1-2025</v>
      </c>
      <c r="G381" s="32" t="s">
        <v>78</v>
      </c>
      <c r="H381" s="32" t="s">
        <v>108</v>
      </c>
      <c r="I381" s="32" t="s">
        <v>152</v>
      </c>
      <c r="J381" s="32" t="s">
        <v>105</v>
      </c>
      <c r="K381" s="32" t="s">
        <v>20</v>
      </c>
      <c r="L381" s="32" t="s">
        <v>92</v>
      </c>
      <c r="M381" s="32" t="s">
        <v>22</v>
      </c>
      <c r="N381" s="32" t="s">
        <v>254</v>
      </c>
      <c r="O381" s="37">
        <v>378.26</v>
      </c>
      <c r="P381" s="38" t="str">
        <f t="shared" si="38"/>
        <v>High</v>
      </c>
      <c r="Q381" s="37">
        <v>541.55999999999995</v>
      </c>
      <c r="R381" s="37">
        <v>0.16300000000000001</v>
      </c>
      <c r="S381" s="37">
        <v>25</v>
      </c>
      <c r="T381" s="37">
        <f t="shared" si="35"/>
        <v>36365.557499999995</v>
      </c>
      <c r="U381" s="32">
        <f t="shared" si="36"/>
        <v>9456.5</v>
      </c>
      <c r="V381" s="37">
        <f t="shared" si="39"/>
        <v>26909.057499999995</v>
      </c>
      <c r="W381" s="39">
        <f t="shared" si="40"/>
        <v>0.73995998823887132</v>
      </c>
    </row>
    <row r="382" spans="1:23" x14ac:dyDescent="0.3">
      <c r="A382" s="40" t="s">
        <v>863</v>
      </c>
      <c r="B382" s="41">
        <v>45876</v>
      </c>
      <c r="C382" s="42">
        <v>45906</v>
      </c>
      <c r="D382" s="43">
        <f t="shared" si="41"/>
        <v>30</v>
      </c>
      <c r="E382" s="43" t="str">
        <f>TEXT(Data!B382,"MMM-YYYY")</f>
        <v>Aug-2025</v>
      </c>
      <c r="F382" s="43" t="str">
        <f t="shared" si="37"/>
        <v>Q3-2025</v>
      </c>
      <c r="G382" s="33" t="s">
        <v>52</v>
      </c>
      <c r="H382" s="33" t="s">
        <v>53</v>
      </c>
      <c r="I382" s="33" t="s">
        <v>144</v>
      </c>
      <c r="J382" s="33" t="s">
        <v>27</v>
      </c>
      <c r="K382" s="33" t="s">
        <v>98</v>
      </c>
      <c r="L382" s="33" t="s">
        <v>110</v>
      </c>
      <c r="M382" s="33" t="s">
        <v>35</v>
      </c>
      <c r="N382" s="33" t="s">
        <v>864</v>
      </c>
      <c r="O382" s="43">
        <v>833.73</v>
      </c>
      <c r="P382" s="44" t="str">
        <f t="shared" si="38"/>
        <v>High</v>
      </c>
      <c r="Q382" s="43">
        <v>1116.5999999999999</v>
      </c>
      <c r="R382" s="43">
        <v>0.17599999999999999</v>
      </c>
      <c r="S382" s="43">
        <v>14</v>
      </c>
      <c r="T382" s="43">
        <f t="shared" si="35"/>
        <v>16015.544160000001</v>
      </c>
      <c r="U382" s="33">
        <f t="shared" si="36"/>
        <v>11672.220000000001</v>
      </c>
      <c r="V382" s="43">
        <f t="shared" si="39"/>
        <v>4343.3241600000001</v>
      </c>
      <c r="W382" s="45">
        <f t="shared" si="40"/>
        <v>0.27119429203334666</v>
      </c>
    </row>
    <row r="383" spans="1:23" x14ac:dyDescent="0.3">
      <c r="A383" s="34" t="s">
        <v>865</v>
      </c>
      <c r="B383" s="35">
        <v>45861</v>
      </c>
      <c r="C383" s="36">
        <v>45886</v>
      </c>
      <c r="D383" s="37">
        <f t="shared" si="41"/>
        <v>25</v>
      </c>
      <c r="E383" s="37" t="str">
        <f>TEXT(Data!B383,"MMM-YYYY")</f>
        <v>Jul-2025</v>
      </c>
      <c r="F383" s="37" t="str">
        <f t="shared" si="37"/>
        <v>Q3-2025</v>
      </c>
      <c r="G383" s="32" t="s">
        <v>78</v>
      </c>
      <c r="H383" s="32" t="s">
        <v>108</v>
      </c>
      <c r="I383" s="32" t="s">
        <v>109</v>
      </c>
      <c r="J383" s="32" t="s">
        <v>27</v>
      </c>
      <c r="K383" s="32" t="s">
        <v>28</v>
      </c>
      <c r="L383" s="32" t="s">
        <v>34</v>
      </c>
      <c r="M383" s="32" t="s">
        <v>30</v>
      </c>
      <c r="N383" s="32" t="s">
        <v>866</v>
      </c>
      <c r="O383" s="37">
        <v>1142.06</v>
      </c>
      <c r="P383" s="38" t="str">
        <f t="shared" si="38"/>
        <v>High</v>
      </c>
      <c r="Q383" s="37">
        <v>1455</v>
      </c>
      <c r="R383" s="37">
        <v>7.8E-2</v>
      </c>
      <c r="S383" s="37">
        <v>28</v>
      </c>
      <c r="T383" s="37">
        <f t="shared" si="35"/>
        <v>13660.278240000001</v>
      </c>
      <c r="U383" s="32">
        <f t="shared" si="36"/>
        <v>31977.68</v>
      </c>
      <c r="V383" s="37">
        <f t="shared" si="39"/>
        <v>-18317.401760000001</v>
      </c>
      <c r="W383" s="39">
        <f t="shared" si="40"/>
        <v>-1.3409244993533893</v>
      </c>
    </row>
    <row r="384" spans="1:23" x14ac:dyDescent="0.3">
      <c r="A384" s="40" t="s">
        <v>867</v>
      </c>
      <c r="B384" s="41">
        <v>45097</v>
      </c>
      <c r="C384" s="42">
        <v>45115</v>
      </c>
      <c r="D384" s="43">
        <f t="shared" si="41"/>
        <v>18</v>
      </c>
      <c r="E384" s="43" t="str">
        <f>TEXT(Data!B384,"MMM-YYYY")</f>
        <v>Jun-2023</v>
      </c>
      <c r="F384" s="43" t="str">
        <f t="shared" si="37"/>
        <v>Q2-2023</v>
      </c>
      <c r="G384" s="33" t="s">
        <v>52</v>
      </c>
      <c r="H384" s="33" t="s">
        <v>122</v>
      </c>
      <c r="I384" s="33" t="s">
        <v>387</v>
      </c>
      <c r="J384" s="33" t="s">
        <v>48</v>
      </c>
      <c r="K384" s="33" t="s">
        <v>40</v>
      </c>
      <c r="L384" s="33" t="s">
        <v>68</v>
      </c>
      <c r="M384" s="33" t="s">
        <v>35</v>
      </c>
      <c r="N384" s="33" t="s">
        <v>868</v>
      </c>
      <c r="O384" s="43">
        <v>1145.53</v>
      </c>
      <c r="P384" s="44" t="str">
        <f t="shared" si="38"/>
        <v>High</v>
      </c>
      <c r="Q384" s="43">
        <v>1278.3</v>
      </c>
      <c r="R384" s="43">
        <v>0.09</v>
      </c>
      <c r="S384" s="43">
        <v>41</v>
      </c>
      <c r="T384" s="43">
        <f t="shared" si="35"/>
        <v>73589.497799999997</v>
      </c>
      <c r="U384" s="33">
        <f t="shared" si="36"/>
        <v>46966.729999999996</v>
      </c>
      <c r="V384" s="43">
        <f t="shared" si="39"/>
        <v>26622.767800000001</v>
      </c>
      <c r="W384" s="45">
        <f t="shared" si="40"/>
        <v>0.36177401118234026</v>
      </c>
    </row>
    <row r="385" spans="1:23" x14ac:dyDescent="0.3">
      <c r="A385" s="34" t="s">
        <v>869</v>
      </c>
      <c r="B385" s="35">
        <v>45491</v>
      </c>
      <c r="C385" s="36">
        <v>45511</v>
      </c>
      <c r="D385" s="37">
        <f t="shared" si="41"/>
        <v>20</v>
      </c>
      <c r="E385" s="37" t="str">
        <f>TEXT(Data!B385,"MMM-YYYY")</f>
        <v>Jul-2024</v>
      </c>
      <c r="F385" s="37" t="str">
        <f t="shared" si="37"/>
        <v>Q3-2024</v>
      </c>
      <c r="G385" s="32" t="s">
        <v>78</v>
      </c>
      <c r="H385" s="32" t="s">
        <v>90</v>
      </c>
      <c r="I385" s="32" t="s">
        <v>91</v>
      </c>
      <c r="J385" s="32" t="s">
        <v>19</v>
      </c>
      <c r="K385" s="32" t="s">
        <v>20</v>
      </c>
      <c r="L385" s="32" t="s">
        <v>84</v>
      </c>
      <c r="M385" s="32" t="s">
        <v>64</v>
      </c>
      <c r="N385" s="32" t="s">
        <v>870</v>
      </c>
      <c r="O385" s="37">
        <v>941.35</v>
      </c>
      <c r="P385" s="38" t="str">
        <f t="shared" si="38"/>
        <v>High</v>
      </c>
      <c r="Q385" s="37">
        <v>899.83</v>
      </c>
      <c r="R385" s="37">
        <v>5.8000000000000003E-2</v>
      </c>
      <c r="S385" s="37">
        <v>18</v>
      </c>
      <c r="T385" s="37">
        <f t="shared" ref="T385:T448" si="42">(Q411*S385)*(1-R385)</f>
        <v>14867.190359999997</v>
      </c>
      <c r="U385" s="32">
        <f t="shared" ref="U385:U448" si="43">(O385*S385)</f>
        <v>16944.3</v>
      </c>
      <c r="V385" s="37">
        <f t="shared" si="39"/>
        <v>-2077.1096400000024</v>
      </c>
      <c r="W385" s="39">
        <f t="shared" si="40"/>
        <v>-0.13971097360725546</v>
      </c>
    </row>
    <row r="386" spans="1:23" x14ac:dyDescent="0.3">
      <c r="A386" s="40" t="s">
        <v>871</v>
      </c>
      <c r="B386" s="41">
        <v>45066</v>
      </c>
      <c r="C386" s="42">
        <v>45096</v>
      </c>
      <c r="D386" s="43">
        <f t="shared" si="41"/>
        <v>30</v>
      </c>
      <c r="E386" s="43" t="str">
        <f>TEXT(Data!B386,"MMM-YYYY")</f>
        <v>May-2023</v>
      </c>
      <c r="F386" s="43" t="str">
        <f t="shared" ref="F386:F449" si="44">"Q"&amp;ROUNDUP(MONTH(B386)/3,0)&amp;"-"&amp;YEAR(B386)</f>
        <v>Q2-2023</v>
      </c>
      <c r="G386" s="33" t="s">
        <v>45</v>
      </c>
      <c r="H386" s="33" t="s">
        <v>60</v>
      </c>
      <c r="I386" s="33" t="s">
        <v>141</v>
      </c>
      <c r="J386" s="33" t="s">
        <v>39</v>
      </c>
      <c r="K386" s="33" t="s">
        <v>40</v>
      </c>
      <c r="L386" s="33" t="s">
        <v>92</v>
      </c>
      <c r="M386" s="33" t="s">
        <v>57</v>
      </c>
      <c r="N386" s="33" t="s">
        <v>872</v>
      </c>
      <c r="O386" s="43">
        <v>1161.2</v>
      </c>
      <c r="P386" s="44" t="str">
        <f t="shared" ref="P386:P449" si="45">IF(Q386&lt;50, "Low", IF(Q386&lt;200, "Medium", "High"))</f>
        <v>High</v>
      </c>
      <c r="Q386" s="43">
        <v>878.73</v>
      </c>
      <c r="R386" s="43">
        <v>0.19</v>
      </c>
      <c r="S386" s="43">
        <v>31</v>
      </c>
      <c r="T386" s="43">
        <f t="shared" si="42"/>
        <v>20697.168600000001</v>
      </c>
      <c r="U386" s="33">
        <f t="shared" si="43"/>
        <v>35997.200000000004</v>
      </c>
      <c r="V386" s="43">
        <f t="shared" ref="V386:V449" si="46">(T386-U386)</f>
        <v>-15300.031400000003</v>
      </c>
      <c r="W386" s="45">
        <f t="shared" ref="W386:W449" si="47">IF(T386=0, 0, V386/T386)</f>
        <v>-0.73923306591801174</v>
      </c>
    </row>
    <row r="387" spans="1:23" x14ac:dyDescent="0.3">
      <c r="A387" s="34" t="s">
        <v>873</v>
      </c>
      <c r="B387" s="35">
        <v>45789</v>
      </c>
      <c r="C387" s="36">
        <v>45803</v>
      </c>
      <c r="D387" s="37">
        <f t="shared" si="41"/>
        <v>14</v>
      </c>
      <c r="E387" s="37" t="str">
        <f>TEXT(Data!B387,"MMM-YYYY")</f>
        <v>May-2025</v>
      </c>
      <c r="F387" s="37" t="str">
        <f t="shared" si="44"/>
        <v>Q2-2025</v>
      </c>
      <c r="G387" s="32" t="s">
        <v>45</v>
      </c>
      <c r="H387" s="32" t="s">
        <v>60</v>
      </c>
      <c r="I387" s="32" t="s">
        <v>281</v>
      </c>
      <c r="J387" s="32" t="s">
        <v>19</v>
      </c>
      <c r="K387" s="32" t="s">
        <v>40</v>
      </c>
      <c r="L387" s="32" t="s">
        <v>41</v>
      </c>
      <c r="M387" s="32" t="s">
        <v>30</v>
      </c>
      <c r="N387" s="32" t="s">
        <v>874</v>
      </c>
      <c r="O387" s="37">
        <v>320.12</v>
      </c>
      <c r="P387" s="38" t="str">
        <f t="shared" si="45"/>
        <v>High</v>
      </c>
      <c r="Q387" s="37">
        <v>594.41999999999996</v>
      </c>
      <c r="R387" s="37">
        <v>0.104</v>
      </c>
      <c r="S387" s="37">
        <v>18</v>
      </c>
      <c r="T387" s="37">
        <f t="shared" si="42"/>
        <v>18697.996800000001</v>
      </c>
      <c r="U387" s="32">
        <f t="shared" si="43"/>
        <v>5762.16</v>
      </c>
      <c r="V387" s="37">
        <f t="shared" si="46"/>
        <v>12935.836800000001</v>
      </c>
      <c r="W387" s="39">
        <f t="shared" si="47"/>
        <v>0.69183008952060576</v>
      </c>
    </row>
    <row r="388" spans="1:23" x14ac:dyDescent="0.3">
      <c r="A388" s="40" t="s">
        <v>875</v>
      </c>
      <c r="B388" s="41">
        <v>45419</v>
      </c>
      <c r="C388" s="42">
        <v>45424</v>
      </c>
      <c r="D388" s="43">
        <f t="shared" ref="D388:D450" si="48">DATEDIF(B388,C388, "MD")</f>
        <v>5</v>
      </c>
      <c r="E388" s="43" t="str">
        <f>TEXT(Data!B388,"MMM-YYYY")</f>
        <v>May-2024</v>
      </c>
      <c r="F388" s="43" t="str">
        <f t="shared" si="44"/>
        <v>Q2-2024</v>
      </c>
      <c r="G388" s="33" t="s">
        <v>16</v>
      </c>
      <c r="H388" s="33" t="s">
        <v>25</v>
      </c>
      <c r="I388" s="33" t="s">
        <v>67</v>
      </c>
      <c r="J388" s="33" t="s">
        <v>39</v>
      </c>
      <c r="K388" s="33" t="s">
        <v>55</v>
      </c>
      <c r="L388" s="33" t="s">
        <v>49</v>
      </c>
      <c r="M388" s="33" t="s">
        <v>57</v>
      </c>
      <c r="N388" s="33" t="s">
        <v>876</v>
      </c>
      <c r="O388" s="43">
        <v>1163.99</v>
      </c>
      <c r="P388" s="44" t="str">
        <f t="shared" si="45"/>
        <v>High</v>
      </c>
      <c r="Q388" s="43">
        <v>1617.85</v>
      </c>
      <c r="R388" s="43">
        <v>0.127</v>
      </c>
      <c r="S388" s="43">
        <v>14</v>
      </c>
      <c r="T388" s="43">
        <f t="shared" si="42"/>
        <v>30720.11922</v>
      </c>
      <c r="U388" s="33">
        <f t="shared" si="43"/>
        <v>16295.86</v>
      </c>
      <c r="V388" s="43">
        <f t="shared" si="46"/>
        <v>14424.25922</v>
      </c>
      <c r="W388" s="45">
        <f t="shared" si="47"/>
        <v>0.4695378659406127</v>
      </c>
    </row>
    <row r="389" spans="1:23" x14ac:dyDescent="0.3">
      <c r="A389" s="34" t="s">
        <v>877</v>
      </c>
      <c r="B389" s="35">
        <v>45199</v>
      </c>
      <c r="C389" s="36">
        <v>45202</v>
      </c>
      <c r="D389" s="37">
        <f t="shared" si="48"/>
        <v>3</v>
      </c>
      <c r="E389" s="37" t="str">
        <f>TEXT(Data!B389,"MMM-YYYY")</f>
        <v>Sep-2023</v>
      </c>
      <c r="F389" s="37" t="str">
        <f t="shared" si="44"/>
        <v>Q3-2023</v>
      </c>
      <c r="G389" s="32" t="s">
        <v>45</v>
      </c>
      <c r="H389" s="32" t="s">
        <v>116</v>
      </c>
      <c r="I389" s="32" t="s">
        <v>338</v>
      </c>
      <c r="J389" s="32" t="s">
        <v>39</v>
      </c>
      <c r="K389" s="32" t="s">
        <v>20</v>
      </c>
      <c r="L389" s="32" t="s">
        <v>29</v>
      </c>
      <c r="M389" s="32" t="s">
        <v>57</v>
      </c>
      <c r="N389" s="32" t="s">
        <v>878</v>
      </c>
      <c r="O389" s="37">
        <v>1019.36</v>
      </c>
      <c r="P389" s="38" t="str">
        <f t="shared" si="45"/>
        <v>High</v>
      </c>
      <c r="Q389" s="37">
        <v>972.91</v>
      </c>
      <c r="R389" s="37">
        <v>0.14699999999999999</v>
      </c>
      <c r="S389" s="37">
        <v>17</v>
      </c>
      <c r="T389" s="37">
        <f t="shared" si="42"/>
        <v>44766.472129999995</v>
      </c>
      <c r="U389" s="32">
        <f t="shared" si="43"/>
        <v>17329.12</v>
      </c>
      <c r="V389" s="37">
        <f t="shared" si="46"/>
        <v>27437.352129999996</v>
      </c>
      <c r="W389" s="39">
        <f t="shared" si="47"/>
        <v>0.61289958365097552</v>
      </c>
    </row>
    <row r="390" spans="1:23" x14ac:dyDescent="0.3">
      <c r="A390" s="40" t="s">
        <v>879</v>
      </c>
      <c r="B390" s="41">
        <v>45225</v>
      </c>
      <c r="C390" s="42">
        <v>45235</v>
      </c>
      <c r="D390" s="43">
        <f t="shared" si="48"/>
        <v>10</v>
      </c>
      <c r="E390" s="43" t="str">
        <f>TEXT(Data!B390,"MMM-YYYY")</f>
        <v>Oct-2023</v>
      </c>
      <c r="F390" s="43" t="str">
        <f t="shared" si="44"/>
        <v>Q4-2023</v>
      </c>
      <c r="G390" s="33" t="s">
        <v>16</v>
      </c>
      <c r="H390" s="33" t="s">
        <v>148</v>
      </c>
      <c r="I390" s="33" t="s">
        <v>258</v>
      </c>
      <c r="J390" s="33" t="s">
        <v>39</v>
      </c>
      <c r="K390" s="33" t="s">
        <v>28</v>
      </c>
      <c r="L390" s="33" t="s">
        <v>34</v>
      </c>
      <c r="M390" s="33" t="s">
        <v>57</v>
      </c>
      <c r="N390" s="33" t="s">
        <v>880</v>
      </c>
      <c r="O390" s="43">
        <v>20.38</v>
      </c>
      <c r="P390" s="44" t="str">
        <f t="shared" si="45"/>
        <v>Low</v>
      </c>
      <c r="Q390" s="43">
        <v>42.56</v>
      </c>
      <c r="R390" s="43">
        <v>7.1999999999999995E-2</v>
      </c>
      <c r="S390" s="43">
        <v>11</v>
      </c>
      <c r="T390" s="43">
        <f t="shared" si="42"/>
        <v>27736.667200000004</v>
      </c>
      <c r="U390" s="33">
        <f t="shared" si="43"/>
        <v>224.17999999999998</v>
      </c>
      <c r="V390" s="43">
        <f t="shared" si="46"/>
        <v>27512.487200000003</v>
      </c>
      <c r="W390" s="45">
        <f t="shared" si="47"/>
        <v>0.99191755814123195</v>
      </c>
    </row>
    <row r="391" spans="1:23" x14ac:dyDescent="0.3">
      <c r="A391" s="34" t="s">
        <v>881</v>
      </c>
      <c r="B391" s="35">
        <v>45823</v>
      </c>
      <c r="C391" s="36">
        <v>45838</v>
      </c>
      <c r="D391" s="37">
        <f t="shared" si="48"/>
        <v>15</v>
      </c>
      <c r="E391" s="37" t="str">
        <f>TEXT(Data!B391,"MMM-YYYY")</f>
        <v>Jun-2025</v>
      </c>
      <c r="F391" s="37" t="str">
        <f t="shared" si="44"/>
        <v>Q2-2025</v>
      </c>
      <c r="G391" s="32" t="s">
        <v>16</v>
      </c>
      <c r="H391" s="32" t="s">
        <v>148</v>
      </c>
      <c r="I391" s="32" t="s">
        <v>149</v>
      </c>
      <c r="J391" s="32" t="s">
        <v>62</v>
      </c>
      <c r="K391" s="32" t="s">
        <v>98</v>
      </c>
      <c r="L391" s="32" t="s">
        <v>21</v>
      </c>
      <c r="M391" s="32" t="s">
        <v>64</v>
      </c>
      <c r="N391" s="32" t="s">
        <v>882</v>
      </c>
      <c r="O391" s="37">
        <v>1487.59</v>
      </c>
      <c r="P391" s="38" t="str">
        <f t="shared" si="45"/>
        <v>High</v>
      </c>
      <c r="Q391" s="37">
        <v>1480.83</v>
      </c>
      <c r="R391" s="37">
        <v>8.9999999999999993E-3</v>
      </c>
      <c r="S391" s="37">
        <v>11</v>
      </c>
      <c r="T391" s="37">
        <f t="shared" si="42"/>
        <v>9830.4127899999985</v>
      </c>
      <c r="U391" s="32">
        <f t="shared" si="43"/>
        <v>16363.49</v>
      </c>
      <c r="V391" s="37">
        <f t="shared" si="46"/>
        <v>-6533.0772100000013</v>
      </c>
      <c r="W391" s="39">
        <f t="shared" si="47"/>
        <v>-0.66457811584939586</v>
      </c>
    </row>
    <row r="392" spans="1:23" x14ac:dyDescent="0.3">
      <c r="A392" s="40" t="s">
        <v>883</v>
      </c>
      <c r="B392" s="41">
        <v>45514</v>
      </c>
      <c r="C392" s="42">
        <v>45542</v>
      </c>
      <c r="D392" s="43">
        <f t="shared" si="48"/>
        <v>28</v>
      </c>
      <c r="E392" s="43" t="str">
        <f>TEXT(Data!B392,"MMM-YYYY")</f>
        <v>Aug-2024</v>
      </c>
      <c r="F392" s="43" t="str">
        <f t="shared" si="44"/>
        <v>Q3-2024</v>
      </c>
      <c r="G392" s="33" t="s">
        <v>78</v>
      </c>
      <c r="H392" s="33" t="s">
        <v>90</v>
      </c>
      <c r="I392" s="33" t="s">
        <v>91</v>
      </c>
      <c r="J392" s="33" t="s">
        <v>39</v>
      </c>
      <c r="K392" s="33" t="s">
        <v>98</v>
      </c>
      <c r="L392" s="33" t="s">
        <v>84</v>
      </c>
      <c r="M392" s="33" t="s">
        <v>30</v>
      </c>
      <c r="N392" s="33" t="s">
        <v>884</v>
      </c>
      <c r="O392" s="43">
        <v>229.96</v>
      </c>
      <c r="P392" s="44" t="str">
        <f t="shared" si="45"/>
        <v>High</v>
      </c>
      <c r="Q392" s="43">
        <v>564.26</v>
      </c>
      <c r="R392" s="43">
        <v>0.105</v>
      </c>
      <c r="S392" s="43">
        <v>5</v>
      </c>
      <c r="T392" s="43">
        <f t="shared" si="42"/>
        <v>3562.7712500000002</v>
      </c>
      <c r="U392" s="33">
        <f t="shared" si="43"/>
        <v>1149.8</v>
      </c>
      <c r="V392" s="43">
        <f t="shared" si="46"/>
        <v>2412.9712500000005</v>
      </c>
      <c r="W392" s="45">
        <f t="shared" si="47"/>
        <v>0.67727369530109471</v>
      </c>
    </row>
    <row r="393" spans="1:23" x14ac:dyDescent="0.3">
      <c r="A393" s="34" t="s">
        <v>885</v>
      </c>
      <c r="B393" s="35">
        <v>45208</v>
      </c>
      <c r="C393" s="36">
        <v>45225</v>
      </c>
      <c r="D393" s="37">
        <f t="shared" si="48"/>
        <v>17</v>
      </c>
      <c r="E393" s="37" t="str">
        <f>TEXT(Data!B393,"MMM-YYYY")</f>
        <v>Oct-2023</v>
      </c>
      <c r="F393" s="37" t="str">
        <f t="shared" si="44"/>
        <v>Q4-2023</v>
      </c>
      <c r="G393" s="32" t="s">
        <v>45</v>
      </c>
      <c r="H393" s="32" t="s">
        <v>116</v>
      </c>
      <c r="I393" s="32" t="s">
        <v>162</v>
      </c>
      <c r="J393" s="32" t="s">
        <v>48</v>
      </c>
      <c r="K393" s="32" t="s">
        <v>40</v>
      </c>
      <c r="L393" s="32" t="s">
        <v>21</v>
      </c>
      <c r="M393" s="32" t="s">
        <v>22</v>
      </c>
      <c r="N393" s="32" t="s">
        <v>886</v>
      </c>
      <c r="O393" s="37">
        <v>1132.03</v>
      </c>
      <c r="P393" s="38" t="str">
        <f t="shared" si="45"/>
        <v>High</v>
      </c>
      <c r="Q393" s="37">
        <v>2137.21</v>
      </c>
      <c r="R393" s="37">
        <v>0.35699999999999998</v>
      </c>
      <c r="S393" s="37">
        <v>35</v>
      </c>
      <c r="T393" s="37">
        <f t="shared" si="42"/>
        <v>3551.7390999999998</v>
      </c>
      <c r="U393" s="32">
        <f t="shared" si="43"/>
        <v>39621.049999999996</v>
      </c>
      <c r="V393" s="37">
        <f t="shared" si="46"/>
        <v>-36069.310899999997</v>
      </c>
      <c r="W393" s="39">
        <f t="shared" si="47"/>
        <v>-10.155394268683755</v>
      </c>
    </row>
    <row r="394" spans="1:23" x14ac:dyDescent="0.3">
      <c r="A394" s="40" t="s">
        <v>887</v>
      </c>
      <c r="B394" s="41">
        <v>45360</v>
      </c>
      <c r="C394" s="42">
        <v>45377</v>
      </c>
      <c r="D394" s="43">
        <f t="shared" si="48"/>
        <v>17</v>
      </c>
      <c r="E394" s="43" t="str">
        <f>TEXT(Data!B394,"MMM-YYYY")</f>
        <v>Mar-2024</v>
      </c>
      <c r="F394" s="43" t="str">
        <f t="shared" si="44"/>
        <v>Q1-2024</v>
      </c>
      <c r="G394" s="33" t="s">
        <v>52</v>
      </c>
      <c r="H394" s="33" t="s">
        <v>122</v>
      </c>
      <c r="I394" s="33" t="s">
        <v>167</v>
      </c>
      <c r="J394" s="33" t="s">
        <v>27</v>
      </c>
      <c r="K394" s="33" t="s">
        <v>98</v>
      </c>
      <c r="L394" s="33" t="s">
        <v>34</v>
      </c>
      <c r="M394" s="33" t="s">
        <v>42</v>
      </c>
      <c r="N394" s="33" t="s">
        <v>888</v>
      </c>
      <c r="O394" s="43">
        <v>1137.4100000000001</v>
      </c>
      <c r="P394" s="44" t="str">
        <f t="shared" si="45"/>
        <v>High</v>
      </c>
      <c r="Q394" s="43">
        <v>1680.93</v>
      </c>
      <c r="R394" s="43">
        <v>0.254</v>
      </c>
      <c r="S394" s="43">
        <v>9</v>
      </c>
      <c r="T394" s="43">
        <f t="shared" si="42"/>
        <v>5499.1688399999994</v>
      </c>
      <c r="U394" s="33">
        <f t="shared" si="43"/>
        <v>10236.69</v>
      </c>
      <c r="V394" s="43">
        <f t="shared" si="46"/>
        <v>-4737.5211600000011</v>
      </c>
      <c r="W394" s="45">
        <f t="shared" si="47"/>
        <v>-0.86149767316473258</v>
      </c>
    </row>
    <row r="395" spans="1:23" x14ac:dyDescent="0.3">
      <c r="A395" s="34" t="s">
        <v>889</v>
      </c>
      <c r="B395" s="35">
        <v>45075</v>
      </c>
      <c r="C395" s="36">
        <v>45097</v>
      </c>
      <c r="D395" s="37">
        <f t="shared" si="48"/>
        <v>22</v>
      </c>
      <c r="E395" s="37" t="str">
        <f>TEXT(Data!B395,"MMM-YYYY")</f>
        <v>May-2023</v>
      </c>
      <c r="F395" s="37" t="str">
        <f t="shared" si="44"/>
        <v>Q2-2023</v>
      </c>
      <c r="G395" s="32" t="s">
        <v>78</v>
      </c>
      <c r="H395" s="32" t="s">
        <v>108</v>
      </c>
      <c r="I395" s="32" t="s">
        <v>152</v>
      </c>
      <c r="J395" s="32" t="s">
        <v>62</v>
      </c>
      <c r="K395" s="32" t="s">
        <v>98</v>
      </c>
      <c r="L395" s="32" t="s">
        <v>95</v>
      </c>
      <c r="M395" s="32" t="s">
        <v>22</v>
      </c>
      <c r="N395" s="32" t="s">
        <v>890</v>
      </c>
      <c r="O395" s="37">
        <v>1295.3900000000001</v>
      </c>
      <c r="P395" s="38" t="str">
        <f t="shared" si="45"/>
        <v>High</v>
      </c>
      <c r="Q395" s="37">
        <v>2905.06</v>
      </c>
      <c r="R395" s="37">
        <v>0.14799999999999999</v>
      </c>
      <c r="S395" s="37">
        <v>8</v>
      </c>
      <c r="T395" s="37">
        <f t="shared" si="42"/>
        <v>11663.26656</v>
      </c>
      <c r="U395" s="32">
        <f t="shared" si="43"/>
        <v>10363.120000000001</v>
      </c>
      <c r="V395" s="37">
        <f t="shared" si="46"/>
        <v>1300.1465599999992</v>
      </c>
      <c r="W395" s="39">
        <f t="shared" si="47"/>
        <v>0.11147362133168971</v>
      </c>
    </row>
    <row r="396" spans="1:23" x14ac:dyDescent="0.3">
      <c r="A396" s="40" t="s">
        <v>891</v>
      </c>
      <c r="B396" s="41">
        <v>45804</v>
      </c>
      <c r="C396" s="42">
        <v>45816</v>
      </c>
      <c r="D396" s="43">
        <f t="shared" si="48"/>
        <v>12</v>
      </c>
      <c r="E396" s="43" t="str">
        <f>TEXT(Data!B396,"MMM-YYYY")</f>
        <v>May-2025</v>
      </c>
      <c r="F396" s="43" t="str">
        <f t="shared" si="44"/>
        <v>Q2-2025</v>
      </c>
      <c r="G396" s="33" t="s">
        <v>45</v>
      </c>
      <c r="H396" s="33" t="s">
        <v>46</v>
      </c>
      <c r="I396" s="33" t="s">
        <v>47</v>
      </c>
      <c r="J396" s="33" t="s">
        <v>19</v>
      </c>
      <c r="K396" s="33" t="s">
        <v>20</v>
      </c>
      <c r="L396" s="33" t="s">
        <v>92</v>
      </c>
      <c r="M396" s="33" t="s">
        <v>81</v>
      </c>
      <c r="N396" s="33" t="s">
        <v>892</v>
      </c>
      <c r="O396" s="43">
        <v>653.6</v>
      </c>
      <c r="P396" s="44" t="str">
        <f t="shared" si="45"/>
        <v>High</v>
      </c>
      <c r="Q396" s="43">
        <v>842.09</v>
      </c>
      <c r="R396" s="43">
        <v>9.8000000000000004E-2</v>
      </c>
      <c r="S396" s="43">
        <v>19</v>
      </c>
      <c r="T396" s="43">
        <f t="shared" si="42"/>
        <v>29072.046299999998</v>
      </c>
      <c r="U396" s="33">
        <f t="shared" si="43"/>
        <v>12418.4</v>
      </c>
      <c r="V396" s="43">
        <f t="shared" si="46"/>
        <v>16653.6463</v>
      </c>
      <c r="W396" s="45">
        <f t="shared" si="47"/>
        <v>0.5728405261930255</v>
      </c>
    </row>
    <row r="397" spans="1:23" x14ac:dyDescent="0.3">
      <c r="A397" s="34" t="s">
        <v>893</v>
      </c>
      <c r="B397" s="35">
        <v>45890</v>
      </c>
      <c r="C397" s="36">
        <v>45914</v>
      </c>
      <c r="D397" s="37">
        <f t="shared" si="48"/>
        <v>24</v>
      </c>
      <c r="E397" s="37" t="str">
        <f>TEXT(Data!B397,"MMM-YYYY")</f>
        <v>Aug-2025</v>
      </c>
      <c r="F397" s="37" t="str">
        <f t="shared" si="44"/>
        <v>Q3-2025</v>
      </c>
      <c r="G397" s="32" t="s">
        <v>78</v>
      </c>
      <c r="H397" s="32" t="s">
        <v>79</v>
      </c>
      <c r="I397" s="32" t="s">
        <v>80</v>
      </c>
      <c r="J397" s="32" t="s">
        <v>39</v>
      </c>
      <c r="K397" s="32" t="s">
        <v>28</v>
      </c>
      <c r="L397" s="32" t="s">
        <v>75</v>
      </c>
      <c r="M397" s="32" t="s">
        <v>64</v>
      </c>
      <c r="N397" s="32" t="s">
        <v>894</v>
      </c>
      <c r="O397" s="37">
        <v>1397.67</v>
      </c>
      <c r="P397" s="38" t="str">
        <f t="shared" si="45"/>
        <v>High</v>
      </c>
      <c r="Q397" s="37">
        <v>3131.37</v>
      </c>
      <c r="R397" s="37">
        <v>0.10299999999999999</v>
      </c>
      <c r="S397" s="37">
        <v>20</v>
      </c>
      <c r="T397" s="37">
        <f t="shared" si="42"/>
        <v>51745.059600000001</v>
      </c>
      <c r="U397" s="32">
        <f t="shared" si="43"/>
        <v>27953.4</v>
      </c>
      <c r="V397" s="37">
        <f t="shared" si="46"/>
        <v>23791.659599999999</v>
      </c>
      <c r="W397" s="39">
        <f t="shared" si="47"/>
        <v>0.45978610873993464</v>
      </c>
    </row>
    <row r="398" spans="1:23" x14ac:dyDescent="0.3">
      <c r="A398" s="40" t="s">
        <v>895</v>
      </c>
      <c r="B398" s="41">
        <v>45638</v>
      </c>
      <c r="C398" s="42">
        <v>45646</v>
      </c>
      <c r="D398" s="43">
        <f t="shared" si="48"/>
        <v>8</v>
      </c>
      <c r="E398" s="43" t="str">
        <f>TEXT(Data!B398,"MMM-YYYY")</f>
        <v>Dec-2024</v>
      </c>
      <c r="F398" s="43" t="str">
        <f t="shared" si="44"/>
        <v>Q4-2024</v>
      </c>
      <c r="G398" s="33" t="s">
        <v>45</v>
      </c>
      <c r="H398" s="33" t="s">
        <v>46</v>
      </c>
      <c r="I398" s="33" t="s">
        <v>214</v>
      </c>
      <c r="J398" s="33" t="s">
        <v>19</v>
      </c>
      <c r="K398" s="33" t="s">
        <v>20</v>
      </c>
      <c r="L398" s="33" t="s">
        <v>56</v>
      </c>
      <c r="M398" s="33" t="s">
        <v>57</v>
      </c>
      <c r="N398" s="33" t="s">
        <v>896</v>
      </c>
      <c r="O398" s="43">
        <v>1202.47</v>
      </c>
      <c r="P398" s="44" t="str">
        <f t="shared" si="45"/>
        <v>High</v>
      </c>
      <c r="Q398" s="43">
        <v>1444.72</v>
      </c>
      <c r="R398" s="43">
        <v>0.24099999999999999</v>
      </c>
      <c r="S398" s="43">
        <v>17</v>
      </c>
      <c r="T398" s="43">
        <f t="shared" si="42"/>
        <v>19144.697220000002</v>
      </c>
      <c r="U398" s="33">
        <f t="shared" si="43"/>
        <v>20441.990000000002</v>
      </c>
      <c r="V398" s="43">
        <f t="shared" si="46"/>
        <v>-1297.2927799999998</v>
      </c>
      <c r="W398" s="45">
        <f t="shared" si="47"/>
        <v>-6.7762512255599913E-2</v>
      </c>
    </row>
    <row r="399" spans="1:23" x14ac:dyDescent="0.3">
      <c r="A399" s="34" t="s">
        <v>897</v>
      </c>
      <c r="B399" s="35">
        <v>45914</v>
      </c>
      <c r="C399" s="36">
        <v>45923</v>
      </c>
      <c r="D399" s="37">
        <f t="shared" si="48"/>
        <v>9</v>
      </c>
      <c r="E399" s="37" t="str">
        <f>TEXT(Data!B399,"MMM-YYYY")</f>
        <v>Sep-2025</v>
      </c>
      <c r="F399" s="37" t="str">
        <f t="shared" si="44"/>
        <v>Q3-2025</v>
      </c>
      <c r="G399" s="32" t="s">
        <v>16</v>
      </c>
      <c r="H399" s="32" t="s">
        <v>148</v>
      </c>
      <c r="I399" s="32" t="s">
        <v>172</v>
      </c>
      <c r="J399" s="32" t="s">
        <v>39</v>
      </c>
      <c r="K399" s="32" t="s">
        <v>28</v>
      </c>
      <c r="L399" s="32" t="s">
        <v>145</v>
      </c>
      <c r="M399" s="32" t="s">
        <v>22</v>
      </c>
      <c r="N399" s="32" t="s">
        <v>898</v>
      </c>
      <c r="O399" s="37">
        <v>1310.3</v>
      </c>
      <c r="P399" s="38" t="str">
        <f t="shared" si="45"/>
        <v>High</v>
      </c>
      <c r="Q399" s="37">
        <v>2875.8</v>
      </c>
      <c r="R399" s="37">
        <v>8.3000000000000004E-2</v>
      </c>
      <c r="S399" s="37">
        <v>5</v>
      </c>
      <c r="T399" s="37">
        <f t="shared" si="42"/>
        <v>14660.399949999999</v>
      </c>
      <c r="U399" s="32">
        <f t="shared" si="43"/>
        <v>6551.5</v>
      </c>
      <c r="V399" s="37">
        <f t="shared" si="46"/>
        <v>8108.8999499999991</v>
      </c>
      <c r="W399" s="39">
        <f t="shared" si="47"/>
        <v>0.55311587525959682</v>
      </c>
    </row>
    <row r="400" spans="1:23" x14ac:dyDescent="0.3">
      <c r="A400" s="40" t="s">
        <v>899</v>
      </c>
      <c r="B400" s="41">
        <v>45541</v>
      </c>
      <c r="C400" s="42">
        <v>45569</v>
      </c>
      <c r="D400" s="43">
        <f t="shared" si="48"/>
        <v>28</v>
      </c>
      <c r="E400" s="43" t="str">
        <f>TEXT(Data!B400,"MMM-YYYY")</f>
        <v>Sep-2024</v>
      </c>
      <c r="F400" s="43" t="str">
        <f t="shared" si="44"/>
        <v>Q3-2024</v>
      </c>
      <c r="G400" s="33" t="s">
        <v>16</v>
      </c>
      <c r="H400" s="33" t="s">
        <v>148</v>
      </c>
      <c r="I400" s="33" t="s">
        <v>258</v>
      </c>
      <c r="J400" s="33" t="s">
        <v>19</v>
      </c>
      <c r="K400" s="33" t="s">
        <v>40</v>
      </c>
      <c r="L400" s="33" t="s">
        <v>145</v>
      </c>
      <c r="M400" s="33" t="s">
        <v>64</v>
      </c>
      <c r="N400" s="33" t="s">
        <v>900</v>
      </c>
      <c r="O400" s="43">
        <v>1174.17</v>
      </c>
      <c r="P400" s="44" t="str">
        <f t="shared" si="45"/>
        <v>High</v>
      </c>
      <c r="Q400" s="43">
        <v>1641.61</v>
      </c>
      <c r="R400" s="43">
        <v>0.122</v>
      </c>
      <c r="S400" s="43">
        <v>9</v>
      </c>
      <c r="T400" s="43">
        <f t="shared" si="42"/>
        <v>18353.975399999999</v>
      </c>
      <c r="U400" s="33">
        <f t="shared" si="43"/>
        <v>10567.53</v>
      </c>
      <c r="V400" s="43">
        <f t="shared" si="46"/>
        <v>7786.4453999999987</v>
      </c>
      <c r="W400" s="45">
        <f t="shared" si="47"/>
        <v>0.42423754147561943</v>
      </c>
    </row>
    <row r="401" spans="1:23" x14ac:dyDescent="0.3">
      <c r="A401" s="34" t="s">
        <v>901</v>
      </c>
      <c r="B401" s="35">
        <v>45759</v>
      </c>
      <c r="C401" s="36">
        <v>45777</v>
      </c>
      <c r="D401" s="37">
        <f t="shared" si="48"/>
        <v>18</v>
      </c>
      <c r="E401" s="37" t="str">
        <f>TEXT(Data!B401,"MMM-YYYY")</f>
        <v>Apr-2025</v>
      </c>
      <c r="F401" s="37" t="str">
        <f t="shared" si="44"/>
        <v>Q2-2025</v>
      </c>
      <c r="G401" s="32" t="s">
        <v>16</v>
      </c>
      <c r="H401" s="32" t="s">
        <v>17</v>
      </c>
      <c r="I401" s="32" t="s">
        <v>18</v>
      </c>
      <c r="J401" s="32" t="s">
        <v>19</v>
      </c>
      <c r="K401" s="32" t="s">
        <v>40</v>
      </c>
      <c r="L401" s="32" t="s">
        <v>84</v>
      </c>
      <c r="M401" s="32" t="s">
        <v>35</v>
      </c>
      <c r="N401" s="32" t="s">
        <v>902</v>
      </c>
      <c r="O401" s="37">
        <v>1119.04</v>
      </c>
      <c r="P401" s="38" t="str">
        <f t="shared" si="45"/>
        <v>High</v>
      </c>
      <c r="Q401" s="37">
        <v>1299.02</v>
      </c>
      <c r="R401" s="37">
        <v>2.5000000000000001E-2</v>
      </c>
      <c r="S401" s="37">
        <v>14</v>
      </c>
      <c r="T401" s="37">
        <f t="shared" si="42"/>
        <v>26377.532999999999</v>
      </c>
      <c r="U401" s="32">
        <f t="shared" si="43"/>
        <v>15666.56</v>
      </c>
      <c r="V401" s="37">
        <f t="shared" si="46"/>
        <v>10710.973</v>
      </c>
      <c r="W401" s="39">
        <f t="shared" si="47"/>
        <v>0.40606424414292269</v>
      </c>
    </row>
    <row r="402" spans="1:23" x14ac:dyDescent="0.3">
      <c r="A402" s="40" t="s">
        <v>903</v>
      </c>
      <c r="B402" s="41">
        <v>45516</v>
      </c>
      <c r="C402" s="42">
        <v>45519</v>
      </c>
      <c r="D402" s="43">
        <f t="shared" si="48"/>
        <v>3</v>
      </c>
      <c r="E402" s="43" t="str">
        <f>TEXT(Data!B402,"MMM-YYYY")</f>
        <v>Aug-2024</v>
      </c>
      <c r="F402" s="43" t="str">
        <f t="shared" si="44"/>
        <v>Q3-2024</v>
      </c>
      <c r="G402" s="33" t="s">
        <v>52</v>
      </c>
      <c r="H402" s="33" t="s">
        <v>122</v>
      </c>
      <c r="I402" s="33" t="s">
        <v>123</v>
      </c>
      <c r="J402" s="33" t="s">
        <v>19</v>
      </c>
      <c r="K402" s="33" t="s">
        <v>40</v>
      </c>
      <c r="L402" s="33" t="s">
        <v>145</v>
      </c>
      <c r="M402" s="33" t="s">
        <v>30</v>
      </c>
      <c r="N402" s="33" t="s">
        <v>904</v>
      </c>
      <c r="O402" s="43">
        <v>850.7</v>
      </c>
      <c r="P402" s="44" t="str">
        <f t="shared" si="45"/>
        <v>High</v>
      </c>
      <c r="Q402" s="43">
        <v>1118.56</v>
      </c>
      <c r="R402" s="43">
        <v>0.18</v>
      </c>
      <c r="S402" s="43">
        <v>19</v>
      </c>
      <c r="T402" s="43">
        <f t="shared" si="42"/>
        <v>24777.808799999999</v>
      </c>
      <c r="U402" s="33">
        <f t="shared" si="43"/>
        <v>16163.300000000001</v>
      </c>
      <c r="V402" s="43">
        <f t="shared" si="46"/>
        <v>8614.5087999999978</v>
      </c>
      <c r="W402" s="45">
        <f t="shared" si="47"/>
        <v>0.34767032345491333</v>
      </c>
    </row>
    <row r="403" spans="1:23" x14ac:dyDescent="0.3">
      <c r="A403" s="34" t="s">
        <v>905</v>
      </c>
      <c r="B403" s="35">
        <v>45601</v>
      </c>
      <c r="C403" s="36">
        <v>45604</v>
      </c>
      <c r="D403" s="37">
        <f t="shared" si="48"/>
        <v>3</v>
      </c>
      <c r="E403" s="37" t="str">
        <f>TEXT(Data!B403,"MMM-YYYY")</f>
        <v>Nov-2024</v>
      </c>
      <c r="F403" s="37" t="str">
        <f t="shared" si="44"/>
        <v>Q4-2024</v>
      </c>
      <c r="G403" s="32" t="s">
        <v>52</v>
      </c>
      <c r="H403" s="32" t="s">
        <v>53</v>
      </c>
      <c r="I403" s="32" t="s">
        <v>54</v>
      </c>
      <c r="J403" s="32" t="s">
        <v>27</v>
      </c>
      <c r="K403" s="32" t="s">
        <v>40</v>
      </c>
      <c r="L403" s="32" t="s">
        <v>68</v>
      </c>
      <c r="M403" s="32" t="s">
        <v>22</v>
      </c>
      <c r="N403" s="32" t="s">
        <v>906</v>
      </c>
      <c r="O403" s="37">
        <v>1020.4</v>
      </c>
      <c r="P403" s="38" t="str">
        <f t="shared" si="45"/>
        <v>High</v>
      </c>
      <c r="Q403" s="37">
        <v>1184.71</v>
      </c>
      <c r="R403" s="37">
        <v>0.106</v>
      </c>
      <c r="S403" s="37">
        <v>16</v>
      </c>
      <c r="T403" s="37">
        <f t="shared" si="42"/>
        <v>5658.8054400000001</v>
      </c>
      <c r="U403" s="32">
        <f t="shared" si="43"/>
        <v>16326.4</v>
      </c>
      <c r="V403" s="37">
        <f t="shared" si="46"/>
        <v>-10667.59456</v>
      </c>
      <c r="W403" s="39">
        <f t="shared" si="47"/>
        <v>-1.8851318839475772</v>
      </c>
    </row>
    <row r="404" spans="1:23" x14ac:dyDescent="0.3">
      <c r="A404" s="40" t="s">
        <v>907</v>
      </c>
      <c r="B404" s="41">
        <v>45497</v>
      </c>
      <c r="C404" s="42">
        <v>45512</v>
      </c>
      <c r="D404" s="43">
        <f t="shared" si="48"/>
        <v>15</v>
      </c>
      <c r="E404" s="43" t="str">
        <f>TEXT(Data!B404,"MMM-YYYY")</f>
        <v>Jul-2024</v>
      </c>
      <c r="F404" s="43" t="str">
        <f t="shared" si="44"/>
        <v>Q3-2024</v>
      </c>
      <c r="G404" s="33" t="s">
        <v>78</v>
      </c>
      <c r="H404" s="33" t="s">
        <v>90</v>
      </c>
      <c r="I404" s="33" t="s">
        <v>91</v>
      </c>
      <c r="J404" s="33" t="s">
        <v>105</v>
      </c>
      <c r="K404" s="33" t="s">
        <v>40</v>
      </c>
      <c r="L404" s="33" t="s">
        <v>92</v>
      </c>
      <c r="M404" s="33" t="s">
        <v>57</v>
      </c>
      <c r="N404" s="33" t="s">
        <v>908</v>
      </c>
      <c r="O404" s="43">
        <v>501.5</v>
      </c>
      <c r="P404" s="44" t="str">
        <f t="shared" si="45"/>
        <v>High</v>
      </c>
      <c r="Q404" s="43">
        <v>1201.47</v>
      </c>
      <c r="R404" s="43">
        <v>0.126</v>
      </c>
      <c r="S404" s="43">
        <v>5</v>
      </c>
      <c r="T404" s="43">
        <f t="shared" si="42"/>
        <v>9079.5053000000007</v>
      </c>
      <c r="U404" s="33">
        <f t="shared" si="43"/>
        <v>2507.5</v>
      </c>
      <c r="V404" s="43">
        <f t="shared" si="46"/>
        <v>6572.0053000000007</v>
      </c>
      <c r="W404" s="45">
        <f t="shared" si="47"/>
        <v>0.72382856585809807</v>
      </c>
    </row>
    <row r="405" spans="1:23" x14ac:dyDescent="0.3">
      <c r="A405" s="34" t="s">
        <v>909</v>
      </c>
      <c r="B405" s="35">
        <v>45677</v>
      </c>
      <c r="C405" s="36">
        <v>45691</v>
      </c>
      <c r="D405" s="37">
        <f t="shared" si="48"/>
        <v>14</v>
      </c>
      <c r="E405" s="37" t="str">
        <f>TEXT(Data!B405,"MMM-YYYY")</f>
        <v>Jan-2025</v>
      </c>
      <c r="F405" s="37" t="str">
        <f t="shared" si="44"/>
        <v>Q1-2025</v>
      </c>
      <c r="G405" s="32" t="s">
        <v>52</v>
      </c>
      <c r="H405" s="32" t="s">
        <v>73</v>
      </c>
      <c r="I405" s="32" t="s">
        <v>87</v>
      </c>
      <c r="J405" s="32" t="s">
        <v>105</v>
      </c>
      <c r="K405" s="32" t="s">
        <v>40</v>
      </c>
      <c r="L405" s="32" t="s">
        <v>84</v>
      </c>
      <c r="M405" s="32" t="s">
        <v>22</v>
      </c>
      <c r="N405" s="32" t="s">
        <v>910</v>
      </c>
      <c r="O405" s="37">
        <v>974.11</v>
      </c>
      <c r="P405" s="38" t="str">
        <f t="shared" si="45"/>
        <v>High</v>
      </c>
      <c r="Q405" s="37">
        <v>880.99</v>
      </c>
      <c r="R405" s="37">
        <v>0.111</v>
      </c>
      <c r="S405" s="37">
        <v>10</v>
      </c>
      <c r="T405" s="37">
        <f t="shared" si="42"/>
        <v>11831.2565</v>
      </c>
      <c r="U405" s="32">
        <f t="shared" si="43"/>
        <v>9741.1</v>
      </c>
      <c r="V405" s="37">
        <f t="shared" si="46"/>
        <v>2090.1564999999991</v>
      </c>
      <c r="W405" s="39">
        <f t="shared" si="47"/>
        <v>0.17666394942920891</v>
      </c>
    </row>
    <row r="406" spans="1:23" x14ac:dyDescent="0.3">
      <c r="A406" s="40" t="s">
        <v>911</v>
      </c>
      <c r="B406" s="41">
        <v>44991</v>
      </c>
      <c r="C406" s="42">
        <v>45020</v>
      </c>
      <c r="D406" s="43">
        <f t="shared" si="48"/>
        <v>29</v>
      </c>
      <c r="E406" s="43" t="str">
        <f>TEXT(Data!B406,"MMM-YYYY")</f>
        <v>Mar-2023</v>
      </c>
      <c r="F406" s="43" t="str">
        <f t="shared" si="44"/>
        <v>Q1-2023</v>
      </c>
      <c r="G406" s="33" t="s">
        <v>45</v>
      </c>
      <c r="H406" s="33" t="s">
        <v>116</v>
      </c>
      <c r="I406" s="33" t="s">
        <v>338</v>
      </c>
      <c r="J406" s="33" t="s">
        <v>62</v>
      </c>
      <c r="K406" s="33" t="s">
        <v>98</v>
      </c>
      <c r="L406" s="33" t="s">
        <v>21</v>
      </c>
      <c r="M406" s="33" t="s">
        <v>64</v>
      </c>
      <c r="N406" s="33" t="s">
        <v>912</v>
      </c>
      <c r="O406" s="43">
        <v>1126.29</v>
      </c>
      <c r="P406" s="44" t="str">
        <f t="shared" si="45"/>
        <v>High</v>
      </c>
      <c r="Q406" s="43">
        <v>2050.87</v>
      </c>
      <c r="R406" s="43">
        <v>6.4000000000000001E-2</v>
      </c>
      <c r="S406" s="43">
        <v>7</v>
      </c>
      <c r="T406" s="43">
        <f t="shared" si="42"/>
        <v>18113.986799999999</v>
      </c>
      <c r="U406" s="33">
        <f t="shared" si="43"/>
        <v>7884.03</v>
      </c>
      <c r="V406" s="43">
        <f t="shared" si="46"/>
        <v>10229.9568</v>
      </c>
      <c r="W406" s="45">
        <f t="shared" si="47"/>
        <v>0.56475456855251771</v>
      </c>
    </row>
    <row r="407" spans="1:23" x14ac:dyDescent="0.3">
      <c r="A407" s="34" t="s">
        <v>913</v>
      </c>
      <c r="B407" s="35">
        <v>45646</v>
      </c>
      <c r="C407" s="36">
        <v>45671</v>
      </c>
      <c r="D407" s="37">
        <f t="shared" si="48"/>
        <v>25</v>
      </c>
      <c r="E407" s="37" t="str">
        <f>TEXT(Data!B407,"MMM-YYYY")</f>
        <v>Dec-2024</v>
      </c>
      <c r="F407" s="37" t="str">
        <f t="shared" si="44"/>
        <v>Q4-2024</v>
      </c>
      <c r="G407" s="32" t="s">
        <v>45</v>
      </c>
      <c r="H407" s="32" t="s">
        <v>60</v>
      </c>
      <c r="I407" s="32" t="s">
        <v>141</v>
      </c>
      <c r="J407" s="32" t="s">
        <v>62</v>
      </c>
      <c r="K407" s="32" t="s">
        <v>20</v>
      </c>
      <c r="L407" s="32" t="s">
        <v>110</v>
      </c>
      <c r="M407" s="32" t="s">
        <v>30</v>
      </c>
      <c r="N407" s="32" t="s">
        <v>914</v>
      </c>
      <c r="O407" s="37">
        <v>1361.34</v>
      </c>
      <c r="P407" s="38" t="str">
        <f t="shared" si="45"/>
        <v>High</v>
      </c>
      <c r="Q407" s="37">
        <v>1737.9</v>
      </c>
      <c r="R407" s="37">
        <v>7.6999999999999999E-2</v>
      </c>
      <c r="S407" s="37">
        <v>14</v>
      </c>
      <c r="T407" s="37">
        <f t="shared" si="42"/>
        <v>3596.8387000000007</v>
      </c>
      <c r="U407" s="32">
        <f t="shared" si="43"/>
        <v>19058.759999999998</v>
      </c>
      <c r="V407" s="37">
        <f t="shared" si="46"/>
        <v>-15461.921299999998</v>
      </c>
      <c r="W407" s="39">
        <f t="shared" si="47"/>
        <v>-4.2987530411080135</v>
      </c>
    </row>
    <row r="408" spans="1:23" x14ac:dyDescent="0.3">
      <c r="A408" s="40" t="s">
        <v>915</v>
      </c>
      <c r="B408" s="41">
        <v>45709</v>
      </c>
      <c r="C408" s="42">
        <v>45737</v>
      </c>
      <c r="D408" s="43">
        <f t="shared" si="48"/>
        <v>0</v>
      </c>
      <c r="E408" s="43" t="str">
        <f>TEXT(Data!B408,"MMM-YYYY")</f>
        <v>Feb-2025</v>
      </c>
      <c r="F408" s="43" t="str">
        <f t="shared" si="44"/>
        <v>Q1-2025</v>
      </c>
      <c r="G408" s="33" t="s">
        <v>16</v>
      </c>
      <c r="H408" s="33" t="s">
        <v>25</v>
      </c>
      <c r="I408" s="33" t="s">
        <v>67</v>
      </c>
      <c r="J408" s="33" t="s">
        <v>105</v>
      </c>
      <c r="K408" s="33" t="s">
        <v>40</v>
      </c>
      <c r="L408" s="33" t="s">
        <v>34</v>
      </c>
      <c r="M408" s="33" t="s">
        <v>42</v>
      </c>
      <c r="N408" s="33" t="s">
        <v>916</v>
      </c>
      <c r="O408" s="43">
        <v>1437.39</v>
      </c>
      <c r="P408" s="44" t="str">
        <f t="shared" si="45"/>
        <v>High</v>
      </c>
      <c r="Q408" s="43">
        <v>1388.31</v>
      </c>
      <c r="R408" s="43">
        <v>0.13800000000000001</v>
      </c>
      <c r="S408" s="43">
        <v>18</v>
      </c>
      <c r="T408" s="43">
        <f t="shared" si="42"/>
        <v>15273.329759999999</v>
      </c>
      <c r="U408" s="33">
        <f t="shared" si="43"/>
        <v>25873.02</v>
      </c>
      <c r="V408" s="43">
        <f t="shared" si="46"/>
        <v>-10599.690240000002</v>
      </c>
      <c r="W408" s="45">
        <f t="shared" si="47"/>
        <v>-0.69399995983587026</v>
      </c>
    </row>
    <row r="409" spans="1:23" x14ac:dyDescent="0.3">
      <c r="A409" s="34" t="s">
        <v>917</v>
      </c>
      <c r="B409" s="35">
        <v>45724</v>
      </c>
      <c r="C409" s="36">
        <v>45731</v>
      </c>
      <c r="D409" s="37">
        <f t="shared" si="48"/>
        <v>7</v>
      </c>
      <c r="E409" s="37" t="str">
        <f>TEXT(Data!B409,"MMM-YYYY")</f>
        <v>Mar-2025</v>
      </c>
      <c r="F409" s="37" t="str">
        <f t="shared" si="44"/>
        <v>Q1-2025</v>
      </c>
      <c r="G409" s="32" t="s">
        <v>45</v>
      </c>
      <c r="H409" s="32" t="s">
        <v>60</v>
      </c>
      <c r="I409" s="32" t="s">
        <v>61</v>
      </c>
      <c r="J409" s="32" t="s">
        <v>19</v>
      </c>
      <c r="K409" s="32" t="s">
        <v>55</v>
      </c>
      <c r="L409" s="32" t="s">
        <v>95</v>
      </c>
      <c r="M409" s="32" t="s">
        <v>57</v>
      </c>
      <c r="N409" s="32" t="s">
        <v>918</v>
      </c>
      <c r="O409" s="37">
        <v>475.66</v>
      </c>
      <c r="P409" s="38" t="str">
        <f t="shared" si="45"/>
        <v>High</v>
      </c>
      <c r="Q409" s="37">
        <v>529.14</v>
      </c>
      <c r="R409" s="37">
        <v>0.19600000000000001</v>
      </c>
      <c r="S409" s="37">
        <v>11</v>
      </c>
      <c r="T409" s="37">
        <f t="shared" si="42"/>
        <v>1687.7889600000003</v>
      </c>
      <c r="U409" s="32">
        <f t="shared" si="43"/>
        <v>5232.26</v>
      </c>
      <c r="V409" s="37">
        <f t="shared" si="46"/>
        <v>-3544.4710399999999</v>
      </c>
      <c r="W409" s="39">
        <f t="shared" si="47"/>
        <v>-2.1000676767076372</v>
      </c>
    </row>
    <row r="410" spans="1:23" x14ac:dyDescent="0.3">
      <c r="A410" s="40" t="s">
        <v>919</v>
      </c>
      <c r="B410" s="41">
        <v>45276</v>
      </c>
      <c r="C410" s="42">
        <v>45279</v>
      </c>
      <c r="D410" s="43">
        <f t="shared" si="48"/>
        <v>3</v>
      </c>
      <c r="E410" s="43" t="str">
        <f>TEXT(Data!B410,"MMM-YYYY")</f>
        <v>Dec-2023</v>
      </c>
      <c r="F410" s="43" t="str">
        <f t="shared" si="44"/>
        <v>Q4-2023</v>
      </c>
      <c r="G410" s="33" t="s">
        <v>45</v>
      </c>
      <c r="H410" s="33" t="s">
        <v>116</v>
      </c>
      <c r="I410" s="33" t="s">
        <v>338</v>
      </c>
      <c r="J410" s="33" t="s">
        <v>27</v>
      </c>
      <c r="K410" s="33" t="s">
        <v>20</v>
      </c>
      <c r="L410" s="33" t="s">
        <v>75</v>
      </c>
      <c r="M410" s="33" t="s">
        <v>81</v>
      </c>
      <c r="N410" s="33" t="s">
        <v>920</v>
      </c>
      <c r="O410" s="43">
        <v>1415.05</v>
      </c>
      <c r="P410" s="44" t="str">
        <f t="shared" si="45"/>
        <v>High</v>
      </c>
      <c r="Q410" s="43">
        <v>1972.38</v>
      </c>
      <c r="R410" s="43">
        <v>0</v>
      </c>
      <c r="S410" s="43">
        <v>12</v>
      </c>
      <c r="T410" s="43">
        <f t="shared" si="42"/>
        <v>10899.599999999999</v>
      </c>
      <c r="U410" s="33">
        <f t="shared" si="43"/>
        <v>16980.599999999999</v>
      </c>
      <c r="V410" s="43">
        <f t="shared" si="46"/>
        <v>-6081</v>
      </c>
      <c r="W410" s="45">
        <f t="shared" si="47"/>
        <v>-0.5579103820323682</v>
      </c>
    </row>
    <row r="411" spans="1:23" x14ac:dyDescent="0.3">
      <c r="A411" s="34" t="s">
        <v>921</v>
      </c>
      <c r="B411" s="35">
        <v>45534</v>
      </c>
      <c r="C411" s="36">
        <v>45540</v>
      </c>
      <c r="D411" s="37">
        <f t="shared" si="48"/>
        <v>6</v>
      </c>
      <c r="E411" s="37" t="str">
        <f>TEXT(Data!B411,"MMM-YYYY")</f>
        <v>Aug-2024</v>
      </c>
      <c r="F411" s="37" t="str">
        <f t="shared" si="44"/>
        <v>Q3-2024</v>
      </c>
      <c r="G411" s="32" t="s">
        <v>45</v>
      </c>
      <c r="H411" s="32" t="s">
        <v>46</v>
      </c>
      <c r="I411" s="32" t="s">
        <v>231</v>
      </c>
      <c r="J411" s="32" t="s">
        <v>27</v>
      </c>
      <c r="K411" s="32" t="s">
        <v>28</v>
      </c>
      <c r="L411" s="32" t="s">
        <v>126</v>
      </c>
      <c r="M411" s="32" t="s">
        <v>57</v>
      </c>
      <c r="N411" s="32" t="s">
        <v>922</v>
      </c>
      <c r="O411" s="37">
        <v>466.16</v>
      </c>
      <c r="P411" s="38" t="str">
        <f t="shared" si="45"/>
        <v>High</v>
      </c>
      <c r="Q411" s="37">
        <v>876.81</v>
      </c>
      <c r="R411" s="37">
        <v>0.24099999999999999</v>
      </c>
      <c r="S411" s="37">
        <v>8</v>
      </c>
      <c r="T411" s="37">
        <f t="shared" si="42"/>
        <v>1725.8445600000002</v>
      </c>
      <c r="U411" s="32">
        <f t="shared" si="43"/>
        <v>3729.28</v>
      </c>
      <c r="V411" s="37">
        <f t="shared" si="46"/>
        <v>-2003.43544</v>
      </c>
      <c r="W411" s="39">
        <f t="shared" si="47"/>
        <v>-1.1608435002976165</v>
      </c>
    </row>
    <row r="412" spans="1:23" x14ac:dyDescent="0.3">
      <c r="A412" s="40" t="s">
        <v>923</v>
      </c>
      <c r="B412" s="41">
        <v>45430</v>
      </c>
      <c r="C412" s="42">
        <v>45433</v>
      </c>
      <c r="D412" s="43">
        <f t="shared" si="48"/>
        <v>3</v>
      </c>
      <c r="E412" s="43" t="str">
        <f>TEXT(Data!B412,"MMM-YYYY")</f>
        <v>May-2024</v>
      </c>
      <c r="F412" s="43" t="str">
        <f t="shared" si="44"/>
        <v>Q2-2024</v>
      </c>
      <c r="G412" s="33" t="s">
        <v>78</v>
      </c>
      <c r="H412" s="33" t="s">
        <v>90</v>
      </c>
      <c r="I412" s="33" t="s">
        <v>91</v>
      </c>
      <c r="J412" s="33" t="s">
        <v>39</v>
      </c>
      <c r="K412" s="33" t="s">
        <v>40</v>
      </c>
      <c r="L412" s="33" t="s">
        <v>145</v>
      </c>
      <c r="M412" s="33" t="s">
        <v>30</v>
      </c>
      <c r="N412" s="33" t="s">
        <v>924</v>
      </c>
      <c r="O412" s="43">
        <v>663.66</v>
      </c>
      <c r="P412" s="44" t="str">
        <f t="shared" si="45"/>
        <v>High</v>
      </c>
      <c r="Q412" s="43">
        <v>824.26</v>
      </c>
      <c r="R412" s="43">
        <v>0.23899999999999999</v>
      </c>
      <c r="S412" s="43">
        <v>11</v>
      </c>
      <c r="T412" s="43">
        <f t="shared" si="42"/>
        <v>10290.80514</v>
      </c>
      <c r="U412" s="33">
        <f t="shared" si="43"/>
        <v>7300.2599999999993</v>
      </c>
      <c r="V412" s="43">
        <f t="shared" si="46"/>
        <v>2990.5451400000011</v>
      </c>
      <c r="W412" s="45">
        <f t="shared" si="47"/>
        <v>0.29060361160429093</v>
      </c>
    </row>
    <row r="413" spans="1:23" x14ac:dyDescent="0.3">
      <c r="A413" s="34" t="s">
        <v>925</v>
      </c>
      <c r="B413" s="35">
        <v>45002</v>
      </c>
      <c r="C413" s="36">
        <v>45022</v>
      </c>
      <c r="D413" s="37">
        <f t="shared" si="48"/>
        <v>20</v>
      </c>
      <c r="E413" s="37" t="str">
        <f>TEXT(Data!B413,"MMM-YYYY")</f>
        <v>Mar-2023</v>
      </c>
      <c r="F413" s="37" t="str">
        <f t="shared" si="44"/>
        <v>Q1-2023</v>
      </c>
      <c r="G413" s="32" t="s">
        <v>78</v>
      </c>
      <c r="H413" s="32" t="s">
        <v>79</v>
      </c>
      <c r="I413" s="32" t="s">
        <v>159</v>
      </c>
      <c r="J413" s="32" t="s">
        <v>48</v>
      </c>
      <c r="K413" s="32" t="s">
        <v>20</v>
      </c>
      <c r="L413" s="32" t="s">
        <v>68</v>
      </c>
      <c r="M413" s="32" t="s">
        <v>42</v>
      </c>
      <c r="N413" s="32" t="s">
        <v>926</v>
      </c>
      <c r="O413" s="37">
        <v>692.18</v>
      </c>
      <c r="P413" s="38" t="str">
        <f t="shared" si="45"/>
        <v>High</v>
      </c>
      <c r="Q413" s="37">
        <v>1159.3499999999999</v>
      </c>
      <c r="R413" s="37">
        <v>0.112</v>
      </c>
      <c r="S413" s="37">
        <v>2</v>
      </c>
      <c r="T413" s="37">
        <f t="shared" si="42"/>
        <v>2175.1027199999999</v>
      </c>
      <c r="U413" s="32">
        <f t="shared" si="43"/>
        <v>1384.36</v>
      </c>
      <c r="V413" s="37">
        <f t="shared" si="46"/>
        <v>790.74271999999996</v>
      </c>
      <c r="W413" s="39">
        <f t="shared" si="47"/>
        <v>0.36354270202006828</v>
      </c>
    </row>
    <row r="414" spans="1:23" x14ac:dyDescent="0.3">
      <c r="A414" s="40" t="s">
        <v>927</v>
      </c>
      <c r="B414" s="41">
        <v>45163</v>
      </c>
      <c r="C414" s="42">
        <v>45185</v>
      </c>
      <c r="D414" s="43">
        <f t="shared" si="48"/>
        <v>22</v>
      </c>
      <c r="E414" s="43" t="str">
        <f>TEXT(Data!B414,"MMM-YYYY")</f>
        <v>Aug-2023</v>
      </c>
      <c r="F414" s="43" t="str">
        <f t="shared" si="44"/>
        <v>Q3-2023</v>
      </c>
      <c r="G414" s="33" t="s">
        <v>16</v>
      </c>
      <c r="H414" s="33" t="s">
        <v>25</v>
      </c>
      <c r="I414" s="33" t="s">
        <v>67</v>
      </c>
      <c r="J414" s="33" t="s">
        <v>19</v>
      </c>
      <c r="K414" s="33" t="s">
        <v>40</v>
      </c>
      <c r="L414" s="33" t="s">
        <v>49</v>
      </c>
      <c r="M414" s="33" t="s">
        <v>42</v>
      </c>
      <c r="N414" s="33" t="s">
        <v>928</v>
      </c>
      <c r="O414" s="43">
        <v>1196.83</v>
      </c>
      <c r="P414" s="44" t="str">
        <f t="shared" si="45"/>
        <v>High</v>
      </c>
      <c r="Q414" s="43">
        <v>2513.5100000000002</v>
      </c>
      <c r="R414" s="43">
        <v>8.3000000000000004E-2</v>
      </c>
      <c r="S414" s="43">
        <v>7</v>
      </c>
      <c r="T414" s="43">
        <f t="shared" si="42"/>
        <v>3118.7353400000002</v>
      </c>
      <c r="U414" s="33">
        <f t="shared" si="43"/>
        <v>8377.81</v>
      </c>
      <c r="V414" s="43">
        <f t="shared" si="46"/>
        <v>-5259.0746599999993</v>
      </c>
      <c r="W414" s="45">
        <f t="shared" si="47"/>
        <v>-1.6862843706385162</v>
      </c>
    </row>
    <row r="415" spans="1:23" x14ac:dyDescent="0.3">
      <c r="A415" s="34" t="s">
        <v>929</v>
      </c>
      <c r="B415" s="35">
        <v>45449</v>
      </c>
      <c r="C415" s="36">
        <v>45467</v>
      </c>
      <c r="D415" s="37">
        <f t="shared" si="48"/>
        <v>18</v>
      </c>
      <c r="E415" s="37" t="str">
        <f>TEXT(Data!B415,"MMM-YYYY")</f>
        <v>Jun-2024</v>
      </c>
      <c r="F415" s="37" t="str">
        <f t="shared" si="44"/>
        <v>Q2-2024</v>
      </c>
      <c r="G415" s="32" t="s">
        <v>45</v>
      </c>
      <c r="H415" s="32" t="s">
        <v>60</v>
      </c>
      <c r="I415" s="32" t="s">
        <v>61</v>
      </c>
      <c r="J415" s="32" t="s">
        <v>62</v>
      </c>
      <c r="K415" s="32" t="s">
        <v>98</v>
      </c>
      <c r="L415" s="32" t="s">
        <v>92</v>
      </c>
      <c r="M415" s="32" t="s">
        <v>35</v>
      </c>
      <c r="N415" s="32" t="s">
        <v>930</v>
      </c>
      <c r="O415" s="37">
        <v>1253.25</v>
      </c>
      <c r="P415" s="38" t="str">
        <f t="shared" si="45"/>
        <v>High</v>
      </c>
      <c r="Q415" s="37">
        <v>3087.13</v>
      </c>
      <c r="R415" s="37">
        <v>7.1999999999999995E-2</v>
      </c>
      <c r="S415" s="37">
        <v>11</v>
      </c>
      <c r="T415" s="37">
        <f t="shared" si="42"/>
        <v>22569.275520000003</v>
      </c>
      <c r="U415" s="32">
        <f t="shared" si="43"/>
        <v>13785.75</v>
      </c>
      <c r="V415" s="37">
        <f t="shared" si="46"/>
        <v>8783.5255200000029</v>
      </c>
      <c r="W415" s="39">
        <f t="shared" si="47"/>
        <v>0.38918065899884063</v>
      </c>
    </row>
    <row r="416" spans="1:23" x14ac:dyDescent="0.3">
      <c r="A416" s="40" t="s">
        <v>931</v>
      </c>
      <c r="B416" s="41">
        <v>45167</v>
      </c>
      <c r="C416" s="42">
        <v>45182</v>
      </c>
      <c r="D416" s="43">
        <f t="shared" si="48"/>
        <v>15</v>
      </c>
      <c r="E416" s="43" t="str">
        <f>TEXT(Data!B416,"MMM-YYYY")</f>
        <v>Aug-2023</v>
      </c>
      <c r="F416" s="43" t="str">
        <f t="shared" si="44"/>
        <v>Q3-2023</v>
      </c>
      <c r="G416" s="33" t="s">
        <v>52</v>
      </c>
      <c r="H416" s="33" t="s">
        <v>53</v>
      </c>
      <c r="I416" s="33" t="s">
        <v>179</v>
      </c>
      <c r="J416" s="33" t="s">
        <v>62</v>
      </c>
      <c r="K416" s="33" t="s">
        <v>40</v>
      </c>
      <c r="L416" s="33" t="s">
        <v>68</v>
      </c>
      <c r="M416" s="33" t="s">
        <v>30</v>
      </c>
      <c r="N416" s="33" t="s">
        <v>932</v>
      </c>
      <c r="O416" s="43">
        <v>1287.6400000000001</v>
      </c>
      <c r="P416" s="44" t="str">
        <f t="shared" si="45"/>
        <v>High</v>
      </c>
      <c r="Q416" s="43">
        <v>2717.15</v>
      </c>
      <c r="R416" s="43">
        <v>3.2000000000000001E-2</v>
      </c>
      <c r="S416" s="43">
        <v>7</v>
      </c>
      <c r="T416" s="43">
        <f t="shared" si="42"/>
        <v>3875.12664</v>
      </c>
      <c r="U416" s="33">
        <f t="shared" si="43"/>
        <v>9013.4800000000014</v>
      </c>
      <c r="V416" s="43">
        <f t="shared" si="46"/>
        <v>-5138.353360000001</v>
      </c>
      <c r="W416" s="45">
        <f t="shared" si="47"/>
        <v>-1.3259833387019324</v>
      </c>
    </row>
    <row r="417" spans="1:23" x14ac:dyDescent="0.3">
      <c r="A417" s="34" t="s">
        <v>933</v>
      </c>
      <c r="B417" s="35">
        <v>45626</v>
      </c>
      <c r="C417" s="36">
        <v>45636</v>
      </c>
      <c r="D417" s="37">
        <f t="shared" si="48"/>
        <v>10</v>
      </c>
      <c r="E417" s="37" t="str">
        <f>TEXT(Data!B417,"MMM-YYYY")</f>
        <v>Nov-2024</v>
      </c>
      <c r="F417" s="37" t="str">
        <f t="shared" si="44"/>
        <v>Q4-2024</v>
      </c>
      <c r="G417" s="32" t="s">
        <v>45</v>
      </c>
      <c r="H417" s="32" t="s">
        <v>60</v>
      </c>
      <c r="I417" s="32" t="s">
        <v>281</v>
      </c>
      <c r="J417" s="32" t="s">
        <v>62</v>
      </c>
      <c r="K417" s="32" t="s">
        <v>20</v>
      </c>
      <c r="L417" s="32" t="s">
        <v>84</v>
      </c>
      <c r="M417" s="32" t="s">
        <v>81</v>
      </c>
      <c r="N417" s="32" t="s">
        <v>934</v>
      </c>
      <c r="O417" s="37">
        <v>851.49</v>
      </c>
      <c r="P417" s="38" t="str">
        <f t="shared" si="45"/>
        <v>High</v>
      </c>
      <c r="Q417" s="37">
        <v>901.79</v>
      </c>
      <c r="R417" s="37">
        <v>0.245</v>
      </c>
      <c r="S417" s="37">
        <v>16</v>
      </c>
      <c r="T417" s="37">
        <f t="shared" si="42"/>
        <v>41052.309600000001</v>
      </c>
      <c r="U417" s="32">
        <f t="shared" si="43"/>
        <v>13623.84</v>
      </c>
      <c r="V417" s="37">
        <f t="shared" si="46"/>
        <v>27428.4696</v>
      </c>
      <c r="W417" s="39">
        <f t="shared" si="47"/>
        <v>0.66813462792358946</v>
      </c>
    </row>
    <row r="418" spans="1:23" x14ac:dyDescent="0.3">
      <c r="A418" s="40" t="s">
        <v>935</v>
      </c>
      <c r="B418" s="41">
        <v>45813</v>
      </c>
      <c r="C418" s="42">
        <v>45822</v>
      </c>
      <c r="D418" s="43">
        <f t="shared" si="48"/>
        <v>9</v>
      </c>
      <c r="E418" s="43" t="str">
        <f>TEXT(Data!B418,"MMM-YYYY")</f>
        <v>Jun-2025</v>
      </c>
      <c r="F418" s="43" t="str">
        <f t="shared" si="44"/>
        <v>Q2-2025</v>
      </c>
      <c r="G418" s="33" t="s">
        <v>45</v>
      </c>
      <c r="H418" s="33" t="s">
        <v>60</v>
      </c>
      <c r="I418" s="33" t="s">
        <v>141</v>
      </c>
      <c r="J418" s="33" t="s">
        <v>39</v>
      </c>
      <c r="K418" s="33" t="s">
        <v>20</v>
      </c>
      <c r="L418" s="33" t="s">
        <v>75</v>
      </c>
      <c r="M418" s="33" t="s">
        <v>81</v>
      </c>
      <c r="N418" s="33" t="s">
        <v>936</v>
      </c>
      <c r="O418" s="43">
        <v>618.69000000000005</v>
      </c>
      <c r="P418" s="44" t="str">
        <f t="shared" si="45"/>
        <v>High</v>
      </c>
      <c r="Q418" s="43">
        <v>796.15</v>
      </c>
      <c r="R418" s="43">
        <v>0.09</v>
      </c>
      <c r="S418" s="43">
        <v>11</v>
      </c>
      <c r="T418" s="43">
        <f t="shared" si="42"/>
        <v>1948.1462000000001</v>
      </c>
      <c r="U418" s="33">
        <f t="shared" si="43"/>
        <v>6805.59</v>
      </c>
      <c r="V418" s="43">
        <f t="shared" si="46"/>
        <v>-4857.4438</v>
      </c>
      <c r="W418" s="45">
        <f t="shared" si="47"/>
        <v>-2.4933671815801093</v>
      </c>
    </row>
    <row r="419" spans="1:23" x14ac:dyDescent="0.3">
      <c r="A419" s="34" t="s">
        <v>937</v>
      </c>
      <c r="B419" s="35">
        <v>45730</v>
      </c>
      <c r="C419" s="36">
        <v>45755</v>
      </c>
      <c r="D419" s="37">
        <f t="shared" si="48"/>
        <v>25</v>
      </c>
      <c r="E419" s="37" t="str">
        <f>TEXT(Data!B419,"MMM-YYYY")</f>
        <v>Mar-2025</v>
      </c>
      <c r="F419" s="37" t="str">
        <f t="shared" si="44"/>
        <v>Q1-2025</v>
      </c>
      <c r="G419" s="32" t="s">
        <v>45</v>
      </c>
      <c r="H419" s="32" t="s">
        <v>116</v>
      </c>
      <c r="I419" s="32" t="s">
        <v>1364</v>
      </c>
      <c r="J419" s="32" t="s">
        <v>19</v>
      </c>
      <c r="K419" s="32" t="s">
        <v>55</v>
      </c>
      <c r="L419" s="32" t="s">
        <v>145</v>
      </c>
      <c r="M419" s="32" t="s">
        <v>30</v>
      </c>
      <c r="N419" s="32" t="s">
        <v>938</v>
      </c>
      <c r="O419" s="37">
        <v>80.59</v>
      </c>
      <c r="P419" s="38" t="str">
        <f t="shared" si="45"/>
        <v>Medium</v>
      </c>
      <c r="Q419" s="37">
        <v>157.82</v>
      </c>
      <c r="R419" s="37">
        <v>0.217</v>
      </c>
      <c r="S419" s="37">
        <v>6</v>
      </c>
      <c r="T419" s="37">
        <f t="shared" si="42"/>
        <v>4846.6447200000002</v>
      </c>
      <c r="U419" s="32">
        <f t="shared" si="43"/>
        <v>483.54</v>
      </c>
      <c r="V419" s="37">
        <f t="shared" si="46"/>
        <v>4363.1047200000003</v>
      </c>
      <c r="W419" s="39">
        <f t="shared" si="47"/>
        <v>0.90023201040409662</v>
      </c>
    </row>
    <row r="420" spans="1:23" x14ac:dyDescent="0.3">
      <c r="A420" s="40" t="s">
        <v>939</v>
      </c>
      <c r="B420" s="41">
        <v>45307</v>
      </c>
      <c r="C420" s="42">
        <v>45333</v>
      </c>
      <c r="D420" s="43">
        <f t="shared" si="48"/>
        <v>26</v>
      </c>
      <c r="E420" s="43" t="str">
        <f>TEXT(Data!B420,"MMM-YYYY")</f>
        <v>Jan-2024</v>
      </c>
      <c r="F420" s="43" t="str">
        <f t="shared" si="44"/>
        <v>Q1-2024</v>
      </c>
      <c r="G420" s="33" t="s">
        <v>78</v>
      </c>
      <c r="H420" s="33" t="s">
        <v>79</v>
      </c>
      <c r="I420" s="33" t="s">
        <v>335</v>
      </c>
      <c r="J420" s="33" t="s">
        <v>39</v>
      </c>
      <c r="K420" s="33" t="s">
        <v>55</v>
      </c>
      <c r="L420" s="33" t="s">
        <v>63</v>
      </c>
      <c r="M420" s="33" t="s">
        <v>64</v>
      </c>
      <c r="N420" s="33" t="s">
        <v>940</v>
      </c>
      <c r="O420" s="43">
        <v>504.93</v>
      </c>
      <c r="P420" s="44" t="str">
        <f t="shared" si="45"/>
        <v>High</v>
      </c>
      <c r="Q420" s="43">
        <v>819.06</v>
      </c>
      <c r="R420" s="43">
        <v>0.22600000000000001</v>
      </c>
      <c r="S420" s="43">
        <v>15</v>
      </c>
      <c r="T420" s="43">
        <f t="shared" si="42"/>
        <v>5749.1559000000007</v>
      </c>
      <c r="U420" s="33">
        <f t="shared" si="43"/>
        <v>7573.95</v>
      </c>
      <c r="V420" s="43">
        <f t="shared" si="46"/>
        <v>-1824.7940999999992</v>
      </c>
      <c r="W420" s="45">
        <f t="shared" si="47"/>
        <v>-0.31740209027902672</v>
      </c>
    </row>
    <row r="421" spans="1:23" x14ac:dyDescent="0.3">
      <c r="A421" s="34" t="s">
        <v>941</v>
      </c>
      <c r="B421" s="35">
        <v>45211</v>
      </c>
      <c r="C421" s="36">
        <v>45228</v>
      </c>
      <c r="D421" s="37">
        <f t="shared" si="48"/>
        <v>17</v>
      </c>
      <c r="E421" s="37" t="str">
        <f>TEXT(Data!B421,"MMM-YYYY")</f>
        <v>Oct-2023</v>
      </c>
      <c r="F421" s="37" t="str">
        <f t="shared" si="44"/>
        <v>Q4-2023</v>
      </c>
      <c r="G421" s="32" t="s">
        <v>45</v>
      </c>
      <c r="H421" s="32" t="s">
        <v>46</v>
      </c>
      <c r="I421" s="32" t="s">
        <v>231</v>
      </c>
      <c r="J421" s="32" t="s">
        <v>39</v>
      </c>
      <c r="K421" s="32" t="s">
        <v>98</v>
      </c>
      <c r="L421" s="32" t="s">
        <v>92</v>
      </c>
      <c r="M421" s="32" t="s">
        <v>42</v>
      </c>
      <c r="N421" s="32" t="s">
        <v>942</v>
      </c>
      <c r="O421" s="37">
        <v>1102.19</v>
      </c>
      <c r="P421" s="38" t="str">
        <f t="shared" si="45"/>
        <v>High</v>
      </c>
      <c r="Q421" s="37">
        <v>1711.16</v>
      </c>
      <c r="R421" s="37">
        <v>0.151</v>
      </c>
      <c r="S421" s="37">
        <v>10</v>
      </c>
      <c r="T421" s="37">
        <f t="shared" si="42"/>
        <v>11198.649599999999</v>
      </c>
      <c r="U421" s="32">
        <f t="shared" si="43"/>
        <v>11021.900000000001</v>
      </c>
      <c r="V421" s="37">
        <f t="shared" si="46"/>
        <v>176.74959999999737</v>
      </c>
      <c r="W421" s="39">
        <f t="shared" si="47"/>
        <v>1.5783117278711657E-2</v>
      </c>
    </row>
    <row r="422" spans="1:23" x14ac:dyDescent="0.3">
      <c r="A422" s="40" t="s">
        <v>943</v>
      </c>
      <c r="B422" s="41">
        <v>45713</v>
      </c>
      <c r="C422" s="42">
        <v>45733</v>
      </c>
      <c r="D422" s="43">
        <f t="shared" si="48"/>
        <v>20</v>
      </c>
      <c r="E422" s="43" t="str">
        <f>TEXT(Data!B422,"MMM-YYYY")</f>
        <v>Feb-2025</v>
      </c>
      <c r="F422" s="43" t="str">
        <f t="shared" si="44"/>
        <v>Q1-2025</v>
      </c>
      <c r="G422" s="33" t="s">
        <v>52</v>
      </c>
      <c r="H422" s="33" t="s">
        <v>122</v>
      </c>
      <c r="I422" s="33" t="s">
        <v>167</v>
      </c>
      <c r="J422" s="33" t="s">
        <v>39</v>
      </c>
      <c r="K422" s="33" t="s">
        <v>40</v>
      </c>
      <c r="L422" s="33" t="s">
        <v>92</v>
      </c>
      <c r="M422" s="33" t="s">
        <v>42</v>
      </c>
      <c r="N422" s="33" t="s">
        <v>944</v>
      </c>
      <c r="O422" s="43">
        <v>1205.26</v>
      </c>
      <c r="P422" s="44" t="str">
        <f t="shared" si="45"/>
        <v>High</v>
      </c>
      <c r="Q422" s="43">
        <v>1696.35</v>
      </c>
      <c r="R422" s="43">
        <v>1.9E-2</v>
      </c>
      <c r="S422" s="43">
        <v>6</v>
      </c>
      <c r="T422" s="43">
        <f t="shared" si="42"/>
        <v>1853.32482</v>
      </c>
      <c r="U422" s="33">
        <f t="shared" si="43"/>
        <v>7231.5599999999995</v>
      </c>
      <c r="V422" s="43">
        <f t="shared" si="46"/>
        <v>-5378.2351799999997</v>
      </c>
      <c r="W422" s="45">
        <f t="shared" si="47"/>
        <v>-2.9019387869634206</v>
      </c>
    </row>
    <row r="423" spans="1:23" x14ac:dyDescent="0.3">
      <c r="A423" s="34" t="s">
        <v>945</v>
      </c>
      <c r="B423" s="35">
        <v>45841</v>
      </c>
      <c r="C423" s="36">
        <v>45844</v>
      </c>
      <c r="D423" s="37">
        <f t="shared" si="48"/>
        <v>3</v>
      </c>
      <c r="E423" s="37" t="str">
        <f>TEXT(Data!B423,"MMM-YYYY")</f>
        <v>Jul-2025</v>
      </c>
      <c r="F423" s="37" t="str">
        <f t="shared" si="44"/>
        <v>Q3-2025</v>
      </c>
      <c r="G423" s="32" t="s">
        <v>16</v>
      </c>
      <c r="H423" s="32" t="s">
        <v>25</v>
      </c>
      <c r="I423" s="32" t="s">
        <v>38</v>
      </c>
      <c r="J423" s="32" t="s">
        <v>48</v>
      </c>
      <c r="K423" s="32" t="s">
        <v>28</v>
      </c>
      <c r="L423" s="32" t="s">
        <v>1364</v>
      </c>
      <c r="M423" s="32" t="s">
        <v>57</v>
      </c>
      <c r="N423" s="32" t="s">
        <v>946</v>
      </c>
      <c r="O423" s="37">
        <v>1313.3</v>
      </c>
      <c r="P423" s="38" t="str">
        <f t="shared" si="45"/>
        <v>High</v>
      </c>
      <c r="Q423" s="37">
        <v>2884.34</v>
      </c>
      <c r="R423" s="37">
        <v>0.157</v>
      </c>
      <c r="S423" s="37">
        <v>42</v>
      </c>
      <c r="T423" s="37">
        <f t="shared" si="42"/>
        <v>78253.279020000002</v>
      </c>
      <c r="U423" s="32">
        <f t="shared" si="43"/>
        <v>55158.6</v>
      </c>
      <c r="V423" s="37">
        <f t="shared" si="46"/>
        <v>23094.679020000003</v>
      </c>
      <c r="W423" s="39">
        <f t="shared" si="47"/>
        <v>0.29512730085211453</v>
      </c>
    </row>
    <row r="424" spans="1:23" x14ac:dyDescent="0.3">
      <c r="A424" s="40" t="s">
        <v>947</v>
      </c>
      <c r="B424" s="41">
        <v>45915</v>
      </c>
      <c r="C424" s="42">
        <v>45925</v>
      </c>
      <c r="D424" s="43">
        <f t="shared" si="48"/>
        <v>10</v>
      </c>
      <c r="E424" s="43" t="str">
        <f>TEXT(Data!B424,"MMM-YYYY")</f>
        <v>Sep-2025</v>
      </c>
      <c r="F424" s="43" t="str">
        <f t="shared" si="44"/>
        <v>Q3-2025</v>
      </c>
      <c r="G424" s="33" t="s">
        <v>45</v>
      </c>
      <c r="H424" s="33" t="s">
        <v>60</v>
      </c>
      <c r="I424" s="33" t="s">
        <v>141</v>
      </c>
      <c r="J424" s="33" t="s">
        <v>48</v>
      </c>
      <c r="K424" s="33" t="s">
        <v>20</v>
      </c>
      <c r="L424" s="33" t="s">
        <v>75</v>
      </c>
      <c r="M424" s="33" t="s">
        <v>42</v>
      </c>
      <c r="N424" s="33" t="s">
        <v>948</v>
      </c>
      <c r="O424" s="43">
        <v>1488.91</v>
      </c>
      <c r="P424" s="44" t="str">
        <f t="shared" si="45"/>
        <v>High</v>
      </c>
      <c r="Q424" s="43">
        <v>1483.74</v>
      </c>
      <c r="R424" s="43">
        <v>0.16800000000000001</v>
      </c>
      <c r="S424" s="43">
        <v>24</v>
      </c>
      <c r="T424" s="43">
        <f t="shared" si="42"/>
        <v>20866.559999999998</v>
      </c>
      <c r="U424" s="33">
        <f t="shared" si="43"/>
        <v>35733.840000000004</v>
      </c>
      <c r="V424" s="43">
        <f t="shared" si="46"/>
        <v>-14867.280000000006</v>
      </c>
      <c r="W424" s="45">
        <f t="shared" si="47"/>
        <v>-0.71249309900625724</v>
      </c>
    </row>
    <row r="425" spans="1:23" x14ac:dyDescent="0.3">
      <c r="A425" s="34" t="s">
        <v>949</v>
      </c>
      <c r="B425" s="35">
        <v>45341</v>
      </c>
      <c r="C425" s="36">
        <v>45357</v>
      </c>
      <c r="D425" s="37">
        <f t="shared" si="48"/>
        <v>16</v>
      </c>
      <c r="E425" s="37" t="str">
        <f>TEXT(Data!B425,"MMM-YYYY")</f>
        <v>Feb-2024</v>
      </c>
      <c r="F425" s="37" t="str">
        <f t="shared" si="44"/>
        <v>Q1-2024</v>
      </c>
      <c r="G425" s="32" t="s">
        <v>45</v>
      </c>
      <c r="H425" s="32" t="s">
        <v>116</v>
      </c>
      <c r="I425" s="32" t="s">
        <v>338</v>
      </c>
      <c r="J425" s="32" t="s">
        <v>27</v>
      </c>
      <c r="K425" s="32" t="s">
        <v>40</v>
      </c>
      <c r="L425" s="32" t="s">
        <v>68</v>
      </c>
      <c r="M425" s="32" t="s">
        <v>30</v>
      </c>
      <c r="N425" s="32" t="s">
        <v>950</v>
      </c>
      <c r="O425" s="37">
        <v>1477.84</v>
      </c>
      <c r="P425" s="38" t="str">
        <f t="shared" si="45"/>
        <v>High</v>
      </c>
      <c r="Q425" s="37">
        <v>3197.47</v>
      </c>
      <c r="R425" s="37">
        <v>0.24299999999999999</v>
      </c>
      <c r="S425" s="37">
        <v>24</v>
      </c>
      <c r="T425" s="37">
        <f t="shared" si="42"/>
        <v>38737.627919999999</v>
      </c>
      <c r="U425" s="32">
        <f t="shared" si="43"/>
        <v>35468.159999999996</v>
      </c>
      <c r="V425" s="37">
        <f t="shared" si="46"/>
        <v>3269.4679200000028</v>
      </c>
      <c r="W425" s="39">
        <f t="shared" si="47"/>
        <v>8.4400312965781696E-2</v>
      </c>
    </row>
    <row r="426" spans="1:23" x14ac:dyDescent="0.3">
      <c r="A426" s="40" t="s">
        <v>951</v>
      </c>
      <c r="B426" s="41">
        <v>45349</v>
      </c>
      <c r="C426" s="42">
        <v>45377</v>
      </c>
      <c r="D426" s="43">
        <f t="shared" si="48"/>
        <v>28</v>
      </c>
      <c r="E426" s="43" t="str">
        <f>TEXT(Data!B426,"MMM-YYYY")</f>
        <v>Feb-2024</v>
      </c>
      <c r="F426" s="43" t="str">
        <f t="shared" si="44"/>
        <v>Q1-2024</v>
      </c>
      <c r="G426" s="33" t="s">
        <v>45</v>
      </c>
      <c r="H426" s="33" t="s">
        <v>60</v>
      </c>
      <c r="I426" s="33" t="s">
        <v>220</v>
      </c>
      <c r="J426" s="33" t="s">
        <v>27</v>
      </c>
      <c r="K426" s="33" t="s">
        <v>40</v>
      </c>
      <c r="L426" s="33" t="s">
        <v>41</v>
      </c>
      <c r="M426" s="33" t="s">
        <v>57</v>
      </c>
      <c r="N426" s="33" t="s">
        <v>952</v>
      </c>
      <c r="O426" s="43">
        <v>1035.19</v>
      </c>
      <c r="P426" s="44" t="str">
        <f t="shared" si="45"/>
        <v>High</v>
      </c>
      <c r="Q426" s="43">
        <v>2322.6999999999998</v>
      </c>
      <c r="R426" s="43">
        <v>0.17299999999999999</v>
      </c>
      <c r="S426" s="43">
        <v>8</v>
      </c>
      <c r="T426" s="43">
        <f t="shared" si="42"/>
        <v>13903.854800000001</v>
      </c>
      <c r="U426" s="33">
        <f t="shared" si="43"/>
        <v>8281.52</v>
      </c>
      <c r="V426" s="43">
        <f t="shared" si="46"/>
        <v>5622.3348000000005</v>
      </c>
      <c r="W426" s="45">
        <f t="shared" si="47"/>
        <v>0.40437237592555986</v>
      </c>
    </row>
    <row r="427" spans="1:23" x14ac:dyDescent="0.3">
      <c r="A427" s="34" t="s">
        <v>953</v>
      </c>
      <c r="B427" s="35">
        <v>45897</v>
      </c>
      <c r="C427" s="36">
        <v>45905</v>
      </c>
      <c r="D427" s="37">
        <f t="shared" si="48"/>
        <v>8</v>
      </c>
      <c r="E427" s="37" t="str">
        <f>TEXT(Data!B427,"MMM-YYYY")</f>
        <v>Aug-2025</v>
      </c>
      <c r="F427" s="37" t="str">
        <f t="shared" si="44"/>
        <v>Q3-2025</v>
      </c>
      <c r="G427" s="32" t="s">
        <v>16</v>
      </c>
      <c r="H427" s="32" t="s">
        <v>25</v>
      </c>
      <c r="I427" s="32" t="s">
        <v>26</v>
      </c>
      <c r="J427" s="32" t="s">
        <v>62</v>
      </c>
      <c r="K427" s="32" t="s">
        <v>40</v>
      </c>
      <c r="L427" s="32" t="s">
        <v>63</v>
      </c>
      <c r="M427" s="32" t="s">
        <v>57</v>
      </c>
      <c r="N427" s="32" t="s">
        <v>954</v>
      </c>
      <c r="O427" s="37">
        <v>1271.0999999999999</v>
      </c>
      <c r="P427" s="38" t="str">
        <f t="shared" si="45"/>
        <v>High</v>
      </c>
      <c r="Q427" s="37">
        <v>1932.42</v>
      </c>
      <c r="R427" s="37">
        <v>0.25</v>
      </c>
      <c r="S427" s="37">
        <v>21</v>
      </c>
      <c r="T427" s="37">
        <f t="shared" si="42"/>
        <v>33475.68</v>
      </c>
      <c r="U427" s="32">
        <f t="shared" si="43"/>
        <v>26693.1</v>
      </c>
      <c r="V427" s="37">
        <f t="shared" si="46"/>
        <v>6782.5800000000017</v>
      </c>
      <c r="W427" s="39">
        <f t="shared" si="47"/>
        <v>0.20261216501053905</v>
      </c>
    </row>
    <row r="428" spans="1:23" x14ac:dyDescent="0.3">
      <c r="A428" s="40" t="s">
        <v>955</v>
      </c>
      <c r="B428" s="41">
        <v>45522</v>
      </c>
      <c r="C428" s="42">
        <v>45547</v>
      </c>
      <c r="D428" s="43">
        <f t="shared" si="48"/>
        <v>25</v>
      </c>
      <c r="E428" s="43" t="str">
        <f>TEXT(Data!B428,"MMM-YYYY")</f>
        <v>Aug-2024</v>
      </c>
      <c r="F428" s="43" t="str">
        <f t="shared" si="44"/>
        <v>Q3-2024</v>
      </c>
      <c r="G428" s="33" t="s">
        <v>45</v>
      </c>
      <c r="H428" s="33" t="s">
        <v>60</v>
      </c>
      <c r="I428" s="33" t="s">
        <v>220</v>
      </c>
      <c r="J428" s="33" t="s">
        <v>48</v>
      </c>
      <c r="K428" s="33" t="s">
        <v>40</v>
      </c>
      <c r="L428" s="33" t="s">
        <v>21</v>
      </c>
      <c r="M428" s="33" t="s">
        <v>42</v>
      </c>
      <c r="N428" s="33" t="s">
        <v>956</v>
      </c>
      <c r="O428" s="43">
        <v>1154.03</v>
      </c>
      <c r="P428" s="44" t="str">
        <f t="shared" si="45"/>
        <v>High</v>
      </c>
      <c r="Q428" s="43">
        <v>1590.36</v>
      </c>
      <c r="R428" s="43">
        <v>0.314</v>
      </c>
      <c r="S428" s="43">
        <v>18</v>
      </c>
      <c r="T428" s="43">
        <f t="shared" si="42"/>
        <v>8801.0369999999984</v>
      </c>
      <c r="U428" s="33">
        <f t="shared" si="43"/>
        <v>20772.54</v>
      </c>
      <c r="V428" s="43">
        <f t="shared" si="46"/>
        <v>-11971.503000000002</v>
      </c>
      <c r="W428" s="45">
        <f t="shared" si="47"/>
        <v>-1.360237776525653</v>
      </c>
    </row>
    <row r="429" spans="1:23" x14ac:dyDescent="0.3">
      <c r="A429" s="34" t="s">
        <v>957</v>
      </c>
      <c r="B429" s="35">
        <v>45347</v>
      </c>
      <c r="C429" s="36">
        <v>45360</v>
      </c>
      <c r="D429" s="37">
        <f t="shared" si="48"/>
        <v>13</v>
      </c>
      <c r="E429" s="37" t="str">
        <f>TEXT(Data!B429,"MMM-YYYY")</f>
        <v>Feb-2024</v>
      </c>
      <c r="F429" s="37" t="str">
        <f t="shared" si="44"/>
        <v>Q1-2024</v>
      </c>
      <c r="G429" s="32" t="s">
        <v>78</v>
      </c>
      <c r="H429" s="32" t="s">
        <v>90</v>
      </c>
      <c r="I429" s="32" t="s">
        <v>91</v>
      </c>
      <c r="J429" s="32" t="s">
        <v>62</v>
      </c>
      <c r="K429" s="32" t="s">
        <v>55</v>
      </c>
      <c r="L429" s="32" t="s">
        <v>63</v>
      </c>
      <c r="M429" s="32" t="s">
        <v>64</v>
      </c>
      <c r="N429" s="32" t="s">
        <v>958</v>
      </c>
      <c r="O429" s="37">
        <v>322.44</v>
      </c>
      <c r="P429" s="38" t="str">
        <f t="shared" si="45"/>
        <v>High</v>
      </c>
      <c r="Q429" s="37">
        <v>395.61</v>
      </c>
      <c r="R429" s="37">
        <v>0</v>
      </c>
      <c r="S429" s="37">
        <v>34</v>
      </c>
      <c r="T429" s="37">
        <f t="shared" si="42"/>
        <v>53340.22</v>
      </c>
      <c r="U429" s="32">
        <f t="shared" si="43"/>
        <v>10962.96</v>
      </c>
      <c r="V429" s="37">
        <f t="shared" si="46"/>
        <v>42377.26</v>
      </c>
      <c r="W429" s="39">
        <f t="shared" si="47"/>
        <v>0.79447103892709858</v>
      </c>
    </row>
    <row r="430" spans="1:23" x14ac:dyDescent="0.3">
      <c r="A430" s="40" t="s">
        <v>959</v>
      </c>
      <c r="B430" s="41">
        <v>45784</v>
      </c>
      <c r="C430" s="42">
        <v>45790</v>
      </c>
      <c r="D430" s="43">
        <f t="shared" si="48"/>
        <v>6</v>
      </c>
      <c r="E430" s="43" t="str">
        <f>TEXT(Data!B430,"MMM-YYYY")</f>
        <v>May-2025</v>
      </c>
      <c r="F430" s="43" t="str">
        <f t="shared" si="44"/>
        <v>Q2-2025</v>
      </c>
      <c r="G430" s="33" t="s">
        <v>45</v>
      </c>
      <c r="H430" s="33" t="s">
        <v>60</v>
      </c>
      <c r="I430" s="33" t="s">
        <v>61</v>
      </c>
      <c r="J430" s="33" t="s">
        <v>105</v>
      </c>
      <c r="K430" s="33" t="s">
        <v>98</v>
      </c>
      <c r="L430" s="33" t="s">
        <v>29</v>
      </c>
      <c r="M430" s="33" t="s">
        <v>42</v>
      </c>
      <c r="N430" s="33" t="s">
        <v>960</v>
      </c>
      <c r="O430" s="43">
        <v>935.98</v>
      </c>
      <c r="P430" s="44" t="str">
        <f t="shared" si="45"/>
        <v>High</v>
      </c>
      <c r="Q430" s="43">
        <v>2077.69</v>
      </c>
      <c r="R430" s="43">
        <v>0.17499999999999999</v>
      </c>
      <c r="S430" s="43">
        <v>24</v>
      </c>
      <c r="T430" s="43">
        <f t="shared" si="42"/>
        <v>41071.932000000001</v>
      </c>
      <c r="U430" s="33">
        <f t="shared" si="43"/>
        <v>22463.52</v>
      </c>
      <c r="V430" s="43">
        <f t="shared" si="46"/>
        <v>18608.412</v>
      </c>
      <c r="W430" s="45">
        <f t="shared" si="47"/>
        <v>0.4530688256885505</v>
      </c>
    </row>
    <row r="431" spans="1:23" x14ac:dyDescent="0.3">
      <c r="A431" s="34" t="s">
        <v>961</v>
      </c>
      <c r="B431" s="35">
        <v>45597</v>
      </c>
      <c r="C431" s="36">
        <v>45608</v>
      </c>
      <c r="D431" s="37">
        <f t="shared" si="48"/>
        <v>11</v>
      </c>
      <c r="E431" s="37" t="str">
        <f>TEXT(Data!B431,"MMM-YYYY")</f>
        <v>Nov-2024</v>
      </c>
      <c r="F431" s="37" t="str">
        <f t="shared" si="44"/>
        <v>Q4-2024</v>
      </c>
      <c r="G431" s="32" t="s">
        <v>78</v>
      </c>
      <c r="H431" s="32" t="s">
        <v>79</v>
      </c>
      <c r="I431" s="32" t="s">
        <v>335</v>
      </c>
      <c r="J431" s="32" t="s">
        <v>48</v>
      </c>
      <c r="K431" s="32" t="s">
        <v>28</v>
      </c>
      <c r="L431" s="32" t="s">
        <v>56</v>
      </c>
      <c r="M431" s="32" t="s">
        <v>30</v>
      </c>
      <c r="N431" s="32" t="s">
        <v>962</v>
      </c>
      <c r="O431" s="37">
        <v>599.84</v>
      </c>
      <c r="P431" s="38" t="str">
        <f t="shared" si="45"/>
        <v>High</v>
      </c>
      <c r="Q431" s="37">
        <v>1330.85</v>
      </c>
      <c r="R431" s="37">
        <v>0.115</v>
      </c>
      <c r="S431" s="37">
        <v>11</v>
      </c>
      <c r="T431" s="37">
        <f t="shared" si="42"/>
        <v>4820.6746499999999</v>
      </c>
      <c r="U431" s="32">
        <f t="shared" si="43"/>
        <v>6598.2400000000007</v>
      </c>
      <c r="V431" s="37">
        <f t="shared" si="46"/>
        <v>-1777.5653500000008</v>
      </c>
      <c r="W431" s="39">
        <f t="shared" si="47"/>
        <v>-0.36873787987330792</v>
      </c>
    </row>
    <row r="432" spans="1:23" x14ac:dyDescent="0.3">
      <c r="A432" s="40" t="s">
        <v>963</v>
      </c>
      <c r="B432" s="41">
        <v>45654</v>
      </c>
      <c r="C432" s="42">
        <v>45665</v>
      </c>
      <c r="D432" s="43">
        <f t="shared" si="48"/>
        <v>11</v>
      </c>
      <c r="E432" s="43" t="str">
        <f>TEXT(Data!B432,"MMM-YYYY")</f>
        <v>Dec-2024</v>
      </c>
      <c r="F432" s="43" t="str">
        <f t="shared" si="44"/>
        <v>Q4-2024</v>
      </c>
      <c r="G432" s="33" t="s">
        <v>45</v>
      </c>
      <c r="H432" s="33" t="s">
        <v>116</v>
      </c>
      <c r="I432" s="33" t="s">
        <v>117</v>
      </c>
      <c r="J432" s="33" t="s">
        <v>105</v>
      </c>
      <c r="K432" s="33" t="s">
        <v>28</v>
      </c>
      <c r="L432" s="33" t="s">
        <v>95</v>
      </c>
      <c r="M432" s="33" t="s">
        <v>57</v>
      </c>
      <c r="N432" s="33" t="s">
        <v>964</v>
      </c>
      <c r="O432" s="43">
        <v>1201.31</v>
      </c>
      <c r="P432" s="44" t="str">
        <f t="shared" si="45"/>
        <v>High</v>
      </c>
      <c r="Q432" s="43">
        <v>2764.65</v>
      </c>
      <c r="R432" s="43">
        <v>0</v>
      </c>
      <c r="S432" s="43">
        <v>21</v>
      </c>
      <c r="T432" s="43">
        <f t="shared" si="42"/>
        <v>15909.390000000001</v>
      </c>
      <c r="U432" s="33">
        <f t="shared" si="43"/>
        <v>25227.51</v>
      </c>
      <c r="V432" s="43">
        <f t="shared" si="46"/>
        <v>-9318.1199999999972</v>
      </c>
      <c r="W432" s="45">
        <f t="shared" si="47"/>
        <v>-0.58569938885148942</v>
      </c>
    </row>
    <row r="433" spans="1:23" x14ac:dyDescent="0.3">
      <c r="A433" s="34" t="s">
        <v>965</v>
      </c>
      <c r="B433" s="35">
        <v>45220</v>
      </c>
      <c r="C433" s="36">
        <v>45220</v>
      </c>
      <c r="D433" s="37">
        <f t="shared" si="48"/>
        <v>0</v>
      </c>
      <c r="E433" s="37" t="str">
        <f>TEXT(Data!B433,"MMM-YYYY")</f>
        <v>Oct-2023</v>
      </c>
      <c r="F433" s="37" t="str">
        <f t="shared" si="44"/>
        <v>Q4-2023</v>
      </c>
      <c r="G433" s="32" t="s">
        <v>78</v>
      </c>
      <c r="H433" s="32" t="s">
        <v>108</v>
      </c>
      <c r="I433" s="32" t="s">
        <v>228</v>
      </c>
      <c r="J433" s="32" t="s">
        <v>105</v>
      </c>
      <c r="K433" s="32" t="s">
        <v>55</v>
      </c>
      <c r="L433" s="32" t="s">
        <v>29</v>
      </c>
      <c r="M433" s="32" t="s">
        <v>64</v>
      </c>
      <c r="N433" s="32" t="s">
        <v>966</v>
      </c>
      <c r="O433" s="37">
        <v>384.19</v>
      </c>
      <c r="P433" s="38" t="str">
        <f t="shared" si="45"/>
        <v>High</v>
      </c>
      <c r="Q433" s="37">
        <v>278.35000000000002</v>
      </c>
      <c r="R433" s="37">
        <v>5.6000000000000001E-2</v>
      </c>
      <c r="S433" s="37">
        <v>10</v>
      </c>
      <c r="T433" s="37">
        <f t="shared" si="42"/>
        <v>3926.6623999999993</v>
      </c>
      <c r="U433" s="32">
        <f t="shared" si="43"/>
        <v>3841.9</v>
      </c>
      <c r="V433" s="37">
        <f t="shared" si="46"/>
        <v>84.762399999999161</v>
      </c>
      <c r="W433" s="39">
        <f t="shared" si="47"/>
        <v>2.1586373200812775E-2</v>
      </c>
    </row>
    <row r="434" spans="1:23" x14ac:dyDescent="0.3">
      <c r="A434" s="40" t="s">
        <v>967</v>
      </c>
      <c r="B434" s="41">
        <v>45636</v>
      </c>
      <c r="C434" s="42">
        <v>45645</v>
      </c>
      <c r="D434" s="43">
        <f t="shared" si="48"/>
        <v>9</v>
      </c>
      <c r="E434" s="43" t="str">
        <f>TEXT(Data!B434,"MMM-YYYY")</f>
        <v>Dec-2024</v>
      </c>
      <c r="F434" s="43" t="str">
        <f t="shared" si="44"/>
        <v>Q4-2024</v>
      </c>
      <c r="G434" s="33" t="s">
        <v>16</v>
      </c>
      <c r="H434" s="33" t="s">
        <v>25</v>
      </c>
      <c r="I434" s="33" t="s">
        <v>38</v>
      </c>
      <c r="J434" s="33" t="s">
        <v>19</v>
      </c>
      <c r="K434" s="33" t="s">
        <v>20</v>
      </c>
      <c r="L434" s="33" t="s">
        <v>68</v>
      </c>
      <c r="M434" s="33" t="s">
        <v>64</v>
      </c>
      <c r="N434" s="33" t="s">
        <v>968</v>
      </c>
      <c r="O434" s="43">
        <v>488.68</v>
      </c>
      <c r="P434" s="44" t="str">
        <f t="shared" si="45"/>
        <v>High</v>
      </c>
      <c r="Q434" s="43">
        <v>984.36</v>
      </c>
      <c r="R434" s="43">
        <v>5.8999999999999997E-2</v>
      </c>
      <c r="S434" s="43">
        <v>14</v>
      </c>
      <c r="T434" s="43">
        <f t="shared" si="42"/>
        <v>24647.104860000003</v>
      </c>
      <c r="U434" s="33">
        <f t="shared" si="43"/>
        <v>6841.52</v>
      </c>
      <c r="V434" s="43">
        <f t="shared" si="46"/>
        <v>17805.584860000003</v>
      </c>
      <c r="W434" s="45">
        <f t="shared" si="47"/>
        <v>0.72242094806424251</v>
      </c>
    </row>
    <row r="435" spans="1:23" x14ac:dyDescent="0.3">
      <c r="A435" s="34" t="s">
        <v>969</v>
      </c>
      <c r="B435" s="35">
        <v>45542</v>
      </c>
      <c r="C435" s="36">
        <v>45553</v>
      </c>
      <c r="D435" s="37">
        <f t="shared" si="48"/>
        <v>11</v>
      </c>
      <c r="E435" s="37" t="str">
        <f>TEXT(Data!B435,"MMM-YYYY")</f>
        <v>Sep-2024</v>
      </c>
      <c r="F435" s="37" t="str">
        <f t="shared" si="44"/>
        <v>Q3-2024</v>
      </c>
      <c r="G435" s="32" t="s">
        <v>45</v>
      </c>
      <c r="H435" s="32" t="s">
        <v>116</v>
      </c>
      <c r="I435" s="32" t="s">
        <v>338</v>
      </c>
      <c r="J435" s="32" t="s">
        <v>48</v>
      </c>
      <c r="K435" s="32" t="s">
        <v>55</v>
      </c>
      <c r="L435" s="32" t="s">
        <v>68</v>
      </c>
      <c r="M435" s="32" t="s">
        <v>35</v>
      </c>
      <c r="N435" s="32" t="s">
        <v>970</v>
      </c>
      <c r="O435" s="37">
        <v>181.74</v>
      </c>
      <c r="P435" s="38" t="str">
        <f t="shared" si="45"/>
        <v>Medium</v>
      </c>
      <c r="Q435" s="37">
        <v>190.84</v>
      </c>
      <c r="R435" s="37">
        <v>0.214</v>
      </c>
      <c r="S435" s="37">
        <v>13</v>
      </c>
      <c r="T435" s="37">
        <f t="shared" si="42"/>
        <v>2113.89984</v>
      </c>
      <c r="U435" s="32">
        <f t="shared" si="43"/>
        <v>2362.62</v>
      </c>
      <c r="V435" s="37">
        <f t="shared" si="46"/>
        <v>-248.72015999999985</v>
      </c>
      <c r="W435" s="39">
        <f t="shared" si="47"/>
        <v>-0.11765938730569177</v>
      </c>
    </row>
    <row r="436" spans="1:23" x14ac:dyDescent="0.3">
      <c r="A436" s="40" t="s">
        <v>971</v>
      </c>
      <c r="B436" s="41">
        <v>45217</v>
      </c>
      <c r="C436" s="42">
        <v>45219</v>
      </c>
      <c r="D436" s="43">
        <f t="shared" si="48"/>
        <v>2</v>
      </c>
      <c r="E436" s="43" t="str">
        <f>TEXT(Data!B436,"MMM-YYYY")</f>
        <v>Oct-2023</v>
      </c>
      <c r="F436" s="43" t="str">
        <f t="shared" si="44"/>
        <v>Q4-2023</v>
      </c>
      <c r="G436" s="33" t="s">
        <v>16</v>
      </c>
      <c r="H436" s="33" t="s">
        <v>17</v>
      </c>
      <c r="I436" s="33" t="s">
        <v>18</v>
      </c>
      <c r="J436" s="33" t="s">
        <v>48</v>
      </c>
      <c r="K436" s="33" t="s">
        <v>20</v>
      </c>
      <c r="L436" s="33" t="s">
        <v>29</v>
      </c>
      <c r="M436" s="33" t="s">
        <v>42</v>
      </c>
      <c r="N436" s="33" t="s">
        <v>972</v>
      </c>
      <c r="O436" s="43">
        <v>774.12</v>
      </c>
      <c r="P436" s="44" t="str">
        <f t="shared" si="45"/>
        <v>High</v>
      </c>
      <c r="Q436" s="43">
        <v>908.3</v>
      </c>
      <c r="R436" s="43">
        <v>0</v>
      </c>
      <c r="S436" s="43">
        <v>30</v>
      </c>
      <c r="T436" s="43">
        <f t="shared" si="42"/>
        <v>1884.6</v>
      </c>
      <c r="U436" s="33">
        <f t="shared" si="43"/>
        <v>23223.599999999999</v>
      </c>
      <c r="V436" s="43">
        <f t="shared" si="46"/>
        <v>-21339</v>
      </c>
      <c r="W436" s="45">
        <f t="shared" si="47"/>
        <v>-11.322827125119389</v>
      </c>
    </row>
    <row r="437" spans="1:23" x14ac:dyDescent="0.3">
      <c r="A437" s="34" t="s">
        <v>973</v>
      </c>
      <c r="B437" s="35">
        <v>45650</v>
      </c>
      <c r="C437" s="36">
        <v>45670</v>
      </c>
      <c r="D437" s="37">
        <f t="shared" si="48"/>
        <v>20</v>
      </c>
      <c r="E437" s="37" t="str">
        <f>TEXT(Data!B437,"MMM-YYYY")</f>
        <v>Dec-2024</v>
      </c>
      <c r="F437" s="37" t="str">
        <f t="shared" si="44"/>
        <v>Q4-2024</v>
      </c>
      <c r="G437" s="32" t="s">
        <v>45</v>
      </c>
      <c r="H437" s="32" t="s">
        <v>60</v>
      </c>
      <c r="I437" s="32" t="s">
        <v>61</v>
      </c>
      <c r="J437" s="32" t="s">
        <v>19</v>
      </c>
      <c r="K437" s="32" t="s">
        <v>40</v>
      </c>
      <c r="L437" s="32" t="s">
        <v>145</v>
      </c>
      <c r="M437" s="32" t="s">
        <v>35</v>
      </c>
      <c r="N437" s="32" t="s">
        <v>974</v>
      </c>
      <c r="O437" s="37">
        <v>126.15</v>
      </c>
      <c r="P437" s="38" t="str">
        <f t="shared" si="45"/>
        <v>High</v>
      </c>
      <c r="Q437" s="37">
        <v>284.23</v>
      </c>
      <c r="R437" s="37">
        <v>0.113</v>
      </c>
      <c r="S437" s="37">
        <v>22</v>
      </c>
      <c r="T437" s="37">
        <f t="shared" si="42"/>
        <v>18664.94586</v>
      </c>
      <c r="U437" s="32">
        <f t="shared" si="43"/>
        <v>2775.3</v>
      </c>
      <c r="V437" s="37">
        <f t="shared" si="46"/>
        <v>15889.645860000001</v>
      </c>
      <c r="W437" s="39">
        <f t="shared" si="47"/>
        <v>0.85130950709331443</v>
      </c>
    </row>
    <row r="438" spans="1:23" x14ac:dyDescent="0.3">
      <c r="A438" s="40" t="s">
        <v>975</v>
      </c>
      <c r="B438" s="41">
        <v>45037</v>
      </c>
      <c r="C438" s="42">
        <v>45035</v>
      </c>
      <c r="D438" s="43">
        <f>DATEDIF(C438,B438, "MD")</f>
        <v>2</v>
      </c>
      <c r="E438" s="43" t="str">
        <f>TEXT(Data!B438,"MMM-YYYY")</f>
        <v>Apr-2023</v>
      </c>
      <c r="F438" s="43" t="str">
        <f t="shared" si="44"/>
        <v>Q2-2023</v>
      </c>
      <c r="G438" s="33" t="s">
        <v>45</v>
      </c>
      <c r="H438" s="33" t="s">
        <v>46</v>
      </c>
      <c r="I438" s="33" t="s">
        <v>231</v>
      </c>
      <c r="J438" s="33" t="s">
        <v>62</v>
      </c>
      <c r="K438" s="33" t="s">
        <v>98</v>
      </c>
      <c r="L438" s="33" t="s">
        <v>110</v>
      </c>
      <c r="M438" s="33" t="s">
        <v>22</v>
      </c>
      <c r="N438" s="33" t="s">
        <v>976</v>
      </c>
      <c r="O438" s="43">
        <v>607.04</v>
      </c>
      <c r="P438" s="44" t="str">
        <f t="shared" si="45"/>
        <v>High</v>
      </c>
      <c r="Q438" s="43">
        <v>1229.3399999999999</v>
      </c>
      <c r="R438" s="43">
        <v>0.14699999999999999</v>
      </c>
      <c r="S438" s="43">
        <v>7</v>
      </c>
      <c r="T438" s="43">
        <f t="shared" si="42"/>
        <v>989.39469999999983</v>
      </c>
      <c r="U438" s="33">
        <f t="shared" si="43"/>
        <v>4249.28</v>
      </c>
      <c r="V438" s="43">
        <f t="shared" si="46"/>
        <v>-3259.8852999999999</v>
      </c>
      <c r="W438" s="45">
        <f t="shared" si="47"/>
        <v>-3.2948279387387061</v>
      </c>
    </row>
    <row r="439" spans="1:23" x14ac:dyDescent="0.3">
      <c r="A439" s="34" t="s">
        <v>977</v>
      </c>
      <c r="B439" s="35">
        <v>45290</v>
      </c>
      <c r="C439" s="36">
        <v>45299</v>
      </c>
      <c r="D439" s="37">
        <f t="shared" si="48"/>
        <v>9</v>
      </c>
      <c r="E439" s="37" t="str">
        <f>TEXT(Data!B439,"MMM-YYYY")</f>
        <v>Dec-2023</v>
      </c>
      <c r="F439" s="37" t="str">
        <f t="shared" si="44"/>
        <v>Q4-2023</v>
      </c>
      <c r="G439" s="32" t="s">
        <v>78</v>
      </c>
      <c r="H439" s="32" t="s">
        <v>90</v>
      </c>
      <c r="I439" s="32" t="s">
        <v>91</v>
      </c>
      <c r="J439" s="32" t="s">
        <v>48</v>
      </c>
      <c r="K439" s="32" t="s">
        <v>40</v>
      </c>
      <c r="L439" s="32" t="s">
        <v>49</v>
      </c>
      <c r="M439" s="32" t="s">
        <v>81</v>
      </c>
      <c r="N439" s="32" t="s">
        <v>978</v>
      </c>
      <c r="O439" s="37">
        <v>861.1</v>
      </c>
      <c r="P439" s="38" t="str">
        <f t="shared" si="45"/>
        <v>High</v>
      </c>
      <c r="Q439" s="37">
        <v>1224.72</v>
      </c>
      <c r="R439" s="37">
        <v>0.17399999999999999</v>
      </c>
      <c r="S439" s="37">
        <v>24</v>
      </c>
      <c r="T439" s="37">
        <f t="shared" si="42"/>
        <v>12060.128640000001</v>
      </c>
      <c r="U439" s="32">
        <f t="shared" si="43"/>
        <v>20666.400000000001</v>
      </c>
      <c r="V439" s="37">
        <f t="shared" si="46"/>
        <v>-8606.2713600000006</v>
      </c>
      <c r="W439" s="39">
        <f t="shared" si="47"/>
        <v>-0.71361356225135586</v>
      </c>
    </row>
    <row r="440" spans="1:23" x14ac:dyDescent="0.3">
      <c r="A440" s="40" t="s">
        <v>979</v>
      </c>
      <c r="B440" s="41">
        <v>44978</v>
      </c>
      <c r="C440" s="42">
        <v>44997</v>
      </c>
      <c r="D440" s="43">
        <f t="shared" si="48"/>
        <v>19</v>
      </c>
      <c r="E440" s="43" t="str">
        <f>TEXT(Data!B440,"MMM-YYYY")</f>
        <v>Feb-2023</v>
      </c>
      <c r="F440" s="43" t="str">
        <f t="shared" si="44"/>
        <v>Q1-2023</v>
      </c>
      <c r="G440" s="33" t="s">
        <v>16</v>
      </c>
      <c r="H440" s="33" t="s">
        <v>17</v>
      </c>
      <c r="I440" s="33" t="s">
        <v>135</v>
      </c>
      <c r="J440" s="33" t="s">
        <v>19</v>
      </c>
      <c r="K440" s="33" t="s">
        <v>28</v>
      </c>
      <c r="L440" s="33" t="s">
        <v>84</v>
      </c>
      <c r="M440" s="33" t="s">
        <v>35</v>
      </c>
      <c r="N440" s="33" t="s">
        <v>980</v>
      </c>
      <c r="O440" s="43">
        <v>352.65</v>
      </c>
      <c r="P440" s="44" t="str">
        <f t="shared" si="45"/>
        <v>High</v>
      </c>
      <c r="Q440" s="43">
        <v>485.86</v>
      </c>
      <c r="R440" s="43">
        <v>4.1000000000000002E-2</v>
      </c>
      <c r="S440" s="43">
        <v>6</v>
      </c>
      <c r="T440" s="43">
        <f t="shared" si="42"/>
        <v>15339.646139999999</v>
      </c>
      <c r="U440" s="33">
        <f t="shared" si="43"/>
        <v>2115.8999999999996</v>
      </c>
      <c r="V440" s="43">
        <f t="shared" si="46"/>
        <v>13223.746139999999</v>
      </c>
      <c r="W440" s="45">
        <f t="shared" si="47"/>
        <v>0.86206331093371624</v>
      </c>
    </row>
    <row r="441" spans="1:23" x14ac:dyDescent="0.3">
      <c r="A441" s="34" t="s">
        <v>981</v>
      </c>
      <c r="B441" s="35">
        <v>45063</v>
      </c>
      <c r="C441" s="36">
        <v>45080</v>
      </c>
      <c r="D441" s="37">
        <f t="shared" si="48"/>
        <v>17</v>
      </c>
      <c r="E441" s="37" t="str">
        <f>TEXT(Data!B441,"MMM-YYYY")</f>
        <v>May-2023</v>
      </c>
      <c r="F441" s="37" t="str">
        <f t="shared" si="44"/>
        <v>Q2-2023</v>
      </c>
      <c r="G441" s="32" t="s">
        <v>45</v>
      </c>
      <c r="H441" s="32" t="s">
        <v>116</v>
      </c>
      <c r="I441" s="32" t="s">
        <v>338</v>
      </c>
      <c r="J441" s="32" t="s">
        <v>39</v>
      </c>
      <c r="K441" s="32" t="s">
        <v>55</v>
      </c>
      <c r="L441" s="32" t="s">
        <v>110</v>
      </c>
      <c r="M441" s="32" t="s">
        <v>30</v>
      </c>
      <c r="N441" s="32" t="s">
        <v>982</v>
      </c>
      <c r="O441" s="37">
        <v>979.59</v>
      </c>
      <c r="P441" s="38" t="str">
        <f t="shared" si="45"/>
        <v>High</v>
      </c>
      <c r="Q441" s="37">
        <v>2210.94</v>
      </c>
      <c r="R441" s="37">
        <v>0.15</v>
      </c>
      <c r="S441" s="37">
        <v>11</v>
      </c>
      <c r="T441" s="37">
        <f t="shared" si="42"/>
        <v>5497.3325000000004</v>
      </c>
      <c r="U441" s="32">
        <f t="shared" si="43"/>
        <v>10775.49</v>
      </c>
      <c r="V441" s="37">
        <f t="shared" si="46"/>
        <v>-5278.1574999999993</v>
      </c>
      <c r="W441" s="39">
        <f t="shared" si="47"/>
        <v>-0.96013066337173514</v>
      </c>
    </row>
    <row r="442" spans="1:23" x14ac:dyDescent="0.3">
      <c r="A442" s="40" t="s">
        <v>983</v>
      </c>
      <c r="B442" s="41">
        <v>45374</v>
      </c>
      <c r="C442" s="42">
        <v>45377</v>
      </c>
      <c r="D442" s="43">
        <f t="shared" si="48"/>
        <v>3</v>
      </c>
      <c r="E442" s="43" t="str">
        <f>TEXT(Data!B442,"MMM-YYYY")</f>
        <v>Mar-2024</v>
      </c>
      <c r="F442" s="43" t="str">
        <f t="shared" si="44"/>
        <v>Q1-2024</v>
      </c>
      <c r="G442" s="33" t="s">
        <v>45</v>
      </c>
      <c r="H442" s="33" t="s">
        <v>60</v>
      </c>
      <c r="I442" s="33" t="s">
        <v>61</v>
      </c>
      <c r="J442" s="33" t="s">
        <v>27</v>
      </c>
      <c r="K442" s="33" t="s">
        <v>98</v>
      </c>
      <c r="L442" s="33" t="s">
        <v>41</v>
      </c>
      <c r="M442" s="33" t="s">
        <v>42</v>
      </c>
      <c r="N442" s="33" t="s">
        <v>984</v>
      </c>
      <c r="O442" s="43">
        <v>382.21</v>
      </c>
      <c r="P442" s="44" t="str">
        <f t="shared" si="45"/>
        <v>High</v>
      </c>
      <c r="Q442" s="43">
        <v>571.89</v>
      </c>
      <c r="R442" s="43">
        <v>0.14799999999999999</v>
      </c>
      <c r="S442" s="43">
        <v>26</v>
      </c>
      <c r="T442" s="43">
        <f t="shared" si="42"/>
        <v>48582.215760000006</v>
      </c>
      <c r="U442" s="33">
        <f t="shared" si="43"/>
        <v>9937.4599999999991</v>
      </c>
      <c r="V442" s="43">
        <f t="shared" si="46"/>
        <v>38644.755760000007</v>
      </c>
      <c r="W442" s="45">
        <f t="shared" si="47"/>
        <v>0.79545066348781124</v>
      </c>
    </row>
    <row r="443" spans="1:23" x14ac:dyDescent="0.3">
      <c r="A443" s="34" t="s">
        <v>985</v>
      </c>
      <c r="B443" s="35">
        <v>45189</v>
      </c>
      <c r="C443" s="36">
        <v>45197</v>
      </c>
      <c r="D443" s="37">
        <f t="shared" si="48"/>
        <v>8</v>
      </c>
      <c r="E443" s="37" t="str">
        <f>TEXT(Data!B443,"MMM-YYYY")</f>
        <v>Sep-2023</v>
      </c>
      <c r="F443" s="37" t="str">
        <f t="shared" si="44"/>
        <v>Q3-2023</v>
      </c>
      <c r="G443" s="32" t="s">
        <v>45</v>
      </c>
      <c r="H443" s="32" t="s">
        <v>60</v>
      </c>
      <c r="I443" s="32" t="s">
        <v>1364</v>
      </c>
      <c r="J443" s="32" t="s">
        <v>19</v>
      </c>
      <c r="K443" s="32" t="s">
        <v>1364</v>
      </c>
      <c r="L443" s="32" t="s">
        <v>56</v>
      </c>
      <c r="M443" s="32" t="s">
        <v>81</v>
      </c>
      <c r="N443" s="32" t="s">
        <v>986</v>
      </c>
      <c r="O443" s="37">
        <v>1362.06</v>
      </c>
      <c r="P443" s="38" t="str">
        <f t="shared" si="45"/>
        <v>High</v>
      </c>
      <c r="Q443" s="37">
        <v>3398.37</v>
      </c>
      <c r="R443" s="37">
        <v>0.157</v>
      </c>
      <c r="S443" s="37">
        <v>11</v>
      </c>
      <c r="T443" s="37">
        <f t="shared" si="42"/>
        <v>20287.469400000002</v>
      </c>
      <c r="U443" s="32">
        <f t="shared" si="43"/>
        <v>14982.66</v>
      </c>
      <c r="V443" s="37">
        <f t="shared" si="46"/>
        <v>5304.8094000000019</v>
      </c>
      <c r="W443" s="39">
        <f t="shared" si="47"/>
        <v>0.26148206537775487</v>
      </c>
    </row>
    <row r="444" spans="1:23" x14ac:dyDescent="0.3">
      <c r="A444" s="40" t="s">
        <v>987</v>
      </c>
      <c r="B444" s="41">
        <v>45526</v>
      </c>
      <c r="C444" s="42">
        <v>45539</v>
      </c>
      <c r="D444" s="43">
        <f t="shared" si="48"/>
        <v>13</v>
      </c>
      <c r="E444" s="43" t="str">
        <f>TEXT(Data!B444,"MMM-YYYY")</f>
        <v>Aug-2024</v>
      </c>
      <c r="F444" s="43" t="str">
        <f t="shared" si="44"/>
        <v>Q3-2024</v>
      </c>
      <c r="G444" s="33" t="s">
        <v>78</v>
      </c>
      <c r="H444" s="33" t="s">
        <v>79</v>
      </c>
      <c r="I444" s="33" t="s">
        <v>335</v>
      </c>
      <c r="J444" s="33" t="s">
        <v>39</v>
      </c>
      <c r="K444" s="33" t="s">
        <v>20</v>
      </c>
      <c r="L444" s="33" t="s">
        <v>49</v>
      </c>
      <c r="M444" s="33" t="s">
        <v>30</v>
      </c>
      <c r="N444" s="33" t="s">
        <v>988</v>
      </c>
      <c r="O444" s="43">
        <v>90.04</v>
      </c>
      <c r="P444" s="44" t="str">
        <f t="shared" si="45"/>
        <v>Medium</v>
      </c>
      <c r="Q444" s="43">
        <v>194.62</v>
      </c>
      <c r="R444" s="43">
        <v>4.2999999999999997E-2</v>
      </c>
      <c r="S444" s="43">
        <v>32</v>
      </c>
      <c r="T444" s="43">
        <f t="shared" si="42"/>
        <v>30688.61664</v>
      </c>
      <c r="U444" s="33">
        <f t="shared" si="43"/>
        <v>2881.28</v>
      </c>
      <c r="V444" s="43">
        <f t="shared" si="46"/>
        <v>27807.336640000001</v>
      </c>
      <c r="W444" s="45">
        <f t="shared" si="47"/>
        <v>0.90611241836673417</v>
      </c>
    </row>
    <row r="445" spans="1:23" x14ac:dyDescent="0.3">
      <c r="A445" s="34" t="s">
        <v>989</v>
      </c>
      <c r="B445" s="35">
        <v>45560</v>
      </c>
      <c r="C445" s="36">
        <v>45568</v>
      </c>
      <c r="D445" s="37">
        <f t="shared" si="48"/>
        <v>8</v>
      </c>
      <c r="E445" s="37" t="str">
        <f>TEXT(Data!B445,"MMM-YYYY")</f>
        <v>Sep-2024</v>
      </c>
      <c r="F445" s="37" t="str">
        <f t="shared" si="44"/>
        <v>Q3-2024</v>
      </c>
      <c r="G445" s="32" t="s">
        <v>52</v>
      </c>
      <c r="H445" s="32" t="s">
        <v>53</v>
      </c>
      <c r="I445" s="32" t="s">
        <v>54</v>
      </c>
      <c r="J445" s="32" t="s">
        <v>48</v>
      </c>
      <c r="K445" s="32" t="s">
        <v>28</v>
      </c>
      <c r="L445" s="32" t="s">
        <v>63</v>
      </c>
      <c r="M445" s="32" t="s">
        <v>30</v>
      </c>
      <c r="N445" s="32" t="s">
        <v>990</v>
      </c>
      <c r="O445" s="37">
        <v>558.19000000000005</v>
      </c>
      <c r="P445" s="38" t="str">
        <f t="shared" si="45"/>
        <v>High</v>
      </c>
      <c r="Q445" s="37">
        <v>1031.6400000000001</v>
      </c>
      <c r="R445" s="37">
        <v>0</v>
      </c>
      <c r="S445" s="37">
        <v>21</v>
      </c>
      <c r="T445" s="37">
        <f t="shared" si="42"/>
        <v>19189.38</v>
      </c>
      <c r="U445" s="32">
        <f t="shared" si="43"/>
        <v>11721.990000000002</v>
      </c>
      <c r="V445" s="37">
        <f t="shared" si="46"/>
        <v>7467.3899999999994</v>
      </c>
      <c r="W445" s="39">
        <f t="shared" si="47"/>
        <v>0.3891418065617544</v>
      </c>
    </row>
    <row r="446" spans="1:23" x14ac:dyDescent="0.3">
      <c r="A446" s="40" t="s">
        <v>991</v>
      </c>
      <c r="B446" s="41">
        <v>45090</v>
      </c>
      <c r="C446" s="42">
        <v>45101</v>
      </c>
      <c r="D446" s="43">
        <f t="shared" si="48"/>
        <v>11</v>
      </c>
      <c r="E446" s="43" t="str">
        <f>TEXT(Data!B446,"MMM-YYYY")</f>
        <v>Jun-2023</v>
      </c>
      <c r="F446" s="43" t="str">
        <f t="shared" si="44"/>
        <v>Q2-2023</v>
      </c>
      <c r="G446" s="33" t="s">
        <v>52</v>
      </c>
      <c r="H446" s="33" t="s">
        <v>53</v>
      </c>
      <c r="I446" s="33" t="s">
        <v>54</v>
      </c>
      <c r="J446" s="33" t="s">
        <v>19</v>
      </c>
      <c r="K446" s="33" t="s">
        <v>28</v>
      </c>
      <c r="L446" s="33" t="s">
        <v>21</v>
      </c>
      <c r="M446" s="33" t="s">
        <v>30</v>
      </c>
      <c r="N446" s="33" t="s">
        <v>992</v>
      </c>
      <c r="O446" s="43">
        <v>247.07</v>
      </c>
      <c r="P446" s="44" t="str">
        <f t="shared" si="45"/>
        <v>High</v>
      </c>
      <c r="Q446" s="43">
        <v>495.19</v>
      </c>
      <c r="R446" s="43">
        <v>2.8000000000000001E-2</v>
      </c>
      <c r="S446" s="43">
        <v>4</v>
      </c>
      <c r="T446" s="43">
        <f t="shared" si="42"/>
        <v>7167.5668799999994</v>
      </c>
      <c r="U446" s="33">
        <f t="shared" si="43"/>
        <v>988.28</v>
      </c>
      <c r="V446" s="43">
        <f t="shared" si="46"/>
        <v>6179.2868799999997</v>
      </c>
      <c r="W446" s="45">
        <f t="shared" si="47"/>
        <v>0.86211778466167588</v>
      </c>
    </row>
    <row r="447" spans="1:23" x14ac:dyDescent="0.3">
      <c r="A447" s="34" t="s">
        <v>993</v>
      </c>
      <c r="B447" s="35">
        <v>45284</v>
      </c>
      <c r="C447" s="36">
        <v>45304</v>
      </c>
      <c r="D447" s="37">
        <f t="shared" si="48"/>
        <v>20</v>
      </c>
      <c r="E447" s="37" t="str">
        <f>TEXT(Data!B447,"MMM-YYYY")</f>
        <v>Dec-2023</v>
      </c>
      <c r="F447" s="37" t="str">
        <f t="shared" si="44"/>
        <v>Q4-2023</v>
      </c>
      <c r="G447" s="32" t="s">
        <v>45</v>
      </c>
      <c r="H447" s="32" t="s">
        <v>46</v>
      </c>
      <c r="I447" s="32" t="s">
        <v>231</v>
      </c>
      <c r="J447" s="32" t="s">
        <v>27</v>
      </c>
      <c r="K447" s="32" t="s">
        <v>98</v>
      </c>
      <c r="L447" s="32" t="s">
        <v>56</v>
      </c>
      <c r="M447" s="32" t="s">
        <v>57</v>
      </c>
      <c r="N447" s="32" t="s">
        <v>994</v>
      </c>
      <c r="O447" s="37">
        <v>625.37</v>
      </c>
      <c r="P447" s="38" t="str">
        <f t="shared" si="45"/>
        <v>High</v>
      </c>
      <c r="Q447" s="37">
        <v>1319.04</v>
      </c>
      <c r="R447" s="37">
        <v>7.3999999999999996E-2</v>
      </c>
      <c r="S447" s="37">
        <v>8</v>
      </c>
      <c r="T447" s="37">
        <f t="shared" si="42"/>
        <v>10249.7088</v>
      </c>
      <c r="U447" s="32">
        <f t="shared" si="43"/>
        <v>5002.96</v>
      </c>
      <c r="V447" s="37">
        <f t="shared" si="46"/>
        <v>5246.7488000000003</v>
      </c>
      <c r="W447" s="39">
        <f t="shared" si="47"/>
        <v>0.51189247444766428</v>
      </c>
    </row>
    <row r="448" spans="1:23" x14ac:dyDescent="0.3">
      <c r="A448" s="40" t="s">
        <v>995</v>
      </c>
      <c r="B448" s="41">
        <v>45746</v>
      </c>
      <c r="C448" s="42">
        <v>45776</v>
      </c>
      <c r="D448" s="43">
        <f t="shared" si="48"/>
        <v>30</v>
      </c>
      <c r="E448" s="43" t="str">
        <f>TEXT(Data!B448,"MMM-YYYY")</f>
        <v>Mar-2025</v>
      </c>
      <c r="F448" s="43" t="str">
        <f t="shared" si="44"/>
        <v>Q1-2025</v>
      </c>
      <c r="G448" s="33" t="s">
        <v>16</v>
      </c>
      <c r="H448" s="33" t="s">
        <v>148</v>
      </c>
      <c r="I448" s="33" t="s">
        <v>172</v>
      </c>
      <c r="J448" s="33" t="s">
        <v>48</v>
      </c>
      <c r="K448" s="33" t="s">
        <v>40</v>
      </c>
      <c r="L448" s="33" t="s">
        <v>29</v>
      </c>
      <c r="M448" s="33" t="s">
        <v>64</v>
      </c>
      <c r="N448" s="33" t="s">
        <v>996</v>
      </c>
      <c r="O448" s="43">
        <v>194.6</v>
      </c>
      <c r="P448" s="44" t="str">
        <f t="shared" si="45"/>
        <v>High</v>
      </c>
      <c r="Q448" s="43">
        <v>314.87</v>
      </c>
      <c r="R448" s="43">
        <v>0.29299999999999998</v>
      </c>
      <c r="S448" s="43">
        <v>25</v>
      </c>
      <c r="T448" s="43">
        <f t="shared" si="42"/>
        <v>28077.267750000003</v>
      </c>
      <c r="U448" s="33">
        <f t="shared" si="43"/>
        <v>4865</v>
      </c>
      <c r="V448" s="43">
        <f t="shared" si="46"/>
        <v>23212.267750000003</v>
      </c>
      <c r="W448" s="45">
        <f t="shared" si="47"/>
        <v>0.82672815448718295</v>
      </c>
    </row>
    <row r="449" spans="1:23" x14ac:dyDescent="0.3">
      <c r="A449" s="34" t="s">
        <v>997</v>
      </c>
      <c r="B449" s="35">
        <v>45446</v>
      </c>
      <c r="C449" s="36">
        <v>45467</v>
      </c>
      <c r="D449" s="37">
        <f t="shared" si="48"/>
        <v>21</v>
      </c>
      <c r="E449" s="37" t="str">
        <f>TEXT(Data!B449,"MMM-YYYY")</f>
        <v>Jun-2024</v>
      </c>
      <c r="F449" s="37" t="str">
        <f t="shared" si="44"/>
        <v>Q2-2024</v>
      </c>
      <c r="G449" s="32" t="s">
        <v>52</v>
      </c>
      <c r="H449" s="32" t="s">
        <v>53</v>
      </c>
      <c r="I449" s="32" t="s">
        <v>54</v>
      </c>
      <c r="J449" s="32" t="s">
        <v>62</v>
      </c>
      <c r="K449" s="32" t="s">
        <v>98</v>
      </c>
      <c r="L449" s="32" t="s">
        <v>41</v>
      </c>
      <c r="M449" s="32" t="s">
        <v>64</v>
      </c>
      <c r="N449" s="32" t="s">
        <v>998</v>
      </c>
      <c r="O449" s="37">
        <v>1205.5</v>
      </c>
      <c r="P449" s="38" t="str">
        <f t="shared" si="45"/>
        <v>High</v>
      </c>
      <c r="Q449" s="37">
        <v>2210.17</v>
      </c>
      <c r="R449" s="37">
        <v>0.104</v>
      </c>
      <c r="S449" s="37">
        <v>23</v>
      </c>
      <c r="T449" s="37">
        <f t="shared" ref="T449:T512" si="49">(Q475*S449)*(1-R449)</f>
        <v>27698.182399999998</v>
      </c>
      <c r="U449" s="32">
        <f t="shared" ref="U449:U512" si="50">(O449*S449)</f>
        <v>27726.5</v>
      </c>
      <c r="V449" s="37">
        <f t="shared" si="46"/>
        <v>-28.31760000000213</v>
      </c>
      <c r="W449" s="39">
        <f t="shared" si="47"/>
        <v>-1.0223631136172362E-3</v>
      </c>
    </row>
    <row r="450" spans="1:23" x14ac:dyDescent="0.3">
      <c r="A450" s="40" t="s">
        <v>999</v>
      </c>
      <c r="B450" s="41">
        <v>45454</v>
      </c>
      <c r="C450" s="42">
        <v>45482</v>
      </c>
      <c r="D450" s="43">
        <f t="shared" si="48"/>
        <v>28</v>
      </c>
      <c r="E450" s="43" t="str">
        <f>TEXT(Data!B450,"MMM-YYYY")</f>
        <v>Jun-2024</v>
      </c>
      <c r="F450" s="43" t="str">
        <f t="shared" ref="F450:F513" si="51">"Q"&amp;ROUNDUP(MONTH(B450)/3,0)&amp;"-"&amp;YEAR(B450)</f>
        <v>Q2-2024</v>
      </c>
      <c r="G450" s="33" t="s">
        <v>16</v>
      </c>
      <c r="H450" s="33" t="s">
        <v>25</v>
      </c>
      <c r="I450" s="33" t="s">
        <v>26</v>
      </c>
      <c r="J450" s="33" t="s">
        <v>19</v>
      </c>
      <c r="K450" s="33" t="s">
        <v>40</v>
      </c>
      <c r="L450" s="33" t="s">
        <v>34</v>
      </c>
      <c r="M450" s="33" t="s">
        <v>42</v>
      </c>
      <c r="N450" s="33" t="s">
        <v>1000</v>
      </c>
      <c r="O450" s="43">
        <v>895.54</v>
      </c>
      <c r="P450" s="44" t="str">
        <f t="shared" ref="P450:P513" si="52">IF(Q450&lt;50, "Low", IF(Q450&lt;200, "Medium", "High"))</f>
        <v>High</v>
      </c>
      <c r="Q450" s="43">
        <v>1045</v>
      </c>
      <c r="R450" s="43">
        <v>0.216</v>
      </c>
      <c r="S450" s="43">
        <v>15</v>
      </c>
      <c r="T450" s="43">
        <f t="shared" si="49"/>
        <v>15173.8104</v>
      </c>
      <c r="U450" s="33">
        <f t="shared" si="50"/>
        <v>13433.099999999999</v>
      </c>
      <c r="V450" s="43">
        <f t="shared" ref="V450:V513" si="53">(T450-U450)</f>
        <v>1740.7104000000018</v>
      </c>
      <c r="W450" s="45">
        <f t="shared" ref="W450:W513" si="54">IF(T450=0, 0, V450/T450)</f>
        <v>0.11471808030499721</v>
      </c>
    </row>
    <row r="451" spans="1:23" x14ac:dyDescent="0.3">
      <c r="A451" s="34" t="s">
        <v>1001</v>
      </c>
      <c r="B451" s="35">
        <v>45129</v>
      </c>
      <c r="C451" s="36">
        <v>45128</v>
      </c>
      <c r="D451" s="37">
        <f>DATEDIF(C451,B451, "MD")</f>
        <v>1</v>
      </c>
      <c r="E451" s="37" t="str">
        <f>TEXT(Data!B451,"MMM-YYYY")</f>
        <v>Jul-2023</v>
      </c>
      <c r="F451" s="37" t="str">
        <f t="shared" si="51"/>
        <v>Q3-2023</v>
      </c>
      <c r="G451" s="32" t="s">
        <v>45</v>
      </c>
      <c r="H451" s="32" t="s">
        <v>60</v>
      </c>
      <c r="I451" s="32" t="s">
        <v>141</v>
      </c>
      <c r="J451" s="32" t="s">
        <v>62</v>
      </c>
      <c r="K451" s="32" t="s">
        <v>55</v>
      </c>
      <c r="L451" s="32" t="s">
        <v>63</v>
      </c>
      <c r="M451" s="32" t="s">
        <v>30</v>
      </c>
      <c r="N451" s="32" t="s">
        <v>1002</v>
      </c>
      <c r="O451" s="37">
        <v>946.99</v>
      </c>
      <c r="P451" s="38" t="str">
        <f t="shared" si="52"/>
        <v>High</v>
      </c>
      <c r="Q451" s="37">
        <v>2132.19</v>
      </c>
      <c r="R451" s="37">
        <v>0.16500000000000001</v>
      </c>
      <c r="S451" s="37">
        <v>7</v>
      </c>
      <c r="T451" s="37">
        <f t="shared" si="49"/>
        <v>1295.1351000000002</v>
      </c>
      <c r="U451" s="32">
        <f t="shared" si="50"/>
        <v>6628.93</v>
      </c>
      <c r="V451" s="37">
        <f t="shared" si="53"/>
        <v>-5333.7948999999999</v>
      </c>
      <c r="W451" s="39">
        <f t="shared" si="54"/>
        <v>-4.1183308984522151</v>
      </c>
    </row>
    <row r="452" spans="1:23" x14ac:dyDescent="0.3">
      <c r="A452" s="40" t="s">
        <v>1003</v>
      </c>
      <c r="B452" s="41">
        <v>44945</v>
      </c>
      <c r="C452" s="42">
        <v>44960</v>
      </c>
      <c r="D452" s="43">
        <f t="shared" ref="D452:D515" si="55">DATEDIF(B452,C452, "MD")</f>
        <v>15</v>
      </c>
      <c r="E452" s="43" t="str">
        <f>TEXT(Data!B452,"MMM-YYYY")</f>
        <v>Jan-2023</v>
      </c>
      <c r="F452" s="43" t="str">
        <f t="shared" si="51"/>
        <v>Q1-2023</v>
      </c>
      <c r="G452" s="33" t="s">
        <v>78</v>
      </c>
      <c r="H452" s="33" t="s">
        <v>108</v>
      </c>
      <c r="I452" s="33" t="s">
        <v>152</v>
      </c>
      <c r="J452" s="33" t="s">
        <v>105</v>
      </c>
      <c r="K452" s="33" t="s">
        <v>55</v>
      </c>
      <c r="L452" s="33" t="s">
        <v>41</v>
      </c>
      <c r="M452" s="33" t="s">
        <v>81</v>
      </c>
      <c r="N452" s="33" t="s">
        <v>1004</v>
      </c>
      <c r="O452" s="43">
        <v>873.06</v>
      </c>
      <c r="P452" s="44" t="str">
        <f t="shared" si="52"/>
        <v>High</v>
      </c>
      <c r="Q452" s="43">
        <v>2101.5500000000002</v>
      </c>
      <c r="R452" s="43">
        <v>6.6000000000000003E-2</v>
      </c>
      <c r="S452" s="43">
        <v>10</v>
      </c>
      <c r="T452" s="43">
        <f t="shared" si="49"/>
        <v>3365.5755999999997</v>
      </c>
      <c r="U452" s="33">
        <f t="shared" si="50"/>
        <v>8730.5999999999985</v>
      </c>
      <c r="V452" s="43">
        <f t="shared" si="53"/>
        <v>-5365.0243999999984</v>
      </c>
      <c r="W452" s="45">
        <f t="shared" si="54"/>
        <v>-1.5940882148064062</v>
      </c>
    </row>
    <row r="453" spans="1:23" x14ac:dyDescent="0.3">
      <c r="A453" s="34" t="s">
        <v>1005</v>
      </c>
      <c r="B453" s="35">
        <v>45413</v>
      </c>
      <c r="C453" s="36">
        <v>45428</v>
      </c>
      <c r="D453" s="37">
        <f t="shared" si="55"/>
        <v>15</v>
      </c>
      <c r="E453" s="37" t="str">
        <f>TEXT(Data!B453,"MMM-YYYY")</f>
        <v>May-2024</v>
      </c>
      <c r="F453" s="37" t="str">
        <f t="shared" si="51"/>
        <v>Q2-2024</v>
      </c>
      <c r="G453" s="32" t="s">
        <v>45</v>
      </c>
      <c r="H453" s="32" t="s">
        <v>60</v>
      </c>
      <c r="I453" s="32" t="s">
        <v>61</v>
      </c>
      <c r="J453" s="32" t="s">
        <v>62</v>
      </c>
      <c r="K453" s="32" t="s">
        <v>20</v>
      </c>
      <c r="L453" s="32" t="s">
        <v>49</v>
      </c>
      <c r="M453" s="32" t="s">
        <v>22</v>
      </c>
      <c r="N453" s="32" t="s">
        <v>1006</v>
      </c>
      <c r="O453" s="37">
        <v>901.19</v>
      </c>
      <c r="P453" s="38" t="str">
        <f t="shared" si="52"/>
        <v>High</v>
      </c>
      <c r="Q453" s="37">
        <v>2125.44</v>
      </c>
      <c r="R453" s="37">
        <v>7.0999999999999994E-2</v>
      </c>
      <c r="S453" s="37">
        <v>12</v>
      </c>
      <c r="T453" s="37">
        <f t="shared" si="49"/>
        <v>28380.689880000002</v>
      </c>
      <c r="U453" s="32">
        <f t="shared" si="50"/>
        <v>10814.28</v>
      </c>
      <c r="V453" s="37">
        <f t="shared" si="53"/>
        <v>17566.409879999999</v>
      </c>
      <c r="W453" s="39">
        <f t="shared" si="54"/>
        <v>0.61895640853956568</v>
      </c>
    </row>
    <row r="454" spans="1:23" x14ac:dyDescent="0.3">
      <c r="A454" s="40" t="s">
        <v>1007</v>
      </c>
      <c r="B454" s="41">
        <v>45817</v>
      </c>
      <c r="C454" s="42">
        <v>45832</v>
      </c>
      <c r="D454" s="43">
        <f t="shared" si="55"/>
        <v>15</v>
      </c>
      <c r="E454" s="43" t="str">
        <f>TEXT(Data!B454,"MMM-YYYY")</f>
        <v>Jun-2025</v>
      </c>
      <c r="F454" s="43" t="str">
        <f t="shared" si="51"/>
        <v>Q2-2025</v>
      </c>
      <c r="G454" s="33" t="s">
        <v>45</v>
      </c>
      <c r="H454" s="33" t="s">
        <v>46</v>
      </c>
      <c r="I454" s="33" t="s">
        <v>231</v>
      </c>
      <c r="J454" s="33" t="s">
        <v>19</v>
      </c>
      <c r="K454" s="33" t="s">
        <v>98</v>
      </c>
      <c r="L454" s="33" t="s">
        <v>56</v>
      </c>
      <c r="M454" s="33" t="s">
        <v>42</v>
      </c>
      <c r="N454" s="33" t="s">
        <v>1008</v>
      </c>
      <c r="O454" s="43">
        <v>400.39</v>
      </c>
      <c r="P454" s="44" t="str">
        <f t="shared" si="52"/>
        <v>High</v>
      </c>
      <c r="Q454" s="43">
        <v>712.75</v>
      </c>
      <c r="R454" s="43">
        <v>0.115</v>
      </c>
      <c r="S454" s="43">
        <v>19</v>
      </c>
      <c r="T454" s="43">
        <f t="shared" si="49"/>
        <v>11761.58805</v>
      </c>
      <c r="U454" s="33">
        <f t="shared" si="50"/>
        <v>7607.41</v>
      </c>
      <c r="V454" s="43">
        <f t="shared" si="53"/>
        <v>4154.1780500000004</v>
      </c>
      <c r="W454" s="45">
        <f t="shared" si="54"/>
        <v>0.35319873747831187</v>
      </c>
    </row>
    <row r="455" spans="1:23" x14ac:dyDescent="0.3">
      <c r="A455" s="34" t="s">
        <v>1009</v>
      </c>
      <c r="B455" s="35">
        <v>45070</v>
      </c>
      <c r="C455" s="36">
        <v>45098</v>
      </c>
      <c r="D455" s="37">
        <f t="shared" si="55"/>
        <v>28</v>
      </c>
      <c r="E455" s="37" t="str">
        <f>TEXT(Data!B455,"MMM-YYYY")</f>
        <v>May-2023</v>
      </c>
      <c r="F455" s="37" t="str">
        <f t="shared" si="51"/>
        <v>Q2-2023</v>
      </c>
      <c r="G455" s="32" t="s">
        <v>52</v>
      </c>
      <c r="H455" s="32" t="s">
        <v>122</v>
      </c>
      <c r="I455" s="32" t="s">
        <v>326</v>
      </c>
      <c r="J455" s="32" t="s">
        <v>62</v>
      </c>
      <c r="K455" s="32" t="s">
        <v>40</v>
      </c>
      <c r="L455" s="32" t="s">
        <v>41</v>
      </c>
      <c r="M455" s="32" t="s">
        <v>64</v>
      </c>
      <c r="N455" s="32" t="s">
        <v>1010</v>
      </c>
      <c r="O455" s="37">
        <v>813.97</v>
      </c>
      <c r="P455" s="38" t="str">
        <f t="shared" si="52"/>
        <v>High</v>
      </c>
      <c r="Q455" s="37">
        <v>1568.83</v>
      </c>
      <c r="R455" s="37">
        <v>1.7000000000000001E-2</v>
      </c>
      <c r="S455" s="37">
        <v>15</v>
      </c>
      <c r="T455" s="37">
        <f t="shared" si="49"/>
        <v>40381.984049999999</v>
      </c>
      <c r="U455" s="32">
        <f t="shared" si="50"/>
        <v>12209.550000000001</v>
      </c>
      <c r="V455" s="37">
        <f t="shared" si="53"/>
        <v>28172.434049999996</v>
      </c>
      <c r="W455" s="39">
        <f t="shared" si="54"/>
        <v>0.69764858544636066</v>
      </c>
    </row>
    <row r="456" spans="1:23" x14ac:dyDescent="0.3">
      <c r="A456" s="40" t="s">
        <v>1011</v>
      </c>
      <c r="B456" s="41">
        <v>45653</v>
      </c>
      <c r="C456" s="42">
        <v>45655</v>
      </c>
      <c r="D456" s="43">
        <f t="shared" si="55"/>
        <v>2</v>
      </c>
      <c r="E456" s="43" t="str">
        <f>TEXT(Data!B456,"MMM-YYYY")</f>
        <v>Dec-2024</v>
      </c>
      <c r="F456" s="43" t="str">
        <f t="shared" si="51"/>
        <v>Q4-2024</v>
      </c>
      <c r="G456" s="33" t="s">
        <v>52</v>
      </c>
      <c r="H456" s="33" t="s">
        <v>53</v>
      </c>
      <c r="I456" s="33" t="s">
        <v>179</v>
      </c>
      <c r="J456" s="33" t="s">
        <v>105</v>
      </c>
      <c r="K456" s="33" t="s">
        <v>40</v>
      </c>
      <c r="L456" s="33" t="s">
        <v>21</v>
      </c>
      <c r="M456" s="33" t="s">
        <v>81</v>
      </c>
      <c r="N456" s="33" t="s">
        <v>1012</v>
      </c>
      <c r="O456" s="43">
        <v>1146.72</v>
      </c>
      <c r="P456" s="44" t="str">
        <f t="shared" si="52"/>
        <v>High</v>
      </c>
      <c r="Q456" s="43">
        <v>2074.34</v>
      </c>
      <c r="R456" s="43">
        <v>0.111</v>
      </c>
      <c r="S456" s="43">
        <v>8</v>
      </c>
      <c r="T456" s="43">
        <f t="shared" si="49"/>
        <v>674.07536000000005</v>
      </c>
      <c r="U456" s="33">
        <f t="shared" si="50"/>
        <v>9173.76</v>
      </c>
      <c r="V456" s="43">
        <f t="shared" si="53"/>
        <v>-8499.6846399999995</v>
      </c>
      <c r="W456" s="45">
        <f t="shared" si="54"/>
        <v>-12.60939821327989</v>
      </c>
    </row>
    <row r="457" spans="1:23" x14ac:dyDescent="0.3">
      <c r="A457" s="34" t="s">
        <v>1013</v>
      </c>
      <c r="B457" s="35">
        <v>45265</v>
      </c>
      <c r="C457" s="36">
        <v>45272</v>
      </c>
      <c r="D457" s="37">
        <f t="shared" si="55"/>
        <v>7</v>
      </c>
      <c r="E457" s="37" t="str">
        <f>TEXT(Data!B457,"MMM-YYYY")</f>
        <v>Dec-2023</v>
      </c>
      <c r="F457" s="37" t="str">
        <f t="shared" si="51"/>
        <v>Q4-2023</v>
      </c>
      <c r="G457" s="32" t="s">
        <v>52</v>
      </c>
      <c r="H457" s="32" t="s">
        <v>73</v>
      </c>
      <c r="I457" s="32" t="s">
        <v>87</v>
      </c>
      <c r="J457" s="32" t="s">
        <v>19</v>
      </c>
      <c r="K457" s="32" t="s">
        <v>98</v>
      </c>
      <c r="L457" s="32" t="s">
        <v>84</v>
      </c>
      <c r="M457" s="32" t="s">
        <v>42</v>
      </c>
      <c r="N457" s="32" t="s">
        <v>1014</v>
      </c>
      <c r="O457" s="37">
        <v>307.43</v>
      </c>
      <c r="P457" s="38" t="str">
        <f t="shared" si="52"/>
        <v>High</v>
      </c>
      <c r="Q457" s="37">
        <v>495.19</v>
      </c>
      <c r="R457" s="37">
        <v>0</v>
      </c>
      <c r="S457" s="37">
        <v>42</v>
      </c>
      <c r="T457" s="37">
        <f t="shared" si="49"/>
        <v>116648.7</v>
      </c>
      <c r="U457" s="32">
        <f t="shared" si="50"/>
        <v>12912.06</v>
      </c>
      <c r="V457" s="37">
        <f t="shared" si="53"/>
        <v>103736.64</v>
      </c>
      <c r="W457" s="39">
        <f t="shared" si="54"/>
        <v>0.88930815345563219</v>
      </c>
    </row>
    <row r="458" spans="1:23" x14ac:dyDescent="0.3">
      <c r="A458" s="40" t="s">
        <v>1015</v>
      </c>
      <c r="B458" s="41">
        <v>45048</v>
      </c>
      <c r="C458" s="42">
        <v>45065</v>
      </c>
      <c r="D458" s="43">
        <f t="shared" si="55"/>
        <v>17</v>
      </c>
      <c r="E458" s="43" t="str">
        <f>TEXT(Data!B458,"MMM-YYYY")</f>
        <v>May-2023</v>
      </c>
      <c r="F458" s="43" t="str">
        <f t="shared" si="51"/>
        <v>Q2-2023</v>
      </c>
      <c r="G458" s="33" t="s">
        <v>45</v>
      </c>
      <c r="H458" s="33" t="s">
        <v>116</v>
      </c>
      <c r="I458" s="33" t="s">
        <v>162</v>
      </c>
      <c r="J458" s="33" t="s">
        <v>39</v>
      </c>
      <c r="K458" s="33" t="s">
        <v>98</v>
      </c>
      <c r="L458" s="33" t="s">
        <v>29</v>
      </c>
      <c r="M458" s="33" t="s">
        <v>64</v>
      </c>
      <c r="N458" s="33" t="s">
        <v>1016</v>
      </c>
      <c r="O458" s="43">
        <v>714.28</v>
      </c>
      <c r="P458" s="44" t="str">
        <f t="shared" si="52"/>
        <v>High</v>
      </c>
      <c r="Q458" s="43">
        <v>757.59</v>
      </c>
      <c r="R458" s="43">
        <v>0.13600000000000001</v>
      </c>
      <c r="S458" s="43">
        <v>12</v>
      </c>
      <c r="T458" s="43">
        <f t="shared" si="49"/>
        <v>5102.9222399999999</v>
      </c>
      <c r="U458" s="33">
        <f t="shared" si="50"/>
        <v>8571.36</v>
      </c>
      <c r="V458" s="43">
        <f t="shared" si="53"/>
        <v>-3468.4377600000007</v>
      </c>
      <c r="W458" s="45">
        <f t="shared" si="54"/>
        <v>-0.67969637726637211</v>
      </c>
    </row>
    <row r="459" spans="1:23" x14ac:dyDescent="0.3">
      <c r="A459" s="34" t="s">
        <v>1017</v>
      </c>
      <c r="B459" s="35">
        <v>45260</v>
      </c>
      <c r="C459" s="36">
        <v>45270</v>
      </c>
      <c r="D459" s="37">
        <f t="shared" si="55"/>
        <v>10</v>
      </c>
      <c r="E459" s="37" t="str">
        <f>TEXT(Data!B459,"MMM-YYYY")</f>
        <v>Nov-2023</v>
      </c>
      <c r="F459" s="37" t="str">
        <f t="shared" si="51"/>
        <v>Q4-2023</v>
      </c>
      <c r="G459" s="32" t="s">
        <v>78</v>
      </c>
      <c r="H459" s="32" t="s">
        <v>79</v>
      </c>
      <c r="I459" s="32" t="s">
        <v>159</v>
      </c>
      <c r="J459" s="32" t="s">
        <v>62</v>
      </c>
      <c r="K459" s="32" t="s">
        <v>98</v>
      </c>
      <c r="L459" s="32" t="s">
        <v>84</v>
      </c>
      <c r="M459" s="32" t="s">
        <v>57</v>
      </c>
      <c r="N459" s="32" t="s">
        <v>1018</v>
      </c>
      <c r="O459" s="37">
        <v>174.74</v>
      </c>
      <c r="P459" s="38" t="str">
        <f t="shared" si="52"/>
        <v>High</v>
      </c>
      <c r="Q459" s="37">
        <v>415.96</v>
      </c>
      <c r="R459" s="37">
        <v>0.125</v>
      </c>
      <c r="S459" s="37">
        <v>21</v>
      </c>
      <c r="T459" s="37">
        <f t="shared" si="49"/>
        <v>35310.318749999999</v>
      </c>
      <c r="U459" s="32">
        <f t="shared" si="50"/>
        <v>3669.54</v>
      </c>
      <c r="V459" s="37">
        <f t="shared" si="53"/>
        <v>31640.778749999998</v>
      </c>
      <c r="W459" s="39">
        <f t="shared" si="54"/>
        <v>0.89607740371927391</v>
      </c>
    </row>
    <row r="460" spans="1:23" x14ac:dyDescent="0.3">
      <c r="A460" s="40" t="s">
        <v>1019</v>
      </c>
      <c r="B460" s="41">
        <v>45417</v>
      </c>
      <c r="C460" s="42">
        <v>45430</v>
      </c>
      <c r="D460" s="43">
        <f t="shared" si="55"/>
        <v>13</v>
      </c>
      <c r="E460" s="43" t="str">
        <f>TEXT(Data!B460,"MMM-YYYY")</f>
        <v>May-2024</v>
      </c>
      <c r="F460" s="43" t="str">
        <f t="shared" si="51"/>
        <v>Q2-2024</v>
      </c>
      <c r="G460" s="33" t="s">
        <v>78</v>
      </c>
      <c r="H460" s="33" t="s">
        <v>90</v>
      </c>
      <c r="I460" s="33" t="s">
        <v>91</v>
      </c>
      <c r="J460" s="33" t="s">
        <v>19</v>
      </c>
      <c r="K460" s="33" t="s">
        <v>40</v>
      </c>
      <c r="L460" s="33" t="s">
        <v>75</v>
      </c>
      <c r="M460" s="33" t="s">
        <v>22</v>
      </c>
      <c r="N460" s="33" t="s">
        <v>1020</v>
      </c>
      <c r="O460" s="43">
        <v>1264.04</v>
      </c>
      <c r="P460" s="44" t="str">
        <f t="shared" si="52"/>
        <v>High</v>
      </c>
      <c r="Q460" s="43">
        <v>1870.89</v>
      </c>
      <c r="R460" s="43">
        <v>0</v>
      </c>
      <c r="S460" s="43">
        <v>13</v>
      </c>
      <c r="T460" s="43">
        <f t="shared" si="49"/>
        <v>3774.29</v>
      </c>
      <c r="U460" s="33">
        <f t="shared" si="50"/>
        <v>16432.52</v>
      </c>
      <c r="V460" s="43">
        <f t="shared" si="53"/>
        <v>-12658.23</v>
      </c>
      <c r="W460" s="45">
        <f t="shared" si="54"/>
        <v>-3.3538042916681019</v>
      </c>
    </row>
    <row r="461" spans="1:23" x14ac:dyDescent="0.3">
      <c r="A461" s="34" t="s">
        <v>1021</v>
      </c>
      <c r="B461" s="35">
        <v>45116</v>
      </c>
      <c r="C461" s="36">
        <v>45126</v>
      </c>
      <c r="D461" s="37">
        <f t="shared" si="55"/>
        <v>10</v>
      </c>
      <c r="E461" s="37" t="str">
        <f>TEXT(Data!B461,"MMM-YYYY")</f>
        <v>Jul-2023</v>
      </c>
      <c r="F461" s="37" t="str">
        <f t="shared" si="51"/>
        <v>Q3-2023</v>
      </c>
      <c r="G461" s="32" t="s">
        <v>45</v>
      </c>
      <c r="H461" s="32" t="s">
        <v>46</v>
      </c>
      <c r="I461" s="32" t="s">
        <v>214</v>
      </c>
      <c r="J461" s="32" t="s">
        <v>105</v>
      </c>
      <c r="K461" s="32" t="s">
        <v>55</v>
      </c>
      <c r="L461" s="32" t="s">
        <v>126</v>
      </c>
      <c r="M461" s="32" t="s">
        <v>22</v>
      </c>
      <c r="N461" s="32" t="s">
        <v>1022</v>
      </c>
      <c r="O461" s="37">
        <v>141.26</v>
      </c>
      <c r="P461" s="38" t="str">
        <f t="shared" si="52"/>
        <v>High</v>
      </c>
      <c r="Q461" s="37">
        <v>206.88</v>
      </c>
      <c r="R461" s="37">
        <v>0.107</v>
      </c>
      <c r="S461" s="37">
        <v>9</v>
      </c>
      <c r="T461" s="37">
        <f t="shared" si="49"/>
        <v>4845.6680399999996</v>
      </c>
      <c r="U461" s="32">
        <f t="shared" si="50"/>
        <v>1271.3399999999999</v>
      </c>
      <c r="V461" s="37">
        <f t="shared" si="53"/>
        <v>3574.3280399999994</v>
      </c>
      <c r="W461" s="39">
        <f t="shared" si="54"/>
        <v>0.737633698902742</v>
      </c>
    </row>
    <row r="462" spans="1:23" x14ac:dyDescent="0.3">
      <c r="A462" s="40" t="s">
        <v>1023</v>
      </c>
      <c r="B462" s="41">
        <v>45063</v>
      </c>
      <c r="C462" s="42">
        <v>45092</v>
      </c>
      <c r="D462" s="43">
        <f t="shared" si="55"/>
        <v>29</v>
      </c>
      <c r="E462" s="43" t="str">
        <f>TEXT(Data!B462,"MMM-YYYY")</f>
        <v>May-2023</v>
      </c>
      <c r="F462" s="43" t="str">
        <f t="shared" si="51"/>
        <v>Q2-2023</v>
      </c>
      <c r="G462" s="33" t="s">
        <v>16</v>
      </c>
      <c r="H462" s="33" t="s">
        <v>148</v>
      </c>
      <c r="I462" s="33" t="s">
        <v>172</v>
      </c>
      <c r="J462" s="33" t="s">
        <v>105</v>
      </c>
      <c r="K462" s="33" t="s">
        <v>20</v>
      </c>
      <c r="L462" s="33" t="s">
        <v>95</v>
      </c>
      <c r="M462" s="33" t="s">
        <v>81</v>
      </c>
      <c r="N462" s="33" t="s">
        <v>1024</v>
      </c>
      <c r="O462" s="43">
        <v>40.89</v>
      </c>
      <c r="P462" s="44" t="str">
        <f t="shared" si="52"/>
        <v>Medium</v>
      </c>
      <c r="Q462" s="43">
        <v>62.82</v>
      </c>
      <c r="R462" s="43">
        <v>0.129</v>
      </c>
      <c r="S462" s="43">
        <v>17</v>
      </c>
      <c r="T462" s="43">
        <f t="shared" si="49"/>
        <v>30761.5425</v>
      </c>
      <c r="U462" s="33">
        <f t="shared" si="50"/>
        <v>695.13</v>
      </c>
      <c r="V462" s="43">
        <f t="shared" si="53"/>
        <v>30066.412499999999</v>
      </c>
      <c r="W462" s="45">
        <f t="shared" si="54"/>
        <v>0.97740262862306071</v>
      </c>
    </row>
    <row r="463" spans="1:23" x14ac:dyDescent="0.3">
      <c r="A463" s="34" t="s">
        <v>1025</v>
      </c>
      <c r="B463" s="35">
        <v>45358</v>
      </c>
      <c r="C463" s="36">
        <v>45385</v>
      </c>
      <c r="D463" s="37">
        <f t="shared" si="55"/>
        <v>27</v>
      </c>
      <c r="E463" s="37" t="str">
        <f>TEXT(Data!B463,"MMM-YYYY")</f>
        <v>Mar-2024</v>
      </c>
      <c r="F463" s="37" t="str">
        <f t="shared" si="51"/>
        <v>Q1-2024</v>
      </c>
      <c r="G463" s="32" t="s">
        <v>78</v>
      </c>
      <c r="H463" s="32" t="s">
        <v>79</v>
      </c>
      <c r="I463" s="32" t="s">
        <v>335</v>
      </c>
      <c r="J463" s="32" t="s">
        <v>19</v>
      </c>
      <c r="K463" s="32" t="s">
        <v>98</v>
      </c>
      <c r="L463" s="32" t="s">
        <v>110</v>
      </c>
      <c r="M463" s="32" t="s">
        <v>30</v>
      </c>
      <c r="N463" s="32" t="s">
        <v>1026</v>
      </c>
      <c r="O463" s="37">
        <v>738.16</v>
      </c>
      <c r="P463" s="38" t="str">
        <f t="shared" si="52"/>
        <v>High</v>
      </c>
      <c r="Q463" s="37">
        <v>956.49</v>
      </c>
      <c r="R463" s="37">
        <v>0.152</v>
      </c>
      <c r="S463" s="37">
        <v>5</v>
      </c>
      <c r="T463" s="37">
        <f t="shared" si="49"/>
        <v>733.01119999999992</v>
      </c>
      <c r="U463" s="32">
        <f t="shared" si="50"/>
        <v>3690.7999999999997</v>
      </c>
      <c r="V463" s="37">
        <f t="shared" si="53"/>
        <v>-2957.7887999999998</v>
      </c>
      <c r="W463" s="39">
        <f t="shared" si="54"/>
        <v>-4.0351208821911593</v>
      </c>
    </row>
    <row r="464" spans="1:23" x14ac:dyDescent="0.3">
      <c r="A464" s="40" t="s">
        <v>1027</v>
      </c>
      <c r="B464" s="41">
        <v>45757</v>
      </c>
      <c r="C464" s="42">
        <v>45766</v>
      </c>
      <c r="D464" s="43">
        <f t="shared" si="55"/>
        <v>9</v>
      </c>
      <c r="E464" s="43" t="str">
        <f>TEXT(Data!B464,"MMM-YYYY")</f>
        <v>Apr-2025</v>
      </c>
      <c r="F464" s="43" t="str">
        <f t="shared" si="51"/>
        <v>Q2-2025</v>
      </c>
      <c r="G464" s="33" t="s">
        <v>16</v>
      </c>
      <c r="H464" s="33" t="s">
        <v>148</v>
      </c>
      <c r="I464" s="33" t="s">
        <v>172</v>
      </c>
      <c r="J464" s="33" t="s">
        <v>105</v>
      </c>
      <c r="K464" s="33" t="s">
        <v>1364</v>
      </c>
      <c r="L464" s="33" t="s">
        <v>41</v>
      </c>
      <c r="M464" s="33" t="s">
        <v>35</v>
      </c>
      <c r="N464" s="33" t="s">
        <v>1028</v>
      </c>
      <c r="O464" s="43">
        <v>113.74</v>
      </c>
      <c r="P464" s="44" t="str">
        <f t="shared" si="52"/>
        <v>Medium</v>
      </c>
      <c r="Q464" s="43">
        <v>165.7</v>
      </c>
      <c r="R464" s="43">
        <v>0.124</v>
      </c>
      <c r="S464" s="43">
        <v>13</v>
      </c>
      <c r="T464" s="43">
        <f t="shared" si="49"/>
        <v>31644.291119999994</v>
      </c>
      <c r="U464" s="33">
        <f t="shared" si="50"/>
        <v>1478.62</v>
      </c>
      <c r="V464" s="43">
        <f t="shared" si="53"/>
        <v>30165.671119999995</v>
      </c>
      <c r="W464" s="45">
        <f t="shared" si="54"/>
        <v>0.95327372022988777</v>
      </c>
    </row>
    <row r="465" spans="1:23" x14ac:dyDescent="0.3">
      <c r="A465" s="34" t="s">
        <v>1029</v>
      </c>
      <c r="B465" s="35">
        <v>45865</v>
      </c>
      <c r="C465" s="36">
        <v>45884</v>
      </c>
      <c r="D465" s="37">
        <f t="shared" si="55"/>
        <v>19</v>
      </c>
      <c r="E465" s="37" t="str">
        <f>TEXT(Data!B465,"MMM-YYYY")</f>
        <v>Jul-2025</v>
      </c>
      <c r="F465" s="37" t="str">
        <f t="shared" si="51"/>
        <v>Q3-2025</v>
      </c>
      <c r="G465" s="32" t="s">
        <v>45</v>
      </c>
      <c r="H465" s="32" t="s">
        <v>46</v>
      </c>
      <c r="I465" s="32" t="s">
        <v>214</v>
      </c>
      <c r="J465" s="32" t="s">
        <v>62</v>
      </c>
      <c r="K465" s="32" t="s">
        <v>40</v>
      </c>
      <c r="L465" s="32" t="s">
        <v>29</v>
      </c>
      <c r="M465" s="32" t="s">
        <v>22</v>
      </c>
      <c r="N465" s="32" t="s">
        <v>1030</v>
      </c>
      <c r="O465" s="37">
        <v>275.43</v>
      </c>
      <c r="P465" s="38" t="str">
        <f t="shared" si="52"/>
        <v>High</v>
      </c>
      <c r="Q465" s="37">
        <v>608.36</v>
      </c>
      <c r="R465" s="37">
        <v>0.25700000000000001</v>
      </c>
      <c r="S465" s="37">
        <v>4</v>
      </c>
      <c r="T465" s="37">
        <f t="shared" si="49"/>
        <v>919.74484000000007</v>
      </c>
      <c r="U465" s="32">
        <f t="shared" si="50"/>
        <v>1101.72</v>
      </c>
      <c r="V465" s="37">
        <f t="shared" si="53"/>
        <v>-181.97515999999996</v>
      </c>
      <c r="W465" s="39">
        <f t="shared" si="54"/>
        <v>-0.19785396132257718</v>
      </c>
    </row>
    <row r="466" spans="1:23" x14ac:dyDescent="0.3">
      <c r="A466" s="40" t="s">
        <v>1031</v>
      </c>
      <c r="B466" s="41">
        <v>45618</v>
      </c>
      <c r="C466" s="42">
        <v>45641</v>
      </c>
      <c r="D466" s="43">
        <f t="shared" si="55"/>
        <v>23</v>
      </c>
      <c r="E466" s="43" t="str">
        <f>TEXT(Data!B466,"MMM-YYYY")</f>
        <v>Nov-2024</v>
      </c>
      <c r="F466" s="43" t="str">
        <f t="shared" si="51"/>
        <v>Q4-2024</v>
      </c>
      <c r="G466" s="33" t="s">
        <v>16</v>
      </c>
      <c r="H466" s="33" t="s">
        <v>17</v>
      </c>
      <c r="I466" s="33" t="s">
        <v>113</v>
      </c>
      <c r="J466" s="33" t="s">
        <v>39</v>
      </c>
      <c r="K466" s="33" t="s">
        <v>55</v>
      </c>
      <c r="L466" s="33" t="s">
        <v>21</v>
      </c>
      <c r="M466" s="33" t="s">
        <v>22</v>
      </c>
      <c r="N466" s="33" t="s">
        <v>1032</v>
      </c>
      <c r="O466" s="43">
        <v>1335.76</v>
      </c>
      <c r="P466" s="44" t="str">
        <f t="shared" si="52"/>
        <v>High</v>
      </c>
      <c r="Q466" s="43">
        <v>2665.91</v>
      </c>
      <c r="R466" s="43">
        <v>0.21099999999999999</v>
      </c>
      <c r="S466" s="43">
        <v>40</v>
      </c>
      <c r="T466" s="43">
        <f t="shared" si="49"/>
        <v>21031.899600000001</v>
      </c>
      <c r="U466" s="33">
        <f t="shared" si="50"/>
        <v>53430.400000000001</v>
      </c>
      <c r="V466" s="43">
        <f t="shared" si="53"/>
        <v>-32398.500400000001</v>
      </c>
      <c r="W466" s="45">
        <f t="shared" si="54"/>
        <v>-1.5404457522229709</v>
      </c>
    </row>
    <row r="467" spans="1:23" x14ac:dyDescent="0.3">
      <c r="A467" s="34" t="s">
        <v>1033</v>
      </c>
      <c r="B467" s="35">
        <v>45466</v>
      </c>
      <c r="C467" s="36">
        <v>45471</v>
      </c>
      <c r="D467" s="37">
        <f t="shared" si="55"/>
        <v>5</v>
      </c>
      <c r="E467" s="37" t="str">
        <f>TEXT(Data!B467,"MMM-YYYY")</f>
        <v>Jun-2024</v>
      </c>
      <c r="F467" s="37" t="str">
        <f t="shared" si="51"/>
        <v>Q2-2024</v>
      </c>
      <c r="G467" s="32" t="s">
        <v>16</v>
      </c>
      <c r="H467" s="32" t="s">
        <v>25</v>
      </c>
      <c r="I467" s="32" t="s">
        <v>26</v>
      </c>
      <c r="J467" s="32" t="s">
        <v>39</v>
      </c>
      <c r="K467" s="32" t="s">
        <v>98</v>
      </c>
      <c r="L467" s="32" t="s">
        <v>110</v>
      </c>
      <c r="M467" s="32" t="s">
        <v>81</v>
      </c>
      <c r="N467" s="32" t="s">
        <v>1034</v>
      </c>
      <c r="O467" s="37">
        <v>242.31</v>
      </c>
      <c r="P467" s="38" t="str">
        <f t="shared" si="52"/>
        <v>High</v>
      </c>
      <c r="Q467" s="37">
        <v>587.95000000000005</v>
      </c>
      <c r="R467" s="37">
        <v>0.22900000000000001</v>
      </c>
      <c r="S467" s="37">
        <v>6</v>
      </c>
      <c r="T467" s="37">
        <f t="shared" si="49"/>
        <v>3442.9930199999999</v>
      </c>
      <c r="U467" s="32">
        <f t="shared" si="50"/>
        <v>1453.8600000000001</v>
      </c>
      <c r="V467" s="37">
        <f t="shared" si="53"/>
        <v>1989.1330199999998</v>
      </c>
      <c r="W467" s="39">
        <f t="shared" si="54"/>
        <v>0.57773367777550699</v>
      </c>
    </row>
    <row r="468" spans="1:23" x14ac:dyDescent="0.3">
      <c r="A468" s="40" t="s">
        <v>1035</v>
      </c>
      <c r="B468" s="41">
        <v>45278</v>
      </c>
      <c r="C468" s="42">
        <v>45305</v>
      </c>
      <c r="D468" s="43">
        <f t="shared" si="55"/>
        <v>27</v>
      </c>
      <c r="E468" s="43" t="str">
        <f>TEXT(Data!B468,"MMM-YYYY")</f>
        <v>Dec-2023</v>
      </c>
      <c r="F468" s="43" t="str">
        <f t="shared" si="51"/>
        <v>Q4-2023</v>
      </c>
      <c r="G468" s="33" t="s">
        <v>45</v>
      </c>
      <c r="H468" s="33" t="s">
        <v>60</v>
      </c>
      <c r="I468" s="33" t="s">
        <v>220</v>
      </c>
      <c r="J468" s="33" t="s">
        <v>48</v>
      </c>
      <c r="K468" s="33" t="s">
        <v>55</v>
      </c>
      <c r="L468" s="33" t="s">
        <v>145</v>
      </c>
      <c r="M468" s="33" t="s">
        <v>35</v>
      </c>
      <c r="N468" s="33" t="s">
        <v>1036</v>
      </c>
      <c r="O468" s="43">
        <v>1408.3</v>
      </c>
      <c r="P468" s="44" t="str">
        <f t="shared" si="52"/>
        <v>High</v>
      </c>
      <c r="Q468" s="43">
        <v>2193.13</v>
      </c>
      <c r="R468" s="43">
        <v>7.0999999999999994E-2</v>
      </c>
      <c r="S468" s="43">
        <v>7</v>
      </c>
      <c r="T468" s="43">
        <f t="shared" si="49"/>
        <v>82.523070000000004</v>
      </c>
      <c r="U468" s="33">
        <f t="shared" si="50"/>
        <v>9858.1</v>
      </c>
      <c r="V468" s="43">
        <f t="shared" si="53"/>
        <v>-9775.5769300000011</v>
      </c>
      <c r="W468" s="45">
        <f t="shared" si="54"/>
        <v>-118.45871621111527</v>
      </c>
    </row>
    <row r="469" spans="1:23" x14ac:dyDescent="0.3">
      <c r="A469" s="34" t="s">
        <v>1037</v>
      </c>
      <c r="B469" s="35">
        <v>45809</v>
      </c>
      <c r="C469" s="36">
        <v>45813</v>
      </c>
      <c r="D469" s="37">
        <f t="shared" si="55"/>
        <v>4</v>
      </c>
      <c r="E469" s="37" t="str">
        <f>TEXT(Data!B469,"MMM-YYYY")</f>
        <v>Jun-2025</v>
      </c>
      <c r="F469" s="37" t="str">
        <f t="shared" si="51"/>
        <v>Q2-2025</v>
      </c>
      <c r="G469" s="32" t="s">
        <v>78</v>
      </c>
      <c r="H469" s="32" t="s">
        <v>79</v>
      </c>
      <c r="I469" s="32" t="s">
        <v>159</v>
      </c>
      <c r="J469" s="32" t="s">
        <v>105</v>
      </c>
      <c r="K469" s="32" t="s">
        <v>98</v>
      </c>
      <c r="L469" s="32" t="s">
        <v>110</v>
      </c>
      <c r="M469" s="32" t="s">
        <v>22</v>
      </c>
      <c r="N469" s="32" t="s">
        <v>1038</v>
      </c>
      <c r="O469" s="37">
        <v>1171.42</v>
      </c>
      <c r="P469" s="38" t="str">
        <f t="shared" si="52"/>
        <v>High</v>
      </c>
      <c r="Q469" s="37">
        <v>2187.8000000000002</v>
      </c>
      <c r="R469" s="37">
        <v>0.23</v>
      </c>
      <c r="S469" s="37">
        <v>15</v>
      </c>
      <c r="T469" s="37">
        <f t="shared" si="49"/>
        <v>7525.518</v>
      </c>
      <c r="U469" s="32">
        <f t="shared" si="50"/>
        <v>17571.300000000003</v>
      </c>
      <c r="V469" s="37">
        <f t="shared" si="53"/>
        <v>-10045.782000000003</v>
      </c>
      <c r="W469" s="39">
        <f t="shared" si="54"/>
        <v>-1.3348957506978261</v>
      </c>
    </row>
    <row r="470" spans="1:23" x14ac:dyDescent="0.3">
      <c r="A470" s="40" t="s">
        <v>1039</v>
      </c>
      <c r="B470" s="41">
        <v>45739</v>
      </c>
      <c r="C470" s="42">
        <v>45749</v>
      </c>
      <c r="D470" s="43">
        <f t="shared" si="55"/>
        <v>10</v>
      </c>
      <c r="E470" s="43" t="str">
        <f>TEXT(Data!B470,"MMM-YYYY")</f>
        <v>Mar-2025</v>
      </c>
      <c r="F470" s="43" t="str">
        <f t="shared" si="51"/>
        <v>Q1-2025</v>
      </c>
      <c r="G470" s="33" t="s">
        <v>78</v>
      </c>
      <c r="H470" s="33" t="s">
        <v>79</v>
      </c>
      <c r="I470" s="33" t="s">
        <v>80</v>
      </c>
      <c r="J470" s="33" t="s">
        <v>105</v>
      </c>
      <c r="K470" s="33" t="s">
        <v>28</v>
      </c>
      <c r="L470" s="33" t="s">
        <v>63</v>
      </c>
      <c r="M470" s="33" t="s">
        <v>30</v>
      </c>
      <c r="N470" s="33" t="s">
        <v>1040</v>
      </c>
      <c r="O470" s="43">
        <v>663.61</v>
      </c>
      <c r="P470" s="44" t="str">
        <f t="shared" si="52"/>
        <v>High</v>
      </c>
      <c r="Q470" s="43">
        <v>1002.11</v>
      </c>
      <c r="R470" s="43">
        <v>4.5999999999999999E-2</v>
      </c>
      <c r="S470" s="43">
        <v>17</v>
      </c>
      <c r="T470" s="43">
        <f t="shared" si="49"/>
        <v>12231.93996</v>
      </c>
      <c r="U470" s="33">
        <f t="shared" si="50"/>
        <v>11281.37</v>
      </c>
      <c r="V470" s="43">
        <f t="shared" si="53"/>
        <v>950.5699599999989</v>
      </c>
      <c r="W470" s="45">
        <f t="shared" si="54"/>
        <v>7.7712117874064429E-2</v>
      </c>
    </row>
    <row r="471" spans="1:23" x14ac:dyDescent="0.3">
      <c r="A471" s="34" t="s">
        <v>1041</v>
      </c>
      <c r="B471" s="35">
        <v>45060</v>
      </c>
      <c r="C471" s="36">
        <v>45068</v>
      </c>
      <c r="D471" s="37">
        <f t="shared" si="55"/>
        <v>8</v>
      </c>
      <c r="E471" s="37" t="str">
        <f>TEXT(Data!B471,"MMM-YYYY")</f>
        <v>May-2023</v>
      </c>
      <c r="F471" s="37" t="str">
        <f t="shared" si="51"/>
        <v>Q2-2023</v>
      </c>
      <c r="G471" s="32" t="s">
        <v>16</v>
      </c>
      <c r="H471" s="32" t="s">
        <v>17</v>
      </c>
      <c r="I471" s="32" t="s">
        <v>113</v>
      </c>
      <c r="J471" s="32" t="s">
        <v>62</v>
      </c>
      <c r="K471" s="32" t="s">
        <v>55</v>
      </c>
      <c r="L471" s="32" t="s">
        <v>84</v>
      </c>
      <c r="M471" s="32" t="s">
        <v>30</v>
      </c>
      <c r="N471" s="32" t="s">
        <v>1042</v>
      </c>
      <c r="O471" s="37">
        <v>432.01</v>
      </c>
      <c r="P471" s="38" t="str">
        <f t="shared" si="52"/>
        <v>High</v>
      </c>
      <c r="Q471" s="37">
        <v>913.78</v>
      </c>
      <c r="R471" s="37">
        <v>4.9000000000000002E-2</v>
      </c>
      <c r="S471" s="37">
        <v>12</v>
      </c>
      <c r="T471" s="37">
        <f t="shared" si="49"/>
        <v>34019.286120000004</v>
      </c>
      <c r="U471" s="32">
        <f t="shared" si="50"/>
        <v>5184.12</v>
      </c>
      <c r="V471" s="37">
        <f t="shared" si="53"/>
        <v>28835.166120000005</v>
      </c>
      <c r="W471" s="39">
        <f t="shared" si="54"/>
        <v>0.84761232255981278</v>
      </c>
    </row>
    <row r="472" spans="1:23" x14ac:dyDescent="0.3">
      <c r="A472" s="40" t="s">
        <v>1043</v>
      </c>
      <c r="B472" s="41">
        <v>45167</v>
      </c>
      <c r="C472" s="42">
        <v>45188</v>
      </c>
      <c r="D472" s="43">
        <f t="shared" si="55"/>
        <v>21</v>
      </c>
      <c r="E472" s="43" t="str">
        <f>TEXT(Data!B472,"MMM-YYYY")</f>
        <v>Aug-2023</v>
      </c>
      <c r="F472" s="43" t="str">
        <f t="shared" si="51"/>
        <v>Q3-2023</v>
      </c>
      <c r="G472" s="33" t="s">
        <v>78</v>
      </c>
      <c r="H472" s="33" t="s">
        <v>90</v>
      </c>
      <c r="I472" s="33" t="s">
        <v>138</v>
      </c>
      <c r="J472" s="33" t="s">
        <v>62</v>
      </c>
      <c r="K472" s="33" t="s">
        <v>98</v>
      </c>
      <c r="L472" s="33" t="s">
        <v>56</v>
      </c>
      <c r="M472" s="33" t="s">
        <v>30</v>
      </c>
      <c r="N472" s="33" t="s">
        <v>1044</v>
      </c>
      <c r="O472" s="43">
        <v>784.46</v>
      </c>
      <c r="P472" s="44" t="str">
        <f t="shared" si="52"/>
        <v>High</v>
      </c>
      <c r="Q472" s="43">
        <v>1843.51</v>
      </c>
      <c r="R472" s="43">
        <v>0.13800000000000001</v>
      </c>
      <c r="S472" s="43">
        <v>23</v>
      </c>
      <c r="T472" s="43">
        <f t="shared" si="49"/>
        <v>19353.546419999999</v>
      </c>
      <c r="U472" s="33">
        <f t="shared" si="50"/>
        <v>18042.580000000002</v>
      </c>
      <c r="V472" s="43">
        <f t="shared" si="53"/>
        <v>1310.966419999997</v>
      </c>
      <c r="W472" s="45">
        <f t="shared" si="54"/>
        <v>6.7737787770268371E-2</v>
      </c>
    </row>
    <row r="473" spans="1:23" x14ac:dyDescent="0.3">
      <c r="A473" s="34" t="s">
        <v>1045</v>
      </c>
      <c r="B473" s="35">
        <v>45841</v>
      </c>
      <c r="C473" s="36">
        <v>45861</v>
      </c>
      <c r="D473" s="37">
        <f t="shared" si="55"/>
        <v>20</v>
      </c>
      <c r="E473" s="37" t="str">
        <f>TEXT(Data!B473,"MMM-YYYY")</f>
        <v>Jul-2025</v>
      </c>
      <c r="F473" s="37" t="str">
        <f t="shared" si="51"/>
        <v>Q3-2025</v>
      </c>
      <c r="G473" s="32" t="s">
        <v>45</v>
      </c>
      <c r="H473" s="32" t="s">
        <v>116</v>
      </c>
      <c r="I473" s="32" t="s">
        <v>338</v>
      </c>
      <c r="J473" s="32" t="s">
        <v>62</v>
      </c>
      <c r="K473" s="32" t="s">
        <v>28</v>
      </c>
      <c r="L473" s="32" t="s">
        <v>110</v>
      </c>
      <c r="M473" s="32" t="s">
        <v>22</v>
      </c>
      <c r="N473" s="32" t="s">
        <v>1046</v>
      </c>
      <c r="O473" s="37">
        <v>647.36</v>
      </c>
      <c r="P473" s="38" t="str">
        <f t="shared" si="52"/>
        <v>High</v>
      </c>
      <c r="Q473" s="37">
        <v>1383.6</v>
      </c>
      <c r="R473" s="37">
        <v>7.3999999999999996E-2</v>
      </c>
      <c r="S473" s="37">
        <v>12</v>
      </c>
      <c r="T473" s="37">
        <f t="shared" si="49"/>
        <v>12733.240800000001</v>
      </c>
      <c r="U473" s="32">
        <f t="shared" si="50"/>
        <v>7768.32</v>
      </c>
      <c r="V473" s="37">
        <f t="shared" si="53"/>
        <v>4964.9208000000017</v>
      </c>
      <c r="W473" s="39">
        <f t="shared" si="54"/>
        <v>0.38991807961410746</v>
      </c>
    </row>
    <row r="474" spans="1:23" x14ac:dyDescent="0.3">
      <c r="A474" s="40" t="s">
        <v>1047</v>
      </c>
      <c r="B474" s="41">
        <v>45328</v>
      </c>
      <c r="C474" s="42">
        <v>45350</v>
      </c>
      <c r="D474" s="43">
        <f t="shared" si="55"/>
        <v>22</v>
      </c>
      <c r="E474" s="43" t="str">
        <f>TEXT(Data!B474,"MMM-YYYY")</f>
        <v>Feb-2024</v>
      </c>
      <c r="F474" s="43" t="str">
        <f t="shared" si="51"/>
        <v>Q1-2024</v>
      </c>
      <c r="G474" s="33" t="s">
        <v>16</v>
      </c>
      <c r="H474" s="33" t="s">
        <v>17</v>
      </c>
      <c r="I474" s="33" t="s">
        <v>18</v>
      </c>
      <c r="J474" s="33" t="s">
        <v>39</v>
      </c>
      <c r="K474" s="33" t="s">
        <v>28</v>
      </c>
      <c r="L474" s="33" t="s">
        <v>95</v>
      </c>
      <c r="M474" s="33" t="s">
        <v>64</v>
      </c>
      <c r="N474" s="33" t="s">
        <v>1048</v>
      </c>
      <c r="O474" s="43">
        <v>834.93</v>
      </c>
      <c r="P474" s="44" t="str">
        <f t="shared" si="52"/>
        <v>High</v>
      </c>
      <c r="Q474" s="43">
        <v>1588.53</v>
      </c>
      <c r="R474" s="43">
        <v>0.126</v>
      </c>
      <c r="S474" s="43">
        <v>6</v>
      </c>
      <c r="T474" s="43">
        <f t="shared" si="49"/>
        <v>8549.7651600000008</v>
      </c>
      <c r="U474" s="33">
        <f t="shared" si="50"/>
        <v>5009.58</v>
      </c>
      <c r="V474" s="43">
        <f t="shared" si="53"/>
        <v>3540.1851600000009</v>
      </c>
      <c r="W474" s="45">
        <f t="shared" si="54"/>
        <v>0.4140681169305942</v>
      </c>
    </row>
    <row r="475" spans="1:23" x14ac:dyDescent="0.3">
      <c r="A475" s="34" t="s">
        <v>1049</v>
      </c>
      <c r="B475" s="35">
        <v>45882</v>
      </c>
      <c r="C475" s="36">
        <v>45903</v>
      </c>
      <c r="D475" s="37">
        <f t="shared" si="55"/>
        <v>21</v>
      </c>
      <c r="E475" s="37" t="str">
        <f>TEXT(Data!B475,"MMM-YYYY")</f>
        <v>Aug-2025</v>
      </c>
      <c r="F475" s="37" t="str">
        <f t="shared" si="51"/>
        <v>Q3-2025</v>
      </c>
      <c r="G475" s="32" t="s">
        <v>78</v>
      </c>
      <c r="H475" s="32" t="s">
        <v>90</v>
      </c>
      <c r="I475" s="32" t="s">
        <v>217</v>
      </c>
      <c r="J475" s="32" t="s">
        <v>27</v>
      </c>
      <c r="K475" s="32" t="s">
        <v>20</v>
      </c>
      <c r="L475" s="32" t="s">
        <v>34</v>
      </c>
      <c r="M475" s="32" t="s">
        <v>42</v>
      </c>
      <c r="N475" s="32" t="s">
        <v>1050</v>
      </c>
      <c r="O475" s="37">
        <v>603.47</v>
      </c>
      <c r="P475" s="38" t="str">
        <f t="shared" si="52"/>
        <v>High</v>
      </c>
      <c r="Q475" s="37">
        <v>1344.05</v>
      </c>
      <c r="R475" s="37">
        <v>0.20499999999999999</v>
      </c>
      <c r="S475" s="37">
        <v>18</v>
      </c>
      <c r="T475" s="37">
        <f t="shared" si="49"/>
        <v>13790.9763</v>
      </c>
      <c r="U475" s="32">
        <f t="shared" si="50"/>
        <v>10862.460000000001</v>
      </c>
      <c r="V475" s="37">
        <f t="shared" si="53"/>
        <v>2928.5162999999993</v>
      </c>
      <c r="W475" s="39">
        <f t="shared" si="54"/>
        <v>0.21235018002315031</v>
      </c>
    </row>
    <row r="476" spans="1:23" x14ac:dyDescent="0.3">
      <c r="A476" s="40" t="s">
        <v>1051</v>
      </c>
      <c r="B476" s="41">
        <v>45069</v>
      </c>
      <c r="C476" s="42">
        <v>45071</v>
      </c>
      <c r="D476" s="43">
        <f t="shared" si="55"/>
        <v>2</v>
      </c>
      <c r="E476" s="43" t="str">
        <f>TEXT(Data!B476,"MMM-YYYY")</f>
        <v>May-2023</v>
      </c>
      <c r="F476" s="43" t="str">
        <f t="shared" si="51"/>
        <v>Q2-2023</v>
      </c>
      <c r="G476" s="33" t="s">
        <v>52</v>
      </c>
      <c r="H476" s="33" t="s">
        <v>73</v>
      </c>
      <c r="I476" s="33" t="s">
        <v>225</v>
      </c>
      <c r="J476" s="33" t="s">
        <v>105</v>
      </c>
      <c r="K476" s="33" t="s">
        <v>20</v>
      </c>
      <c r="L476" s="33" t="s">
        <v>110</v>
      </c>
      <c r="M476" s="33" t="s">
        <v>30</v>
      </c>
      <c r="N476" s="33" t="s">
        <v>1052</v>
      </c>
      <c r="O476" s="43">
        <v>690.49</v>
      </c>
      <c r="P476" s="44" t="str">
        <f t="shared" si="52"/>
        <v>High</v>
      </c>
      <c r="Q476" s="43">
        <v>1290.29</v>
      </c>
      <c r="R476" s="43">
        <v>4.2000000000000003E-2</v>
      </c>
      <c r="S476" s="43">
        <v>22</v>
      </c>
      <c r="T476" s="43">
        <f t="shared" si="49"/>
        <v>18794.101480000001</v>
      </c>
      <c r="U476" s="33">
        <f t="shared" si="50"/>
        <v>15190.78</v>
      </c>
      <c r="V476" s="43">
        <f t="shared" si="53"/>
        <v>3603.3214800000005</v>
      </c>
      <c r="W476" s="45">
        <f t="shared" si="54"/>
        <v>0.19172619046643566</v>
      </c>
    </row>
    <row r="477" spans="1:23" x14ac:dyDescent="0.3">
      <c r="A477" s="34" t="s">
        <v>1053</v>
      </c>
      <c r="B477" s="35">
        <v>45422</v>
      </c>
      <c r="C477" s="36">
        <v>45428</v>
      </c>
      <c r="D477" s="37">
        <f t="shared" si="55"/>
        <v>6</v>
      </c>
      <c r="E477" s="37" t="str">
        <f>TEXT(Data!B477,"MMM-YYYY")</f>
        <v>May-2024</v>
      </c>
      <c r="F477" s="37" t="str">
        <f t="shared" si="51"/>
        <v>Q2-2024</v>
      </c>
      <c r="G477" s="32" t="s">
        <v>78</v>
      </c>
      <c r="H477" s="32" t="s">
        <v>108</v>
      </c>
      <c r="I477" s="32" t="s">
        <v>109</v>
      </c>
      <c r="J477" s="32" t="s">
        <v>39</v>
      </c>
      <c r="K477" s="32" t="s">
        <v>98</v>
      </c>
      <c r="L477" s="32" t="s">
        <v>41</v>
      </c>
      <c r="M477" s="32" t="s">
        <v>57</v>
      </c>
      <c r="N477" s="32" t="s">
        <v>1054</v>
      </c>
      <c r="O477" s="37">
        <v>210.76</v>
      </c>
      <c r="P477" s="38" t="str">
        <f t="shared" si="52"/>
        <v>High</v>
      </c>
      <c r="Q477" s="37">
        <v>221.58</v>
      </c>
      <c r="R477" s="37">
        <v>8.8999999999999996E-2</v>
      </c>
      <c r="S477" s="37">
        <v>5</v>
      </c>
      <c r="T477" s="37">
        <f t="shared" si="49"/>
        <v>7596.9201000000003</v>
      </c>
      <c r="U477" s="32">
        <f t="shared" si="50"/>
        <v>1053.8</v>
      </c>
      <c r="V477" s="37">
        <f t="shared" si="53"/>
        <v>6543.1201000000001</v>
      </c>
      <c r="W477" s="39">
        <f t="shared" si="54"/>
        <v>0.86128589137063583</v>
      </c>
    </row>
    <row r="478" spans="1:23" x14ac:dyDescent="0.3">
      <c r="A478" s="40" t="s">
        <v>1055</v>
      </c>
      <c r="B478" s="41">
        <v>44999</v>
      </c>
      <c r="C478" s="42">
        <v>45003</v>
      </c>
      <c r="D478" s="43">
        <f t="shared" si="55"/>
        <v>4</v>
      </c>
      <c r="E478" s="43" t="str">
        <f>TEXT(Data!B478,"MMM-YYYY")</f>
        <v>Mar-2023</v>
      </c>
      <c r="F478" s="43" t="str">
        <f t="shared" si="51"/>
        <v>Q1-2023</v>
      </c>
      <c r="G478" s="33" t="s">
        <v>78</v>
      </c>
      <c r="H478" s="33" t="s">
        <v>79</v>
      </c>
      <c r="I478" s="33" t="s">
        <v>335</v>
      </c>
      <c r="J478" s="33" t="s">
        <v>105</v>
      </c>
      <c r="K478" s="33" t="s">
        <v>98</v>
      </c>
      <c r="L478" s="33" t="s">
        <v>75</v>
      </c>
      <c r="M478" s="33" t="s">
        <v>22</v>
      </c>
      <c r="N478" s="33" t="s">
        <v>1056</v>
      </c>
      <c r="O478" s="43">
        <v>472.33</v>
      </c>
      <c r="P478" s="44" t="str">
        <f t="shared" si="52"/>
        <v>High</v>
      </c>
      <c r="Q478" s="43">
        <v>360.34</v>
      </c>
      <c r="R478" s="43">
        <v>0.16500000000000001</v>
      </c>
      <c r="S478" s="43">
        <v>14</v>
      </c>
      <c r="T478" s="43">
        <f t="shared" si="49"/>
        <v>22462.4519</v>
      </c>
      <c r="U478" s="33">
        <f t="shared" si="50"/>
        <v>6612.62</v>
      </c>
      <c r="V478" s="43">
        <f t="shared" si="53"/>
        <v>15849.831900000001</v>
      </c>
      <c r="W478" s="45">
        <f t="shared" si="54"/>
        <v>0.70561450595693875</v>
      </c>
    </row>
    <row r="479" spans="1:23" x14ac:dyDescent="0.3">
      <c r="A479" s="34" t="s">
        <v>1057</v>
      </c>
      <c r="B479" s="35">
        <v>45123</v>
      </c>
      <c r="C479" s="36">
        <v>45151</v>
      </c>
      <c r="D479" s="37">
        <f t="shared" si="55"/>
        <v>28</v>
      </c>
      <c r="E479" s="37" t="str">
        <f>TEXT(Data!B479,"MMM-YYYY")</f>
        <v>Jul-2023</v>
      </c>
      <c r="F479" s="37" t="str">
        <f t="shared" si="51"/>
        <v>Q3-2023</v>
      </c>
      <c r="G479" s="32" t="s">
        <v>78</v>
      </c>
      <c r="H479" s="32" t="s">
        <v>108</v>
      </c>
      <c r="I479" s="32" t="s">
        <v>228</v>
      </c>
      <c r="J479" s="32" t="s">
        <v>39</v>
      </c>
      <c r="K479" s="32" t="s">
        <v>28</v>
      </c>
      <c r="L479" s="32" t="s">
        <v>29</v>
      </c>
      <c r="M479" s="32" t="s">
        <v>57</v>
      </c>
      <c r="N479" s="32" t="s">
        <v>1058</v>
      </c>
      <c r="O479" s="37">
        <v>1039.03</v>
      </c>
      <c r="P479" s="38" t="str">
        <f t="shared" si="52"/>
        <v>High</v>
      </c>
      <c r="Q479" s="37">
        <v>2545.81</v>
      </c>
      <c r="R479" s="37">
        <v>0.216</v>
      </c>
      <c r="S479" s="37">
        <v>21</v>
      </c>
      <c r="T479" s="37">
        <f t="shared" si="49"/>
        <v>20043.767520000001</v>
      </c>
      <c r="U479" s="32">
        <f t="shared" si="50"/>
        <v>21819.63</v>
      </c>
      <c r="V479" s="37">
        <f t="shared" si="53"/>
        <v>-1775.8624799999998</v>
      </c>
      <c r="W479" s="39">
        <f t="shared" si="54"/>
        <v>-8.8599235559283701E-2</v>
      </c>
    </row>
    <row r="480" spans="1:23" x14ac:dyDescent="0.3">
      <c r="A480" s="40" t="s">
        <v>1059</v>
      </c>
      <c r="B480" s="41">
        <v>45032</v>
      </c>
      <c r="C480" s="42">
        <v>45035</v>
      </c>
      <c r="D480" s="43">
        <f t="shared" si="55"/>
        <v>3</v>
      </c>
      <c r="E480" s="43" t="str">
        <f>TEXT(Data!B480,"MMM-YYYY")</f>
        <v>Apr-2023</v>
      </c>
      <c r="F480" s="43" t="str">
        <f t="shared" si="51"/>
        <v>Q2-2023</v>
      </c>
      <c r="G480" s="33" t="s">
        <v>78</v>
      </c>
      <c r="H480" s="33" t="s">
        <v>79</v>
      </c>
      <c r="I480" s="33" t="s">
        <v>159</v>
      </c>
      <c r="J480" s="33" t="s">
        <v>19</v>
      </c>
      <c r="K480" s="33" t="s">
        <v>98</v>
      </c>
      <c r="L480" s="33" t="s">
        <v>56</v>
      </c>
      <c r="M480" s="33" t="s">
        <v>81</v>
      </c>
      <c r="N480" s="33" t="s">
        <v>1060</v>
      </c>
      <c r="O480" s="43">
        <v>553.61</v>
      </c>
      <c r="P480" s="44" t="str">
        <f t="shared" si="52"/>
        <v>High</v>
      </c>
      <c r="Q480" s="43">
        <v>699.47</v>
      </c>
      <c r="R480" s="43">
        <v>0.02</v>
      </c>
      <c r="S480" s="43">
        <v>33</v>
      </c>
      <c r="T480" s="43">
        <f t="shared" si="49"/>
        <v>31378.531800000001</v>
      </c>
      <c r="U480" s="33">
        <f t="shared" si="50"/>
        <v>18269.13</v>
      </c>
      <c r="V480" s="43">
        <f t="shared" si="53"/>
        <v>13109.4018</v>
      </c>
      <c r="W480" s="45">
        <f t="shared" si="54"/>
        <v>0.41778251078018885</v>
      </c>
    </row>
    <row r="481" spans="1:23" x14ac:dyDescent="0.3">
      <c r="A481" s="34" t="s">
        <v>1061</v>
      </c>
      <c r="B481" s="35">
        <v>45293</v>
      </c>
      <c r="C481" s="36">
        <v>45306</v>
      </c>
      <c r="D481" s="37">
        <f t="shared" si="55"/>
        <v>13</v>
      </c>
      <c r="E481" s="37" t="str">
        <f>TEXT(Data!B481,"MMM-YYYY")</f>
        <v>Jan-2024</v>
      </c>
      <c r="F481" s="37" t="str">
        <f t="shared" si="51"/>
        <v>Q1-2024</v>
      </c>
      <c r="G481" s="32" t="s">
        <v>45</v>
      </c>
      <c r="H481" s="32" t="s">
        <v>46</v>
      </c>
      <c r="I481" s="32" t="s">
        <v>231</v>
      </c>
      <c r="J481" s="32" t="s">
        <v>62</v>
      </c>
      <c r="K481" s="32" t="s">
        <v>40</v>
      </c>
      <c r="L481" s="32" t="s">
        <v>41</v>
      </c>
      <c r="M481" s="32" t="s">
        <v>35</v>
      </c>
      <c r="N481" s="32" t="s">
        <v>1062</v>
      </c>
      <c r="O481" s="37">
        <v>1219.06</v>
      </c>
      <c r="P481" s="38" t="str">
        <f t="shared" si="52"/>
        <v>High</v>
      </c>
      <c r="Q481" s="37">
        <v>2738.69</v>
      </c>
      <c r="R481" s="37">
        <v>7.5999999999999998E-2</v>
      </c>
      <c r="S481" s="37">
        <v>16</v>
      </c>
      <c r="T481" s="37">
        <f t="shared" si="49"/>
        <v>24019.121280000003</v>
      </c>
      <c r="U481" s="32">
        <f t="shared" si="50"/>
        <v>19504.96</v>
      </c>
      <c r="V481" s="37">
        <f t="shared" si="53"/>
        <v>4514.1612800000039</v>
      </c>
      <c r="W481" s="39">
        <f t="shared" si="54"/>
        <v>0.18794031752355611</v>
      </c>
    </row>
    <row r="482" spans="1:23" x14ac:dyDescent="0.3">
      <c r="A482" s="40" t="s">
        <v>1063</v>
      </c>
      <c r="B482" s="41">
        <v>45538</v>
      </c>
      <c r="C482" s="42">
        <v>45542</v>
      </c>
      <c r="D482" s="43">
        <f t="shared" si="55"/>
        <v>4</v>
      </c>
      <c r="E482" s="43" t="str">
        <f>TEXT(Data!B482,"MMM-YYYY")</f>
        <v>Sep-2024</v>
      </c>
      <c r="F482" s="43" t="str">
        <f t="shared" si="51"/>
        <v>Q3-2024</v>
      </c>
      <c r="G482" s="33" t="s">
        <v>45</v>
      </c>
      <c r="H482" s="33" t="s">
        <v>46</v>
      </c>
      <c r="I482" s="33" t="s">
        <v>214</v>
      </c>
      <c r="J482" s="33" t="s">
        <v>62</v>
      </c>
      <c r="K482" s="33" t="s">
        <v>55</v>
      </c>
      <c r="L482" s="33" t="s">
        <v>126</v>
      </c>
      <c r="M482" s="33" t="s">
        <v>30</v>
      </c>
      <c r="N482" s="33" t="s">
        <v>1064</v>
      </c>
      <c r="O482" s="43">
        <v>43.23</v>
      </c>
      <c r="P482" s="44" t="str">
        <f t="shared" si="52"/>
        <v>Medium</v>
      </c>
      <c r="Q482" s="43">
        <v>94.78</v>
      </c>
      <c r="R482" s="43">
        <v>9.0999999999999998E-2</v>
      </c>
      <c r="S482" s="43">
        <v>55</v>
      </c>
      <c r="T482" s="43">
        <f t="shared" si="49"/>
        <v>130292.46945000002</v>
      </c>
      <c r="U482" s="33">
        <f t="shared" si="50"/>
        <v>2377.6499999999996</v>
      </c>
      <c r="V482" s="43">
        <f t="shared" si="53"/>
        <v>127914.81945000002</v>
      </c>
      <c r="W482" s="45">
        <f t="shared" si="54"/>
        <v>0.98175143958790023</v>
      </c>
    </row>
    <row r="483" spans="1:23" x14ac:dyDescent="0.3">
      <c r="A483" s="34" t="s">
        <v>1065</v>
      </c>
      <c r="B483" s="35">
        <v>45899</v>
      </c>
      <c r="C483" s="36">
        <v>45903</v>
      </c>
      <c r="D483" s="37">
        <f t="shared" si="55"/>
        <v>4</v>
      </c>
      <c r="E483" s="37" t="str">
        <f>TEXT(Data!B483,"MMM-YYYY")</f>
        <v>Aug-2025</v>
      </c>
      <c r="F483" s="37" t="str">
        <f t="shared" si="51"/>
        <v>Q3-2025</v>
      </c>
      <c r="G483" s="32" t="s">
        <v>78</v>
      </c>
      <c r="H483" s="32" t="s">
        <v>90</v>
      </c>
      <c r="I483" s="32" t="s">
        <v>91</v>
      </c>
      <c r="J483" s="32" t="s">
        <v>62</v>
      </c>
      <c r="K483" s="32" t="s">
        <v>40</v>
      </c>
      <c r="L483" s="32" t="s">
        <v>29</v>
      </c>
      <c r="M483" s="32" t="s">
        <v>57</v>
      </c>
      <c r="N483" s="32" t="s">
        <v>1066</v>
      </c>
      <c r="O483" s="37">
        <v>1286.56</v>
      </c>
      <c r="P483" s="38" t="str">
        <f t="shared" si="52"/>
        <v>High</v>
      </c>
      <c r="Q483" s="37">
        <v>2777.35</v>
      </c>
      <c r="R483" s="37">
        <v>0.13200000000000001</v>
      </c>
      <c r="S483" s="37">
        <v>15</v>
      </c>
      <c r="T483" s="37">
        <f t="shared" si="49"/>
        <v>5660.0544</v>
      </c>
      <c r="U483" s="32">
        <f t="shared" si="50"/>
        <v>19298.399999999998</v>
      </c>
      <c r="V483" s="37">
        <f t="shared" si="53"/>
        <v>-13638.345599999997</v>
      </c>
      <c r="W483" s="39">
        <f t="shared" si="54"/>
        <v>-2.4095785369130014</v>
      </c>
    </row>
    <row r="484" spans="1:23" x14ac:dyDescent="0.3">
      <c r="A484" s="40" t="s">
        <v>1067</v>
      </c>
      <c r="B484" s="41">
        <v>45775</v>
      </c>
      <c r="C484" s="42">
        <v>45796</v>
      </c>
      <c r="D484" s="43">
        <f t="shared" si="55"/>
        <v>21</v>
      </c>
      <c r="E484" s="43" t="str">
        <f>TEXT(Data!B484,"MMM-YYYY")</f>
        <v>Apr-2025</v>
      </c>
      <c r="F484" s="43" t="str">
        <f t="shared" si="51"/>
        <v>Q2-2025</v>
      </c>
      <c r="G484" s="33" t="s">
        <v>78</v>
      </c>
      <c r="H484" s="33" t="s">
        <v>79</v>
      </c>
      <c r="I484" s="33" t="s">
        <v>80</v>
      </c>
      <c r="J484" s="33" t="s">
        <v>19</v>
      </c>
      <c r="K484" s="33" t="s">
        <v>55</v>
      </c>
      <c r="L484" s="33" t="s">
        <v>56</v>
      </c>
      <c r="M484" s="33" t="s">
        <v>42</v>
      </c>
      <c r="N484" s="33" t="s">
        <v>1068</v>
      </c>
      <c r="O484" s="43">
        <v>350.76</v>
      </c>
      <c r="P484" s="44" t="str">
        <f t="shared" si="52"/>
        <v>High</v>
      </c>
      <c r="Q484" s="43">
        <v>492.18</v>
      </c>
      <c r="R484" s="43">
        <v>5.2999999999999999E-2</v>
      </c>
      <c r="S484" s="43">
        <v>11</v>
      </c>
      <c r="T484" s="43">
        <f t="shared" si="49"/>
        <v>19379.89097</v>
      </c>
      <c r="U484" s="33">
        <f t="shared" si="50"/>
        <v>3858.3599999999997</v>
      </c>
      <c r="V484" s="43">
        <f t="shared" si="53"/>
        <v>15521.53097</v>
      </c>
      <c r="W484" s="45">
        <f t="shared" si="54"/>
        <v>0.80090909665215726</v>
      </c>
    </row>
    <row r="485" spans="1:23" x14ac:dyDescent="0.3">
      <c r="A485" s="34" t="s">
        <v>1069</v>
      </c>
      <c r="B485" s="35">
        <v>45148</v>
      </c>
      <c r="C485" s="36">
        <v>45153</v>
      </c>
      <c r="D485" s="37">
        <f t="shared" si="55"/>
        <v>5</v>
      </c>
      <c r="E485" s="37" t="str">
        <f>TEXT(Data!B485,"MMM-YYYY")</f>
        <v>Aug-2023</v>
      </c>
      <c r="F485" s="37" t="str">
        <f t="shared" si="51"/>
        <v>Q3-2023</v>
      </c>
      <c r="G485" s="32" t="s">
        <v>52</v>
      </c>
      <c r="H485" s="32" t="s">
        <v>73</v>
      </c>
      <c r="I485" s="32" t="s">
        <v>74</v>
      </c>
      <c r="J485" s="32" t="s">
        <v>27</v>
      </c>
      <c r="K485" s="32" t="s">
        <v>98</v>
      </c>
      <c r="L485" s="32" t="s">
        <v>41</v>
      </c>
      <c r="M485" s="32" t="s">
        <v>35</v>
      </c>
      <c r="N485" s="32" t="s">
        <v>1070</v>
      </c>
      <c r="O485" s="37">
        <v>1307.52</v>
      </c>
      <c r="P485" s="38" t="str">
        <f t="shared" si="52"/>
        <v>High</v>
      </c>
      <c r="Q485" s="37">
        <v>1921.65</v>
      </c>
      <c r="R485" s="37">
        <v>0.123</v>
      </c>
      <c r="S485" s="37">
        <v>13</v>
      </c>
      <c r="T485" s="37">
        <f t="shared" si="49"/>
        <v>9504.8996900000002</v>
      </c>
      <c r="U485" s="32">
        <f t="shared" si="50"/>
        <v>16997.759999999998</v>
      </c>
      <c r="V485" s="37">
        <f t="shared" si="53"/>
        <v>-7492.8603099999982</v>
      </c>
      <c r="W485" s="39">
        <f t="shared" si="54"/>
        <v>-0.78831555875157244</v>
      </c>
    </row>
    <row r="486" spans="1:23" x14ac:dyDescent="0.3">
      <c r="A486" s="40" t="s">
        <v>1071</v>
      </c>
      <c r="B486" s="41">
        <v>45634</v>
      </c>
      <c r="C486" s="42">
        <v>45634</v>
      </c>
      <c r="D486" s="43">
        <f t="shared" si="55"/>
        <v>0</v>
      </c>
      <c r="E486" s="43" t="str">
        <f>TEXT(Data!B486,"MMM-YYYY")</f>
        <v>Dec-2024</v>
      </c>
      <c r="F486" s="43" t="str">
        <f t="shared" si="51"/>
        <v>Q4-2024</v>
      </c>
      <c r="G486" s="33" t="s">
        <v>78</v>
      </c>
      <c r="H486" s="33" t="s">
        <v>90</v>
      </c>
      <c r="I486" s="33" t="s">
        <v>138</v>
      </c>
      <c r="J486" s="33" t="s">
        <v>105</v>
      </c>
      <c r="K486" s="33" t="s">
        <v>20</v>
      </c>
      <c r="L486" s="33" t="s">
        <v>92</v>
      </c>
      <c r="M486" s="33" t="s">
        <v>22</v>
      </c>
      <c r="N486" s="33" t="s">
        <v>1072</v>
      </c>
      <c r="O486" s="43">
        <v>257.44</v>
      </c>
      <c r="P486" s="44" t="str">
        <f t="shared" si="52"/>
        <v>High</v>
      </c>
      <c r="Q486" s="43">
        <v>290.33</v>
      </c>
      <c r="R486" s="43">
        <v>9.1999999999999998E-2</v>
      </c>
      <c r="S486" s="43">
        <v>23</v>
      </c>
      <c r="T486" s="43">
        <f t="shared" si="49"/>
        <v>6964.3963200000007</v>
      </c>
      <c r="U486" s="33">
        <f t="shared" si="50"/>
        <v>5921.12</v>
      </c>
      <c r="V486" s="43">
        <f t="shared" si="53"/>
        <v>1043.2763200000009</v>
      </c>
      <c r="W486" s="45">
        <f t="shared" si="54"/>
        <v>0.14980140015926044</v>
      </c>
    </row>
    <row r="487" spans="1:23" x14ac:dyDescent="0.3">
      <c r="A487" s="34" t="s">
        <v>1073</v>
      </c>
      <c r="B487" s="35">
        <v>45224</v>
      </c>
      <c r="C487" s="36">
        <v>45254</v>
      </c>
      <c r="D487" s="37">
        <f t="shared" si="55"/>
        <v>30</v>
      </c>
      <c r="E487" s="37" t="str">
        <f>TEXT(Data!B487,"MMM-YYYY")</f>
        <v>Oct-2023</v>
      </c>
      <c r="F487" s="37" t="str">
        <f t="shared" si="51"/>
        <v>Q4-2023</v>
      </c>
      <c r="G487" s="32" t="s">
        <v>78</v>
      </c>
      <c r="H487" s="32" t="s">
        <v>90</v>
      </c>
      <c r="I487" s="32" t="s">
        <v>217</v>
      </c>
      <c r="J487" s="32" t="s">
        <v>105</v>
      </c>
      <c r="K487" s="32" t="s">
        <v>55</v>
      </c>
      <c r="L487" s="32" t="s">
        <v>21</v>
      </c>
      <c r="M487" s="32" t="s">
        <v>42</v>
      </c>
      <c r="N487" s="32" t="s">
        <v>1074</v>
      </c>
      <c r="O487" s="37">
        <v>287.85000000000002</v>
      </c>
      <c r="P487" s="38" t="str">
        <f t="shared" si="52"/>
        <v>High</v>
      </c>
      <c r="Q487" s="37">
        <v>602.91999999999996</v>
      </c>
      <c r="R487" s="37">
        <v>0.222</v>
      </c>
      <c r="S487" s="37">
        <v>11</v>
      </c>
      <c r="T487" s="37">
        <f t="shared" si="49"/>
        <v>15273.462600000001</v>
      </c>
      <c r="U487" s="32">
        <f t="shared" si="50"/>
        <v>3166.3500000000004</v>
      </c>
      <c r="V487" s="37">
        <f t="shared" si="53"/>
        <v>12107.1126</v>
      </c>
      <c r="W487" s="39">
        <f t="shared" si="54"/>
        <v>0.79268944554851628</v>
      </c>
    </row>
    <row r="488" spans="1:23" x14ac:dyDescent="0.3">
      <c r="A488" s="40" t="s">
        <v>1075</v>
      </c>
      <c r="B488" s="41">
        <v>45613</v>
      </c>
      <c r="C488" s="42">
        <v>45624</v>
      </c>
      <c r="D488" s="43">
        <f t="shared" si="55"/>
        <v>11</v>
      </c>
      <c r="E488" s="43" t="str">
        <f>TEXT(Data!B488,"MMM-YYYY")</f>
        <v>Nov-2024</v>
      </c>
      <c r="F488" s="43" t="str">
        <f t="shared" si="51"/>
        <v>Q4-2024</v>
      </c>
      <c r="G488" s="33" t="s">
        <v>52</v>
      </c>
      <c r="H488" s="33" t="s">
        <v>53</v>
      </c>
      <c r="I488" s="33" t="s">
        <v>1364</v>
      </c>
      <c r="J488" s="33" t="s">
        <v>48</v>
      </c>
      <c r="K488" s="33" t="s">
        <v>55</v>
      </c>
      <c r="L488" s="33" t="s">
        <v>75</v>
      </c>
      <c r="M488" s="33" t="s">
        <v>30</v>
      </c>
      <c r="N488" s="33" t="s">
        <v>1076</v>
      </c>
      <c r="O488" s="43">
        <v>1008.16</v>
      </c>
      <c r="P488" s="44" t="str">
        <f t="shared" si="52"/>
        <v>High</v>
      </c>
      <c r="Q488" s="43">
        <v>2077.5</v>
      </c>
      <c r="R488" s="43">
        <v>7.3999999999999996E-2</v>
      </c>
      <c r="S488" s="43">
        <v>15</v>
      </c>
      <c r="T488" s="43">
        <f t="shared" si="49"/>
        <v>14894.108099999999</v>
      </c>
      <c r="U488" s="33">
        <f t="shared" si="50"/>
        <v>15122.4</v>
      </c>
      <c r="V488" s="43">
        <f t="shared" si="53"/>
        <v>-228.29190000000017</v>
      </c>
      <c r="W488" s="45">
        <f t="shared" si="54"/>
        <v>-1.5327665038230801E-2</v>
      </c>
    </row>
    <row r="489" spans="1:23" x14ac:dyDescent="0.3">
      <c r="A489" s="34" t="s">
        <v>1077</v>
      </c>
      <c r="B489" s="35">
        <v>45424</v>
      </c>
      <c r="C489" s="36">
        <v>45436</v>
      </c>
      <c r="D489" s="37">
        <f t="shared" si="55"/>
        <v>12</v>
      </c>
      <c r="E489" s="37" t="str">
        <f>TEXT(Data!B489,"MMM-YYYY")</f>
        <v>May-2024</v>
      </c>
      <c r="F489" s="37" t="str">
        <f t="shared" si="51"/>
        <v>Q2-2024</v>
      </c>
      <c r="G489" s="32" t="s">
        <v>78</v>
      </c>
      <c r="H489" s="32" t="s">
        <v>108</v>
      </c>
      <c r="I489" s="32" t="s">
        <v>228</v>
      </c>
      <c r="J489" s="32" t="s">
        <v>27</v>
      </c>
      <c r="K489" s="32" t="s">
        <v>40</v>
      </c>
      <c r="L489" s="32" t="s">
        <v>95</v>
      </c>
      <c r="M489" s="32" t="s">
        <v>30</v>
      </c>
      <c r="N489" s="32" t="s">
        <v>1078</v>
      </c>
      <c r="O489" s="37">
        <v>111.02</v>
      </c>
      <c r="P489" s="38" t="str">
        <f t="shared" si="52"/>
        <v>Medium</v>
      </c>
      <c r="Q489" s="37">
        <v>172.88</v>
      </c>
      <c r="R489" s="37">
        <v>0.19700000000000001</v>
      </c>
      <c r="S489" s="37">
        <v>29</v>
      </c>
      <c r="T489" s="37">
        <f t="shared" si="49"/>
        <v>70514.200349999999</v>
      </c>
      <c r="U489" s="32">
        <f t="shared" si="50"/>
        <v>3219.58</v>
      </c>
      <c r="V489" s="37">
        <f t="shared" si="53"/>
        <v>67294.620349999997</v>
      </c>
      <c r="W489" s="39">
        <f t="shared" si="54"/>
        <v>0.95434139529315387</v>
      </c>
    </row>
    <row r="490" spans="1:23" x14ac:dyDescent="0.3">
      <c r="A490" s="40" t="s">
        <v>1079</v>
      </c>
      <c r="B490" s="41">
        <v>45792</v>
      </c>
      <c r="C490" s="42">
        <v>45813</v>
      </c>
      <c r="D490" s="43">
        <f t="shared" si="55"/>
        <v>21</v>
      </c>
      <c r="E490" s="43" t="str">
        <f>TEXT(Data!B490,"MMM-YYYY")</f>
        <v>May-2025</v>
      </c>
      <c r="F490" s="43" t="str">
        <f t="shared" si="51"/>
        <v>Q2-2025</v>
      </c>
      <c r="G490" s="33" t="s">
        <v>45</v>
      </c>
      <c r="H490" s="33" t="s">
        <v>46</v>
      </c>
      <c r="I490" s="33" t="s">
        <v>47</v>
      </c>
      <c r="J490" s="33" t="s">
        <v>105</v>
      </c>
      <c r="K490" s="33" t="s">
        <v>98</v>
      </c>
      <c r="L490" s="33" t="s">
        <v>92</v>
      </c>
      <c r="M490" s="33" t="s">
        <v>42</v>
      </c>
      <c r="N490" s="33" t="s">
        <v>1080</v>
      </c>
      <c r="O490" s="43">
        <v>1466.5</v>
      </c>
      <c r="P490" s="44" t="str">
        <f t="shared" si="52"/>
        <v>High</v>
      </c>
      <c r="Q490" s="43">
        <v>2778.74</v>
      </c>
      <c r="R490" s="43">
        <v>0.13500000000000001</v>
      </c>
      <c r="S490" s="43">
        <v>4</v>
      </c>
      <c r="T490" s="43">
        <f t="shared" si="49"/>
        <v>3415.8503999999998</v>
      </c>
      <c r="U490" s="33">
        <f t="shared" si="50"/>
        <v>5866</v>
      </c>
      <c r="V490" s="43">
        <f t="shared" si="53"/>
        <v>-2450.1496000000002</v>
      </c>
      <c r="W490" s="45">
        <f t="shared" si="54"/>
        <v>-0.71728832152602473</v>
      </c>
    </row>
    <row r="491" spans="1:23" x14ac:dyDescent="0.3">
      <c r="A491" s="34" t="s">
        <v>1081</v>
      </c>
      <c r="B491" s="35">
        <v>45403</v>
      </c>
      <c r="C491" s="36">
        <v>45431</v>
      </c>
      <c r="D491" s="37">
        <f t="shared" si="55"/>
        <v>28</v>
      </c>
      <c r="E491" s="37" t="str">
        <f>TEXT(Data!B491,"MMM-YYYY")</f>
        <v>Apr-2024</v>
      </c>
      <c r="F491" s="37" t="str">
        <f t="shared" si="51"/>
        <v>Q2-2024</v>
      </c>
      <c r="G491" s="32" t="s">
        <v>16</v>
      </c>
      <c r="H491" s="32" t="s">
        <v>25</v>
      </c>
      <c r="I491" s="32" t="s">
        <v>38</v>
      </c>
      <c r="J491" s="32" t="s">
        <v>19</v>
      </c>
      <c r="K491" s="32" t="s">
        <v>55</v>
      </c>
      <c r="L491" s="32" t="s">
        <v>75</v>
      </c>
      <c r="M491" s="32" t="s">
        <v>81</v>
      </c>
      <c r="N491" s="32" t="s">
        <v>1082</v>
      </c>
      <c r="O491" s="37">
        <v>187.22</v>
      </c>
      <c r="P491" s="38" t="str">
        <f t="shared" si="52"/>
        <v>High</v>
      </c>
      <c r="Q491" s="37">
        <v>309.47000000000003</v>
      </c>
      <c r="R491" s="37">
        <v>0</v>
      </c>
      <c r="S491" s="37">
        <v>5</v>
      </c>
      <c r="T491" s="37">
        <f t="shared" si="49"/>
        <v>4877.1499999999996</v>
      </c>
      <c r="U491" s="32">
        <f t="shared" si="50"/>
        <v>936.1</v>
      </c>
      <c r="V491" s="37">
        <f t="shared" si="53"/>
        <v>3941.0499999999997</v>
      </c>
      <c r="W491" s="39">
        <f t="shared" si="54"/>
        <v>0.8080641358170243</v>
      </c>
    </row>
    <row r="492" spans="1:23" x14ac:dyDescent="0.3">
      <c r="A492" s="40" t="s">
        <v>1083</v>
      </c>
      <c r="B492" s="41">
        <v>45523</v>
      </c>
      <c r="C492" s="42">
        <v>45542</v>
      </c>
      <c r="D492" s="43">
        <f t="shared" si="55"/>
        <v>19</v>
      </c>
      <c r="E492" s="43" t="str">
        <f>TEXT(Data!B492,"MMM-YYYY")</f>
        <v>Aug-2024</v>
      </c>
      <c r="F492" s="43" t="str">
        <f t="shared" si="51"/>
        <v>Q3-2024</v>
      </c>
      <c r="G492" s="33" t="s">
        <v>78</v>
      </c>
      <c r="H492" s="33" t="s">
        <v>90</v>
      </c>
      <c r="I492" s="33" t="s">
        <v>138</v>
      </c>
      <c r="J492" s="33" t="s">
        <v>19</v>
      </c>
      <c r="K492" s="33" t="s">
        <v>98</v>
      </c>
      <c r="L492" s="33" t="s">
        <v>29</v>
      </c>
      <c r="M492" s="33" t="s">
        <v>22</v>
      </c>
      <c r="N492" s="33" t="s">
        <v>1084</v>
      </c>
      <c r="O492" s="43">
        <v>297.58999999999997</v>
      </c>
      <c r="P492" s="44" t="str">
        <f t="shared" si="52"/>
        <v>High</v>
      </c>
      <c r="Q492" s="43">
        <v>666.41</v>
      </c>
      <c r="R492" s="43">
        <v>0</v>
      </c>
      <c r="S492" s="43">
        <v>10</v>
      </c>
      <c r="T492" s="43">
        <f t="shared" si="49"/>
        <v>1414.3000000000002</v>
      </c>
      <c r="U492" s="33">
        <f t="shared" si="50"/>
        <v>2975.8999999999996</v>
      </c>
      <c r="V492" s="43">
        <f t="shared" si="53"/>
        <v>-1561.5999999999995</v>
      </c>
      <c r="W492" s="45">
        <f t="shared" si="54"/>
        <v>-1.1041504631266346</v>
      </c>
    </row>
    <row r="493" spans="1:23" x14ac:dyDescent="0.3">
      <c r="A493" s="34" t="s">
        <v>1085</v>
      </c>
      <c r="B493" s="35">
        <v>45861</v>
      </c>
      <c r="C493" s="36">
        <v>45888</v>
      </c>
      <c r="D493" s="37">
        <f t="shared" si="55"/>
        <v>27</v>
      </c>
      <c r="E493" s="37" t="str">
        <f>TEXT(Data!B493,"MMM-YYYY")</f>
        <v>Jul-2025</v>
      </c>
      <c r="F493" s="37" t="str">
        <f t="shared" si="51"/>
        <v>Q3-2025</v>
      </c>
      <c r="G493" s="32" t="s">
        <v>45</v>
      </c>
      <c r="H493" s="32" t="s">
        <v>46</v>
      </c>
      <c r="I493" s="32" t="s">
        <v>231</v>
      </c>
      <c r="J493" s="32" t="s">
        <v>48</v>
      </c>
      <c r="K493" s="32" t="s">
        <v>40</v>
      </c>
      <c r="L493" s="32" t="s">
        <v>56</v>
      </c>
      <c r="M493" s="32" t="s">
        <v>81</v>
      </c>
      <c r="N493" s="32" t="s">
        <v>1086</v>
      </c>
      <c r="O493" s="37">
        <v>896.09</v>
      </c>
      <c r="P493" s="38" t="str">
        <f t="shared" si="52"/>
        <v>High</v>
      </c>
      <c r="Q493" s="37">
        <v>744.27</v>
      </c>
      <c r="R493" s="37">
        <v>8.3000000000000004E-2</v>
      </c>
      <c r="S493" s="37">
        <v>11</v>
      </c>
      <c r="T493" s="37">
        <f t="shared" si="49"/>
        <v>16395.611540000002</v>
      </c>
      <c r="U493" s="32">
        <f t="shared" si="50"/>
        <v>9856.99</v>
      </c>
      <c r="V493" s="37">
        <f t="shared" si="53"/>
        <v>6538.6215400000019</v>
      </c>
      <c r="W493" s="39">
        <f t="shared" si="54"/>
        <v>0.3988031507118765</v>
      </c>
    </row>
    <row r="494" spans="1:23" x14ac:dyDescent="0.3">
      <c r="A494" s="40" t="s">
        <v>1087</v>
      </c>
      <c r="B494" s="41">
        <v>45352</v>
      </c>
      <c r="C494" s="42">
        <v>45351</v>
      </c>
      <c r="D494" s="43">
        <f>DATEDIF(C494,B494, "MD")</f>
        <v>1</v>
      </c>
      <c r="E494" s="43" t="str">
        <f>TEXT(Data!B494,"MMM-YYYY")</f>
        <v>Mar-2024</v>
      </c>
      <c r="F494" s="43" t="str">
        <f t="shared" si="51"/>
        <v>Q1-2024</v>
      </c>
      <c r="G494" s="33" t="s">
        <v>52</v>
      </c>
      <c r="H494" s="33" t="s">
        <v>73</v>
      </c>
      <c r="I494" s="33" t="s">
        <v>74</v>
      </c>
      <c r="J494" s="33" t="s">
        <v>39</v>
      </c>
      <c r="K494" s="33" t="s">
        <v>98</v>
      </c>
      <c r="L494" s="33" t="s">
        <v>34</v>
      </c>
      <c r="M494" s="33" t="s">
        <v>42</v>
      </c>
      <c r="N494" s="33" t="s">
        <v>1088</v>
      </c>
      <c r="O494" s="43">
        <v>5.34</v>
      </c>
      <c r="P494" s="44" t="str">
        <f t="shared" si="52"/>
        <v>Low</v>
      </c>
      <c r="Q494" s="43">
        <v>12.69</v>
      </c>
      <c r="R494" s="43">
        <v>0.13200000000000001</v>
      </c>
      <c r="S494" s="43">
        <v>10</v>
      </c>
      <c r="T494" s="43">
        <f t="shared" si="49"/>
        <v>2603.4792000000002</v>
      </c>
      <c r="U494" s="33">
        <f t="shared" si="50"/>
        <v>53.4</v>
      </c>
      <c r="V494" s="43">
        <f t="shared" si="53"/>
        <v>2550.0792000000001</v>
      </c>
      <c r="W494" s="45">
        <f t="shared" si="54"/>
        <v>0.97948898535467455</v>
      </c>
    </row>
    <row r="495" spans="1:23" x14ac:dyDescent="0.3">
      <c r="A495" s="34" t="s">
        <v>1089</v>
      </c>
      <c r="B495" s="35">
        <v>45439</v>
      </c>
      <c r="C495" s="36">
        <v>45460</v>
      </c>
      <c r="D495" s="37">
        <f t="shared" si="55"/>
        <v>21</v>
      </c>
      <c r="E495" s="37" t="str">
        <f>TEXT(Data!B495,"MMM-YYYY")</f>
        <v>May-2024</v>
      </c>
      <c r="F495" s="37" t="str">
        <f t="shared" si="51"/>
        <v>Q2-2024</v>
      </c>
      <c r="G495" s="32" t="s">
        <v>45</v>
      </c>
      <c r="H495" s="32" t="s">
        <v>60</v>
      </c>
      <c r="I495" s="32" t="s">
        <v>141</v>
      </c>
      <c r="J495" s="32" t="s">
        <v>62</v>
      </c>
      <c r="K495" s="32" t="s">
        <v>28</v>
      </c>
      <c r="L495" s="32" t="s">
        <v>92</v>
      </c>
      <c r="M495" s="32" t="s">
        <v>81</v>
      </c>
      <c r="N495" s="32" t="s">
        <v>1090</v>
      </c>
      <c r="O495" s="37">
        <v>465.02</v>
      </c>
      <c r="P495" s="38" t="str">
        <f t="shared" si="52"/>
        <v>High</v>
      </c>
      <c r="Q495" s="37">
        <v>651.55999999999995</v>
      </c>
      <c r="R495" s="37">
        <v>4.2000000000000003E-2</v>
      </c>
      <c r="S495" s="37">
        <v>19</v>
      </c>
      <c r="T495" s="37">
        <f t="shared" si="49"/>
        <v>27375.07992</v>
      </c>
      <c r="U495" s="32">
        <f t="shared" si="50"/>
        <v>8835.3799999999992</v>
      </c>
      <c r="V495" s="37">
        <f t="shared" si="53"/>
        <v>18539.699919999999</v>
      </c>
      <c r="W495" s="39">
        <f t="shared" si="54"/>
        <v>0.67724733495499501</v>
      </c>
    </row>
    <row r="496" spans="1:23" x14ac:dyDescent="0.3">
      <c r="A496" s="40" t="s">
        <v>1091</v>
      </c>
      <c r="B496" s="41">
        <v>45508</v>
      </c>
      <c r="C496" s="42">
        <v>45521</v>
      </c>
      <c r="D496" s="43">
        <f t="shared" si="55"/>
        <v>13</v>
      </c>
      <c r="E496" s="43" t="str">
        <f>TEXT(Data!B496,"MMM-YYYY")</f>
        <v>Aug-2024</v>
      </c>
      <c r="F496" s="43" t="str">
        <f t="shared" si="51"/>
        <v>Q3-2024</v>
      </c>
      <c r="G496" s="33" t="s">
        <v>52</v>
      </c>
      <c r="H496" s="33" t="s">
        <v>122</v>
      </c>
      <c r="I496" s="33" t="s">
        <v>326</v>
      </c>
      <c r="J496" s="33" t="s">
        <v>48</v>
      </c>
      <c r="K496" s="33" t="s">
        <v>20</v>
      </c>
      <c r="L496" s="33" t="s">
        <v>145</v>
      </c>
      <c r="M496" s="33" t="s">
        <v>64</v>
      </c>
      <c r="N496" s="33" t="s">
        <v>1092</v>
      </c>
      <c r="O496" s="43">
        <v>352.79</v>
      </c>
      <c r="P496" s="44" t="str">
        <f t="shared" si="52"/>
        <v>High</v>
      </c>
      <c r="Q496" s="43">
        <v>754.22</v>
      </c>
      <c r="R496" s="43">
        <v>0.113</v>
      </c>
      <c r="S496" s="43">
        <v>7</v>
      </c>
      <c r="T496" s="43">
        <f t="shared" si="49"/>
        <v>19254.791990000002</v>
      </c>
      <c r="U496" s="33">
        <f t="shared" si="50"/>
        <v>2469.5300000000002</v>
      </c>
      <c r="V496" s="43">
        <f t="shared" si="53"/>
        <v>16785.261990000003</v>
      </c>
      <c r="W496" s="45">
        <f t="shared" si="54"/>
        <v>0.87174465445887173</v>
      </c>
    </row>
    <row r="497" spans="1:23" x14ac:dyDescent="0.3">
      <c r="A497" s="34" t="s">
        <v>1093</v>
      </c>
      <c r="B497" s="35">
        <v>45097</v>
      </c>
      <c r="C497" s="36">
        <v>45111</v>
      </c>
      <c r="D497" s="37">
        <f t="shared" si="55"/>
        <v>14</v>
      </c>
      <c r="E497" s="37" t="str">
        <f>TEXT(Data!B497,"MMM-YYYY")</f>
        <v>Jun-2023</v>
      </c>
      <c r="F497" s="37" t="str">
        <f t="shared" si="51"/>
        <v>Q2-2023</v>
      </c>
      <c r="G497" s="32" t="s">
        <v>52</v>
      </c>
      <c r="H497" s="32" t="s">
        <v>73</v>
      </c>
      <c r="I497" s="32" t="s">
        <v>87</v>
      </c>
      <c r="J497" s="32" t="s">
        <v>39</v>
      </c>
      <c r="K497" s="32" t="s">
        <v>98</v>
      </c>
      <c r="L497" s="32" t="s">
        <v>21</v>
      </c>
      <c r="M497" s="32" t="s">
        <v>35</v>
      </c>
      <c r="N497" s="32" t="s">
        <v>1094</v>
      </c>
      <c r="O497" s="37">
        <v>1292.8599999999999</v>
      </c>
      <c r="P497" s="38" t="str">
        <f t="shared" si="52"/>
        <v>High</v>
      </c>
      <c r="Q497" s="37">
        <v>2981.01</v>
      </c>
      <c r="R497" s="37">
        <v>0.14199999999999999</v>
      </c>
      <c r="S497" s="37">
        <v>12</v>
      </c>
      <c r="T497" s="37">
        <f t="shared" si="49"/>
        <v>10084.108319999999</v>
      </c>
      <c r="U497" s="32">
        <f t="shared" si="50"/>
        <v>15514.32</v>
      </c>
      <c r="V497" s="37">
        <f t="shared" si="53"/>
        <v>-5430.2116800000003</v>
      </c>
      <c r="W497" s="39">
        <f t="shared" si="54"/>
        <v>-0.5384920022358507</v>
      </c>
    </row>
    <row r="498" spans="1:23" x14ac:dyDescent="0.3">
      <c r="A498" s="40" t="s">
        <v>1095</v>
      </c>
      <c r="B498" s="41">
        <v>45544</v>
      </c>
      <c r="C498" s="42">
        <v>45548</v>
      </c>
      <c r="D498" s="43">
        <f t="shared" si="55"/>
        <v>4</v>
      </c>
      <c r="E498" s="43" t="str">
        <f>TEXT(Data!B498,"MMM-YYYY")</f>
        <v>Sep-2024</v>
      </c>
      <c r="F498" s="43" t="str">
        <f t="shared" si="51"/>
        <v>Q3-2024</v>
      </c>
      <c r="G498" s="33" t="s">
        <v>78</v>
      </c>
      <c r="H498" s="33" t="s">
        <v>108</v>
      </c>
      <c r="I498" s="33" t="s">
        <v>152</v>
      </c>
      <c r="J498" s="33" t="s">
        <v>48</v>
      </c>
      <c r="K498" s="33" t="s">
        <v>40</v>
      </c>
      <c r="L498" s="33" t="s">
        <v>84</v>
      </c>
      <c r="M498" s="33" t="s">
        <v>35</v>
      </c>
      <c r="N498" s="33" t="s">
        <v>1096</v>
      </c>
      <c r="O498" s="43">
        <v>1133.08</v>
      </c>
      <c r="P498" s="44" t="str">
        <f t="shared" si="52"/>
        <v>High</v>
      </c>
      <c r="Q498" s="43">
        <v>976.17</v>
      </c>
      <c r="R498" s="43">
        <v>4.2000000000000003E-2</v>
      </c>
      <c r="S498" s="43">
        <v>27</v>
      </c>
      <c r="T498" s="43">
        <f t="shared" si="49"/>
        <v>30683.801159999999</v>
      </c>
      <c r="U498" s="33">
        <f t="shared" si="50"/>
        <v>30593.159999999996</v>
      </c>
      <c r="V498" s="43">
        <f t="shared" si="53"/>
        <v>90.641160000002856</v>
      </c>
      <c r="W498" s="45">
        <f t="shared" si="54"/>
        <v>2.9540394792469337E-3</v>
      </c>
    </row>
    <row r="499" spans="1:23" x14ac:dyDescent="0.3">
      <c r="A499" s="34" t="s">
        <v>1097</v>
      </c>
      <c r="B499" s="35">
        <v>45224</v>
      </c>
      <c r="C499" s="36">
        <v>45227</v>
      </c>
      <c r="D499" s="37">
        <f t="shared" si="55"/>
        <v>3</v>
      </c>
      <c r="E499" s="37" t="str">
        <f>TEXT(Data!B499,"MMM-YYYY")</f>
        <v>Oct-2023</v>
      </c>
      <c r="F499" s="37" t="str">
        <f t="shared" si="51"/>
        <v>Q4-2023</v>
      </c>
      <c r="G499" s="32" t="s">
        <v>52</v>
      </c>
      <c r="H499" s="32" t="s">
        <v>73</v>
      </c>
      <c r="I499" s="32" t="s">
        <v>87</v>
      </c>
      <c r="J499" s="32" t="s">
        <v>19</v>
      </c>
      <c r="K499" s="32" t="s">
        <v>55</v>
      </c>
      <c r="L499" s="32" t="s">
        <v>49</v>
      </c>
      <c r="M499" s="32" t="s">
        <v>81</v>
      </c>
      <c r="N499" s="32" t="s">
        <v>1098</v>
      </c>
      <c r="O499" s="37">
        <v>509.31</v>
      </c>
      <c r="P499" s="38" t="str">
        <f t="shared" si="52"/>
        <v>High</v>
      </c>
      <c r="Q499" s="37">
        <v>1145.9000000000001</v>
      </c>
      <c r="R499" s="37">
        <v>5.7000000000000002E-2</v>
      </c>
      <c r="S499" s="37">
        <v>8</v>
      </c>
      <c r="T499" s="37">
        <f t="shared" si="49"/>
        <v>14622.761519999998</v>
      </c>
      <c r="U499" s="32">
        <f t="shared" si="50"/>
        <v>4074.48</v>
      </c>
      <c r="V499" s="37">
        <f t="shared" si="53"/>
        <v>10548.281519999999</v>
      </c>
      <c r="W499" s="39">
        <f t="shared" si="54"/>
        <v>0.7213604287789821</v>
      </c>
    </row>
    <row r="500" spans="1:23" x14ac:dyDescent="0.3">
      <c r="A500" s="40" t="s">
        <v>1099</v>
      </c>
      <c r="B500" s="41">
        <v>45908</v>
      </c>
      <c r="C500" s="42">
        <v>45935</v>
      </c>
      <c r="D500" s="43">
        <f t="shared" si="55"/>
        <v>27</v>
      </c>
      <c r="E500" s="43" t="str">
        <f>TEXT(Data!B500,"MMM-YYYY")</f>
        <v>Sep-2025</v>
      </c>
      <c r="F500" s="43" t="str">
        <f t="shared" si="51"/>
        <v>Q3-2025</v>
      </c>
      <c r="G500" s="33" t="s">
        <v>52</v>
      </c>
      <c r="H500" s="33" t="s">
        <v>73</v>
      </c>
      <c r="I500" s="33" t="s">
        <v>225</v>
      </c>
      <c r="J500" s="33" t="s">
        <v>27</v>
      </c>
      <c r="K500" s="33" t="s">
        <v>28</v>
      </c>
      <c r="L500" s="33" t="s">
        <v>21</v>
      </c>
      <c r="M500" s="33" t="s">
        <v>64</v>
      </c>
      <c r="N500" s="33" t="s">
        <v>1100</v>
      </c>
      <c r="O500" s="43">
        <v>660.78</v>
      </c>
      <c r="P500" s="44" t="str">
        <f t="shared" si="52"/>
        <v>High</v>
      </c>
      <c r="Q500" s="43">
        <v>1630.39</v>
      </c>
      <c r="R500" s="43">
        <v>0.218</v>
      </c>
      <c r="S500" s="43">
        <v>13</v>
      </c>
      <c r="T500" s="43">
        <f t="shared" si="49"/>
        <v>8401.8940200000015</v>
      </c>
      <c r="U500" s="33">
        <f t="shared" si="50"/>
        <v>8590.14</v>
      </c>
      <c r="V500" s="43">
        <f t="shared" si="53"/>
        <v>-188.24597999999787</v>
      </c>
      <c r="W500" s="45">
        <f t="shared" si="54"/>
        <v>-2.2405183825443903E-2</v>
      </c>
    </row>
    <row r="501" spans="1:23" x14ac:dyDescent="0.3">
      <c r="A501" s="34" t="s">
        <v>1101</v>
      </c>
      <c r="B501" s="35">
        <v>45048</v>
      </c>
      <c r="C501" s="36">
        <v>45062</v>
      </c>
      <c r="D501" s="37">
        <f t="shared" si="55"/>
        <v>14</v>
      </c>
      <c r="E501" s="37" t="str">
        <f>TEXT(Data!B501,"MMM-YYYY")</f>
        <v>May-2023</v>
      </c>
      <c r="F501" s="37" t="str">
        <f t="shared" si="51"/>
        <v>Q2-2023</v>
      </c>
      <c r="G501" s="32" t="s">
        <v>45</v>
      </c>
      <c r="H501" s="32" t="s">
        <v>60</v>
      </c>
      <c r="I501" s="32" t="s">
        <v>61</v>
      </c>
      <c r="J501" s="32" t="s">
        <v>39</v>
      </c>
      <c r="K501" s="32" t="s">
        <v>20</v>
      </c>
      <c r="L501" s="32" t="s">
        <v>49</v>
      </c>
      <c r="M501" s="32" t="s">
        <v>64</v>
      </c>
      <c r="N501" s="32" t="s">
        <v>1102</v>
      </c>
      <c r="O501" s="37">
        <v>475.37</v>
      </c>
      <c r="P501" s="38" t="str">
        <f t="shared" si="52"/>
        <v>High</v>
      </c>
      <c r="Q501" s="37">
        <v>963.73</v>
      </c>
      <c r="R501" s="37">
        <v>4.1000000000000002E-2</v>
      </c>
      <c r="S501" s="37">
        <v>22</v>
      </c>
      <c r="T501" s="37">
        <f t="shared" si="49"/>
        <v>2493.1506600000002</v>
      </c>
      <c r="U501" s="32">
        <f t="shared" si="50"/>
        <v>10458.14</v>
      </c>
      <c r="V501" s="37">
        <f t="shared" si="53"/>
        <v>-7964.9893399999992</v>
      </c>
      <c r="W501" s="39">
        <f t="shared" si="54"/>
        <v>-3.194748503485946</v>
      </c>
    </row>
    <row r="502" spans="1:23" x14ac:dyDescent="0.3">
      <c r="A502" s="40" t="s">
        <v>1103</v>
      </c>
      <c r="B502" s="41">
        <v>45408</v>
      </c>
      <c r="C502" s="42">
        <v>45406</v>
      </c>
      <c r="D502" s="43">
        <f>DATEDIF(C502,B502, "MD")</f>
        <v>2</v>
      </c>
      <c r="E502" s="43" t="str">
        <f>TEXT(Data!B502,"MMM-YYYY")</f>
        <v>Apr-2024</v>
      </c>
      <c r="F502" s="43" t="str">
        <f t="shared" si="51"/>
        <v>Q2-2024</v>
      </c>
      <c r="G502" s="33" t="s">
        <v>78</v>
      </c>
      <c r="H502" s="33" t="s">
        <v>108</v>
      </c>
      <c r="I502" s="33" t="s">
        <v>152</v>
      </c>
      <c r="J502" s="33" t="s">
        <v>39</v>
      </c>
      <c r="K502" s="33" t="s">
        <v>55</v>
      </c>
      <c r="L502" s="33" t="s">
        <v>126</v>
      </c>
      <c r="M502" s="33" t="s">
        <v>42</v>
      </c>
      <c r="N502" s="33" t="s">
        <v>1104</v>
      </c>
      <c r="O502" s="43">
        <v>1232.77</v>
      </c>
      <c r="P502" s="44" t="str">
        <f t="shared" si="52"/>
        <v>High</v>
      </c>
      <c r="Q502" s="43">
        <v>891.73</v>
      </c>
      <c r="R502" s="43">
        <v>0.16700000000000001</v>
      </c>
      <c r="S502" s="43">
        <v>10</v>
      </c>
      <c r="T502" s="43">
        <f t="shared" si="49"/>
        <v>11877.497099999999</v>
      </c>
      <c r="U502" s="33">
        <f t="shared" si="50"/>
        <v>12327.7</v>
      </c>
      <c r="V502" s="43">
        <f t="shared" si="53"/>
        <v>-450.20290000000205</v>
      </c>
      <c r="W502" s="45">
        <f t="shared" si="54"/>
        <v>-3.7903852655960836E-2</v>
      </c>
    </row>
    <row r="503" spans="1:23" x14ac:dyDescent="0.3">
      <c r="A503" s="34" t="s">
        <v>1105</v>
      </c>
      <c r="B503" s="35">
        <v>44980</v>
      </c>
      <c r="C503" s="36">
        <v>45003</v>
      </c>
      <c r="D503" s="37">
        <f t="shared" si="55"/>
        <v>23</v>
      </c>
      <c r="E503" s="37" t="str">
        <f>TEXT(Data!B503,"MMM-YYYY")</f>
        <v>Feb-2023</v>
      </c>
      <c r="F503" s="37" t="str">
        <f t="shared" si="51"/>
        <v>Q1-2023</v>
      </c>
      <c r="G503" s="32" t="s">
        <v>45</v>
      </c>
      <c r="H503" s="32" t="s">
        <v>116</v>
      </c>
      <c r="I503" s="32" t="s">
        <v>338</v>
      </c>
      <c r="J503" s="32" t="s">
        <v>27</v>
      </c>
      <c r="K503" s="32" t="s">
        <v>55</v>
      </c>
      <c r="L503" s="32" t="s">
        <v>95</v>
      </c>
      <c r="M503" s="32" t="s">
        <v>30</v>
      </c>
      <c r="N503" s="32" t="s">
        <v>1106</v>
      </c>
      <c r="O503" s="37">
        <v>770.11</v>
      </c>
      <c r="P503" s="38" t="str">
        <f t="shared" si="52"/>
        <v>High</v>
      </c>
      <c r="Q503" s="37">
        <v>1667.82</v>
      </c>
      <c r="R503" s="37">
        <v>6.9000000000000006E-2</v>
      </c>
      <c r="S503" s="37">
        <v>7</v>
      </c>
      <c r="T503" s="37">
        <f t="shared" si="49"/>
        <v>10393.181259999999</v>
      </c>
      <c r="U503" s="32">
        <f t="shared" si="50"/>
        <v>5390.77</v>
      </c>
      <c r="V503" s="37">
        <f t="shared" si="53"/>
        <v>5002.4112599999989</v>
      </c>
      <c r="W503" s="39">
        <f t="shared" si="54"/>
        <v>0.48131665703288229</v>
      </c>
    </row>
    <row r="504" spans="1:23" x14ac:dyDescent="0.3">
      <c r="A504" s="40" t="s">
        <v>1107</v>
      </c>
      <c r="B504" s="41">
        <v>45740</v>
      </c>
      <c r="C504" s="42">
        <v>45741</v>
      </c>
      <c r="D504" s="43">
        <f t="shared" si="55"/>
        <v>1</v>
      </c>
      <c r="E504" s="43" t="str">
        <f>TEXT(Data!B504,"MMM-YYYY")</f>
        <v>Mar-2025</v>
      </c>
      <c r="F504" s="43" t="str">
        <f t="shared" si="51"/>
        <v>Q1-2025</v>
      </c>
      <c r="G504" s="33" t="s">
        <v>45</v>
      </c>
      <c r="H504" s="33" t="s">
        <v>116</v>
      </c>
      <c r="I504" s="33" t="s">
        <v>338</v>
      </c>
      <c r="J504" s="33" t="s">
        <v>39</v>
      </c>
      <c r="K504" s="33" t="s">
        <v>28</v>
      </c>
      <c r="L504" s="33" t="s">
        <v>41</v>
      </c>
      <c r="M504" s="33" t="s">
        <v>35</v>
      </c>
      <c r="N504" s="33" t="s">
        <v>1108</v>
      </c>
      <c r="O504" s="43">
        <v>1133.03</v>
      </c>
      <c r="P504" s="44" t="str">
        <f t="shared" si="52"/>
        <v>High</v>
      </c>
      <c r="Q504" s="43">
        <v>1921.51</v>
      </c>
      <c r="R504" s="43">
        <v>0.10100000000000001</v>
      </c>
      <c r="S504" s="43">
        <v>5</v>
      </c>
      <c r="T504" s="43">
        <f t="shared" si="49"/>
        <v>15022.784449999999</v>
      </c>
      <c r="U504" s="33">
        <f t="shared" si="50"/>
        <v>5665.15</v>
      </c>
      <c r="V504" s="43">
        <f t="shared" si="53"/>
        <v>9357.6344499999996</v>
      </c>
      <c r="W504" s="45">
        <f t="shared" si="54"/>
        <v>0.62289614026912299</v>
      </c>
    </row>
    <row r="505" spans="1:23" x14ac:dyDescent="0.3">
      <c r="A505" s="34" t="s">
        <v>1109</v>
      </c>
      <c r="B505" s="35">
        <v>45726</v>
      </c>
      <c r="C505" s="36">
        <v>45743</v>
      </c>
      <c r="D505" s="37">
        <f t="shared" si="55"/>
        <v>17</v>
      </c>
      <c r="E505" s="37" t="str">
        <f>TEXT(Data!B505,"MMM-YYYY")</f>
        <v>Mar-2025</v>
      </c>
      <c r="F505" s="37" t="str">
        <f t="shared" si="51"/>
        <v>Q1-2025</v>
      </c>
      <c r="G505" s="32" t="s">
        <v>52</v>
      </c>
      <c r="H505" s="32" t="s">
        <v>73</v>
      </c>
      <c r="I505" s="32" t="s">
        <v>225</v>
      </c>
      <c r="J505" s="32" t="s">
        <v>105</v>
      </c>
      <c r="K505" s="32" t="s">
        <v>98</v>
      </c>
      <c r="L505" s="32" t="s">
        <v>84</v>
      </c>
      <c r="M505" s="32" t="s">
        <v>35</v>
      </c>
      <c r="N505" s="32" t="s">
        <v>1110</v>
      </c>
      <c r="O505" s="37">
        <v>996.73</v>
      </c>
      <c r="P505" s="38" t="str">
        <f t="shared" si="52"/>
        <v>High</v>
      </c>
      <c r="Q505" s="37">
        <v>1217.43</v>
      </c>
      <c r="R505" s="37">
        <v>7.0000000000000007E-2</v>
      </c>
      <c r="S505" s="37">
        <v>9</v>
      </c>
      <c r="T505" s="37">
        <f t="shared" si="49"/>
        <v>8953.9748999999993</v>
      </c>
      <c r="U505" s="32">
        <f t="shared" si="50"/>
        <v>8970.57</v>
      </c>
      <c r="V505" s="37">
        <f t="shared" si="53"/>
        <v>-16.595100000000457</v>
      </c>
      <c r="W505" s="39">
        <f t="shared" si="54"/>
        <v>-1.8533779897015859E-3</v>
      </c>
    </row>
    <row r="506" spans="1:23" x14ac:dyDescent="0.3">
      <c r="A506" s="40" t="s">
        <v>1111</v>
      </c>
      <c r="B506" s="41">
        <v>45387</v>
      </c>
      <c r="C506" s="42">
        <v>45391</v>
      </c>
      <c r="D506" s="43">
        <f t="shared" si="55"/>
        <v>4</v>
      </c>
      <c r="E506" s="43" t="str">
        <f>TEXT(Data!B506,"MMM-YYYY")</f>
        <v>Apr-2024</v>
      </c>
      <c r="F506" s="43" t="str">
        <f t="shared" si="51"/>
        <v>Q2-2024</v>
      </c>
      <c r="G506" s="33" t="s">
        <v>16</v>
      </c>
      <c r="H506" s="33" t="s">
        <v>25</v>
      </c>
      <c r="I506" s="33" t="s">
        <v>38</v>
      </c>
      <c r="J506" s="33" t="s">
        <v>39</v>
      </c>
      <c r="K506" s="33" t="s">
        <v>98</v>
      </c>
      <c r="L506" s="33" t="s">
        <v>95</v>
      </c>
      <c r="M506" s="33" t="s">
        <v>22</v>
      </c>
      <c r="N506" s="33" t="s">
        <v>1112</v>
      </c>
      <c r="O506" s="43">
        <v>395.07</v>
      </c>
      <c r="P506" s="44" t="str">
        <f t="shared" si="52"/>
        <v>High</v>
      </c>
      <c r="Q506" s="43">
        <v>970.27</v>
      </c>
      <c r="R506" s="43">
        <v>0.123</v>
      </c>
      <c r="S506" s="43">
        <v>38</v>
      </c>
      <c r="T506" s="43">
        <f t="shared" si="49"/>
        <v>4692.9673199999997</v>
      </c>
      <c r="U506" s="33">
        <f t="shared" si="50"/>
        <v>15012.66</v>
      </c>
      <c r="V506" s="43">
        <f t="shared" si="53"/>
        <v>-10319.69268</v>
      </c>
      <c r="W506" s="45">
        <f t="shared" si="54"/>
        <v>-2.1989696446469185</v>
      </c>
    </row>
    <row r="507" spans="1:23" x14ac:dyDescent="0.3">
      <c r="A507" s="34" t="s">
        <v>1113</v>
      </c>
      <c r="B507" s="35">
        <v>45774</v>
      </c>
      <c r="C507" s="36">
        <v>45794</v>
      </c>
      <c r="D507" s="37">
        <f t="shared" si="55"/>
        <v>20</v>
      </c>
      <c r="E507" s="37" t="str">
        <f>TEXT(Data!B507,"MMM-YYYY")</f>
        <v>Apr-2025</v>
      </c>
      <c r="F507" s="37" t="str">
        <f t="shared" si="51"/>
        <v>Q2-2025</v>
      </c>
      <c r="G507" s="32" t="s">
        <v>52</v>
      </c>
      <c r="H507" s="32" t="s">
        <v>122</v>
      </c>
      <c r="I507" s="32" t="s">
        <v>326</v>
      </c>
      <c r="J507" s="32" t="s">
        <v>19</v>
      </c>
      <c r="K507" s="32" t="s">
        <v>98</v>
      </c>
      <c r="L507" s="32" t="s">
        <v>126</v>
      </c>
      <c r="M507" s="32" t="s">
        <v>42</v>
      </c>
      <c r="N507" s="32" t="s">
        <v>1114</v>
      </c>
      <c r="O507" s="37">
        <v>932.26</v>
      </c>
      <c r="P507" s="38" t="str">
        <f t="shared" si="52"/>
        <v>High</v>
      </c>
      <c r="Q507" s="37">
        <v>1624.67</v>
      </c>
      <c r="R507" s="37">
        <v>0.23499999999999999</v>
      </c>
      <c r="S507" s="37">
        <v>28</v>
      </c>
      <c r="T507" s="37">
        <f t="shared" si="49"/>
        <v>1435.9968000000001</v>
      </c>
      <c r="U507" s="32">
        <f t="shared" si="50"/>
        <v>26103.279999999999</v>
      </c>
      <c r="V507" s="37">
        <f t="shared" si="53"/>
        <v>-24667.283199999998</v>
      </c>
      <c r="W507" s="39">
        <f t="shared" si="54"/>
        <v>-17.177812095402995</v>
      </c>
    </row>
    <row r="508" spans="1:23" x14ac:dyDescent="0.3">
      <c r="A508" s="40" t="s">
        <v>1115</v>
      </c>
      <c r="B508" s="41">
        <v>45589</v>
      </c>
      <c r="C508" s="42">
        <v>45593</v>
      </c>
      <c r="D508" s="43">
        <f t="shared" si="55"/>
        <v>4</v>
      </c>
      <c r="E508" s="43" t="str">
        <f>TEXT(Data!B508,"MMM-YYYY")</f>
        <v>Oct-2024</v>
      </c>
      <c r="F508" s="43" t="str">
        <f t="shared" si="51"/>
        <v>Q4-2024</v>
      </c>
      <c r="G508" s="33" t="s">
        <v>45</v>
      </c>
      <c r="H508" s="33" t="s">
        <v>116</v>
      </c>
      <c r="I508" s="33" t="s">
        <v>162</v>
      </c>
      <c r="J508" s="33" t="s">
        <v>62</v>
      </c>
      <c r="K508" s="33" t="s">
        <v>55</v>
      </c>
      <c r="L508" s="33" t="s">
        <v>34</v>
      </c>
      <c r="M508" s="33" t="s">
        <v>35</v>
      </c>
      <c r="N508" s="33" t="s">
        <v>1116</v>
      </c>
      <c r="O508" s="43">
        <v>1331.77</v>
      </c>
      <c r="P508" s="44" t="str">
        <f t="shared" si="52"/>
        <v>High</v>
      </c>
      <c r="Q508" s="43">
        <v>2606.11</v>
      </c>
      <c r="R508" s="43">
        <v>0.02</v>
      </c>
      <c r="S508" s="43">
        <v>6</v>
      </c>
      <c r="T508" s="43">
        <f t="shared" si="49"/>
        <v>7506.8196000000007</v>
      </c>
      <c r="U508" s="33">
        <f t="shared" si="50"/>
        <v>7990.62</v>
      </c>
      <c r="V508" s="43">
        <f t="shared" si="53"/>
        <v>-483.80039999999917</v>
      </c>
      <c r="W508" s="45">
        <f t="shared" si="54"/>
        <v>-6.444811861470591E-2</v>
      </c>
    </row>
    <row r="509" spans="1:23" x14ac:dyDescent="0.3">
      <c r="A509" s="34" t="s">
        <v>1117</v>
      </c>
      <c r="B509" s="35">
        <v>45029</v>
      </c>
      <c r="C509" s="36">
        <v>45036</v>
      </c>
      <c r="D509" s="37">
        <f t="shared" si="55"/>
        <v>7</v>
      </c>
      <c r="E509" s="37" t="str">
        <f>TEXT(Data!B509,"MMM-YYYY")</f>
        <v>Apr-2023</v>
      </c>
      <c r="F509" s="37" t="str">
        <f t="shared" si="51"/>
        <v>Q2-2023</v>
      </c>
      <c r="G509" s="32" t="s">
        <v>78</v>
      </c>
      <c r="H509" s="32" t="s">
        <v>90</v>
      </c>
      <c r="I509" s="32" t="s">
        <v>138</v>
      </c>
      <c r="J509" s="32" t="s">
        <v>62</v>
      </c>
      <c r="K509" s="32" t="s">
        <v>28</v>
      </c>
      <c r="L509" s="32" t="s">
        <v>75</v>
      </c>
      <c r="M509" s="32" t="s">
        <v>57</v>
      </c>
      <c r="N509" s="32" t="s">
        <v>1118</v>
      </c>
      <c r="O509" s="37">
        <v>227.02</v>
      </c>
      <c r="P509" s="38" t="str">
        <f t="shared" si="52"/>
        <v>High</v>
      </c>
      <c r="Q509" s="37">
        <v>434.72</v>
      </c>
      <c r="R509" s="37">
        <v>9.8000000000000004E-2</v>
      </c>
      <c r="S509" s="37">
        <v>10</v>
      </c>
      <c r="T509" s="37">
        <f t="shared" si="49"/>
        <v>25448.667200000004</v>
      </c>
      <c r="U509" s="32">
        <f t="shared" si="50"/>
        <v>2270.2000000000003</v>
      </c>
      <c r="V509" s="37">
        <f t="shared" si="53"/>
        <v>23178.467200000003</v>
      </c>
      <c r="W509" s="39">
        <f t="shared" si="54"/>
        <v>0.91079297072186161</v>
      </c>
    </row>
    <row r="510" spans="1:23" x14ac:dyDescent="0.3">
      <c r="A510" s="40" t="s">
        <v>1119</v>
      </c>
      <c r="B510" s="41">
        <v>45608</v>
      </c>
      <c r="C510" s="42">
        <v>45617</v>
      </c>
      <c r="D510" s="43">
        <f t="shared" si="55"/>
        <v>9</v>
      </c>
      <c r="E510" s="43" t="str">
        <f>TEXT(Data!B510,"MMM-YYYY")</f>
        <v>Nov-2024</v>
      </c>
      <c r="F510" s="43" t="str">
        <f t="shared" si="51"/>
        <v>Q4-2024</v>
      </c>
      <c r="G510" s="33" t="s">
        <v>45</v>
      </c>
      <c r="H510" s="33" t="s">
        <v>60</v>
      </c>
      <c r="I510" s="33" t="s">
        <v>220</v>
      </c>
      <c r="J510" s="33" t="s">
        <v>19</v>
      </c>
      <c r="K510" s="33" t="s">
        <v>98</v>
      </c>
      <c r="L510" s="33" t="s">
        <v>92</v>
      </c>
      <c r="M510" s="33" t="s">
        <v>57</v>
      </c>
      <c r="N510" s="33" t="s">
        <v>1120</v>
      </c>
      <c r="O510" s="43">
        <v>903.41</v>
      </c>
      <c r="P510" s="44" t="str">
        <f t="shared" si="52"/>
        <v>High</v>
      </c>
      <c r="Q510" s="43">
        <v>1860.41</v>
      </c>
      <c r="R510" s="43">
        <v>0.108</v>
      </c>
      <c r="S510" s="43">
        <v>5</v>
      </c>
      <c r="T510" s="43">
        <f t="shared" si="49"/>
        <v>6953.9874000000009</v>
      </c>
      <c r="U510" s="33">
        <f t="shared" si="50"/>
        <v>4517.05</v>
      </c>
      <c r="V510" s="43">
        <f t="shared" si="53"/>
        <v>2436.9374000000007</v>
      </c>
      <c r="W510" s="45">
        <f t="shared" si="54"/>
        <v>0.35043741954436103</v>
      </c>
    </row>
    <row r="511" spans="1:23" x14ac:dyDescent="0.3">
      <c r="A511" s="34" t="s">
        <v>1121</v>
      </c>
      <c r="B511" s="35">
        <v>45056</v>
      </c>
      <c r="C511" s="36">
        <v>45060</v>
      </c>
      <c r="D511" s="37">
        <f t="shared" si="55"/>
        <v>4</v>
      </c>
      <c r="E511" s="37" t="str">
        <f>TEXT(Data!B511,"MMM-YYYY")</f>
        <v>May-2023</v>
      </c>
      <c r="F511" s="37" t="str">
        <f t="shared" si="51"/>
        <v>Q2-2023</v>
      </c>
      <c r="G511" s="32" t="s">
        <v>45</v>
      </c>
      <c r="H511" s="32" t="s">
        <v>60</v>
      </c>
      <c r="I511" s="32" t="s">
        <v>141</v>
      </c>
      <c r="J511" s="32" t="s">
        <v>39</v>
      </c>
      <c r="K511" s="32" t="s">
        <v>55</v>
      </c>
      <c r="L511" s="32" t="s">
        <v>21</v>
      </c>
      <c r="M511" s="32" t="s">
        <v>64</v>
      </c>
      <c r="N511" s="32" t="s">
        <v>1122</v>
      </c>
      <c r="O511" s="37">
        <v>622.6</v>
      </c>
      <c r="P511" s="38" t="str">
        <f t="shared" si="52"/>
        <v>High</v>
      </c>
      <c r="Q511" s="37">
        <v>833.69</v>
      </c>
      <c r="R511" s="37">
        <v>0.20899999999999999</v>
      </c>
      <c r="S511" s="37">
        <v>14</v>
      </c>
      <c r="T511" s="37">
        <f t="shared" si="49"/>
        <v>7271.8528400000005</v>
      </c>
      <c r="U511" s="32">
        <f t="shared" si="50"/>
        <v>8716.4</v>
      </c>
      <c r="V511" s="37">
        <f t="shared" si="53"/>
        <v>-1444.5471599999992</v>
      </c>
      <c r="W511" s="39">
        <f t="shared" si="54"/>
        <v>-0.19864911897749557</v>
      </c>
    </row>
    <row r="512" spans="1:23" x14ac:dyDescent="0.3">
      <c r="A512" s="40" t="s">
        <v>1123</v>
      </c>
      <c r="B512" s="41">
        <v>45353</v>
      </c>
      <c r="C512" s="42">
        <v>45374</v>
      </c>
      <c r="D512" s="43">
        <f t="shared" si="55"/>
        <v>21</v>
      </c>
      <c r="E512" s="43" t="str">
        <f>TEXT(Data!B512,"MMM-YYYY")</f>
        <v>Mar-2024</v>
      </c>
      <c r="F512" s="43" t="str">
        <f t="shared" si="51"/>
        <v>Q1-2024</v>
      </c>
      <c r="G512" s="33" t="s">
        <v>52</v>
      </c>
      <c r="H512" s="33" t="s">
        <v>122</v>
      </c>
      <c r="I512" s="33" t="s">
        <v>123</v>
      </c>
      <c r="J512" s="33" t="s">
        <v>62</v>
      </c>
      <c r="K512" s="33" t="s">
        <v>28</v>
      </c>
      <c r="L512" s="33" t="s">
        <v>84</v>
      </c>
      <c r="M512" s="33" t="s">
        <v>22</v>
      </c>
      <c r="N512" s="33" t="s">
        <v>1124</v>
      </c>
      <c r="O512" s="43">
        <v>225.01</v>
      </c>
      <c r="P512" s="44" t="str">
        <f t="shared" si="52"/>
        <v>High</v>
      </c>
      <c r="Q512" s="43">
        <v>333.48</v>
      </c>
      <c r="R512" s="43">
        <v>0.11899999999999999</v>
      </c>
      <c r="S512" s="43">
        <v>12</v>
      </c>
      <c r="T512" s="43">
        <f t="shared" si="49"/>
        <v>28098.68448</v>
      </c>
      <c r="U512" s="33">
        <f t="shared" si="50"/>
        <v>2700.12</v>
      </c>
      <c r="V512" s="43">
        <f t="shared" si="53"/>
        <v>25398.564480000001</v>
      </c>
      <c r="W512" s="45">
        <f t="shared" si="54"/>
        <v>0.90390582157246957</v>
      </c>
    </row>
    <row r="513" spans="1:23" x14ac:dyDescent="0.3">
      <c r="A513" s="34" t="s">
        <v>1125</v>
      </c>
      <c r="B513" s="35">
        <v>45575</v>
      </c>
      <c r="C513" s="36">
        <v>45576</v>
      </c>
      <c r="D513" s="37">
        <f t="shared" si="55"/>
        <v>1</v>
      </c>
      <c r="E513" s="37" t="str">
        <f>TEXT(Data!B513,"MMM-YYYY")</f>
        <v>Oct-2024</v>
      </c>
      <c r="F513" s="37" t="str">
        <f t="shared" si="51"/>
        <v>Q4-2024</v>
      </c>
      <c r="G513" s="32" t="s">
        <v>78</v>
      </c>
      <c r="H513" s="32" t="s">
        <v>108</v>
      </c>
      <c r="I513" s="32" t="s">
        <v>228</v>
      </c>
      <c r="J513" s="32" t="s">
        <v>39</v>
      </c>
      <c r="K513" s="32" t="s">
        <v>55</v>
      </c>
      <c r="L513" s="32" t="s">
        <v>49</v>
      </c>
      <c r="M513" s="32" t="s">
        <v>22</v>
      </c>
      <c r="N513" s="32" t="s">
        <v>1126</v>
      </c>
      <c r="O513" s="37">
        <v>1389.46</v>
      </c>
      <c r="P513" s="38" t="str">
        <f t="shared" si="52"/>
        <v>High</v>
      </c>
      <c r="Q513" s="37">
        <v>1784.7</v>
      </c>
      <c r="R513" s="37">
        <v>0.14599999999999999</v>
      </c>
      <c r="S513" s="37">
        <v>33</v>
      </c>
      <c r="T513" s="37">
        <f t="shared" ref="T513:T576" si="56">(Q539*S513)*(1-R513)</f>
        <v>40152.022679999995</v>
      </c>
      <c r="U513" s="32">
        <f t="shared" ref="U513:U576" si="57">(O513*S513)</f>
        <v>45852.18</v>
      </c>
      <c r="V513" s="37">
        <f t="shared" si="53"/>
        <v>-5700.1573200000057</v>
      </c>
      <c r="W513" s="39">
        <f t="shared" si="54"/>
        <v>-0.14196438783242904</v>
      </c>
    </row>
    <row r="514" spans="1:23" x14ac:dyDescent="0.3">
      <c r="A514" s="40" t="s">
        <v>1127</v>
      </c>
      <c r="B514" s="41">
        <v>45078</v>
      </c>
      <c r="C514" s="42">
        <v>45085</v>
      </c>
      <c r="D514" s="43">
        <f t="shared" si="55"/>
        <v>7</v>
      </c>
      <c r="E514" s="43" t="str">
        <f>TEXT(Data!B514,"MMM-YYYY")</f>
        <v>Jun-2023</v>
      </c>
      <c r="F514" s="43" t="str">
        <f t="shared" ref="F514:F577" si="58">"Q"&amp;ROUNDUP(MONTH(B514)/3,0)&amp;"-"&amp;YEAR(B514)</f>
        <v>Q2-2023</v>
      </c>
      <c r="G514" s="33" t="s">
        <v>78</v>
      </c>
      <c r="H514" s="33" t="s">
        <v>79</v>
      </c>
      <c r="I514" s="33" t="s">
        <v>335</v>
      </c>
      <c r="J514" s="33" t="s">
        <v>48</v>
      </c>
      <c r="K514" s="33" t="s">
        <v>28</v>
      </c>
      <c r="L514" s="33" t="s">
        <v>75</v>
      </c>
      <c r="M514" s="33" t="s">
        <v>42</v>
      </c>
      <c r="N514" s="33" t="s">
        <v>1128</v>
      </c>
      <c r="O514" s="43">
        <v>804.17</v>
      </c>
      <c r="P514" s="44" t="str">
        <f t="shared" ref="P514:P577" si="59">IF(Q514&lt;50, "Low", IF(Q514&lt;200, "Medium", "High"))</f>
        <v>High</v>
      </c>
      <c r="Q514" s="43">
        <v>1072.29</v>
      </c>
      <c r="R514" s="43">
        <v>3.2000000000000001E-2</v>
      </c>
      <c r="S514" s="43">
        <v>5</v>
      </c>
      <c r="T514" s="43">
        <f t="shared" si="56"/>
        <v>11222.701599999999</v>
      </c>
      <c r="U514" s="33">
        <f t="shared" si="57"/>
        <v>4020.85</v>
      </c>
      <c r="V514" s="43">
        <f t="shared" ref="V514:V577" si="60">(T514-U514)</f>
        <v>7201.8515999999981</v>
      </c>
      <c r="W514" s="45">
        <f t="shared" ref="W514:W577" si="61">IF(T514=0, 0, V514/T514)</f>
        <v>0.64172174015568584</v>
      </c>
    </row>
    <row r="515" spans="1:23" x14ac:dyDescent="0.3">
      <c r="A515" s="34" t="s">
        <v>1129</v>
      </c>
      <c r="B515" s="35">
        <v>45661</v>
      </c>
      <c r="C515" s="36">
        <v>45662</v>
      </c>
      <c r="D515" s="37">
        <f t="shared" si="55"/>
        <v>1</v>
      </c>
      <c r="E515" s="37" t="str">
        <f>TEXT(Data!B515,"MMM-YYYY")</f>
        <v>Jan-2025</v>
      </c>
      <c r="F515" s="37" t="str">
        <f t="shared" si="58"/>
        <v>Q1-2025</v>
      </c>
      <c r="G515" s="32" t="s">
        <v>45</v>
      </c>
      <c r="H515" s="32" t="s">
        <v>60</v>
      </c>
      <c r="I515" s="32" t="s">
        <v>141</v>
      </c>
      <c r="J515" s="32" t="s">
        <v>27</v>
      </c>
      <c r="K515" s="32" t="s">
        <v>20</v>
      </c>
      <c r="L515" s="32" t="s">
        <v>34</v>
      </c>
      <c r="M515" s="32" t="s">
        <v>22</v>
      </c>
      <c r="N515" s="32" t="s">
        <v>1130</v>
      </c>
      <c r="O515" s="37">
        <v>1428.33</v>
      </c>
      <c r="P515" s="38" t="str">
        <f t="shared" si="59"/>
        <v>High</v>
      </c>
      <c r="Q515" s="37">
        <v>3028.05</v>
      </c>
      <c r="R515" s="37">
        <v>0</v>
      </c>
      <c r="S515" s="37">
        <v>11</v>
      </c>
      <c r="T515" s="37">
        <f t="shared" si="56"/>
        <v>4033.7</v>
      </c>
      <c r="U515" s="32">
        <f t="shared" si="57"/>
        <v>15711.63</v>
      </c>
      <c r="V515" s="37">
        <f t="shared" si="60"/>
        <v>-11677.93</v>
      </c>
      <c r="W515" s="39">
        <f t="shared" si="61"/>
        <v>-2.8950913553313335</v>
      </c>
    </row>
    <row r="516" spans="1:23" x14ac:dyDescent="0.3">
      <c r="A516" s="40" t="s">
        <v>1131</v>
      </c>
      <c r="B516" s="41">
        <v>45874</v>
      </c>
      <c r="C516" s="42">
        <v>45897</v>
      </c>
      <c r="D516" s="43">
        <f t="shared" ref="D516:D579" si="62">DATEDIF(B516,C516, "MD")</f>
        <v>23</v>
      </c>
      <c r="E516" s="43" t="str">
        <f>TEXT(Data!B516,"MMM-YYYY")</f>
        <v>Aug-2025</v>
      </c>
      <c r="F516" s="43" t="str">
        <f t="shared" si="58"/>
        <v>Q3-2025</v>
      </c>
      <c r="G516" s="33" t="s">
        <v>45</v>
      </c>
      <c r="H516" s="33" t="s">
        <v>60</v>
      </c>
      <c r="I516" s="33" t="s">
        <v>220</v>
      </c>
      <c r="J516" s="33" t="s">
        <v>39</v>
      </c>
      <c r="K516" s="33" t="s">
        <v>55</v>
      </c>
      <c r="L516" s="33" t="s">
        <v>126</v>
      </c>
      <c r="M516" s="33" t="s">
        <v>57</v>
      </c>
      <c r="N516" s="33" t="s">
        <v>1132</v>
      </c>
      <c r="O516" s="43">
        <v>638.54</v>
      </c>
      <c r="P516" s="44" t="str">
        <f t="shared" si="59"/>
        <v>High</v>
      </c>
      <c r="Q516" s="43">
        <v>987.24</v>
      </c>
      <c r="R516" s="43">
        <v>0</v>
      </c>
      <c r="S516" s="43">
        <v>11</v>
      </c>
      <c r="T516" s="43">
        <f t="shared" si="56"/>
        <v>30771.51</v>
      </c>
      <c r="U516" s="33">
        <f t="shared" si="57"/>
        <v>7023.94</v>
      </c>
      <c r="V516" s="43">
        <f t="shared" si="60"/>
        <v>23747.57</v>
      </c>
      <c r="W516" s="45">
        <f t="shared" si="61"/>
        <v>0.77173885844406076</v>
      </c>
    </row>
    <row r="517" spans="1:23" x14ac:dyDescent="0.3">
      <c r="A517" s="34" t="s">
        <v>1133</v>
      </c>
      <c r="B517" s="35">
        <v>45199</v>
      </c>
      <c r="C517" s="36">
        <v>45229</v>
      </c>
      <c r="D517" s="37">
        <f t="shared" si="62"/>
        <v>0</v>
      </c>
      <c r="E517" s="37" t="str">
        <f>TEXT(Data!B517,"MMM-YYYY")</f>
        <v>Sep-2023</v>
      </c>
      <c r="F517" s="37" t="str">
        <f t="shared" si="58"/>
        <v>Q3-2023</v>
      </c>
      <c r="G517" s="32" t="s">
        <v>45</v>
      </c>
      <c r="H517" s="32" t="s">
        <v>46</v>
      </c>
      <c r="I517" s="32" t="s">
        <v>214</v>
      </c>
      <c r="J517" s="32" t="s">
        <v>105</v>
      </c>
      <c r="K517" s="32" t="s">
        <v>28</v>
      </c>
      <c r="L517" s="32" t="s">
        <v>145</v>
      </c>
      <c r="M517" s="32" t="s">
        <v>30</v>
      </c>
      <c r="N517" s="32" t="s">
        <v>1134</v>
      </c>
      <c r="O517" s="37">
        <v>649.13</v>
      </c>
      <c r="P517" s="38" t="str">
        <f t="shared" si="59"/>
        <v>High</v>
      </c>
      <c r="Q517" s="37">
        <v>975.43</v>
      </c>
      <c r="R517" s="37">
        <v>0.157</v>
      </c>
      <c r="S517" s="37">
        <v>27</v>
      </c>
      <c r="T517" s="37">
        <f t="shared" si="56"/>
        <v>50294.07125999999</v>
      </c>
      <c r="U517" s="32">
        <f t="shared" si="57"/>
        <v>17526.509999999998</v>
      </c>
      <c r="V517" s="37">
        <f t="shared" si="60"/>
        <v>32767.561259999991</v>
      </c>
      <c r="W517" s="39">
        <f t="shared" si="61"/>
        <v>0.65151936280133227</v>
      </c>
    </row>
    <row r="518" spans="1:23" x14ac:dyDescent="0.3">
      <c r="A518" s="40" t="s">
        <v>1135</v>
      </c>
      <c r="B518" s="41">
        <v>45794</v>
      </c>
      <c r="C518" s="42">
        <v>45807</v>
      </c>
      <c r="D518" s="43">
        <f t="shared" si="62"/>
        <v>13</v>
      </c>
      <c r="E518" s="43" t="str">
        <f>TEXT(Data!B518,"MMM-YYYY")</f>
        <v>May-2025</v>
      </c>
      <c r="F518" s="43" t="str">
        <f t="shared" si="58"/>
        <v>Q2-2025</v>
      </c>
      <c r="G518" s="33" t="s">
        <v>16</v>
      </c>
      <c r="H518" s="33" t="s">
        <v>25</v>
      </c>
      <c r="I518" s="33" t="s">
        <v>38</v>
      </c>
      <c r="J518" s="33" t="s">
        <v>48</v>
      </c>
      <c r="K518" s="33" t="s">
        <v>55</v>
      </c>
      <c r="L518" s="33" t="s">
        <v>84</v>
      </c>
      <c r="M518" s="33" t="s">
        <v>81</v>
      </c>
      <c r="N518" s="33" t="s">
        <v>1136</v>
      </c>
      <c r="O518" s="43">
        <v>66.400000000000006</v>
      </c>
      <c r="P518" s="44" t="str">
        <f t="shared" si="59"/>
        <v>Medium</v>
      </c>
      <c r="Q518" s="43">
        <v>141.43</v>
      </c>
      <c r="R518" s="43">
        <v>0.107</v>
      </c>
      <c r="S518" s="43">
        <v>8</v>
      </c>
      <c r="T518" s="43">
        <f t="shared" si="56"/>
        <v>5994.1017599999996</v>
      </c>
      <c r="U518" s="33">
        <f t="shared" si="57"/>
        <v>531.20000000000005</v>
      </c>
      <c r="V518" s="43">
        <f t="shared" si="60"/>
        <v>5462.9017599999997</v>
      </c>
      <c r="W518" s="45">
        <f t="shared" si="61"/>
        <v>0.91137954921873066</v>
      </c>
    </row>
    <row r="519" spans="1:23" x14ac:dyDescent="0.3">
      <c r="A519" s="34" t="s">
        <v>1137</v>
      </c>
      <c r="B519" s="35">
        <v>45413</v>
      </c>
      <c r="C519" s="36">
        <v>45438</v>
      </c>
      <c r="D519" s="37">
        <f t="shared" si="62"/>
        <v>25</v>
      </c>
      <c r="E519" s="37" t="str">
        <f>TEXT(Data!B519,"MMM-YYYY")</f>
        <v>May-2024</v>
      </c>
      <c r="F519" s="37" t="str">
        <f t="shared" si="58"/>
        <v>Q2-2024</v>
      </c>
      <c r="G519" s="32" t="s">
        <v>78</v>
      </c>
      <c r="H519" s="32" t="s">
        <v>79</v>
      </c>
      <c r="I519" s="32" t="s">
        <v>80</v>
      </c>
      <c r="J519" s="32" t="s">
        <v>39</v>
      </c>
      <c r="K519" s="32" t="s">
        <v>20</v>
      </c>
      <c r="L519" s="32" t="s">
        <v>56</v>
      </c>
      <c r="M519" s="32" t="s">
        <v>35</v>
      </c>
      <c r="N519" s="32" t="s">
        <v>1138</v>
      </c>
      <c r="O519" s="37">
        <v>930.71</v>
      </c>
      <c r="P519" s="38" t="str">
        <f t="shared" si="59"/>
        <v>High</v>
      </c>
      <c r="Q519" s="37">
        <v>1625.42</v>
      </c>
      <c r="R519" s="37">
        <v>0.13800000000000001</v>
      </c>
      <c r="S519" s="37">
        <v>7</v>
      </c>
      <c r="T519" s="37">
        <f t="shared" si="56"/>
        <v>6873.6311000000005</v>
      </c>
      <c r="U519" s="32">
        <f t="shared" si="57"/>
        <v>6514.97</v>
      </c>
      <c r="V519" s="37">
        <f t="shared" si="60"/>
        <v>358.66110000000026</v>
      </c>
      <c r="W519" s="39">
        <f t="shared" si="61"/>
        <v>5.2179276830844216E-2</v>
      </c>
    </row>
    <row r="520" spans="1:23" x14ac:dyDescent="0.3">
      <c r="A520" s="40" t="s">
        <v>1139</v>
      </c>
      <c r="B520" s="41">
        <v>45047</v>
      </c>
      <c r="C520" s="42">
        <v>45064</v>
      </c>
      <c r="D520" s="43">
        <f t="shared" si="62"/>
        <v>17</v>
      </c>
      <c r="E520" s="43" t="str">
        <f>TEXT(Data!B520,"MMM-YYYY")</f>
        <v>May-2023</v>
      </c>
      <c r="F520" s="43" t="str">
        <f t="shared" si="58"/>
        <v>Q2-2023</v>
      </c>
      <c r="G520" s="33" t="s">
        <v>16</v>
      </c>
      <c r="H520" s="33" t="s">
        <v>25</v>
      </c>
      <c r="I520" s="33" t="s">
        <v>26</v>
      </c>
      <c r="J520" s="33" t="s">
        <v>19</v>
      </c>
      <c r="K520" s="33" t="s">
        <v>98</v>
      </c>
      <c r="L520" s="33" t="s">
        <v>84</v>
      </c>
      <c r="M520" s="33" t="s">
        <v>22</v>
      </c>
      <c r="N520" s="33" t="s">
        <v>1140</v>
      </c>
      <c r="O520" s="43">
        <v>327.97</v>
      </c>
      <c r="P520" s="44" t="str">
        <f t="shared" si="59"/>
        <v>High</v>
      </c>
      <c r="Q520" s="43">
        <v>299.94</v>
      </c>
      <c r="R520" s="43">
        <v>4.9000000000000002E-2</v>
      </c>
      <c r="S520" s="43">
        <v>3</v>
      </c>
      <c r="T520" s="43">
        <f t="shared" si="56"/>
        <v>4884.4215899999999</v>
      </c>
      <c r="U520" s="33">
        <f t="shared" si="57"/>
        <v>983.91000000000008</v>
      </c>
      <c r="V520" s="43">
        <f t="shared" si="60"/>
        <v>3900.5115900000001</v>
      </c>
      <c r="W520" s="45">
        <f t="shared" si="61"/>
        <v>0.79856161433435968</v>
      </c>
    </row>
    <row r="521" spans="1:23" x14ac:dyDescent="0.3">
      <c r="A521" s="34" t="s">
        <v>1141</v>
      </c>
      <c r="B521" s="35">
        <v>45482</v>
      </c>
      <c r="C521" s="36">
        <v>45512</v>
      </c>
      <c r="D521" s="37">
        <f t="shared" si="62"/>
        <v>30</v>
      </c>
      <c r="E521" s="37" t="str">
        <f>TEXT(Data!B521,"MMM-YYYY")</f>
        <v>Jul-2024</v>
      </c>
      <c r="F521" s="37" t="str">
        <f t="shared" si="58"/>
        <v>Q3-2024</v>
      </c>
      <c r="G521" s="32" t="s">
        <v>78</v>
      </c>
      <c r="H521" s="32" t="s">
        <v>90</v>
      </c>
      <c r="I521" s="32" t="s">
        <v>91</v>
      </c>
      <c r="J521" s="32" t="s">
        <v>19</v>
      </c>
      <c r="K521" s="32" t="s">
        <v>98</v>
      </c>
      <c r="L521" s="32" t="s">
        <v>29</v>
      </c>
      <c r="M521" s="32" t="s">
        <v>22</v>
      </c>
      <c r="N521" s="32" t="s">
        <v>1142</v>
      </c>
      <c r="O521" s="37">
        <v>1062.3800000000001</v>
      </c>
      <c r="P521" s="38" t="str">
        <f t="shared" si="59"/>
        <v>High</v>
      </c>
      <c r="Q521" s="37">
        <v>1503.96</v>
      </c>
      <c r="R521" s="37">
        <v>0.18</v>
      </c>
      <c r="S521" s="37">
        <v>6</v>
      </c>
      <c r="T521" s="37">
        <f t="shared" si="56"/>
        <v>5187.1068000000005</v>
      </c>
      <c r="U521" s="32">
        <f t="shared" si="57"/>
        <v>6374.2800000000007</v>
      </c>
      <c r="V521" s="37">
        <f t="shared" si="60"/>
        <v>-1187.1732000000002</v>
      </c>
      <c r="W521" s="39">
        <f t="shared" si="61"/>
        <v>-0.22887001285572142</v>
      </c>
    </row>
    <row r="522" spans="1:23" x14ac:dyDescent="0.3">
      <c r="A522" s="40" t="s">
        <v>1143</v>
      </c>
      <c r="B522" s="41">
        <v>45056</v>
      </c>
      <c r="C522" s="42">
        <v>45073</v>
      </c>
      <c r="D522" s="43">
        <f t="shared" si="62"/>
        <v>17</v>
      </c>
      <c r="E522" s="43" t="str">
        <f>TEXT(Data!B522,"MMM-YYYY")</f>
        <v>May-2023</v>
      </c>
      <c r="F522" s="43" t="str">
        <f t="shared" si="58"/>
        <v>Q2-2023</v>
      </c>
      <c r="G522" s="33" t="s">
        <v>45</v>
      </c>
      <c r="H522" s="33" t="s">
        <v>60</v>
      </c>
      <c r="I522" s="33" t="s">
        <v>220</v>
      </c>
      <c r="J522" s="33" t="s">
        <v>48</v>
      </c>
      <c r="K522" s="33" t="s">
        <v>20</v>
      </c>
      <c r="L522" s="33" t="s">
        <v>110</v>
      </c>
      <c r="M522" s="33" t="s">
        <v>57</v>
      </c>
      <c r="N522" s="33" t="s">
        <v>1144</v>
      </c>
      <c r="O522" s="43">
        <v>1286.1600000000001</v>
      </c>
      <c r="P522" s="44" t="str">
        <f t="shared" si="59"/>
        <v>High</v>
      </c>
      <c r="Q522" s="43">
        <v>3101.11</v>
      </c>
      <c r="R522" s="43">
        <v>0.1</v>
      </c>
      <c r="S522" s="43">
        <v>23</v>
      </c>
      <c r="T522" s="43">
        <f t="shared" si="56"/>
        <v>50740.254000000001</v>
      </c>
      <c r="U522" s="33">
        <f t="shared" si="57"/>
        <v>29581.68</v>
      </c>
      <c r="V522" s="43">
        <f t="shared" si="60"/>
        <v>21158.574000000001</v>
      </c>
      <c r="W522" s="45">
        <f t="shared" si="61"/>
        <v>0.41699779429562966</v>
      </c>
    </row>
    <row r="523" spans="1:23" x14ac:dyDescent="0.3">
      <c r="A523" s="34" t="s">
        <v>1145</v>
      </c>
      <c r="B523" s="35">
        <v>45482</v>
      </c>
      <c r="C523" s="36">
        <v>45485</v>
      </c>
      <c r="D523" s="37">
        <f t="shared" si="62"/>
        <v>3</v>
      </c>
      <c r="E523" s="37" t="str">
        <f>TEXT(Data!B523,"MMM-YYYY")</f>
        <v>Jul-2024</v>
      </c>
      <c r="F523" s="37" t="str">
        <f t="shared" si="58"/>
        <v>Q3-2024</v>
      </c>
      <c r="G523" s="32" t="s">
        <v>45</v>
      </c>
      <c r="H523" s="32" t="s">
        <v>116</v>
      </c>
      <c r="I523" s="32" t="s">
        <v>162</v>
      </c>
      <c r="J523" s="32" t="s">
        <v>62</v>
      </c>
      <c r="K523" s="32" t="s">
        <v>20</v>
      </c>
      <c r="L523" s="32" t="s">
        <v>145</v>
      </c>
      <c r="M523" s="32" t="s">
        <v>81</v>
      </c>
      <c r="N523" s="32" t="s">
        <v>1146</v>
      </c>
      <c r="O523" s="37">
        <v>748.39</v>
      </c>
      <c r="P523" s="38" t="str">
        <f t="shared" si="59"/>
        <v>High</v>
      </c>
      <c r="Q523" s="37">
        <v>979.42</v>
      </c>
      <c r="R523" s="37">
        <v>0</v>
      </c>
      <c r="S523" s="37">
        <v>23</v>
      </c>
      <c r="T523" s="37">
        <f t="shared" si="56"/>
        <v>28777.83</v>
      </c>
      <c r="U523" s="32">
        <f t="shared" si="57"/>
        <v>17212.97</v>
      </c>
      <c r="V523" s="37">
        <f t="shared" si="60"/>
        <v>11564.86</v>
      </c>
      <c r="W523" s="39">
        <f t="shared" si="61"/>
        <v>0.401866992751017</v>
      </c>
    </row>
    <row r="524" spans="1:23" x14ac:dyDescent="0.3">
      <c r="A524" s="40" t="s">
        <v>1147</v>
      </c>
      <c r="B524" s="41">
        <v>45406</v>
      </c>
      <c r="C524" s="42">
        <v>45422</v>
      </c>
      <c r="D524" s="43">
        <f t="shared" si="62"/>
        <v>16</v>
      </c>
      <c r="E524" s="43" t="str">
        <f>TEXT(Data!B524,"MMM-YYYY")</f>
        <v>Apr-2024</v>
      </c>
      <c r="F524" s="43" t="str">
        <f t="shared" si="58"/>
        <v>Q2-2024</v>
      </c>
      <c r="G524" s="33" t="s">
        <v>16</v>
      </c>
      <c r="H524" s="33" t="s">
        <v>17</v>
      </c>
      <c r="I524" s="33" t="s">
        <v>18</v>
      </c>
      <c r="J524" s="33" t="s">
        <v>39</v>
      </c>
      <c r="K524" s="33" t="s">
        <v>28</v>
      </c>
      <c r="L524" s="33" t="s">
        <v>126</v>
      </c>
      <c r="M524" s="33" t="s">
        <v>64</v>
      </c>
      <c r="N524" s="33" t="s">
        <v>1148</v>
      </c>
      <c r="O524" s="43">
        <v>513.30999999999995</v>
      </c>
      <c r="P524" s="44" t="str">
        <f t="shared" si="59"/>
        <v>High</v>
      </c>
      <c r="Q524" s="43">
        <v>1186.26</v>
      </c>
      <c r="R524" s="43">
        <v>9.4E-2</v>
      </c>
      <c r="S524" s="43">
        <v>15</v>
      </c>
      <c r="T524" s="43">
        <f t="shared" si="56"/>
        <v>15014.232</v>
      </c>
      <c r="U524" s="33">
        <f t="shared" si="57"/>
        <v>7699.65</v>
      </c>
      <c r="V524" s="43">
        <f t="shared" si="60"/>
        <v>7314.5820000000003</v>
      </c>
      <c r="W524" s="45">
        <f t="shared" si="61"/>
        <v>0.48717656687335059</v>
      </c>
    </row>
    <row r="525" spans="1:23" x14ac:dyDescent="0.3">
      <c r="A525" s="34" t="s">
        <v>1149</v>
      </c>
      <c r="B525" s="35">
        <v>45304</v>
      </c>
      <c r="C525" s="36">
        <v>45306</v>
      </c>
      <c r="D525" s="37">
        <f t="shared" si="62"/>
        <v>2</v>
      </c>
      <c r="E525" s="37" t="str">
        <f>TEXT(Data!B525,"MMM-YYYY")</f>
        <v>Jan-2024</v>
      </c>
      <c r="F525" s="37" t="str">
        <f t="shared" si="58"/>
        <v>Q1-2024</v>
      </c>
      <c r="G525" s="32" t="s">
        <v>52</v>
      </c>
      <c r="H525" s="32" t="s">
        <v>122</v>
      </c>
      <c r="I525" s="32" t="s">
        <v>167</v>
      </c>
      <c r="J525" s="32" t="s">
        <v>39</v>
      </c>
      <c r="K525" s="32" t="s">
        <v>98</v>
      </c>
      <c r="L525" s="32" t="s">
        <v>63</v>
      </c>
      <c r="M525" s="32" t="s">
        <v>22</v>
      </c>
      <c r="N525" s="32" t="s">
        <v>1150</v>
      </c>
      <c r="O525" s="37">
        <v>1061.3699999999999</v>
      </c>
      <c r="P525" s="38" t="str">
        <f t="shared" si="59"/>
        <v>High</v>
      </c>
      <c r="Q525" s="37">
        <v>1938.33</v>
      </c>
      <c r="R525" s="37">
        <v>0.17</v>
      </c>
      <c r="S525" s="37">
        <v>4</v>
      </c>
      <c r="T525" s="37">
        <f t="shared" si="56"/>
        <v>7912.9211999999989</v>
      </c>
      <c r="U525" s="32">
        <f t="shared" si="57"/>
        <v>4245.4799999999996</v>
      </c>
      <c r="V525" s="37">
        <f t="shared" si="60"/>
        <v>3667.4411999999993</v>
      </c>
      <c r="W525" s="39">
        <f t="shared" si="61"/>
        <v>0.46347500591816837</v>
      </c>
    </row>
    <row r="526" spans="1:23" x14ac:dyDescent="0.3">
      <c r="A526" s="40" t="s">
        <v>1151</v>
      </c>
      <c r="B526" s="41">
        <v>45398</v>
      </c>
      <c r="C526" s="42">
        <v>45409</v>
      </c>
      <c r="D526" s="43">
        <f t="shared" si="62"/>
        <v>11</v>
      </c>
      <c r="E526" s="43" t="str">
        <f>TEXT(Data!B526,"MMM-YYYY")</f>
        <v>Apr-2024</v>
      </c>
      <c r="F526" s="43" t="str">
        <f t="shared" si="58"/>
        <v>Q2-2024</v>
      </c>
      <c r="G526" s="33" t="s">
        <v>16</v>
      </c>
      <c r="H526" s="33" t="s">
        <v>17</v>
      </c>
      <c r="I526" s="33" t="s">
        <v>135</v>
      </c>
      <c r="J526" s="33" t="s">
        <v>105</v>
      </c>
      <c r="K526" s="33" t="s">
        <v>28</v>
      </c>
      <c r="L526" s="33" t="s">
        <v>145</v>
      </c>
      <c r="M526" s="33" t="s">
        <v>30</v>
      </c>
      <c r="N526" s="33" t="s">
        <v>1152</v>
      </c>
      <c r="O526" s="43">
        <v>401.3</v>
      </c>
      <c r="P526" s="44" t="str">
        <f t="shared" si="59"/>
        <v>High</v>
      </c>
      <c r="Q526" s="43">
        <v>826.47</v>
      </c>
      <c r="R526" s="43">
        <v>0.22500000000000001</v>
      </c>
      <c r="S526" s="43">
        <v>13</v>
      </c>
      <c r="T526" s="43">
        <f t="shared" si="56"/>
        <v>2146.5795000000003</v>
      </c>
      <c r="U526" s="33">
        <f t="shared" si="57"/>
        <v>5216.9000000000005</v>
      </c>
      <c r="V526" s="43">
        <f t="shared" si="60"/>
        <v>-3070.3205000000003</v>
      </c>
      <c r="W526" s="45">
        <f t="shared" si="61"/>
        <v>-1.4303316043034977</v>
      </c>
    </row>
    <row r="527" spans="1:23" x14ac:dyDescent="0.3">
      <c r="A527" s="34" t="s">
        <v>1153</v>
      </c>
      <c r="B527" s="35">
        <v>45695</v>
      </c>
      <c r="C527" s="36">
        <v>45704</v>
      </c>
      <c r="D527" s="37">
        <f t="shared" si="62"/>
        <v>9</v>
      </c>
      <c r="E527" s="37" t="str">
        <f>TEXT(Data!B527,"MMM-YYYY")</f>
        <v>Feb-2025</v>
      </c>
      <c r="F527" s="37" t="str">
        <f t="shared" si="58"/>
        <v>Q1-2025</v>
      </c>
      <c r="G527" s="32" t="s">
        <v>16</v>
      </c>
      <c r="H527" s="32" t="s">
        <v>25</v>
      </c>
      <c r="I527" s="32" t="s">
        <v>38</v>
      </c>
      <c r="J527" s="32" t="s">
        <v>62</v>
      </c>
      <c r="K527" s="32" t="s">
        <v>55</v>
      </c>
      <c r="L527" s="32" t="s">
        <v>21</v>
      </c>
      <c r="M527" s="32" t="s">
        <v>30</v>
      </c>
      <c r="N527" s="32" t="s">
        <v>1154</v>
      </c>
      <c r="O527" s="37">
        <v>90.68</v>
      </c>
      <c r="P527" s="38" t="str">
        <f t="shared" si="59"/>
        <v>Medium</v>
      </c>
      <c r="Q527" s="37">
        <v>118.17</v>
      </c>
      <c r="R527" s="37">
        <v>0.13500000000000001</v>
      </c>
      <c r="S527" s="37">
        <v>21</v>
      </c>
      <c r="T527" s="37">
        <f t="shared" si="56"/>
        <v>36886.575600000004</v>
      </c>
      <c r="U527" s="32">
        <f t="shared" si="57"/>
        <v>1904.2800000000002</v>
      </c>
      <c r="V527" s="37">
        <f t="shared" si="60"/>
        <v>34982.295600000005</v>
      </c>
      <c r="W527" s="39">
        <f t="shared" si="61"/>
        <v>0.94837471440422894</v>
      </c>
    </row>
    <row r="528" spans="1:23" x14ac:dyDescent="0.3">
      <c r="A528" s="40" t="s">
        <v>1155</v>
      </c>
      <c r="B528" s="41">
        <v>44938</v>
      </c>
      <c r="C528" s="42">
        <v>44952</v>
      </c>
      <c r="D528" s="43">
        <f t="shared" si="62"/>
        <v>14</v>
      </c>
      <c r="E528" s="43" t="str">
        <f>TEXT(Data!B528,"MMM-YYYY")</f>
        <v>Jan-2023</v>
      </c>
      <c r="F528" s="43" t="str">
        <f t="shared" si="58"/>
        <v>Q1-2023</v>
      </c>
      <c r="G528" s="33" t="s">
        <v>45</v>
      </c>
      <c r="H528" s="33" t="s">
        <v>116</v>
      </c>
      <c r="I528" s="33" t="s">
        <v>117</v>
      </c>
      <c r="J528" s="33" t="s">
        <v>39</v>
      </c>
      <c r="K528" s="33" t="s">
        <v>20</v>
      </c>
      <c r="L528" s="33" t="s">
        <v>110</v>
      </c>
      <c r="M528" s="33" t="s">
        <v>30</v>
      </c>
      <c r="N528" s="33" t="s">
        <v>1156</v>
      </c>
      <c r="O528" s="43">
        <v>1083.0899999999999</v>
      </c>
      <c r="P528" s="44" t="str">
        <f t="shared" si="59"/>
        <v>High</v>
      </c>
      <c r="Q528" s="43">
        <v>1425.87</v>
      </c>
      <c r="R528" s="43">
        <v>0</v>
      </c>
      <c r="S528" s="43">
        <v>8</v>
      </c>
      <c r="T528" s="43">
        <f t="shared" si="56"/>
        <v>7653.6</v>
      </c>
      <c r="U528" s="33">
        <f t="shared" si="57"/>
        <v>8664.7199999999993</v>
      </c>
      <c r="V528" s="43">
        <f t="shared" si="60"/>
        <v>-1011.119999999999</v>
      </c>
      <c r="W528" s="45">
        <f t="shared" si="61"/>
        <v>-0.13211037942928805</v>
      </c>
    </row>
    <row r="529" spans="1:23" x14ac:dyDescent="0.3">
      <c r="A529" s="34" t="s">
        <v>1157</v>
      </c>
      <c r="B529" s="35">
        <v>45448</v>
      </c>
      <c r="C529" s="36">
        <v>45466</v>
      </c>
      <c r="D529" s="37">
        <f t="shared" si="62"/>
        <v>18</v>
      </c>
      <c r="E529" s="37" t="str">
        <f>TEXT(Data!B529,"MMM-YYYY")</f>
        <v>Jun-2024</v>
      </c>
      <c r="F529" s="37" t="str">
        <f t="shared" si="58"/>
        <v>Q2-2024</v>
      </c>
      <c r="G529" s="32" t="s">
        <v>16</v>
      </c>
      <c r="H529" s="32" t="s">
        <v>17</v>
      </c>
      <c r="I529" s="32" t="s">
        <v>33</v>
      </c>
      <c r="J529" s="32" t="s">
        <v>48</v>
      </c>
      <c r="K529" s="32" t="s">
        <v>55</v>
      </c>
      <c r="L529" s="32" t="s">
        <v>145</v>
      </c>
      <c r="M529" s="32" t="s">
        <v>57</v>
      </c>
      <c r="N529" s="32" t="s">
        <v>1158</v>
      </c>
      <c r="O529" s="37">
        <v>1208.74</v>
      </c>
      <c r="P529" s="38" t="str">
        <f t="shared" si="59"/>
        <v>High</v>
      </c>
      <c r="Q529" s="37">
        <v>1594.78</v>
      </c>
      <c r="R529" s="37">
        <v>5.8999999999999997E-2</v>
      </c>
      <c r="S529" s="37">
        <v>39</v>
      </c>
      <c r="T529" s="37">
        <f t="shared" si="56"/>
        <v>53128.40832000001</v>
      </c>
      <c r="U529" s="32">
        <f t="shared" si="57"/>
        <v>47140.86</v>
      </c>
      <c r="V529" s="37">
        <f t="shared" si="60"/>
        <v>5987.548320000009</v>
      </c>
      <c r="W529" s="39">
        <f t="shared" si="61"/>
        <v>0.11269956148387032</v>
      </c>
    </row>
    <row r="530" spans="1:23" x14ac:dyDescent="0.3">
      <c r="A530" s="40" t="s">
        <v>1159</v>
      </c>
      <c r="B530" s="41">
        <v>45162</v>
      </c>
      <c r="C530" s="42">
        <v>45189</v>
      </c>
      <c r="D530" s="43">
        <f t="shared" si="62"/>
        <v>27</v>
      </c>
      <c r="E530" s="43" t="str">
        <f>TEXT(Data!B530,"MMM-YYYY")</f>
        <v>Aug-2023</v>
      </c>
      <c r="F530" s="43" t="str">
        <f t="shared" si="58"/>
        <v>Q3-2023</v>
      </c>
      <c r="G530" s="33" t="s">
        <v>16</v>
      </c>
      <c r="H530" s="33" t="s">
        <v>148</v>
      </c>
      <c r="I530" s="33" t="s">
        <v>172</v>
      </c>
      <c r="J530" s="33" t="s">
        <v>62</v>
      </c>
      <c r="K530" s="33" t="s">
        <v>40</v>
      </c>
      <c r="L530" s="33" t="s">
        <v>110</v>
      </c>
      <c r="M530" s="33" t="s">
        <v>30</v>
      </c>
      <c r="N530" s="33" t="s">
        <v>1160</v>
      </c>
      <c r="O530" s="43">
        <v>1399.64</v>
      </c>
      <c r="P530" s="44" t="str">
        <f t="shared" si="59"/>
        <v>High</v>
      </c>
      <c r="Q530" s="43">
        <v>3342.11</v>
      </c>
      <c r="R530" s="43">
        <v>0</v>
      </c>
      <c r="S530" s="43">
        <v>10</v>
      </c>
      <c r="T530" s="43">
        <f t="shared" si="56"/>
        <v>29496.199999999997</v>
      </c>
      <c r="U530" s="33">
        <f t="shared" si="57"/>
        <v>13996.400000000001</v>
      </c>
      <c r="V530" s="43">
        <f t="shared" si="60"/>
        <v>15499.799999999996</v>
      </c>
      <c r="W530" s="45">
        <f t="shared" si="61"/>
        <v>0.52548463869922213</v>
      </c>
    </row>
    <row r="531" spans="1:23" x14ac:dyDescent="0.3">
      <c r="A531" s="34" t="s">
        <v>1161</v>
      </c>
      <c r="B531" s="35">
        <v>45316</v>
      </c>
      <c r="C531" s="36">
        <v>45330</v>
      </c>
      <c r="D531" s="37">
        <f t="shared" si="62"/>
        <v>14</v>
      </c>
      <c r="E531" s="37" t="str">
        <f>TEXT(Data!B531,"MMM-YYYY")</f>
        <v>Jan-2024</v>
      </c>
      <c r="F531" s="37" t="str">
        <f t="shared" si="58"/>
        <v>Q1-2024</v>
      </c>
      <c r="G531" s="32" t="s">
        <v>45</v>
      </c>
      <c r="H531" s="32" t="s">
        <v>46</v>
      </c>
      <c r="I531" s="32" t="s">
        <v>47</v>
      </c>
      <c r="J531" s="32" t="s">
        <v>48</v>
      </c>
      <c r="K531" s="32" t="s">
        <v>40</v>
      </c>
      <c r="L531" s="32" t="s">
        <v>34</v>
      </c>
      <c r="M531" s="32" t="s">
        <v>35</v>
      </c>
      <c r="N531" s="32" t="s">
        <v>1162</v>
      </c>
      <c r="O531" s="37">
        <v>937.16</v>
      </c>
      <c r="P531" s="38" t="str">
        <f t="shared" si="59"/>
        <v>High</v>
      </c>
      <c r="Q531" s="37">
        <v>1069.77</v>
      </c>
      <c r="R531" s="37">
        <v>3.7999999999999999E-2</v>
      </c>
      <c r="S531" s="37">
        <v>9</v>
      </c>
      <c r="T531" s="37">
        <f t="shared" si="56"/>
        <v>22342.575059999999</v>
      </c>
      <c r="U531" s="32">
        <f t="shared" si="57"/>
        <v>8434.44</v>
      </c>
      <c r="V531" s="37">
        <f t="shared" si="60"/>
        <v>13908.135059999999</v>
      </c>
      <c r="W531" s="39">
        <f t="shared" si="61"/>
        <v>0.62249472241450754</v>
      </c>
    </row>
    <row r="532" spans="1:23" x14ac:dyDescent="0.3">
      <c r="A532" s="40" t="s">
        <v>1163</v>
      </c>
      <c r="B532" s="41">
        <v>45727</v>
      </c>
      <c r="C532" s="42">
        <v>45742</v>
      </c>
      <c r="D532" s="43">
        <f t="shared" si="62"/>
        <v>15</v>
      </c>
      <c r="E532" s="43" t="str">
        <f>TEXT(Data!B532,"MMM-YYYY")</f>
        <v>Mar-2025</v>
      </c>
      <c r="F532" s="43" t="str">
        <f t="shared" si="58"/>
        <v>Q1-2025</v>
      </c>
      <c r="G532" s="33" t="s">
        <v>78</v>
      </c>
      <c r="H532" s="33" t="s">
        <v>79</v>
      </c>
      <c r="I532" s="33" t="s">
        <v>80</v>
      </c>
      <c r="J532" s="33" t="s">
        <v>62</v>
      </c>
      <c r="K532" s="33" t="s">
        <v>28</v>
      </c>
      <c r="L532" s="33" t="s">
        <v>34</v>
      </c>
      <c r="M532" s="33" t="s">
        <v>42</v>
      </c>
      <c r="N532" s="33" t="s">
        <v>1164</v>
      </c>
      <c r="O532" s="43">
        <v>116.97</v>
      </c>
      <c r="P532" s="44" t="str">
        <f t="shared" si="59"/>
        <v>Medium</v>
      </c>
      <c r="Q532" s="43">
        <v>140.82</v>
      </c>
      <c r="R532" s="43">
        <v>0.122</v>
      </c>
      <c r="S532" s="43">
        <v>5</v>
      </c>
      <c r="T532" s="43">
        <f t="shared" si="56"/>
        <v>8687.4149000000016</v>
      </c>
      <c r="U532" s="33">
        <f t="shared" si="57"/>
        <v>584.85</v>
      </c>
      <c r="V532" s="43">
        <f t="shared" si="60"/>
        <v>8102.5649000000012</v>
      </c>
      <c r="W532" s="45">
        <f t="shared" si="61"/>
        <v>0.93267847723032082</v>
      </c>
    </row>
    <row r="533" spans="1:23" x14ac:dyDescent="0.3">
      <c r="A533" s="34" t="s">
        <v>1165</v>
      </c>
      <c r="B533" s="35">
        <v>45769</v>
      </c>
      <c r="C533" s="36">
        <v>45789</v>
      </c>
      <c r="D533" s="37">
        <f t="shared" si="62"/>
        <v>20</v>
      </c>
      <c r="E533" s="37" t="str">
        <f>TEXT(Data!B533,"MMM-YYYY")</f>
        <v>Apr-2025</v>
      </c>
      <c r="F533" s="37" t="str">
        <f t="shared" si="58"/>
        <v>Q2-2025</v>
      </c>
      <c r="G533" s="32" t="s">
        <v>78</v>
      </c>
      <c r="H533" s="32" t="s">
        <v>90</v>
      </c>
      <c r="I533" s="32" t="s">
        <v>138</v>
      </c>
      <c r="J533" s="32" t="s">
        <v>105</v>
      </c>
      <c r="K533" s="32" t="s">
        <v>40</v>
      </c>
      <c r="L533" s="32" t="s">
        <v>95</v>
      </c>
      <c r="M533" s="32" t="s">
        <v>64</v>
      </c>
      <c r="N533" s="32" t="s">
        <v>1166</v>
      </c>
      <c r="O533" s="37">
        <v>59.51</v>
      </c>
      <c r="P533" s="38" t="str">
        <f t="shared" si="59"/>
        <v>Medium</v>
      </c>
      <c r="Q533" s="37">
        <v>67.040000000000006</v>
      </c>
      <c r="R533" s="37">
        <v>0.114</v>
      </c>
      <c r="S533" s="37">
        <v>9</v>
      </c>
      <c r="T533" s="37">
        <f t="shared" si="56"/>
        <v>11813.082300000002</v>
      </c>
      <c r="U533" s="32">
        <f t="shared" si="57"/>
        <v>535.59</v>
      </c>
      <c r="V533" s="37">
        <f t="shared" si="60"/>
        <v>11277.492300000002</v>
      </c>
      <c r="W533" s="39">
        <f t="shared" si="61"/>
        <v>0.95466128260191674</v>
      </c>
    </row>
    <row r="534" spans="1:23" x14ac:dyDescent="0.3">
      <c r="A534" s="40" t="s">
        <v>1167</v>
      </c>
      <c r="B534" s="41">
        <v>45155</v>
      </c>
      <c r="C534" s="42">
        <v>45172</v>
      </c>
      <c r="D534" s="43">
        <f t="shared" si="62"/>
        <v>17</v>
      </c>
      <c r="E534" s="43" t="str">
        <f>TEXT(Data!B534,"MMM-YYYY")</f>
        <v>Aug-2023</v>
      </c>
      <c r="F534" s="43" t="str">
        <f t="shared" si="58"/>
        <v>Q3-2023</v>
      </c>
      <c r="G534" s="33" t="s">
        <v>16</v>
      </c>
      <c r="H534" s="33" t="s">
        <v>148</v>
      </c>
      <c r="I534" s="33" t="s">
        <v>172</v>
      </c>
      <c r="J534" s="33" t="s">
        <v>105</v>
      </c>
      <c r="K534" s="33" t="s">
        <v>20</v>
      </c>
      <c r="L534" s="33" t="s">
        <v>75</v>
      </c>
      <c r="M534" s="33" t="s">
        <v>42</v>
      </c>
      <c r="N534" s="33" t="s">
        <v>1168</v>
      </c>
      <c r="O534" s="43">
        <v>676.37</v>
      </c>
      <c r="P534" s="44" t="str">
        <f t="shared" si="59"/>
        <v>High</v>
      </c>
      <c r="Q534" s="43">
        <v>1276.67</v>
      </c>
      <c r="R534" s="43">
        <v>6.6000000000000003E-2</v>
      </c>
      <c r="S534" s="43">
        <v>10</v>
      </c>
      <c r="T534" s="43">
        <f t="shared" si="56"/>
        <v>15494.3128</v>
      </c>
      <c r="U534" s="33">
        <f t="shared" si="57"/>
        <v>6763.7</v>
      </c>
      <c r="V534" s="43">
        <f t="shared" si="60"/>
        <v>8730.612799999999</v>
      </c>
      <c r="W534" s="45">
        <f t="shared" si="61"/>
        <v>0.56347208893317291</v>
      </c>
    </row>
    <row r="535" spans="1:23" x14ac:dyDescent="0.3">
      <c r="A535" s="34" t="s">
        <v>1169</v>
      </c>
      <c r="B535" s="35">
        <v>45832</v>
      </c>
      <c r="C535" s="36">
        <v>45852</v>
      </c>
      <c r="D535" s="37">
        <f t="shared" si="62"/>
        <v>20</v>
      </c>
      <c r="E535" s="37" t="str">
        <f>TEXT(Data!B535,"MMM-YYYY")</f>
        <v>Jun-2025</v>
      </c>
      <c r="F535" s="37" t="str">
        <f t="shared" si="58"/>
        <v>Q2-2025</v>
      </c>
      <c r="G535" s="32" t="s">
        <v>16</v>
      </c>
      <c r="H535" s="32" t="s">
        <v>148</v>
      </c>
      <c r="I535" s="32" t="s">
        <v>149</v>
      </c>
      <c r="J535" s="32" t="s">
        <v>105</v>
      </c>
      <c r="K535" s="32" t="s">
        <v>40</v>
      </c>
      <c r="L535" s="32" t="s">
        <v>29</v>
      </c>
      <c r="M535" s="32" t="s">
        <v>57</v>
      </c>
      <c r="N535" s="32" t="s">
        <v>1170</v>
      </c>
      <c r="O535" s="37">
        <v>1151.06</v>
      </c>
      <c r="P535" s="38" t="str">
        <f t="shared" si="59"/>
        <v>High</v>
      </c>
      <c r="Q535" s="37">
        <v>2821.36</v>
      </c>
      <c r="R535" s="37">
        <v>0.248</v>
      </c>
      <c r="S535" s="37">
        <v>20</v>
      </c>
      <c r="T535" s="37">
        <f t="shared" si="56"/>
        <v>9059.1936000000005</v>
      </c>
      <c r="U535" s="32">
        <f t="shared" si="57"/>
        <v>23021.199999999997</v>
      </c>
      <c r="V535" s="37">
        <f t="shared" si="60"/>
        <v>-13962.006399999997</v>
      </c>
      <c r="W535" s="39">
        <f t="shared" si="61"/>
        <v>-1.5411974858336173</v>
      </c>
    </row>
    <row r="536" spans="1:23" x14ac:dyDescent="0.3">
      <c r="A536" s="40" t="s">
        <v>1171</v>
      </c>
      <c r="B536" s="41">
        <v>45667</v>
      </c>
      <c r="C536" s="42">
        <v>45694</v>
      </c>
      <c r="D536" s="43">
        <f t="shared" si="62"/>
        <v>27</v>
      </c>
      <c r="E536" s="43" t="str">
        <f>TEXT(Data!B536,"MMM-YYYY")</f>
        <v>Jan-2025</v>
      </c>
      <c r="F536" s="43" t="str">
        <f t="shared" si="58"/>
        <v>Q1-2025</v>
      </c>
      <c r="G536" s="33" t="s">
        <v>52</v>
      </c>
      <c r="H536" s="33" t="s">
        <v>73</v>
      </c>
      <c r="I536" s="33" t="s">
        <v>87</v>
      </c>
      <c r="J536" s="33" t="s">
        <v>39</v>
      </c>
      <c r="K536" s="33" t="s">
        <v>20</v>
      </c>
      <c r="L536" s="33" t="s">
        <v>56</v>
      </c>
      <c r="M536" s="33" t="s">
        <v>57</v>
      </c>
      <c r="N536" s="33" t="s">
        <v>1172</v>
      </c>
      <c r="O536" s="43">
        <v>725.62</v>
      </c>
      <c r="P536" s="44" t="str">
        <f t="shared" si="59"/>
        <v>High</v>
      </c>
      <c r="Q536" s="43">
        <v>1559.19</v>
      </c>
      <c r="R536" s="43">
        <v>0.19</v>
      </c>
      <c r="S536" s="43">
        <v>12</v>
      </c>
      <c r="T536" s="43">
        <f t="shared" si="56"/>
        <v>5128.6608000000006</v>
      </c>
      <c r="U536" s="33">
        <f t="shared" si="57"/>
        <v>8707.44</v>
      </c>
      <c r="V536" s="43">
        <f t="shared" si="60"/>
        <v>-3578.7791999999999</v>
      </c>
      <c r="W536" s="45">
        <f t="shared" si="61"/>
        <v>-0.69779994028850567</v>
      </c>
    </row>
    <row r="537" spans="1:23" x14ac:dyDescent="0.3">
      <c r="A537" s="34" t="s">
        <v>1173</v>
      </c>
      <c r="B537" s="35">
        <v>45108</v>
      </c>
      <c r="C537" s="36">
        <v>45118</v>
      </c>
      <c r="D537" s="37">
        <f t="shared" si="62"/>
        <v>10</v>
      </c>
      <c r="E537" s="37" t="str">
        <f>TEXT(Data!B537,"MMM-YYYY")</f>
        <v>Jul-2023</v>
      </c>
      <c r="F537" s="37" t="str">
        <f t="shared" si="58"/>
        <v>Q3-2023</v>
      </c>
      <c r="G537" s="32" t="s">
        <v>78</v>
      </c>
      <c r="H537" s="32" t="s">
        <v>90</v>
      </c>
      <c r="I537" s="32" t="s">
        <v>217</v>
      </c>
      <c r="J537" s="32" t="s">
        <v>19</v>
      </c>
      <c r="K537" s="32" t="s">
        <v>98</v>
      </c>
      <c r="L537" s="32" t="s">
        <v>84</v>
      </c>
      <c r="M537" s="32" t="s">
        <v>35</v>
      </c>
      <c r="N537" s="32" t="s">
        <v>1174</v>
      </c>
      <c r="O537" s="37">
        <v>479.5</v>
      </c>
      <c r="P537" s="38" t="str">
        <f t="shared" si="59"/>
        <v>High</v>
      </c>
      <c r="Q537" s="37">
        <v>656.66</v>
      </c>
      <c r="R537" s="37">
        <v>0.14899999999999999</v>
      </c>
      <c r="S537" s="37">
        <v>14</v>
      </c>
      <c r="T537" s="37">
        <f t="shared" si="56"/>
        <v>21944.3966</v>
      </c>
      <c r="U537" s="32">
        <f t="shared" si="57"/>
        <v>6713</v>
      </c>
      <c r="V537" s="37">
        <f t="shared" si="60"/>
        <v>15231.3966</v>
      </c>
      <c r="W537" s="39">
        <f t="shared" si="61"/>
        <v>0.69409047228029042</v>
      </c>
    </row>
    <row r="538" spans="1:23" x14ac:dyDescent="0.3">
      <c r="A538" s="40" t="s">
        <v>1175</v>
      </c>
      <c r="B538" s="41">
        <v>45520</v>
      </c>
      <c r="C538" s="42">
        <v>45530</v>
      </c>
      <c r="D538" s="43">
        <f t="shared" si="62"/>
        <v>10</v>
      </c>
      <c r="E538" s="43" t="str">
        <f>TEXT(Data!B538,"MMM-YYYY")</f>
        <v>Aug-2024</v>
      </c>
      <c r="F538" s="43" t="str">
        <f t="shared" si="58"/>
        <v>Q3-2024</v>
      </c>
      <c r="G538" s="33" t="s">
        <v>52</v>
      </c>
      <c r="H538" s="33" t="s">
        <v>122</v>
      </c>
      <c r="I538" s="33" t="s">
        <v>123</v>
      </c>
      <c r="J538" s="33" t="s">
        <v>19</v>
      </c>
      <c r="K538" s="33" t="s">
        <v>55</v>
      </c>
      <c r="L538" s="33" t="s">
        <v>49</v>
      </c>
      <c r="M538" s="33" t="s">
        <v>57</v>
      </c>
      <c r="N538" s="33" t="s">
        <v>878</v>
      </c>
      <c r="O538" s="43">
        <v>1291.7</v>
      </c>
      <c r="P538" s="44" t="str">
        <f t="shared" si="59"/>
        <v>High</v>
      </c>
      <c r="Q538" s="43">
        <v>2657.84</v>
      </c>
      <c r="R538" s="43">
        <v>8.6999999999999994E-2</v>
      </c>
      <c r="S538" s="43">
        <v>21</v>
      </c>
      <c r="T538" s="43">
        <f t="shared" si="56"/>
        <v>31548.788040000003</v>
      </c>
      <c r="U538" s="33">
        <f t="shared" si="57"/>
        <v>27125.7</v>
      </c>
      <c r="V538" s="43">
        <f t="shared" si="60"/>
        <v>4423.0880400000024</v>
      </c>
      <c r="W538" s="45">
        <f t="shared" si="61"/>
        <v>0.14019835038962727</v>
      </c>
    </row>
    <row r="539" spans="1:23" x14ac:dyDescent="0.3">
      <c r="A539" s="34" t="s">
        <v>1176</v>
      </c>
      <c r="B539" s="35">
        <v>45114</v>
      </c>
      <c r="C539" s="36">
        <v>45120</v>
      </c>
      <c r="D539" s="37">
        <f t="shared" si="62"/>
        <v>6</v>
      </c>
      <c r="E539" s="37" t="str">
        <f>TEXT(Data!B539,"MMM-YYYY")</f>
        <v>Jul-2023</v>
      </c>
      <c r="F539" s="37" t="str">
        <f t="shared" si="58"/>
        <v>Q3-2023</v>
      </c>
      <c r="G539" s="32" t="s">
        <v>16</v>
      </c>
      <c r="H539" s="32" t="s">
        <v>148</v>
      </c>
      <c r="I539" s="32" t="s">
        <v>258</v>
      </c>
      <c r="J539" s="32" t="s">
        <v>62</v>
      </c>
      <c r="K539" s="32" t="s">
        <v>40</v>
      </c>
      <c r="L539" s="32" t="s">
        <v>56</v>
      </c>
      <c r="M539" s="32" t="s">
        <v>81</v>
      </c>
      <c r="N539" s="32" t="s">
        <v>1177</v>
      </c>
      <c r="O539" s="37">
        <v>612.59</v>
      </c>
      <c r="P539" s="38" t="str">
        <f t="shared" si="59"/>
        <v>High</v>
      </c>
      <c r="Q539" s="37">
        <v>1424.74</v>
      </c>
      <c r="R539" s="37">
        <v>4.3999999999999997E-2</v>
      </c>
      <c r="S539" s="37">
        <v>15</v>
      </c>
      <c r="T539" s="37">
        <f t="shared" si="56"/>
        <v>10428.334800000001</v>
      </c>
      <c r="U539" s="32">
        <f t="shared" si="57"/>
        <v>9188.85</v>
      </c>
      <c r="V539" s="37">
        <f t="shared" si="60"/>
        <v>1239.4848000000002</v>
      </c>
      <c r="W539" s="39">
        <f t="shared" si="61"/>
        <v>0.11885740377265219</v>
      </c>
    </row>
    <row r="540" spans="1:23" x14ac:dyDescent="0.3">
      <c r="A540" s="40" t="s">
        <v>1178</v>
      </c>
      <c r="B540" s="41">
        <v>45288</v>
      </c>
      <c r="C540" s="42">
        <v>45292</v>
      </c>
      <c r="D540" s="43">
        <f t="shared" si="62"/>
        <v>4</v>
      </c>
      <c r="E540" s="43" t="str">
        <f>TEXT(Data!B540,"MMM-YYYY")</f>
        <v>Dec-2023</v>
      </c>
      <c r="F540" s="43" t="str">
        <f t="shared" si="58"/>
        <v>Q4-2023</v>
      </c>
      <c r="G540" s="33" t="s">
        <v>16</v>
      </c>
      <c r="H540" s="33" t="s">
        <v>148</v>
      </c>
      <c r="I540" s="33" t="s">
        <v>258</v>
      </c>
      <c r="J540" s="33" t="s">
        <v>27</v>
      </c>
      <c r="K540" s="33" t="s">
        <v>55</v>
      </c>
      <c r="L540" s="33" t="s">
        <v>75</v>
      </c>
      <c r="M540" s="33" t="s">
        <v>30</v>
      </c>
      <c r="N540" s="33" t="s">
        <v>1179</v>
      </c>
      <c r="O540" s="43">
        <v>1141.8</v>
      </c>
      <c r="P540" s="44" t="str">
        <f t="shared" si="59"/>
        <v>High</v>
      </c>
      <c r="Q540" s="43">
        <v>2318.7399999999998</v>
      </c>
      <c r="R540" s="43">
        <v>0.107</v>
      </c>
      <c r="S540" s="43">
        <v>32</v>
      </c>
      <c r="T540" s="43">
        <f t="shared" si="56"/>
        <v>35256.783040000002</v>
      </c>
      <c r="U540" s="33">
        <f t="shared" si="57"/>
        <v>36537.599999999999</v>
      </c>
      <c r="V540" s="43">
        <f t="shared" si="60"/>
        <v>-1280.8169599999965</v>
      </c>
      <c r="W540" s="45">
        <f t="shared" si="61"/>
        <v>-3.6328242385213268E-2</v>
      </c>
    </row>
    <row r="541" spans="1:23" x14ac:dyDescent="0.3">
      <c r="A541" s="34" t="s">
        <v>1180</v>
      </c>
      <c r="B541" s="35">
        <v>44952</v>
      </c>
      <c r="C541" s="36">
        <v>44972</v>
      </c>
      <c r="D541" s="37">
        <f t="shared" si="62"/>
        <v>20</v>
      </c>
      <c r="E541" s="37" t="str">
        <f>TEXT(Data!B541,"MMM-YYYY")</f>
        <v>Jan-2023</v>
      </c>
      <c r="F541" s="37" t="str">
        <f t="shared" si="58"/>
        <v>Q1-2023</v>
      </c>
      <c r="G541" s="32" t="s">
        <v>78</v>
      </c>
      <c r="H541" s="32" t="s">
        <v>79</v>
      </c>
      <c r="I541" s="32" t="s">
        <v>80</v>
      </c>
      <c r="J541" s="32" t="s">
        <v>62</v>
      </c>
      <c r="K541" s="32" t="s">
        <v>28</v>
      </c>
      <c r="L541" s="32" t="s">
        <v>68</v>
      </c>
      <c r="M541" s="32" t="s">
        <v>35</v>
      </c>
      <c r="N541" s="32" t="s">
        <v>1181</v>
      </c>
      <c r="O541" s="37">
        <v>492.62</v>
      </c>
      <c r="P541" s="38" t="str">
        <f t="shared" si="59"/>
        <v>High</v>
      </c>
      <c r="Q541" s="37">
        <v>366.7</v>
      </c>
      <c r="R541" s="37">
        <v>8.8999999999999996E-2</v>
      </c>
      <c r="S541" s="37">
        <v>10</v>
      </c>
      <c r="T541" s="37">
        <f t="shared" si="56"/>
        <v>14063.653600000001</v>
      </c>
      <c r="U541" s="32">
        <f t="shared" si="57"/>
        <v>4926.2</v>
      </c>
      <c r="V541" s="37">
        <f t="shared" si="60"/>
        <v>9137.4536000000007</v>
      </c>
      <c r="W541" s="39">
        <f t="shared" si="61"/>
        <v>0.6497211791393952</v>
      </c>
    </row>
    <row r="542" spans="1:23" x14ac:dyDescent="0.3">
      <c r="A542" s="40" t="s">
        <v>1182</v>
      </c>
      <c r="B542" s="41">
        <v>45115</v>
      </c>
      <c r="C542" s="42">
        <v>45116</v>
      </c>
      <c r="D542" s="43">
        <f t="shared" si="62"/>
        <v>1</v>
      </c>
      <c r="E542" s="43" t="str">
        <f>TEXT(Data!B542,"MMM-YYYY")</f>
        <v>Jul-2023</v>
      </c>
      <c r="F542" s="43" t="str">
        <f t="shared" si="58"/>
        <v>Q3-2023</v>
      </c>
      <c r="G542" s="33" t="s">
        <v>16</v>
      </c>
      <c r="H542" s="33" t="s">
        <v>17</v>
      </c>
      <c r="I542" s="33" t="s">
        <v>33</v>
      </c>
      <c r="J542" s="33" t="s">
        <v>48</v>
      </c>
      <c r="K542" s="33" t="s">
        <v>28</v>
      </c>
      <c r="L542" s="33" t="s">
        <v>145</v>
      </c>
      <c r="M542" s="33" t="s">
        <v>57</v>
      </c>
      <c r="N542" s="33" t="s">
        <v>1183</v>
      </c>
      <c r="O542" s="43">
        <v>1258.72</v>
      </c>
      <c r="P542" s="44" t="str">
        <f t="shared" si="59"/>
        <v>High</v>
      </c>
      <c r="Q542" s="43">
        <v>2797.41</v>
      </c>
      <c r="R542" s="43">
        <v>0</v>
      </c>
      <c r="S542" s="43">
        <v>7</v>
      </c>
      <c r="T542" s="43">
        <f t="shared" si="56"/>
        <v>14806.33</v>
      </c>
      <c r="U542" s="33">
        <f t="shared" si="57"/>
        <v>8811.0400000000009</v>
      </c>
      <c r="V542" s="43">
        <f t="shared" si="60"/>
        <v>5995.2899999999991</v>
      </c>
      <c r="W542" s="45">
        <f t="shared" si="61"/>
        <v>0.40491397935882822</v>
      </c>
    </row>
    <row r="543" spans="1:23" x14ac:dyDescent="0.3">
      <c r="A543" s="34" t="s">
        <v>1184</v>
      </c>
      <c r="B543" s="35">
        <v>45450</v>
      </c>
      <c r="C543" s="36">
        <v>45452</v>
      </c>
      <c r="D543" s="37">
        <f t="shared" si="62"/>
        <v>2</v>
      </c>
      <c r="E543" s="37" t="str">
        <f>TEXT(Data!B543,"MMM-YYYY")</f>
        <v>Jun-2024</v>
      </c>
      <c r="F543" s="37" t="str">
        <f t="shared" si="58"/>
        <v>Q2-2024</v>
      </c>
      <c r="G543" s="32" t="s">
        <v>45</v>
      </c>
      <c r="H543" s="32" t="s">
        <v>116</v>
      </c>
      <c r="I543" s="32" t="s">
        <v>162</v>
      </c>
      <c r="J543" s="32" t="s">
        <v>19</v>
      </c>
      <c r="K543" s="32" t="s">
        <v>20</v>
      </c>
      <c r="L543" s="32" t="s">
        <v>68</v>
      </c>
      <c r="M543" s="32" t="s">
        <v>64</v>
      </c>
      <c r="N543" s="32" t="s">
        <v>1185</v>
      </c>
      <c r="O543" s="37">
        <v>1370.28</v>
      </c>
      <c r="P543" s="38" t="str">
        <f t="shared" si="59"/>
        <v>High</v>
      </c>
      <c r="Q543" s="37">
        <v>2209.66</v>
      </c>
      <c r="R543" s="37">
        <v>0.13300000000000001</v>
      </c>
      <c r="S543" s="37">
        <v>16</v>
      </c>
      <c r="T543" s="37">
        <f t="shared" si="56"/>
        <v>25485.499680000001</v>
      </c>
      <c r="U543" s="32">
        <f t="shared" si="57"/>
        <v>21924.48</v>
      </c>
      <c r="V543" s="37">
        <f t="shared" si="60"/>
        <v>3561.0196800000012</v>
      </c>
      <c r="W543" s="39">
        <f t="shared" si="61"/>
        <v>0.13972728511164123</v>
      </c>
    </row>
    <row r="544" spans="1:23" x14ac:dyDescent="0.3">
      <c r="A544" s="40" t="s">
        <v>1186</v>
      </c>
      <c r="B544" s="41">
        <v>44968</v>
      </c>
      <c r="C544" s="42">
        <v>44969</v>
      </c>
      <c r="D544" s="43">
        <f t="shared" si="62"/>
        <v>1</v>
      </c>
      <c r="E544" s="43" t="str">
        <f>TEXT(Data!B544,"MMM-YYYY")</f>
        <v>Feb-2023</v>
      </c>
      <c r="F544" s="43" t="str">
        <f t="shared" si="58"/>
        <v>Q1-2023</v>
      </c>
      <c r="G544" s="33" t="s">
        <v>16</v>
      </c>
      <c r="H544" s="33" t="s">
        <v>25</v>
      </c>
      <c r="I544" s="33" t="s">
        <v>26</v>
      </c>
      <c r="J544" s="33" t="s">
        <v>39</v>
      </c>
      <c r="K544" s="33" t="s">
        <v>98</v>
      </c>
      <c r="L544" s="33" t="s">
        <v>145</v>
      </c>
      <c r="M544" s="33" t="s">
        <v>81</v>
      </c>
      <c r="N544" s="33" t="s">
        <v>1187</v>
      </c>
      <c r="O544" s="43">
        <v>944.61</v>
      </c>
      <c r="P544" s="44" t="str">
        <f t="shared" si="59"/>
        <v>High</v>
      </c>
      <c r="Q544" s="43">
        <v>839.04</v>
      </c>
      <c r="R544" s="43">
        <v>5.8999999999999997E-2</v>
      </c>
      <c r="S544" s="43">
        <v>6</v>
      </c>
      <c r="T544" s="43">
        <f t="shared" si="56"/>
        <v>16141.518779999999</v>
      </c>
      <c r="U544" s="33">
        <f t="shared" si="57"/>
        <v>5667.66</v>
      </c>
      <c r="V544" s="43">
        <f t="shared" si="60"/>
        <v>10473.858779999999</v>
      </c>
      <c r="W544" s="45">
        <f t="shared" si="61"/>
        <v>0.64887690698458544</v>
      </c>
    </row>
    <row r="545" spans="1:23" x14ac:dyDescent="0.3">
      <c r="A545" s="34" t="s">
        <v>1188</v>
      </c>
      <c r="B545" s="35">
        <v>45108</v>
      </c>
      <c r="C545" s="36">
        <v>45115</v>
      </c>
      <c r="D545" s="37">
        <f t="shared" si="62"/>
        <v>7</v>
      </c>
      <c r="E545" s="37" t="str">
        <f>TEXT(Data!B545,"MMM-YYYY")</f>
        <v>Jul-2023</v>
      </c>
      <c r="F545" s="37" t="str">
        <f t="shared" si="58"/>
        <v>Q3-2023</v>
      </c>
      <c r="G545" s="32" t="s">
        <v>78</v>
      </c>
      <c r="H545" s="32" t="s">
        <v>79</v>
      </c>
      <c r="I545" s="32" t="s">
        <v>335</v>
      </c>
      <c r="J545" s="32" t="s">
        <v>62</v>
      </c>
      <c r="K545" s="32" t="s">
        <v>55</v>
      </c>
      <c r="L545" s="32" t="s">
        <v>126</v>
      </c>
      <c r="M545" s="32" t="s">
        <v>57</v>
      </c>
      <c r="N545" s="32" t="s">
        <v>1189</v>
      </c>
      <c r="O545" s="37">
        <v>460.21</v>
      </c>
      <c r="P545" s="38" t="str">
        <f t="shared" si="59"/>
        <v>High</v>
      </c>
      <c r="Q545" s="37">
        <v>1139.1500000000001</v>
      </c>
      <c r="R545" s="37">
        <v>0.115</v>
      </c>
      <c r="S545" s="37">
        <v>14</v>
      </c>
      <c r="T545" s="37">
        <f t="shared" si="56"/>
        <v>3592.1088</v>
      </c>
      <c r="U545" s="32">
        <f t="shared" si="57"/>
        <v>6442.94</v>
      </c>
      <c r="V545" s="37">
        <f t="shared" si="60"/>
        <v>-2850.8311999999996</v>
      </c>
      <c r="W545" s="39">
        <f t="shared" si="61"/>
        <v>-0.79363720831618456</v>
      </c>
    </row>
    <row r="546" spans="1:23" x14ac:dyDescent="0.3">
      <c r="A546" s="40" t="s">
        <v>1190</v>
      </c>
      <c r="B546" s="41">
        <v>45889</v>
      </c>
      <c r="C546" s="42">
        <v>45895</v>
      </c>
      <c r="D546" s="43">
        <f t="shared" si="62"/>
        <v>6</v>
      </c>
      <c r="E546" s="43" t="str">
        <f>TEXT(Data!B546,"MMM-YYYY")</f>
        <v>Aug-2025</v>
      </c>
      <c r="F546" s="43" t="str">
        <f t="shared" si="58"/>
        <v>Q3-2025</v>
      </c>
      <c r="G546" s="33" t="s">
        <v>52</v>
      </c>
      <c r="H546" s="33" t="s">
        <v>122</v>
      </c>
      <c r="I546" s="33" t="s">
        <v>387</v>
      </c>
      <c r="J546" s="33" t="s">
        <v>19</v>
      </c>
      <c r="K546" s="33" t="s">
        <v>20</v>
      </c>
      <c r="L546" s="33" t="s">
        <v>110</v>
      </c>
      <c r="M546" s="33" t="s">
        <v>35</v>
      </c>
      <c r="N546" s="33" t="s">
        <v>1191</v>
      </c>
      <c r="O546" s="43">
        <v>1304.95</v>
      </c>
      <c r="P546" s="44" t="str">
        <f t="shared" si="59"/>
        <v>High</v>
      </c>
      <c r="Q546" s="43">
        <v>1712.03</v>
      </c>
      <c r="R546" s="43">
        <v>0.21199999999999999</v>
      </c>
      <c r="S546" s="43">
        <v>8</v>
      </c>
      <c r="T546" s="43">
        <f t="shared" si="56"/>
        <v>6286.3488000000007</v>
      </c>
      <c r="U546" s="33">
        <f t="shared" si="57"/>
        <v>10439.6</v>
      </c>
      <c r="V546" s="43">
        <f t="shared" si="60"/>
        <v>-4153.2511999999997</v>
      </c>
      <c r="W546" s="45">
        <f t="shared" si="61"/>
        <v>-0.66067781666839731</v>
      </c>
    </row>
    <row r="547" spans="1:23" x14ac:dyDescent="0.3">
      <c r="A547" s="34" t="s">
        <v>1192</v>
      </c>
      <c r="B547" s="35">
        <v>45355</v>
      </c>
      <c r="C547" s="36">
        <v>45367</v>
      </c>
      <c r="D547" s="37">
        <f t="shared" si="62"/>
        <v>12</v>
      </c>
      <c r="E547" s="37" t="str">
        <f>TEXT(Data!B547,"MMM-YYYY")</f>
        <v>Mar-2024</v>
      </c>
      <c r="F547" s="37" t="str">
        <f t="shared" si="58"/>
        <v>Q1-2024</v>
      </c>
      <c r="G547" s="32" t="s">
        <v>16</v>
      </c>
      <c r="H547" s="32" t="s">
        <v>148</v>
      </c>
      <c r="I547" s="32" t="s">
        <v>149</v>
      </c>
      <c r="J547" s="32" t="s">
        <v>105</v>
      </c>
      <c r="K547" s="32" t="s">
        <v>55</v>
      </c>
      <c r="L547" s="32" t="s">
        <v>110</v>
      </c>
      <c r="M547" s="32" t="s">
        <v>64</v>
      </c>
      <c r="N547" s="32" t="s">
        <v>1193</v>
      </c>
      <c r="O547" s="37">
        <v>441.08</v>
      </c>
      <c r="P547" s="38" t="str">
        <f t="shared" si="59"/>
        <v>High</v>
      </c>
      <c r="Q547" s="37">
        <v>1054.29</v>
      </c>
      <c r="R547" s="37">
        <v>0.23699999999999999</v>
      </c>
      <c r="S547" s="37">
        <v>6</v>
      </c>
      <c r="T547" s="37">
        <f t="shared" si="56"/>
        <v>216.49362000000002</v>
      </c>
      <c r="U547" s="32">
        <f t="shared" si="57"/>
        <v>2646.48</v>
      </c>
      <c r="V547" s="37">
        <f t="shared" si="60"/>
        <v>-2429.9863799999998</v>
      </c>
      <c r="W547" s="39">
        <f t="shared" si="61"/>
        <v>-11.224286332317782</v>
      </c>
    </row>
    <row r="548" spans="1:23" x14ac:dyDescent="0.3">
      <c r="A548" s="40" t="s">
        <v>1194</v>
      </c>
      <c r="B548" s="41">
        <v>45177</v>
      </c>
      <c r="C548" s="42">
        <v>45201</v>
      </c>
      <c r="D548" s="43">
        <f t="shared" si="62"/>
        <v>24</v>
      </c>
      <c r="E548" s="43" t="str">
        <f>TEXT(Data!B548,"MMM-YYYY")</f>
        <v>Sep-2023</v>
      </c>
      <c r="F548" s="43" t="str">
        <f t="shared" si="58"/>
        <v>Q3-2023</v>
      </c>
      <c r="G548" s="33" t="s">
        <v>52</v>
      </c>
      <c r="H548" s="33" t="s">
        <v>53</v>
      </c>
      <c r="I548" s="33" t="s">
        <v>54</v>
      </c>
      <c r="J548" s="33" t="s">
        <v>27</v>
      </c>
      <c r="K548" s="33" t="s">
        <v>98</v>
      </c>
      <c r="L548" s="33" t="s">
        <v>75</v>
      </c>
      <c r="M548" s="33" t="s">
        <v>81</v>
      </c>
      <c r="N548" s="33" t="s">
        <v>1195</v>
      </c>
      <c r="O548" s="43">
        <v>1299.03</v>
      </c>
      <c r="P548" s="44" t="str">
        <f t="shared" si="59"/>
        <v>High</v>
      </c>
      <c r="Q548" s="43">
        <v>2451.2199999999998</v>
      </c>
      <c r="R548" s="43">
        <v>0.20799999999999999</v>
      </c>
      <c r="S548" s="43">
        <v>8</v>
      </c>
      <c r="T548" s="43">
        <f t="shared" si="56"/>
        <v>4778.8646400000007</v>
      </c>
      <c r="U548" s="33">
        <f t="shared" si="57"/>
        <v>10392.24</v>
      </c>
      <c r="V548" s="43">
        <f t="shared" si="60"/>
        <v>-5613.3753599999991</v>
      </c>
      <c r="W548" s="45">
        <f t="shared" si="61"/>
        <v>-1.1746253101657214</v>
      </c>
    </row>
    <row r="549" spans="1:23" x14ac:dyDescent="0.3">
      <c r="A549" s="34" t="s">
        <v>1196</v>
      </c>
      <c r="B549" s="35">
        <v>44985</v>
      </c>
      <c r="C549" s="36">
        <v>44991</v>
      </c>
      <c r="D549" s="37">
        <f t="shared" si="62"/>
        <v>6</v>
      </c>
      <c r="E549" s="37" t="str">
        <f>TEXT(Data!B549,"MMM-YYYY")</f>
        <v>Feb-2023</v>
      </c>
      <c r="F549" s="37" t="str">
        <f t="shared" si="58"/>
        <v>Q1-2023</v>
      </c>
      <c r="G549" s="32" t="s">
        <v>78</v>
      </c>
      <c r="H549" s="32" t="s">
        <v>79</v>
      </c>
      <c r="I549" s="32" t="s">
        <v>335</v>
      </c>
      <c r="J549" s="32" t="s">
        <v>62</v>
      </c>
      <c r="K549" s="32" t="s">
        <v>40</v>
      </c>
      <c r="L549" s="32" t="s">
        <v>145</v>
      </c>
      <c r="M549" s="32" t="s">
        <v>30</v>
      </c>
      <c r="N549" s="32" t="s">
        <v>1197</v>
      </c>
      <c r="O549" s="37">
        <v>880.02</v>
      </c>
      <c r="P549" s="38" t="str">
        <f t="shared" si="59"/>
        <v>High</v>
      </c>
      <c r="Q549" s="37">
        <v>1251.21</v>
      </c>
      <c r="R549" s="37">
        <v>0.123</v>
      </c>
      <c r="S549" s="37">
        <v>29</v>
      </c>
      <c r="T549" s="37">
        <f t="shared" si="56"/>
        <v>22927.340840000001</v>
      </c>
      <c r="U549" s="32">
        <f t="shared" si="57"/>
        <v>25520.579999999998</v>
      </c>
      <c r="V549" s="37">
        <f t="shared" si="60"/>
        <v>-2593.2391599999974</v>
      </c>
      <c r="W549" s="39">
        <f t="shared" si="61"/>
        <v>-0.1131068438375428</v>
      </c>
    </row>
    <row r="550" spans="1:23" x14ac:dyDescent="0.3">
      <c r="A550" s="40" t="s">
        <v>1198</v>
      </c>
      <c r="B550" s="41">
        <v>45486</v>
      </c>
      <c r="C550" s="42">
        <v>45507</v>
      </c>
      <c r="D550" s="43">
        <f t="shared" si="62"/>
        <v>21</v>
      </c>
      <c r="E550" s="43" t="str">
        <f>TEXT(Data!B550,"MMM-YYYY")</f>
        <v>Jul-2024</v>
      </c>
      <c r="F550" s="43" t="str">
        <f t="shared" si="58"/>
        <v>Q3-2024</v>
      </c>
      <c r="G550" s="33" t="s">
        <v>52</v>
      </c>
      <c r="H550" s="33" t="s">
        <v>73</v>
      </c>
      <c r="I550" s="33" t="s">
        <v>225</v>
      </c>
      <c r="J550" s="33" t="s">
        <v>19</v>
      </c>
      <c r="K550" s="33" t="s">
        <v>40</v>
      </c>
      <c r="L550" s="33" t="s">
        <v>110</v>
      </c>
      <c r="M550" s="33" t="s">
        <v>64</v>
      </c>
      <c r="N550" s="33" t="s">
        <v>1199</v>
      </c>
      <c r="O550" s="43">
        <v>702.98</v>
      </c>
      <c r="P550" s="44" t="str">
        <f t="shared" si="59"/>
        <v>High</v>
      </c>
      <c r="Q550" s="43">
        <v>1104.8</v>
      </c>
      <c r="R550" s="43">
        <v>0.17499999999999999</v>
      </c>
      <c r="S550" s="43">
        <v>12</v>
      </c>
      <c r="T550" s="43">
        <f t="shared" si="56"/>
        <v>1119.492</v>
      </c>
      <c r="U550" s="33">
        <f t="shared" si="57"/>
        <v>8435.76</v>
      </c>
      <c r="V550" s="43">
        <f t="shared" si="60"/>
        <v>-7316.268</v>
      </c>
      <c r="W550" s="45">
        <f t="shared" si="61"/>
        <v>-6.5353463892551265</v>
      </c>
    </row>
    <row r="551" spans="1:23" x14ac:dyDescent="0.3">
      <c r="A551" s="34" t="s">
        <v>1200</v>
      </c>
      <c r="B551" s="35">
        <v>45633</v>
      </c>
      <c r="C551" s="36">
        <v>45652</v>
      </c>
      <c r="D551" s="37">
        <f t="shared" si="62"/>
        <v>19</v>
      </c>
      <c r="E551" s="37" t="str">
        <f>TEXT(Data!B551,"MMM-YYYY")</f>
        <v>Dec-2024</v>
      </c>
      <c r="F551" s="37" t="str">
        <f t="shared" si="58"/>
        <v>Q4-2024</v>
      </c>
      <c r="G551" s="32" t="s">
        <v>78</v>
      </c>
      <c r="H551" s="32" t="s">
        <v>108</v>
      </c>
      <c r="I551" s="32" t="s">
        <v>152</v>
      </c>
      <c r="J551" s="32" t="s">
        <v>105</v>
      </c>
      <c r="K551" s="32" t="s">
        <v>28</v>
      </c>
      <c r="L551" s="32" t="s">
        <v>145</v>
      </c>
      <c r="M551" s="32" t="s">
        <v>35</v>
      </c>
      <c r="N551" s="32" t="s">
        <v>1201</v>
      </c>
      <c r="O551" s="37">
        <v>1035.24</v>
      </c>
      <c r="P551" s="38" t="str">
        <f t="shared" si="59"/>
        <v>High</v>
      </c>
      <c r="Q551" s="37">
        <v>2383.41</v>
      </c>
      <c r="R551" s="37">
        <v>0.17</v>
      </c>
      <c r="S551" s="37">
        <v>15</v>
      </c>
      <c r="T551" s="37">
        <f t="shared" si="56"/>
        <v>10814.319</v>
      </c>
      <c r="U551" s="32">
        <f t="shared" si="57"/>
        <v>15528.6</v>
      </c>
      <c r="V551" s="37">
        <f t="shared" si="60"/>
        <v>-4714.2810000000009</v>
      </c>
      <c r="W551" s="39">
        <f t="shared" si="61"/>
        <v>-0.43592953009801183</v>
      </c>
    </row>
    <row r="552" spans="1:23" x14ac:dyDescent="0.3">
      <c r="A552" s="40" t="s">
        <v>1202</v>
      </c>
      <c r="B552" s="41">
        <v>45875</v>
      </c>
      <c r="C552" s="42">
        <v>45892</v>
      </c>
      <c r="D552" s="43">
        <f t="shared" si="62"/>
        <v>17</v>
      </c>
      <c r="E552" s="43" t="str">
        <f>TEXT(Data!B552,"MMM-YYYY")</f>
        <v>Aug-2025</v>
      </c>
      <c r="F552" s="43" t="str">
        <f t="shared" si="58"/>
        <v>Q3-2025</v>
      </c>
      <c r="G552" s="33" t="s">
        <v>52</v>
      </c>
      <c r="H552" s="33" t="s">
        <v>73</v>
      </c>
      <c r="I552" s="33" t="s">
        <v>87</v>
      </c>
      <c r="J552" s="33" t="s">
        <v>48</v>
      </c>
      <c r="K552" s="33" t="s">
        <v>55</v>
      </c>
      <c r="L552" s="33" t="s">
        <v>75</v>
      </c>
      <c r="M552" s="33" t="s">
        <v>64</v>
      </c>
      <c r="N552" s="33" t="s">
        <v>1203</v>
      </c>
      <c r="O552" s="43">
        <v>86.64</v>
      </c>
      <c r="P552" s="44" t="str">
        <f t="shared" si="59"/>
        <v>High</v>
      </c>
      <c r="Q552" s="43">
        <v>213.06</v>
      </c>
      <c r="R552" s="43">
        <v>0.21199999999999999</v>
      </c>
      <c r="S552" s="43">
        <v>11</v>
      </c>
      <c r="T552" s="43">
        <f t="shared" si="56"/>
        <v>3015.5971999999997</v>
      </c>
      <c r="U552" s="33">
        <f t="shared" si="57"/>
        <v>953.04</v>
      </c>
      <c r="V552" s="43">
        <f t="shared" si="60"/>
        <v>2062.5571999999997</v>
      </c>
      <c r="W552" s="45">
        <f t="shared" si="61"/>
        <v>0.68396309692819712</v>
      </c>
    </row>
    <row r="553" spans="1:23" x14ac:dyDescent="0.3">
      <c r="A553" s="34" t="s">
        <v>1204</v>
      </c>
      <c r="B553" s="35">
        <v>44988</v>
      </c>
      <c r="C553" s="36">
        <v>45005</v>
      </c>
      <c r="D553" s="37">
        <f t="shared" si="62"/>
        <v>17</v>
      </c>
      <c r="E553" s="37" t="str">
        <f>TEXT(Data!B553,"MMM-YYYY")</f>
        <v>Mar-2023</v>
      </c>
      <c r="F553" s="37" t="str">
        <f t="shared" si="58"/>
        <v>Q1-2023</v>
      </c>
      <c r="G553" s="32" t="s">
        <v>45</v>
      </c>
      <c r="H553" s="32" t="s">
        <v>46</v>
      </c>
      <c r="I553" s="32" t="s">
        <v>231</v>
      </c>
      <c r="J553" s="32" t="s">
        <v>62</v>
      </c>
      <c r="K553" s="32" t="s">
        <v>28</v>
      </c>
      <c r="L553" s="32" t="s">
        <v>145</v>
      </c>
      <c r="M553" s="32" t="s">
        <v>35</v>
      </c>
      <c r="N553" s="32" t="s">
        <v>1205</v>
      </c>
      <c r="O553" s="37">
        <v>1171.17</v>
      </c>
      <c r="P553" s="38" t="str">
        <f t="shared" si="59"/>
        <v>High</v>
      </c>
      <c r="Q553" s="37">
        <v>2030.64</v>
      </c>
      <c r="R553" s="37">
        <v>0.157</v>
      </c>
      <c r="S553" s="37">
        <v>11</v>
      </c>
      <c r="T553" s="37">
        <f t="shared" si="56"/>
        <v>10310.463239999999</v>
      </c>
      <c r="U553" s="32">
        <f t="shared" si="57"/>
        <v>12882.87</v>
      </c>
      <c r="V553" s="37">
        <f t="shared" si="60"/>
        <v>-2572.4067600000017</v>
      </c>
      <c r="W553" s="39">
        <f t="shared" si="61"/>
        <v>-0.24949478021707217</v>
      </c>
    </row>
    <row r="554" spans="1:23" x14ac:dyDescent="0.3">
      <c r="A554" s="40" t="s">
        <v>1206</v>
      </c>
      <c r="B554" s="41">
        <v>45704</v>
      </c>
      <c r="C554" s="42">
        <v>45733</v>
      </c>
      <c r="D554" s="43">
        <f t="shared" si="62"/>
        <v>1</v>
      </c>
      <c r="E554" s="43" t="str">
        <f>TEXT(Data!B554,"MMM-YYYY")</f>
        <v>Feb-2025</v>
      </c>
      <c r="F554" s="43" t="str">
        <f t="shared" si="58"/>
        <v>Q1-2025</v>
      </c>
      <c r="G554" s="33" t="s">
        <v>78</v>
      </c>
      <c r="H554" s="33" t="s">
        <v>79</v>
      </c>
      <c r="I554" s="33" t="s">
        <v>159</v>
      </c>
      <c r="J554" s="33" t="s">
        <v>48</v>
      </c>
      <c r="K554" s="33" t="s">
        <v>20</v>
      </c>
      <c r="L554" s="33" t="s">
        <v>49</v>
      </c>
      <c r="M554" s="33" t="s">
        <v>81</v>
      </c>
      <c r="N554" s="33" t="s">
        <v>1207</v>
      </c>
      <c r="O554" s="43">
        <v>730.42</v>
      </c>
      <c r="P554" s="44" t="str">
        <f t="shared" si="59"/>
        <v>High</v>
      </c>
      <c r="Q554" s="43">
        <v>956.7</v>
      </c>
      <c r="R554" s="43">
        <v>4.2000000000000003E-2</v>
      </c>
      <c r="S554" s="43">
        <v>22</v>
      </c>
      <c r="T554" s="43">
        <f t="shared" si="56"/>
        <v>6907.0267199999998</v>
      </c>
      <c r="U554" s="33">
        <f t="shared" si="57"/>
        <v>16069.24</v>
      </c>
      <c r="V554" s="43">
        <f t="shared" si="60"/>
        <v>-9162.2132799999999</v>
      </c>
      <c r="W554" s="45">
        <f t="shared" si="61"/>
        <v>-1.3265061293986133</v>
      </c>
    </row>
    <row r="555" spans="1:23" x14ac:dyDescent="0.3">
      <c r="A555" s="34" t="s">
        <v>1208</v>
      </c>
      <c r="B555" s="35">
        <v>45703</v>
      </c>
      <c r="C555" s="36">
        <v>45717</v>
      </c>
      <c r="D555" s="37">
        <f t="shared" si="62"/>
        <v>14</v>
      </c>
      <c r="E555" s="37" t="str">
        <f>TEXT(Data!B555,"MMM-YYYY")</f>
        <v>Feb-2025</v>
      </c>
      <c r="F555" s="37" t="str">
        <f t="shared" si="58"/>
        <v>Q1-2025</v>
      </c>
      <c r="G555" s="32" t="s">
        <v>16</v>
      </c>
      <c r="H555" s="32" t="s">
        <v>17</v>
      </c>
      <c r="I555" s="32" t="s">
        <v>113</v>
      </c>
      <c r="J555" s="32" t="s">
        <v>27</v>
      </c>
      <c r="K555" s="32" t="s">
        <v>98</v>
      </c>
      <c r="L555" s="32" t="s">
        <v>49</v>
      </c>
      <c r="M555" s="32" t="s">
        <v>81</v>
      </c>
      <c r="N555" s="32" t="s">
        <v>1209</v>
      </c>
      <c r="O555" s="37">
        <v>1162.8599999999999</v>
      </c>
      <c r="P555" s="38" t="str">
        <f t="shared" si="59"/>
        <v>High</v>
      </c>
      <c r="Q555" s="37">
        <v>1447.68</v>
      </c>
      <c r="R555" s="37">
        <v>8.6999999999999994E-2</v>
      </c>
      <c r="S555" s="37">
        <v>12</v>
      </c>
      <c r="T555" s="37">
        <f t="shared" si="56"/>
        <v>5326.0402800000002</v>
      </c>
      <c r="U555" s="32">
        <f t="shared" si="57"/>
        <v>13954.32</v>
      </c>
      <c r="V555" s="37">
        <f t="shared" si="60"/>
        <v>-8628.2797199999986</v>
      </c>
      <c r="W555" s="39">
        <f t="shared" si="61"/>
        <v>-1.6200177367040112</v>
      </c>
    </row>
    <row r="556" spans="1:23" x14ac:dyDescent="0.3">
      <c r="A556" s="40" t="s">
        <v>1210</v>
      </c>
      <c r="B556" s="41">
        <v>45535</v>
      </c>
      <c r="C556" s="42">
        <v>45561</v>
      </c>
      <c r="D556" s="43">
        <f t="shared" si="62"/>
        <v>26</v>
      </c>
      <c r="E556" s="43" t="str">
        <f>TEXT(Data!B556,"MMM-YYYY")</f>
        <v>Aug-2024</v>
      </c>
      <c r="F556" s="43" t="str">
        <f t="shared" si="58"/>
        <v>Q3-2024</v>
      </c>
      <c r="G556" s="33" t="s">
        <v>45</v>
      </c>
      <c r="H556" s="33" t="s">
        <v>46</v>
      </c>
      <c r="I556" s="33" t="s">
        <v>214</v>
      </c>
      <c r="J556" s="33" t="s">
        <v>27</v>
      </c>
      <c r="K556" s="33" t="s">
        <v>28</v>
      </c>
      <c r="L556" s="33" t="s">
        <v>34</v>
      </c>
      <c r="M556" s="33" t="s">
        <v>42</v>
      </c>
      <c r="N556" s="33" t="s">
        <v>1211</v>
      </c>
      <c r="O556" s="43">
        <v>1189.03</v>
      </c>
      <c r="P556" s="44" t="str">
        <f t="shared" si="59"/>
        <v>High</v>
      </c>
      <c r="Q556" s="43">
        <v>2949.62</v>
      </c>
      <c r="R556" s="43">
        <v>0.125</v>
      </c>
      <c r="S556" s="43">
        <v>13</v>
      </c>
      <c r="T556" s="43">
        <f t="shared" si="56"/>
        <v>23507.575000000001</v>
      </c>
      <c r="U556" s="33">
        <f t="shared" si="57"/>
        <v>15457.39</v>
      </c>
      <c r="V556" s="43">
        <f t="shared" si="60"/>
        <v>8050.1850000000013</v>
      </c>
      <c r="W556" s="45">
        <f t="shared" si="61"/>
        <v>0.34245067813247437</v>
      </c>
    </row>
    <row r="557" spans="1:23" x14ac:dyDescent="0.3">
      <c r="A557" s="34" t="s">
        <v>1212</v>
      </c>
      <c r="B557" s="35">
        <v>45053</v>
      </c>
      <c r="C557" s="36">
        <v>45066</v>
      </c>
      <c r="D557" s="37">
        <f t="shared" si="62"/>
        <v>13</v>
      </c>
      <c r="E557" s="37" t="str">
        <f>TEXT(Data!B557,"MMM-YYYY")</f>
        <v>May-2023</v>
      </c>
      <c r="F557" s="37" t="str">
        <f t="shared" si="58"/>
        <v>Q2-2023</v>
      </c>
      <c r="G557" s="32" t="s">
        <v>45</v>
      </c>
      <c r="H557" s="32" t="s">
        <v>60</v>
      </c>
      <c r="I557" s="32" t="s">
        <v>220</v>
      </c>
      <c r="J557" s="32" t="s">
        <v>105</v>
      </c>
      <c r="K557" s="32" t="s">
        <v>20</v>
      </c>
      <c r="L557" s="32" t="s">
        <v>145</v>
      </c>
      <c r="M557" s="32" t="s">
        <v>81</v>
      </c>
      <c r="N557" s="32" t="s">
        <v>1213</v>
      </c>
      <c r="O557" s="37">
        <v>1443.28</v>
      </c>
      <c r="P557" s="38" t="str">
        <f t="shared" si="59"/>
        <v>High</v>
      </c>
      <c r="Q557" s="37">
        <v>2580.5700000000002</v>
      </c>
      <c r="R557" s="37">
        <v>0</v>
      </c>
      <c r="S557" s="37">
        <v>18</v>
      </c>
      <c r="T557" s="37">
        <f t="shared" si="56"/>
        <v>1551.6000000000001</v>
      </c>
      <c r="U557" s="32">
        <f t="shared" si="57"/>
        <v>25979.040000000001</v>
      </c>
      <c r="V557" s="37">
        <f t="shared" si="60"/>
        <v>-24427.440000000002</v>
      </c>
      <c r="W557" s="39">
        <f t="shared" si="61"/>
        <v>-15.74338747099768</v>
      </c>
    </row>
    <row r="558" spans="1:23" x14ac:dyDescent="0.3">
      <c r="A558" s="40" t="s">
        <v>1214</v>
      </c>
      <c r="B558" s="41">
        <v>45791</v>
      </c>
      <c r="C558" s="42">
        <v>45789</v>
      </c>
      <c r="D558" s="43">
        <f>DATEDIF(C558,B558, "MD")</f>
        <v>2</v>
      </c>
      <c r="E558" s="43" t="str">
        <f>TEXT(Data!B558,"MMM-YYYY")</f>
        <v>May-2025</v>
      </c>
      <c r="F558" s="43" t="str">
        <f t="shared" si="58"/>
        <v>Q2-2025</v>
      </c>
      <c r="G558" s="33" t="s">
        <v>52</v>
      </c>
      <c r="H558" s="33" t="s">
        <v>53</v>
      </c>
      <c r="I558" s="33" t="s">
        <v>179</v>
      </c>
      <c r="J558" s="33" t="s">
        <v>39</v>
      </c>
      <c r="K558" s="33" t="s">
        <v>55</v>
      </c>
      <c r="L558" s="33" t="s">
        <v>84</v>
      </c>
      <c r="M558" s="33" t="s">
        <v>30</v>
      </c>
      <c r="N558" s="33" t="s">
        <v>1215</v>
      </c>
      <c r="O558" s="43">
        <v>883.5</v>
      </c>
      <c r="P558" s="44" t="str">
        <f t="shared" si="59"/>
        <v>High</v>
      </c>
      <c r="Q558" s="43">
        <v>1978.91</v>
      </c>
      <c r="R558" s="43">
        <v>5.3999999999999999E-2</v>
      </c>
      <c r="S558" s="43">
        <v>27</v>
      </c>
      <c r="T558" s="43">
        <f t="shared" si="56"/>
        <v>58944.550499999998</v>
      </c>
      <c r="U558" s="33">
        <f t="shared" si="57"/>
        <v>23854.5</v>
      </c>
      <c r="V558" s="43">
        <f t="shared" si="60"/>
        <v>35090.050499999998</v>
      </c>
      <c r="W558" s="45">
        <f t="shared" si="61"/>
        <v>0.59530610043416987</v>
      </c>
    </row>
    <row r="559" spans="1:23" x14ac:dyDescent="0.3">
      <c r="A559" s="34" t="s">
        <v>1216</v>
      </c>
      <c r="B559" s="35">
        <v>45362</v>
      </c>
      <c r="C559" s="36">
        <v>45380</v>
      </c>
      <c r="D559" s="37">
        <f t="shared" si="62"/>
        <v>18</v>
      </c>
      <c r="E559" s="37" t="str">
        <f>TEXT(Data!B559,"MMM-YYYY")</f>
        <v>Mar-2024</v>
      </c>
      <c r="F559" s="37" t="str">
        <f t="shared" si="58"/>
        <v>Q1-2024</v>
      </c>
      <c r="G559" s="32" t="s">
        <v>52</v>
      </c>
      <c r="H559" s="32" t="s">
        <v>122</v>
      </c>
      <c r="I559" s="32" t="s">
        <v>387</v>
      </c>
      <c r="J559" s="32" t="s">
        <v>19</v>
      </c>
      <c r="K559" s="32" t="s">
        <v>20</v>
      </c>
      <c r="L559" s="32" t="s">
        <v>110</v>
      </c>
      <c r="M559" s="32" t="s">
        <v>64</v>
      </c>
      <c r="N559" s="32" t="s">
        <v>1217</v>
      </c>
      <c r="O559" s="37">
        <v>710.98</v>
      </c>
      <c r="P559" s="38" t="str">
        <f t="shared" si="59"/>
        <v>High</v>
      </c>
      <c r="Q559" s="37">
        <v>1481.45</v>
      </c>
      <c r="R559" s="37">
        <v>0.21099999999999999</v>
      </c>
      <c r="S559" s="37">
        <v>9</v>
      </c>
      <c r="T559" s="37">
        <f t="shared" si="56"/>
        <v>7902.0638099999996</v>
      </c>
      <c r="U559" s="32">
        <f t="shared" si="57"/>
        <v>6398.82</v>
      </c>
      <c r="V559" s="37">
        <f t="shared" si="60"/>
        <v>1503.2438099999999</v>
      </c>
      <c r="W559" s="39">
        <f t="shared" si="61"/>
        <v>0.19023432942893434</v>
      </c>
    </row>
    <row r="560" spans="1:23" x14ac:dyDescent="0.3">
      <c r="A560" s="40" t="s">
        <v>1218</v>
      </c>
      <c r="B560" s="41">
        <v>45430</v>
      </c>
      <c r="C560" s="42">
        <v>45434</v>
      </c>
      <c r="D560" s="43">
        <f t="shared" si="62"/>
        <v>4</v>
      </c>
      <c r="E560" s="43" t="str">
        <f>TEXT(Data!B560,"MMM-YYYY")</f>
        <v>May-2024</v>
      </c>
      <c r="F560" s="43" t="str">
        <f t="shared" si="58"/>
        <v>Q2-2024</v>
      </c>
      <c r="G560" s="33" t="s">
        <v>16</v>
      </c>
      <c r="H560" s="33" t="s">
        <v>17</v>
      </c>
      <c r="I560" s="33" t="s">
        <v>33</v>
      </c>
      <c r="J560" s="33" t="s">
        <v>19</v>
      </c>
      <c r="K560" s="33" t="s">
        <v>98</v>
      </c>
      <c r="L560" s="33" t="s">
        <v>92</v>
      </c>
      <c r="M560" s="33" t="s">
        <v>81</v>
      </c>
      <c r="N560" s="33" t="s">
        <v>1219</v>
      </c>
      <c r="O560" s="43">
        <v>857.42</v>
      </c>
      <c r="P560" s="44" t="str">
        <f t="shared" si="59"/>
        <v>High</v>
      </c>
      <c r="Q560" s="43">
        <v>1658.92</v>
      </c>
      <c r="R560" s="43">
        <v>0.122</v>
      </c>
      <c r="S560" s="43">
        <v>9</v>
      </c>
      <c r="T560" s="43">
        <f t="shared" si="56"/>
        <v>8897.572979999999</v>
      </c>
      <c r="U560" s="33">
        <f t="shared" si="57"/>
        <v>7716.78</v>
      </c>
      <c r="V560" s="43">
        <f t="shared" si="60"/>
        <v>1180.7929799999993</v>
      </c>
      <c r="W560" s="45">
        <f t="shared" si="61"/>
        <v>0.13270955828675871</v>
      </c>
    </row>
    <row r="561" spans="1:23" x14ac:dyDescent="0.3">
      <c r="A561" s="34" t="s">
        <v>1220</v>
      </c>
      <c r="B561" s="35">
        <v>45299</v>
      </c>
      <c r="C561" s="36">
        <v>45303</v>
      </c>
      <c r="D561" s="37">
        <f t="shared" si="62"/>
        <v>4</v>
      </c>
      <c r="E561" s="37" t="str">
        <f>TEXT(Data!B561,"MMM-YYYY")</f>
        <v>Jan-2024</v>
      </c>
      <c r="F561" s="37" t="str">
        <f t="shared" si="58"/>
        <v>Q1-2024</v>
      </c>
      <c r="G561" s="32" t="s">
        <v>45</v>
      </c>
      <c r="H561" s="32" t="s">
        <v>60</v>
      </c>
      <c r="I561" s="32" t="s">
        <v>61</v>
      </c>
      <c r="J561" s="32" t="s">
        <v>19</v>
      </c>
      <c r="K561" s="32" t="s">
        <v>98</v>
      </c>
      <c r="L561" s="32" t="s">
        <v>63</v>
      </c>
      <c r="M561" s="32" t="s">
        <v>30</v>
      </c>
      <c r="N561" s="32" t="s">
        <v>1221</v>
      </c>
      <c r="O561" s="37">
        <v>802.32</v>
      </c>
      <c r="P561" s="38" t="str">
        <f t="shared" si="59"/>
        <v>High</v>
      </c>
      <c r="Q561" s="37">
        <v>602.34</v>
      </c>
      <c r="R561" s="37">
        <v>0.12</v>
      </c>
      <c r="S561" s="37">
        <v>25</v>
      </c>
      <c r="T561" s="37">
        <f t="shared" si="56"/>
        <v>2719.64</v>
      </c>
      <c r="U561" s="32">
        <f t="shared" si="57"/>
        <v>20058</v>
      </c>
      <c r="V561" s="37">
        <f t="shared" si="60"/>
        <v>-17338.36</v>
      </c>
      <c r="W561" s="39">
        <f t="shared" si="61"/>
        <v>-6.3752408406995045</v>
      </c>
    </row>
    <row r="562" spans="1:23" x14ac:dyDescent="0.3">
      <c r="A562" s="40" t="s">
        <v>1222</v>
      </c>
      <c r="B562" s="41">
        <v>45590</v>
      </c>
      <c r="C562" s="42">
        <v>45601</v>
      </c>
      <c r="D562" s="43">
        <f t="shared" si="62"/>
        <v>11</v>
      </c>
      <c r="E562" s="43" t="str">
        <f>TEXT(Data!B562,"MMM-YYYY")</f>
        <v>Oct-2024</v>
      </c>
      <c r="F562" s="43" t="str">
        <f t="shared" si="58"/>
        <v>Q4-2024</v>
      </c>
      <c r="G562" s="33" t="s">
        <v>52</v>
      </c>
      <c r="H562" s="33" t="s">
        <v>122</v>
      </c>
      <c r="I562" s="33" t="s">
        <v>387</v>
      </c>
      <c r="J562" s="33" t="s">
        <v>19</v>
      </c>
      <c r="K562" s="33" t="s">
        <v>55</v>
      </c>
      <c r="L562" s="33" t="s">
        <v>126</v>
      </c>
      <c r="M562" s="33" t="s">
        <v>22</v>
      </c>
      <c r="N562" s="33" t="s">
        <v>1223</v>
      </c>
      <c r="O562" s="43">
        <v>446.66</v>
      </c>
      <c r="P562" s="44" t="str">
        <f t="shared" si="59"/>
        <v>High</v>
      </c>
      <c r="Q562" s="43">
        <v>527.64</v>
      </c>
      <c r="R562" s="43">
        <v>0.14499999999999999</v>
      </c>
      <c r="S562" s="43">
        <v>15</v>
      </c>
      <c r="T562" s="43">
        <f t="shared" si="56"/>
        <v>22209.693749999999</v>
      </c>
      <c r="U562" s="33">
        <f t="shared" si="57"/>
        <v>6699.9000000000005</v>
      </c>
      <c r="V562" s="43">
        <f t="shared" si="60"/>
        <v>15509.793749999997</v>
      </c>
      <c r="W562" s="45">
        <f t="shared" si="61"/>
        <v>0.6983344266059498</v>
      </c>
    </row>
    <row r="563" spans="1:23" x14ac:dyDescent="0.3">
      <c r="A563" s="34" t="s">
        <v>1224</v>
      </c>
      <c r="B563" s="35">
        <v>45626</v>
      </c>
      <c r="C563" s="36">
        <v>45645</v>
      </c>
      <c r="D563" s="37">
        <f t="shared" si="62"/>
        <v>19</v>
      </c>
      <c r="E563" s="37" t="str">
        <f>TEXT(Data!B563,"MMM-YYYY")</f>
        <v>Nov-2024</v>
      </c>
      <c r="F563" s="37" t="str">
        <f t="shared" si="58"/>
        <v>Q4-2024</v>
      </c>
      <c r="G563" s="32" t="s">
        <v>16</v>
      </c>
      <c r="H563" s="32" t="s">
        <v>17</v>
      </c>
      <c r="I563" s="32" t="s">
        <v>18</v>
      </c>
      <c r="J563" s="32" t="s">
        <v>19</v>
      </c>
      <c r="K563" s="32" t="s">
        <v>28</v>
      </c>
      <c r="L563" s="32" t="s">
        <v>49</v>
      </c>
      <c r="M563" s="32" t="s">
        <v>42</v>
      </c>
      <c r="N563" s="32" t="s">
        <v>1225</v>
      </c>
      <c r="O563" s="37">
        <v>1195.98</v>
      </c>
      <c r="P563" s="38" t="str">
        <f t="shared" si="59"/>
        <v>High</v>
      </c>
      <c r="Q563" s="37">
        <v>1841.9</v>
      </c>
      <c r="R563" s="37">
        <v>5.5E-2</v>
      </c>
      <c r="S563" s="37">
        <v>19</v>
      </c>
      <c r="T563" s="37">
        <f t="shared" si="56"/>
        <v>54978.38955</v>
      </c>
      <c r="U563" s="32">
        <f t="shared" si="57"/>
        <v>22723.62</v>
      </c>
      <c r="V563" s="37">
        <f t="shared" si="60"/>
        <v>32254.769550000001</v>
      </c>
      <c r="W563" s="39">
        <f t="shared" si="61"/>
        <v>0.58668087250293055</v>
      </c>
    </row>
    <row r="564" spans="1:23" x14ac:dyDescent="0.3">
      <c r="A564" s="40" t="s">
        <v>1226</v>
      </c>
      <c r="B564" s="41">
        <v>45029</v>
      </c>
      <c r="C564" s="42">
        <v>45048</v>
      </c>
      <c r="D564" s="43">
        <f t="shared" si="62"/>
        <v>19</v>
      </c>
      <c r="E564" s="43" t="str">
        <f>TEXT(Data!B564,"MMM-YYYY")</f>
        <v>Apr-2023</v>
      </c>
      <c r="F564" s="43" t="str">
        <f t="shared" si="58"/>
        <v>Q2-2023</v>
      </c>
      <c r="G564" s="33" t="s">
        <v>52</v>
      </c>
      <c r="H564" s="33" t="s">
        <v>53</v>
      </c>
      <c r="I564" s="33" t="s">
        <v>144</v>
      </c>
      <c r="J564" s="33" t="s">
        <v>48</v>
      </c>
      <c r="K564" s="33" t="s">
        <v>55</v>
      </c>
      <c r="L564" s="33" t="s">
        <v>63</v>
      </c>
      <c r="M564" s="33" t="s">
        <v>64</v>
      </c>
      <c r="N564" s="33" t="s">
        <v>1227</v>
      </c>
      <c r="O564" s="43">
        <v>671.05</v>
      </c>
      <c r="P564" s="44" t="str">
        <f t="shared" si="59"/>
        <v>High</v>
      </c>
      <c r="Q564" s="43">
        <v>1645.48</v>
      </c>
      <c r="R564" s="43">
        <v>0.13700000000000001</v>
      </c>
      <c r="S564" s="43">
        <v>6</v>
      </c>
      <c r="T564" s="43">
        <f t="shared" si="56"/>
        <v>11393.722979999999</v>
      </c>
      <c r="U564" s="33">
        <f t="shared" si="57"/>
        <v>4026.2999999999997</v>
      </c>
      <c r="V564" s="43">
        <f t="shared" si="60"/>
        <v>7367.4229799999994</v>
      </c>
      <c r="W564" s="45">
        <f t="shared" si="61"/>
        <v>0.64662121353419111</v>
      </c>
    </row>
    <row r="565" spans="1:23" x14ac:dyDescent="0.3">
      <c r="A565" s="34" t="s">
        <v>1228</v>
      </c>
      <c r="B565" s="35">
        <v>45692</v>
      </c>
      <c r="C565" s="36">
        <v>45696</v>
      </c>
      <c r="D565" s="37">
        <f t="shared" si="62"/>
        <v>4</v>
      </c>
      <c r="E565" s="37" t="str">
        <f>TEXT(Data!B565,"MMM-YYYY")</f>
        <v>Feb-2025</v>
      </c>
      <c r="F565" s="37" t="str">
        <f t="shared" si="58"/>
        <v>Q1-2025</v>
      </c>
      <c r="G565" s="32" t="s">
        <v>78</v>
      </c>
      <c r="H565" s="32" t="s">
        <v>108</v>
      </c>
      <c r="I565" s="32" t="s">
        <v>228</v>
      </c>
      <c r="J565" s="32" t="s">
        <v>105</v>
      </c>
      <c r="K565" s="32" t="s">
        <v>40</v>
      </c>
      <c r="L565" s="32" t="s">
        <v>49</v>
      </c>
      <c r="M565" s="32" t="s">
        <v>35</v>
      </c>
      <c r="N565" s="32" t="s">
        <v>1229</v>
      </c>
      <c r="O565" s="37">
        <v>586.21</v>
      </c>
      <c r="P565" s="38" t="str">
        <f t="shared" si="59"/>
        <v>High</v>
      </c>
      <c r="Q565" s="37">
        <v>727.22</v>
      </c>
      <c r="R565" s="37">
        <v>6.8000000000000005E-2</v>
      </c>
      <c r="S565" s="37">
        <v>15</v>
      </c>
      <c r="T565" s="37">
        <f t="shared" si="56"/>
        <v>8408.8302000000003</v>
      </c>
      <c r="U565" s="32">
        <f t="shared" si="57"/>
        <v>8793.1500000000015</v>
      </c>
      <c r="V565" s="37">
        <f t="shared" si="60"/>
        <v>-384.31980000000112</v>
      </c>
      <c r="W565" s="39">
        <f t="shared" si="61"/>
        <v>-4.5704312117041096E-2</v>
      </c>
    </row>
    <row r="566" spans="1:23" x14ac:dyDescent="0.3">
      <c r="A566" s="40" t="s">
        <v>1230</v>
      </c>
      <c r="B566" s="41">
        <v>45315</v>
      </c>
      <c r="C566" s="42">
        <v>45326</v>
      </c>
      <c r="D566" s="43">
        <f t="shared" si="62"/>
        <v>11</v>
      </c>
      <c r="E566" s="43" t="str">
        <f>TEXT(Data!B566,"MMM-YYYY")</f>
        <v>Jan-2024</v>
      </c>
      <c r="F566" s="43" t="str">
        <f t="shared" si="58"/>
        <v>Q1-2024</v>
      </c>
      <c r="G566" s="33" t="s">
        <v>78</v>
      </c>
      <c r="H566" s="33" t="s">
        <v>108</v>
      </c>
      <c r="I566" s="33" t="s">
        <v>228</v>
      </c>
      <c r="J566" s="33" t="s">
        <v>48</v>
      </c>
      <c r="K566" s="33" t="s">
        <v>20</v>
      </c>
      <c r="L566" s="33" t="s">
        <v>56</v>
      </c>
      <c r="M566" s="33" t="s">
        <v>57</v>
      </c>
      <c r="N566" s="33" t="s">
        <v>1231</v>
      </c>
      <c r="O566" s="43">
        <v>525.34</v>
      </c>
      <c r="P566" s="44" t="str">
        <f t="shared" si="59"/>
        <v>High</v>
      </c>
      <c r="Q566" s="43">
        <v>1233.79</v>
      </c>
      <c r="R566" s="43">
        <v>0.14299999999999999</v>
      </c>
      <c r="S566" s="43">
        <v>4</v>
      </c>
      <c r="T566" s="43">
        <f t="shared" si="56"/>
        <v>3248.9555599999999</v>
      </c>
      <c r="U566" s="33">
        <f t="shared" si="57"/>
        <v>2101.36</v>
      </c>
      <c r="V566" s="43">
        <f t="shared" si="60"/>
        <v>1147.5955599999998</v>
      </c>
      <c r="W566" s="45">
        <f t="shared" si="61"/>
        <v>0.35321983905498533</v>
      </c>
    </row>
    <row r="567" spans="1:23" x14ac:dyDescent="0.3">
      <c r="A567" s="34" t="s">
        <v>1232</v>
      </c>
      <c r="B567" s="35">
        <v>45330</v>
      </c>
      <c r="C567" s="36">
        <v>45331</v>
      </c>
      <c r="D567" s="37">
        <f t="shared" si="62"/>
        <v>1</v>
      </c>
      <c r="E567" s="37" t="str">
        <f>TEXT(Data!B567,"MMM-YYYY")</f>
        <v>Feb-2024</v>
      </c>
      <c r="F567" s="37" t="str">
        <f t="shared" si="58"/>
        <v>Q1-2024</v>
      </c>
      <c r="G567" s="32" t="s">
        <v>16</v>
      </c>
      <c r="H567" s="32" t="s">
        <v>17</v>
      </c>
      <c r="I567" s="32" t="s">
        <v>113</v>
      </c>
      <c r="J567" s="32" t="s">
        <v>19</v>
      </c>
      <c r="K567" s="32" t="s">
        <v>98</v>
      </c>
      <c r="L567" s="32" t="s">
        <v>84</v>
      </c>
      <c r="M567" s="32" t="s">
        <v>22</v>
      </c>
      <c r="N567" s="32" t="s">
        <v>1233</v>
      </c>
      <c r="O567" s="37">
        <v>1233.52</v>
      </c>
      <c r="P567" s="38" t="str">
        <f t="shared" si="59"/>
        <v>High</v>
      </c>
      <c r="Q567" s="37">
        <v>1543.76</v>
      </c>
      <c r="R567" s="37">
        <v>0.126</v>
      </c>
      <c r="S567" s="37">
        <v>13</v>
      </c>
      <c r="T567" s="37">
        <f t="shared" si="56"/>
        <v>26490.27576</v>
      </c>
      <c r="U567" s="32">
        <f t="shared" si="57"/>
        <v>16035.76</v>
      </c>
      <c r="V567" s="37">
        <f t="shared" si="60"/>
        <v>10454.51576</v>
      </c>
      <c r="W567" s="39">
        <f t="shared" si="61"/>
        <v>0.39465484824382968</v>
      </c>
    </row>
    <row r="568" spans="1:23" x14ac:dyDescent="0.3">
      <c r="A568" s="40" t="s">
        <v>1234</v>
      </c>
      <c r="B568" s="41">
        <v>45834</v>
      </c>
      <c r="C568" s="42">
        <v>45849</v>
      </c>
      <c r="D568" s="43">
        <f t="shared" si="62"/>
        <v>15</v>
      </c>
      <c r="E568" s="43" t="str">
        <f>TEXT(Data!B568,"MMM-YYYY")</f>
        <v>Jun-2025</v>
      </c>
      <c r="F568" s="43" t="str">
        <f t="shared" si="58"/>
        <v>Q2-2025</v>
      </c>
      <c r="G568" s="33" t="s">
        <v>16</v>
      </c>
      <c r="H568" s="33" t="s">
        <v>25</v>
      </c>
      <c r="I568" s="33" t="s">
        <v>26</v>
      </c>
      <c r="J568" s="33" t="s">
        <v>62</v>
      </c>
      <c r="K568" s="33" t="s">
        <v>28</v>
      </c>
      <c r="L568" s="33" t="s">
        <v>75</v>
      </c>
      <c r="M568" s="33" t="s">
        <v>57</v>
      </c>
      <c r="N568" s="33" t="s">
        <v>1235</v>
      </c>
      <c r="O568" s="43">
        <v>1170.1500000000001</v>
      </c>
      <c r="P568" s="44" t="str">
        <f t="shared" si="59"/>
        <v>High</v>
      </c>
      <c r="Q568" s="43">
        <v>2115.19</v>
      </c>
      <c r="R568" s="43">
        <v>9.1999999999999998E-2</v>
      </c>
      <c r="S568" s="43">
        <v>23</v>
      </c>
      <c r="T568" s="43">
        <f t="shared" si="56"/>
        <v>29597.640160000003</v>
      </c>
      <c r="U568" s="33">
        <f t="shared" si="57"/>
        <v>26913.45</v>
      </c>
      <c r="V568" s="43">
        <f t="shared" si="60"/>
        <v>2684.1901600000019</v>
      </c>
      <c r="W568" s="45">
        <f t="shared" si="61"/>
        <v>9.0689330145569333E-2</v>
      </c>
    </row>
    <row r="569" spans="1:23" x14ac:dyDescent="0.3">
      <c r="A569" s="34" t="s">
        <v>1236</v>
      </c>
      <c r="B569" s="35">
        <v>45600</v>
      </c>
      <c r="C569" s="36">
        <v>45603</v>
      </c>
      <c r="D569" s="37">
        <f t="shared" si="62"/>
        <v>3</v>
      </c>
      <c r="E569" s="37" t="str">
        <f>TEXT(Data!B569,"MMM-YYYY")</f>
        <v>Nov-2024</v>
      </c>
      <c r="F569" s="37" t="str">
        <f t="shared" si="58"/>
        <v>Q4-2024</v>
      </c>
      <c r="G569" s="32" t="s">
        <v>78</v>
      </c>
      <c r="H569" s="32" t="s">
        <v>90</v>
      </c>
      <c r="I569" s="32" t="s">
        <v>138</v>
      </c>
      <c r="J569" s="32" t="s">
        <v>19</v>
      </c>
      <c r="K569" s="32" t="s">
        <v>28</v>
      </c>
      <c r="L569" s="32" t="s">
        <v>68</v>
      </c>
      <c r="M569" s="32" t="s">
        <v>64</v>
      </c>
      <c r="N569" s="32" t="s">
        <v>1237</v>
      </c>
      <c r="O569" s="37">
        <v>740.68</v>
      </c>
      <c r="P569" s="38" t="str">
        <f t="shared" si="59"/>
        <v>High</v>
      </c>
      <c r="Q569" s="37">
        <v>1837.19</v>
      </c>
      <c r="R569" s="37">
        <v>0.19700000000000001</v>
      </c>
      <c r="S569" s="37">
        <v>17</v>
      </c>
      <c r="T569" s="37">
        <f t="shared" si="56"/>
        <v>9548.8744999999999</v>
      </c>
      <c r="U569" s="32">
        <f t="shared" si="57"/>
        <v>12591.56</v>
      </c>
      <c r="V569" s="37">
        <f t="shared" si="60"/>
        <v>-3042.6854999999996</v>
      </c>
      <c r="W569" s="39">
        <f t="shared" si="61"/>
        <v>-0.31864336472324561</v>
      </c>
    </row>
    <row r="570" spans="1:23" x14ac:dyDescent="0.3">
      <c r="A570" s="40" t="s">
        <v>1238</v>
      </c>
      <c r="B570" s="41">
        <v>45342</v>
      </c>
      <c r="C570" s="42">
        <v>45342</v>
      </c>
      <c r="D570" s="43">
        <f t="shared" si="62"/>
        <v>0</v>
      </c>
      <c r="E570" s="43" t="str">
        <f>TEXT(Data!B570,"MMM-YYYY")</f>
        <v>Feb-2024</v>
      </c>
      <c r="F570" s="43" t="str">
        <f t="shared" si="58"/>
        <v>Q1-2024</v>
      </c>
      <c r="G570" s="33" t="s">
        <v>52</v>
      </c>
      <c r="H570" s="33" t="s">
        <v>122</v>
      </c>
      <c r="I570" s="33" t="s">
        <v>387</v>
      </c>
      <c r="J570" s="33" t="s">
        <v>105</v>
      </c>
      <c r="K570" s="33" t="s">
        <v>28</v>
      </c>
      <c r="L570" s="33" t="s">
        <v>21</v>
      </c>
      <c r="M570" s="33" t="s">
        <v>35</v>
      </c>
      <c r="N570" s="33" t="s">
        <v>1239</v>
      </c>
      <c r="O570" s="43">
        <v>1407.05</v>
      </c>
      <c r="P570" s="44" t="str">
        <f t="shared" si="59"/>
        <v>High</v>
      </c>
      <c r="Q570" s="43">
        <v>2858.93</v>
      </c>
      <c r="R570" s="43">
        <v>0</v>
      </c>
      <c r="S570" s="43">
        <v>12</v>
      </c>
      <c r="T570" s="43">
        <f t="shared" si="56"/>
        <v>21446.400000000001</v>
      </c>
      <c r="U570" s="33">
        <f t="shared" si="57"/>
        <v>16884.599999999999</v>
      </c>
      <c r="V570" s="43">
        <f t="shared" si="60"/>
        <v>4561.8000000000029</v>
      </c>
      <c r="W570" s="45">
        <f t="shared" si="61"/>
        <v>0.2127070277529097</v>
      </c>
    </row>
    <row r="571" spans="1:23" x14ac:dyDescent="0.3">
      <c r="A571" s="34" t="s">
        <v>1240</v>
      </c>
      <c r="B571" s="35">
        <v>45760</v>
      </c>
      <c r="C571" s="36">
        <v>45761</v>
      </c>
      <c r="D571" s="37">
        <f t="shared" si="62"/>
        <v>1</v>
      </c>
      <c r="E571" s="37" t="str">
        <f>TEXT(Data!B571,"MMM-YYYY")</f>
        <v>Apr-2025</v>
      </c>
      <c r="F571" s="37" t="str">
        <f t="shared" si="58"/>
        <v>Q2-2025</v>
      </c>
      <c r="G571" s="32" t="s">
        <v>45</v>
      </c>
      <c r="H571" s="32" t="s">
        <v>46</v>
      </c>
      <c r="I571" s="32" t="s">
        <v>47</v>
      </c>
      <c r="J571" s="32" t="s">
        <v>105</v>
      </c>
      <c r="K571" s="32" t="s">
        <v>28</v>
      </c>
      <c r="L571" s="32" t="s">
        <v>41</v>
      </c>
      <c r="M571" s="32" t="s">
        <v>22</v>
      </c>
      <c r="N571" s="32" t="s">
        <v>1241</v>
      </c>
      <c r="O571" s="37">
        <v>138.9</v>
      </c>
      <c r="P571" s="38" t="str">
        <f t="shared" si="59"/>
        <v>High</v>
      </c>
      <c r="Q571" s="37">
        <v>289.92</v>
      </c>
      <c r="R571" s="37">
        <v>2.9000000000000001E-2</v>
      </c>
      <c r="S571" s="37">
        <v>12</v>
      </c>
      <c r="T571" s="37">
        <f t="shared" si="56"/>
        <v>19793.834999999999</v>
      </c>
      <c r="U571" s="32">
        <f t="shared" si="57"/>
        <v>1666.8000000000002</v>
      </c>
      <c r="V571" s="37">
        <f t="shared" si="60"/>
        <v>18127.035</v>
      </c>
      <c r="W571" s="39">
        <f t="shared" si="61"/>
        <v>0.91579196249741401</v>
      </c>
    </row>
    <row r="572" spans="1:23" x14ac:dyDescent="0.3">
      <c r="A572" s="40" t="s">
        <v>1242</v>
      </c>
      <c r="B572" s="41">
        <v>45078</v>
      </c>
      <c r="C572" s="42">
        <v>45078</v>
      </c>
      <c r="D572" s="43">
        <f t="shared" si="62"/>
        <v>0</v>
      </c>
      <c r="E572" s="43" t="str">
        <f>TEXT(Data!B572,"MMM-YYYY")</f>
        <v>Jun-2023</v>
      </c>
      <c r="F572" s="43" t="str">
        <f t="shared" si="58"/>
        <v>Q2-2023</v>
      </c>
      <c r="G572" s="33" t="s">
        <v>45</v>
      </c>
      <c r="H572" s="33" t="s">
        <v>60</v>
      </c>
      <c r="I572" s="33" t="s">
        <v>61</v>
      </c>
      <c r="J572" s="33" t="s">
        <v>19</v>
      </c>
      <c r="K572" s="33" t="s">
        <v>20</v>
      </c>
      <c r="L572" s="33" t="s">
        <v>63</v>
      </c>
      <c r="M572" s="33" t="s">
        <v>81</v>
      </c>
      <c r="N572" s="33" t="s">
        <v>1243</v>
      </c>
      <c r="O572" s="43">
        <v>669.37</v>
      </c>
      <c r="P572" s="44" t="str">
        <f t="shared" si="59"/>
        <v>High</v>
      </c>
      <c r="Q572" s="43">
        <v>997.2</v>
      </c>
      <c r="R572" s="43">
        <v>8.2000000000000003E-2</v>
      </c>
      <c r="S572" s="43">
        <v>5</v>
      </c>
      <c r="T572" s="43">
        <f t="shared" si="56"/>
        <v>3326.373</v>
      </c>
      <c r="U572" s="33">
        <f t="shared" si="57"/>
        <v>3346.85</v>
      </c>
      <c r="V572" s="43">
        <f t="shared" si="60"/>
        <v>-20.476999999999862</v>
      </c>
      <c r="W572" s="45">
        <f t="shared" si="61"/>
        <v>-6.1559542480653434E-3</v>
      </c>
    </row>
    <row r="573" spans="1:23" x14ac:dyDescent="0.3">
      <c r="A573" s="34" t="s">
        <v>1244</v>
      </c>
      <c r="B573" s="35">
        <v>45740</v>
      </c>
      <c r="C573" s="36">
        <v>45751</v>
      </c>
      <c r="D573" s="37">
        <f t="shared" si="62"/>
        <v>11</v>
      </c>
      <c r="E573" s="37" t="str">
        <f>TEXT(Data!B573,"MMM-YYYY")</f>
        <v>Mar-2025</v>
      </c>
      <c r="F573" s="37" t="str">
        <f t="shared" si="58"/>
        <v>Q1-2025</v>
      </c>
      <c r="G573" s="32" t="s">
        <v>45</v>
      </c>
      <c r="H573" s="32" t="s">
        <v>60</v>
      </c>
      <c r="I573" s="32" t="s">
        <v>220</v>
      </c>
      <c r="J573" s="32" t="s">
        <v>27</v>
      </c>
      <c r="K573" s="32" t="s">
        <v>40</v>
      </c>
      <c r="L573" s="32" t="s">
        <v>29</v>
      </c>
      <c r="M573" s="32" t="s">
        <v>42</v>
      </c>
      <c r="N573" s="32" t="s">
        <v>1245</v>
      </c>
      <c r="O573" s="37">
        <v>23.83</v>
      </c>
      <c r="P573" s="38" t="str">
        <f t="shared" si="59"/>
        <v>Low</v>
      </c>
      <c r="Q573" s="37">
        <v>47.29</v>
      </c>
      <c r="R573" s="37">
        <v>6.4000000000000001E-2</v>
      </c>
      <c r="S573" s="37">
        <v>19</v>
      </c>
      <c r="T573" s="37">
        <f t="shared" si="56"/>
        <v>24114.036959999998</v>
      </c>
      <c r="U573" s="32">
        <f t="shared" si="57"/>
        <v>452.77</v>
      </c>
      <c r="V573" s="37">
        <f t="shared" si="60"/>
        <v>23661.266959999997</v>
      </c>
      <c r="W573" s="39">
        <f t="shared" si="61"/>
        <v>0.98122379920247083</v>
      </c>
    </row>
    <row r="574" spans="1:23" x14ac:dyDescent="0.3">
      <c r="A574" s="40" t="s">
        <v>1246</v>
      </c>
      <c r="B574" s="41">
        <v>45293</v>
      </c>
      <c r="C574" s="42">
        <v>45293</v>
      </c>
      <c r="D574" s="43">
        <f t="shared" si="62"/>
        <v>0</v>
      </c>
      <c r="E574" s="43" t="str">
        <f>TEXT(Data!B574,"MMM-YYYY")</f>
        <v>Jan-2024</v>
      </c>
      <c r="F574" s="43" t="str">
        <f t="shared" si="58"/>
        <v>Q1-2024</v>
      </c>
      <c r="G574" s="33" t="s">
        <v>52</v>
      </c>
      <c r="H574" s="33" t="s">
        <v>53</v>
      </c>
      <c r="I574" s="33" t="s">
        <v>179</v>
      </c>
      <c r="J574" s="33" t="s">
        <v>27</v>
      </c>
      <c r="K574" s="33" t="s">
        <v>98</v>
      </c>
      <c r="L574" s="33" t="s">
        <v>75</v>
      </c>
      <c r="M574" s="33" t="s">
        <v>57</v>
      </c>
      <c r="N574" s="33" t="s">
        <v>1247</v>
      </c>
      <c r="O574" s="43">
        <v>444.41</v>
      </c>
      <c r="P574" s="44" t="str">
        <f t="shared" si="59"/>
        <v>High</v>
      </c>
      <c r="Q574" s="43">
        <v>754.24</v>
      </c>
      <c r="R574" s="43">
        <v>0.20699999999999999</v>
      </c>
      <c r="S574" s="43">
        <v>32</v>
      </c>
      <c r="T574" s="43">
        <f t="shared" si="56"/>
        <v>6980.1763200000005</v>
      </c>
      <c r="U574" s="33">
        <f t="shared" si="57"/>
        <v>14221.12</v>
      </c>
      <c r="V574" s="43">
        <f t="shared" si="60"/>
        <v>-7240.9436800000003</v>
      </c>
      <c r="W574" s="45">
        <f t="shared" si="61"/>
        <v>-1.0373582769324659</v>
      </c>
    </row>
    <row r="575" spans="1:23" x14ac:dyDescent="0.3">
      <c r="A575" s="34" t="s">
        <v>1248</v>
      </c>
      <c r="B575" s="35">
        <v>45279</v>
      </c>
      <c r="C575" s="36">
        <v>45292</v>
      </c>
      <c r="D575" s="37">
        <f t="shared" si="62"/>
        <v>13</v>
      </c>
      <c r="E575" s="37" t="str">
        <f>TEXT(Data!B575,"MMM-YYYY")</f>
        <v>Dec-2023</v>
      </c>
      <c r="F575" s="37" t="str">
        <f t="shared" si="58"/>
        <v>Q4-2023</v>
      </c>
      <c r="G575" s="32" t="s">
        <v>52</v>
      </c>
      <c r="H575" s="32" t="s">
        <v>53</v>
      </c>
      <c r="I575" s="32" t="s">
        <v>54</v>
      </c>
      <c r="J575" s="32" t="s">
        <v>105</v>
      </c>
      <c r="K575" s="32" t="s">
        <v>20</v>
      </c>
      <c r="L575" s="32" t="s">
        <v>95</v>
      </c>
      <c r="M575" s="32" t="s">
        <v>64</v>
      </c>
      <c r="N575" s="32" t="s">
        <v>1249</v>
      </c>
      <c r="O575" s="37">
        <v>856.1</v>
      </c>
      <c r="P575" s="38" t="str">
        <f t="shared" si="59"/>
        <v>High</v>
      </c>
      <c r="Q575" s="37">
        <v>901.48</v>
      </c>
      <c r="R575" s="37">
        <v>5.6000000000000001E-2</v>
      </c>
      <c r="S575" s="37">
        <v>17</v>
      </c>
      <c r="T575" s="37">
        <f t="shared" si="56"/>
        <v>28925.557119999998</v>
      </c>
      <c r="U575" s="32">
        <f t="shared" si="57"/>
        <v>14553.7</v>
      </c>
      <c r="V575" s="37">
        <f t="shared" si="60"/>
        <v>14371.857119999997</v>
      </c>
      <c r="W575" s="39">
        <f t="shared" si="61"/>
        <v>0.49685670911634278</v>
      </c>
    </row>
    <row r="576" spans="1:23" x14ac:dyDescent="0.3">
      <c r="A576" s="40" t="s">
        <v>1250</v>
      </c>
      <c r="B576" s="41">
        <v>45042</v>
      </c>
      <c r="C576" s="42">
        <v>45042</v>
      </c>
      <c r="D576" s="43">
        <f t="shared" si="62"/>
        <v>0</v>
      </c>
      <c r="E576" s="43" t="str">
        <f>TEXT(Data!B576,"MMM-YYYY")</f>
        <v>Apr-2023</v>
      </c>
      <c r="F576" s="43" t="str">
        <f t="shared" si="58"/>
        <v>Q2-2023</v>
      </c>
      <c r="G576" s="33" t="s">
        <v>78</v>
      </c>
      <c r="H576" s="33" t="s">
        <v>90</v>
      </c>
      <c r="I576" s="33" t="s">
        <v>91</v>
      </c>
      <c r="J576" s="33" t="s">
        <v>48</v>
      </c>
      <c r="K576" s="33" t="s">
        <v>98</v>
      </c>
      <c r="L576" s="33" t="s">
        <v>110</v>
      </c>
      <c r="M576" s="33" t="s">
        <v>22</v>
      </c>
      <c r="N576" s="33" t="s">
        <v>1251</v>
      </c>
      <c r="O576" s="43">
        <v>81.489999999999995</v>
      </c>
      <c r="P576" s="44" t="str">
        <f t="shared" si="59"/>
        <v>Medium</v>
      </c>
      <c r="Q576" s="43">
        <v>113.08</v>
      </c>
      <c r="R576" s="43">
        <v>0.121</v>
      </c>
      <c r="S576" s="43">
        <v>5</v>
      </c>
      <c r="T576" s="43">
        <f t="shared" si="56"/>
        <v>5580.6830999999993</v>
      </c>
      <c r="U576" s="33">
        <f t="shared" si="57"/>
        <v>407.45</v>
      </c>
      <c r="V576" s="43">
        <f t="shared" si="60"/>
        <v>5173.2330999999995</v>
      </c>
      <c r="W576" s="45">
        <f t="shared" si="61"/>
        <v>0.92698922467036338</v>
      </c>
    </row>
    <row r="577" spans="1:23" x14ac:dyDescent="0.3">
      <c r="A577" s="34" t="s">
        <v>1252</v>
      </c>
      <c r="B577" s="35">
        <v>45872</v>
      </c>
      <c r="C577" s="36">
        <v>45885</v>
      </c>
      <c r="D577" s="37">
        <f t="shared" si="62"/>
        <v>13</v>
      </c>
      <c r="E577" s="37" t="str">
        <f>TEXT(Data!B577,"MMM-YYYY")</f>
        <v>Aug-2025</v>
      </c>
      <c r="F577" s="37" t="str">
        <f t="shared" si="58"/>
        <v>Q3-2025</v>
      </c>
      <c r="G577" s="32" t="s">
        <v>52</v>
      </c>
      <c r="H577" s="32" t="s">
        <v>53</v>
      </c>
      <c r="I577" s="32" t="s">
        <v>144</v>
      </c>
      <c r="J577" s="32" t="s">
        <v>105</v>
      </c>
      <c r="K577" s="32" t="s">
        <v>55</v>
      </c>
      <c r="L577" s="32" t="s">
        <v>68</v>
      </c>
      <c r="M577" s="32" t="s">
        <v>35</v>
      </c>
      <c r="N577" s="32" t="s">
        <v>1253</v>
      </c>
      <c r="O577" s="37">
        <v>698.66</v>
      </c>
      <c r="P577" s="38" t="str">
        <f t="shared" si="59"/>
        <v>High</v>
      </c>
      <c r="Q577" s="37">
        <v>868.62</v>
      </c>
      <c r="R577" s="37">
        <v>7.1999999999999995E-2</v>
      </c>
      <c r="S577" s="37">
        <v>15</v>
      </c>
      <c r="T577" s="37">
        <f t="shared" ref="T577:T632" si="63">(Q603*S577)*(1-R577)</f>
        <v>7960.848</v>
      </c>
      <c r="U577" s="32">
        <f t="shared" ref="U577:U632" si="64">(O577*S577)</f>
        <v>10479.9</v>
      </c>
      <c r="V577" s="37">
        <f t="shared" si="60"/>
        <v>-2519.0519999999997</v>
      </c>
      <c r="W577" s="39">
        <f t="shared" si="61"/>
        <v>-0.31643010895321699</v>
      </c>
    </row>
    <row r="578" spans="1:23" x14ac:dyDescent="0.3">
      <c r="A578" s="40" t="s">
        <v>1254</v>
      </c>
      <c r="B578" s="41">
        <v>45140</v>
      </c>
      <c r="C578" s="42">
        <v>45157</v>
      </c>
      <c r="D578" s="43">
        <f t="shared" si="62"/>
        <v>17</v>
      </c>
      <c r="E578" s="43" t="str">
        <f>TEXT(Data!B578,"MMM-YYYY")</f>
        <v>Aug-2023</v>
      </c>
      <c r="F578" s="43" t="str">
        <f t="shared" ref="F578:F632" si="65">"Q"&amp;ROUNDUP(MONTH(B578)/3,0)&amp;"-"&amp;YEAR(B578)</f>
        <v>Q3-2023</v>
      </c>
      <c r="G578" s="33" t="s">
        <v>52</v>
      </c>
      <c r="H578" s="33" t="s">
        <v>53</v>
      </c>
      <c r="I578" s="33" t="s">
        <v>179</v>
      </c>
      <c r="J578" s="33" t="s">
        <v>19</v>
      </c>
      <c r="K578" s="33" t="s">
        <v>28</v>
      </c>
      <c r="L578" s="33" t="s">
        <v>84</v>
      </c>
      <c r="M578" s="33" t="s">
        <v>35</v>
      </c>
      <c r="N578" s="33" t="s">
        <v>1255</v>
      </c>
      <c r="O578" s="43">
        <v>175.38</v>
      </c>
      <c r="P578" s="44" t="str">
        <f t="shared" ref="P578:P632" si="66">IF(Q578&lt;50, "Low", IF(Q578&lt;200, "Medium", "High"))</f>
        <v>High</v>
      </c>
      <c r="Q578" s="43">
        <v>347.9</v>
      </c>
      <c r="R578" s="43">
        <v>7.1999999999999995E-2</v>
      </c>
      <c r="S578" s="43">
        <v>43</v>
      </c>
      <c r="T578" s="43">
        <f t="shared" si="63"/>
        <v>109937.11616000001</v>
      </c>
      <c r="U578" s="33">
        <f t="shared" si="64"/>
        <v>7541.34</v>
      </c>
      <c r="V578" s="43">
        <f t="shared" ref="V578:V632" si="67">(T578-U578)</f>
        <v>102395.77616000001</v>
      </c>
      <c r="W578" s="45">
        <f t="shared" ref="W578:W632" si="68">IF(T578=0, 0, V578/T578)</f>
        <v>0.93140314878712571</v>
      </c>
    </row>
    <row r="579" spans="1:23" x14ac:dyDescent="0.3">
      <c r="A579" s="34" t="s">
        <v>1256</v>
      </c>
      <c r="B579" s="35">
        <v>45092</v>
      </c>
      <c r="C579" s="36">
        <v>45119</v>
      </c>
      <c r="D579" s="37">
        <f t="shared" si="62"/>
        <v>27</v>
      </c>
      <c r="E579" s="37" t="str">
        <f>TEXT(Data!B579,"MMM-YYYY")</f>
        <v>Jun-2023</v>
      </c>
      <c r="F579" s="37" t="str">
        <f t="shared" si="65"/>
        <v>Q2-2023</v>
      </c>
      <c r="G579" s="32" t="s">
        <v>78</v>
      </c>
      <c r="H579" s="32" t="s">
        <v>108</v>
      </c>
      <c r="I579" s="32" t="s">
        <v>228</v>
      </c>
      <c r="J579" s="32" t="s">
        <v>48</v>
      </c>
      <c r="K579" s="32" t="s">
        <v>98</v>
      </c>
      <c r="L579" s="32" t="s">
        <v>34</v>
      </c>
      <c r="M579" s="32" t="s">
        <v>81</v>
      </c>
      <c r="N579" s="32" t="s">
        <v>1257</v>
      </c>
      <c r="O579" s="37">
        <v>751.28</v>
      </c>
      <c r="P579" s="38" t="str">
        <f t="shared" si="66"/>
        <v>High</v>
      </c>
      <c r="Q579" s="37">
        <v>1111.8800000000001</v>
      </c>
      <c r="R579" s="37">
        <v>0.13500000000000001</v>
      </c>
      <c r="S579" s="37">
        <v>7</v>
      </c>
      <c r="T579" s="37">
        <f t="shared" si="63"/>
        <v>5827.9980499999992</v>
      </c>
      <c r="U579" s="32">
        <f t="shared" si="64"/>
        <v>5258.96</v>
      </c>
      <c r="V579" s="37">
        <f t="shared" si="67"/>
        <v>569.0380499999992</v>
      </c>
      <c r="W579" s="39">
        <f t="shared" si="68"/>
        <v>9.7638682291597417E-2</v>
      </c>
    </row>
    <row r="580" spans="1:23" x14ac:dyDescent="0.3">
      <c r="A580" s="40" t="s">
        <v>1258</v>
      </c>
      <c r="B580" s="41">
        <v>45607</v>
      </c>
      <c r="C580" s="42">
        <v>45620</v>
      </c>
      <c r="D580" s="43">
        <f t="shared" ref="D580:D632" si="69">DATEDIF(B580,C580, "MD")</f>
        <v>13</v>
      </c>
      <c r="E580" s="43" t="str">
        <f>TEXT(Data!B580,"MMM-YYYY")</f>
        <v>Nov-2024</v>
      </c>
      <c r="F580" s="43" t="str">
        <f t="shared" si="65"/>
        <v>Q4-2024</v>
      </c>
      <c r="G580" s="33" t="s">
        <v>78</v>
      </c>
      <c r="H580" s="33" t="s">
        <v>108</v>
      </c>
      <c r="I580" s="33" t="s">
        <v>152</v>
      </c>
      <c r="J580" s="33" t="s">
        <v>19</v>
      </c>
      <c r="K580" s="33" t="s">
        <v>20</v>
      </c>
      <c r="L580" s="33" t="s">
        <v>63</v>
      </c>
      <c r="M580" s="33" t="s">
        <v>35</v>
      </c>
      <c r="N580" s="33" t="s">
        <v>1259</v>
      </c>
      <c r="O580" s="43">
        <v>164.53</v>
      </c>
      <c r="P580" s="44" t="str">
        <f t="shared" si="66"/>
        <v>High</v>
      </c>
      <c r="Q580" s="43">
        <v>327.72</v>
      </c>
      <c r="R580" s="43">
        <v>6.7000000000000004E-2</v>
      </c>
      <c r="S580" s="43">
        <v>14</v>
      </c>
      <c r="T580" s="43">
        <f t="shared" si="63"/>
        <v>8728.9427399999986</v>
      </c>
      <c r="U580" s="33">
        <f t="shared" si="64"/>
        <v>2303.42</v>
      </c>
      <c r="V580" s="43">
        <f t="shared" si="67"/>
        <v>6425.5227399999985</v>
      </c>
      <c r="W580" s="45">
        <f t="shared" si="68"/>
        <v>0.73611695383855846</v>
      </c>
    </row>
    <row r="581" spans="1:23" x14ac:dyDescent="0.3">
      <c r="A581" s="34" t="s">
        <v>1260</v>
      </c>
      <c r="B581" s="35">
        <v>45849</v>
      </c>
      <c r="C581" s="36">
        <v>45872</v>
      </c>
      <c r="D581" s="37">
        <f t="shared" si="69"/>
        <v>23</v>
      </c>
      <c r="E581" s="37" t="str">
        <f>TEXT(Data!B581,"MMM-YYYY")</f>
        <v>Jul-2025</v>
      </c>
      <c r="F581" s="37" t="str">
        <f t="shared" si="65"/>
        <v>Q3-2025</v>
      </c>
      <c r="G581" s="32" t="s">
        <v>16</v>
      </c>
      <c r="H581" s="32" t="s">
        <v>17</v>
      </c>
      <c r="I581" s="32" t="s">
        <v>135</v>
      </c>
      <c r="J581" s="32" t="s">
        <v>62</v>
      </c>
      <c r="K581" s="32" t="s">
        <v>20</v>
      </c>
      <c r="L581" s="32" t="s">
        <v>21</v>
      </c>
      <c r="M581" s="32" t="s">
        <v>42</v>
      </c>
      <c r="N581" s="32" t="s">
        <v>1261</v>
      </c>
      <c r="O581" s="37">
        <v>389.93</v>
      </c>
      <c r="P581" s="38" t="str">
        <f t="shared" si="66"/>
        <v>High</v>
      </c>
      <c r="Q581" s="37">
        <v>486.13</v>
      </c>
      <c r="R581" s="37">
        <v>0.13200000000000001</v>
      </c>
      <c r="S581" s="37">
        <v>17</v>
      </c>
      <c r="T581" s="37">
        <f t="shared" si="63"/>
        <v>20722.29348</v>
      </c>
      <c r="U581" s="32">
        <f t="shared" si="64"/>
        <v>6628.81</v>
      </c>
      <c r="V581" s="37">
        <f t="shared" si="67"/>
        <v>14093.483479999999</v>
      </c>
      <c r="W581" s="39">
        <f t="shared" si="68"/>
        <v>0.6801121455789747</v>
      </c>
    </row>
    <row r="582" spans="1:23" x14ac:dyDescent="0.3">
      <c r="A582" s="40" t="s">
        <v>1262</v>
      </c>
      <c r="B582" s="41">
        <v>45080</v>
      </c>
      <c r="C582" s="42">
        <v>45108</v>
      </c>
      <c r="D582" s="43">
        <f t="shared" si="69"/>
        <v>28</v>
      </c>
      <c r="E582" s="43" t="str">
        <f>TEXT(Data!B582,"MMM-YYYY")</f>
        <v>Jun-2023</v>
      </c>
      <c r="F582" s="43" t="str">
        <f t="shared" si="65"/>
        <v>Q2-2023</v>
      </c>
      <c r="G582" s="33" t="s">
        <v>52</v>
      </c>
      <c r="H582" s="33" t="s">
        <v>73</v>
      </c>
      <c r="I582" s="33" t="s">
        <v>87</v>
      </c>
      <c r="J582" s="33" t="s">
        <v>62</v>
      </c>
      <c r="K582" s="33" t="s">
        <v>40</v>
      </c>
      <c r="L582" s="33" t="s">
        <v>75</v>
      </c>
      <c r="M582" s="33" t="s">
        <v>22</v>
      </c>
      <c r="N582" s="33" t="s">
        <v>1263</v>
      </c>
      <c r="O582" s="43">
        <v>860.4</v>
      </c>
      <c r="P582" s="44" t="str">
        <f t="shared" si="66"/>
        <v>High</v>
      </c>
      <c r="Q582" s="43">
        <v>2066.6</v>
      </c>
      <c r="R582" s="43">
        <v>0.01</v>
      </c>
      <c r="S582" s="43">
        <v>3</v>
      </c>
      <c r="T582" s="43">
        <f t="shared" si="63"/>
        <v>10661.9733</v>
      </c>
      <c r="U582" s="33">
        <f t="shared" si="64"/>
        <v>2581.1999999999998</v>
      </c>
      <c r="V582" s="43">
        <f t="shared" si="67"/>
        <v>8080.7732999999998</v>
      </c>
      <c r="W582" s="45">
        <f t="shared" si="68"/>
        <v>0.7579059778737206</v>
      </c>
    </row>
    <row r="583" spans="1:23" x14ac:dyDescent="0.3">
      <c r="A583" s="34" t="s">
        <v>1264</v>
      </c>
      <c r="B583" s="35">
        <v>44955</v>
      </c>
      <c r="C583" s="36">
        <v>44963</v>
      </c>
      <c r="D583" s="37">
        <f t="shared" si="69"/>
        <v>8</v>
      </c>
      <c r="E583" s="37" t="str">
        <f>TEXT(Data!B583,"MMM-YYYY")</f>
        <v>Jan-2023</v>
      </c>
      <c r="F583" s="37" t="str">
        <f t="shared" si="65"/>
        <v>Q1-2023</v>
      </c>
      <c r="G583" s="32" t="s">
        <v>52</v>
      </c>
      <c r="H583" s="32" t="s">
        <v>73</v>
      </c>
      <c r="I583" s="32" t="s">
        <v>87</v>
      </c>
      <c r="J583" s="32" t="s">
        <v>19</v>
      </c>
      <c r="K583" s="32" t="s">
        <v>40</v>
      </c>
      <c r="L583" s="32" t="s">
        <v>145</v>
      </c>
      <c r="M583" s="32" t="s">
        <v>64</v>
      </c>
      <c r="N583" s="32" t="s">
        <v>1265</v>
      </c>
      <c r="O583" s="37">
        <v>41.84</v>
      </c>
      <c r="P583" s="38" t="str">
        <f t="shared" si="66"/>
        <v>Medium</v>
      </c>
      <c r="Q583" s="37">
        <v>86.2</v>
      </c>
      <c r="R583" s="37">
        <v>0.22600000000000001</v>
      </c>
      <c r="S583" s="37">
        <v>27</v>
      </c>
      <c r="T583" s="37">
        <f t="shared" si="63"/>
        <v>4879.8919799999994</v>
      </c>
      <c r="U583" s="32">
        <f t="shared" si="64"/>
        <v>1129.68</v>
      </c>
      <c r="V583" s="37">
        <f t="shared" si="67"/>
        <v>3750.2119799999991</v>
      </c>
      <c r="W583" s="39">
        <f t="shared" si="68"/>
        <v>0.76850307247989524</v>
      </c>
    </row>
    <row r="584" spans="1:23" x14ac:dyDescent="0.3">
      <c r="A584" s="40" t="s">
        <v>1266</v>
      </c>
      <c r="B584" s="41">
        <v>45541</v>
      </c>
      <c r="C584" s="42">
        <v>45539</v>
      </c>
      <c r="D584" s="43">
        <f>DATEDIF(C584,B584, "MD")</f>
        <v>2</v>
      </c>
      <c r="E584" s="43" t="str">
        <f>TEXT(Data!B584,"MMM-YYYY")</f>
        <v>Sep-2024</v>
      </c>
      <c r="F584" s="43" t="str">
        <f t="shared" si="65"/>
        <v>Q3-2024</v>
      </c>
      <c r="G584" s="33" t="s">
        <v>45</v>
      </c>
      <c r="H584" s="33" t="s">
        <v>46</v>
      </c>
      <c r="I584" s="33" t="s">
        <v>47</v>
      </c>
      <c r="J584" s="33" t="s">
        <v>19</v>
      </c>
      <c r="K584" s="33" t="s">
        <v>98</v>
      </c>
      <c r="L584" s="33" t="s">
        <v>75</v>
      </c>
      <c r="M584" s="33" t="s">
        <v>57</v>
      </c>
      <c r="N584" s="33" t="s">
        <v>1267</v>
      </c>
      <c r="O584" s="43">
        <v>1368.17</v>
      </c>
      <c r="P584" s="44" t="str">
        <f t="shared" si="66"/>
        <v>High</v>
      </c>
      <c r="Q584" s="43">
        <v>2307.75</v>
      </c>
      <c r="R584" s="43">
        <v>0.16300000000000001</v>
      </c>
      <c r="S584" s="43">
        <v>21</v>
      </c>
      <c r="T584" s="43">
        <f t="shared" si="63"/>
        <v>2183.9422500000001</v>
      </c>
      <c r="U584" s="33">
        <f t="shared" si="64"/>
        <v>28731.57</v>
      </c>
      <c r="V584" s="43">
        <f t="shared" si="67"/>
        <v>-26547.62775</v>
      </c>
      <c r="W584" s="45">
        <f t="shared" si="68"/>
        <v>-12.155828639699607</v>
      </c>
    </row>
    <row r="585" spans="1:23" x14ac:dyDescent="0.3">
      <c r="A585" s="34" t="s">
        <v>1268</v>
      </c>
      <c r="B585" s="35">
        <v>45507</v>
      </c>
      <c r="C585" s="36">
        <v>45513</v>
      </c>
      <c r="D585" s="37">
        <f t="shared" si="69"/>
        <v>6</v>
      </c>
      <c r="E585" s="37" t="str">
        <f>TEXT(Data!B585,"MMM-YYYY")</f>
        <v>Aug-2024</v>
      </c>
      <c r="F585" s="37" t="str">
        <f t="shared" si="65"/>
        <v>Q3-2024</v>
      </c>
      <c r="G585" s="32" t="s">
        <v>16</v>
      </c>
      <c r="H585" s="32" t="s">
        <v>17</v>
      </c>
      <c r="I585" s="32" t="s">
        <v>113</v>
      </c>
      <c r="J585" s="32" t="s">
        <v>48</v>
      </c>
      <c r="K585" s="32" t="s">
        <v>40</v>
      </c>
      <c r="L585" s="32" t="s">
        <v>92</v>
      </c>
      <c r="M585" s="32" t="s">
        <v>57</v>
      </c>
      <c r="N585" s="32" t="s">
        <v>1269</v>
      </c>
      <c r="O585" s="37">
        <v>643.21</v>
      </c>
      <c r="P585" s="38" t="str">
        <f t="shared" si="66"/>
        <v>High</v>
      </c>
      <c r="Q585" s="37">
        <v>1112.81</v>
      </c>
      <c r="R585" s="37">
        <v>0.14099999999999999</v>
      </c>
      <c r="S585" s="37">
        <v>4</v>
      </c>
      <c r="T585" s="37">
        <f t="shared" si="63"/>
        <v>4918.1873199999991</v>
      </c>
      <c r="U585" s="32">
        <f t="shared" si="64"/>
        <v>2572.84</v>
      </c>
      <c r="V585" s="37">
        <f t="shared" si="67"/>
        <v>2345.3473199999989</v>
      </c>
      <c r="W585" s="39">
        <f t="shared" si="68"/>
        <v>0.47687230424562183</v>
      </c>
    </row>
    <row r="586" spans="1:23" x14ac:dyDescent="0.3">
      <c r="A586" s="40" t="s">
        <v>1270</v>
      </c>
      <c r="B586" s="41">
        <v>45764</v>
      </c>
      <c r="C586" s="42">
        <v>45764</v>
      </c>
      <c r="D586" s="43">
        <f t="shared" si="69"/>
        <v>0</v>
      </c>
      <c r="E586" s="43" t="str">
        <f>TEXT(Data!B586,"MMM-YYYY")</f>
        <v>Apr-2025</v>
      </c>
      <c r="F586" s="43" t="str">
        <f t="shared" si="65"/>
        <v>Q2-2025</v>
      </c>
      <c r="G586" s="33" t="s">
        <v>52</v>
      </c>
      <c r="H586" s="33" t="s">
        <v>73</v>
      </c>
      <c r="I586" s="33" t="s">
        <v>74</v>
      </c>
      <c r="J586" s="33" t="s">
        <v>19</v>
      </c>
      <c r="K586" s="33" t="s">
        <v>55</v>
      </c>
      <c r="L586" s="33" t="s">
        <v>49</v>
      </c>
      <c r="M586" s="33" t="s">
        <v>42</v>
      </c>
      <c r="N586" s="33" t="s">
        <v>1271</v>
      </c>
      <c r="O586" s="43">
        <v>719.41</v>
      </c>
      <c r="P586" s="44" t="str">
        <f t="shared" si="66"/>
        <v>High</v>
      </c>
      <c r="Q586" s="43">
        <v>1125.99</v>
      </c>
      <c r="R586" s="43">
        <v>4.1000000000000002E-2</v>
      </c>
      <c r="S586" s="43">
        <v>21</v>
      </c>
      <c r="T586" s="43">
        <f t="shared" si="63"/>
        <v>32132.177279999996</v>
      </c>
      <c r="U586" s="33">
        <f t="shared" si="64"/>
        <v>15107.609999999999</v>
      </c>
      <c r="V586" s="43">
        <f t="shared" si="67"/>
        <v>17024.567279999996</v>
      </c>
      <c r="W586" s="45">
        <f t="shared" si="68"/>
        <v>0.52982924660373332</v>
      </c>
    </row>
    <row r="587" spans="1:23" x14ac:dyDescent="0.3">
      <c r="A587" s="34" t="s">
        <v>1272</v>
      </c>
      <c r="B587" s="35">
        <v>45049</v>
      </c>
      <c r="C587" s="36">
        <v>45062</v>
      </c>
      <c r="D587" s="37">
        <f t="shared" si="69"/>
        <v>13</v>
      </c>
      <c r="E587" s="37" t="str">
        <f>TEXT(Data!B587,"MMM-YYYY")</f>
        <v>May-2023</v>
      </c>
      <c r="F587" s="37" t="str">
        <f t="shared" si="65"/>
        <v>Q2-2023</v>
      </c>
      <c r="G587" s="32" t="s">
        <v>52</v>
      </c>
      <c r="H587" s="32" t="s">
        <v>122</v>
      </c>
      <c r="I587" s="32" t="s">
        <v>387</v>
      </c>
      <c r="J587" s="32" t="s">
        <v>19</v>
      </c>
      <c r="K587" s="32" t="s">
        <v>40</v>
      </c>
      <c r="L587" s="32" t="s">
        <v>49</v>
      </c>
      <c r="M587" s="32" t="s">
        <v>42</v>
      </c>
      <c r="N587" s="32" t="s">
        <v>1273</v>
      </c>
      <c r="O587" s="37">
        <v>64.5</v>
      </c>
      <c r="P587" s="38" t="str">
        <f t="shared" si="66"/>
        <v>Medium</v>
      </c>
      <c r="Q587" s="37">
        <v>123.62</v>
      </c>
      <c r="R587" s="37">
        <v>0</v>
      </c>
      <c r="S587" s="37">
        <v>3</v>
      </c>
      <c r="T587" s="37">
        <f t="shared" si="63"/>
        <v>3085.38</v>
      </c>
      <c r="U587" s="32">
        <f t="shared" si="64"/>
        <v>193.5</v>
      </c>
      <c r="V587" s="37">
        <f t="shared" si="67"/>
        <v>2891.88</v>
      </c>
      <c r="W587" s="39">
        <f t="shared" si="68"/>
        <v>0.93728487252785719</v>
      </c>
    </row>
    <row r="588" spans="1:23" x14ac:dyDescent="0.3">
      <c r="A588" s="40" t="s">
        <v>1274</v>
      </c>
      <c r="B588" s="41">
        <v>45364</v>
      </c>
      <c r="C588" s="42">
        <v>45388</v>
      </c>
      <c r="D588" s="43">
        <f t="shared" si="69"/>
        <v>24</v>
      </c>
      <c r="E588" s="43" t="str">
        <f>TEXT(Data!B588,"MMM-YYYY")</f>
        <v>Mar-2024</v>
      </c>
      <c r="F588" s="43" t="str">
        <f t="shared" si="65"/>
        <v>Q1-2024</v>
      </c>
      <c r="G588" s="33" t="s">
        <v>16</v>
      </c>
      <c r="H588" s="33" t="s">
        <v>25</v>
      </c>
      <c r="I588" s="33" t="s">
        <v>67</v>
      </c>
      <c r="J588" s="33" t="s">
        <v>48</v>
      </c>
      <c r="K588" s="33" t="s">
        <v>55</v>
      </c>
      <c r="L588" s="33" t="s">
        <v>49</v>
      </c>
      <c r="M588" s="33" t="s">
        <v>22</v>
      </c>
      <c r="N588" s="33" t="s">
        <v>1275</v>
      </c>
      <c r="O588" s="43">
        <v>1232.78</v>
      </c>
      <c r="P588" s="44" t="str">
        <f t="shared" si="66"/>
        <v>High</v>
      </c>
      <c r="Q588" s="43">
        <v>1731.75</v>
      </c>
      <c r="R588" s="43">
        <v>9.2999999999999999E-2</v>
      </c>
      <c r="S588" s="43">
        <v>16</v>
      </c>
      <c r="T588" s="43">
        <f t="shared" si="63"/>
        <v>46878.839200000002</v>
      </c>
      <c r="U588" s="33">
        <f t="shared" si="64"/>
        <v>19724.48</v>
      </c>
      <c r="V588" s="43">
        <f t="shared" si="67"/>
        <v>27154.359200000003</v>
      </c>
      <c r="W588" s="45">
        <f t="shared" si="68"/>
        <v>0.5792455543566446</v>
      </c>
    </row>
    <row r="589" spans="1:23" x14ac:dyDescent="0.3">
      <c r="A589" s="34" t="s">
        <v>1276</v>
      </c>
      <c r="B589" s="35">
        <v>45459</v>
      </c>
      <c r="C589" s="36">
        <v>45464</v>
      </c>
      <c r="D589" s="37">
        <f t="shared" si="69"/>
        <v>5</v>
      </c>
      <c r="E589" s="37" t="str">
        <f>TEXT(Data!B589,"MMM-YYYY")</f>
        <v>Jun-2024</v>
      </c>
      <c r="F589" s="37" t="str">
        <f t="shared" si="65"/>
        <v>Q2-2024</v>
      </c>
      <c r="G589" s="32" t="s">
        <v>45</v>
      </c>
      <c r="H589" s="32" t="s">
        <v>46</v>
      </c>
      <c r="I589" s="32" t="s">
        <v>214</v>
      </c>
      <c r="J589" s="32" t="s">
        <v>62</v>
      </c>
      <c r="K589" s="32" t="s">
        <v>55</v>
      </c>
      <c r="L589" s="32" t="s">
        <v>84</v>
      </c>
      <c r="M589" s="32" t="s">
        <v>42</v>
      </c>
      <c r="N589" s="32" t="s">
        <v>1277</v>
      </c>
      <c r="O589" s="37">
        <v>1367.13</v>
      </c>
      <c r="P589" s="38" t="str">
        <f t="shared" si="66"/>
        <v>High</v>
      </c>
      <c r="Q589" s="37">
        <v>3062.01</v>
      </c>
      <c r="R589" s="37">
        <v>0.10299999999999999</v>
      </c>
      <c r="S589" s="37">
        <v>25</v>
      </c>
      <c r="T589" s="37">
        <f t="shared" si="63"/>
        <v>62557.004249999998</v>
      </c>
      <c r="U589" s="32">
        <f t="shared" si="64"/>
        <v>34178.25</v>
      </c>
      <c r="V589" s="37">
        <f t="shared" si="67"/>
        <v>28378.754249999998</v>
      </c>
      <c r="W589" s="39">
        <f t="shared" si="68"/>
        <v>0.45364631171576603</v>
      </c>
    </row>
    <row r="590" spans="1:23" x14ac:dyDescent="0.3">
      <c r="A590" s="40" t="s">
        <v>1278</v>
      </c>
      <c r="B590" s="41">
        <v>45703</v>
      </c>
      <c r="C590" s="42">
        <v>45715</v>
      </c>
      <c r="D590" s="43">
        <f t="shared" si="69"/>
        <v>12</v>
      </c>
      <c r="E590" s="43" t="str">
        <f>TEXT(Data!B590,"MMM-YYYY")</f>
        <v>Feb-2025</v>
      </c>
      <c r="F590" s="43" t="str">
        <f t="shared" si="65"/>
        <v>Q1-2025</v>
      </c>
      <c r="G590" s="33" t="s">
        <v>78</v>
      </c>
      <c r="H590" s="33" t="s">
        <v>90</v>
      </c>
      <c r="I590" s="33" t="s">
        <v>138</v>
      </c>
      <c r="J590" s="33" t="s">
        <v>39</v>
      </c>
      <c r="K590" s="33" t="s">
        <v>98</v>
      </c>
      <c r="L590" s="33" t="s">
        <v>95</v>
      </c>
      <c r="M590" s="33" t="s">
        <v>81</v>
      </c>
      <c r="N590" s="33" t="s">
        <v>1279</v>
      </c>
      <c r="O590" s="43">
        <v>1027.26</v>
      </c>
      <c r="P590" s="44" t="str">
        <f t="shared" si="66"/>
        <v>High</v>
      </c>
      <c r="Q590" s="43">
        <v>2200.41</v>
      </c>
      <c r="R590" s="43">
        <v>8.7999999999999995E-2</v>
      </c>
      <c r="S590" s="43">
        <v>6</v>
      </c>
      <c r="T590" s="43">
        <f t="shared" si="63"/>
        <v>10384.433280000001</v>
      </c>
      <c r="U590" s="33">
        <f t="shared" si="64"/>
        <v>6163.5599999999995</v>
      </c>
      <c r="V590" s="43">
        <f t="shared" si="67"/>
        <v>4220.8732800000016</v>
      </c>
      <c r="W590" s="45">
        <f t="shared" si="68"/>
        <v>0.40646159171047236</v>
      </c>
    </row>
    <row r="591" spans="1:23" x14ac:dyDescent="0.3">
      <c r="A591" s="34" t="s">
        <v>1280</v>
      </c>
      <c r="B591" s="35">
        <v>45019</v>
      </c>
      <c r="C591" s="36">
        <v>45032</v>
      </c>
      <c r="D591" s="37">
        <f t="shared" si="69"/>
        <v>13</v>
      </c>
      <c r="E591" s="37" t="str">
        <f>TEXT(Data!B591,"MMM-YYYY")</f>
        <v>Apr-2023</v>
      </c>
      <c r="F591" s="37" t="str">
        <f t="shared" si="65"/>
        <v>Q2-2023</v>
      </c>
      <c r="G591" s="32" t="s">
        <v>78</v>
      </c>
      <c r="H591" s="32" t="s">
        <v>90</v>
      </c>
      <c r="I591" s="32" t="s">
        <v>91</v>
      </c>
      <c r="J591" s="32" t="s">
        <v>39</v>
      </c>
      <c r="K591" s="32" t="s">
        <v>40</v>
      </c>
      <c r="L591" s="32" t="s">
        <v>110</v>
      </c>
      <c r="M591" s="32" t="s">
        <v>81</v>
      </c>
      <c r="N591" s="32" t="s">
        <v>1281</v>
      </c>
      <c r="O591" s="37">
        <v>790.54</v>
      </c>
      <c r="P591" s="38" t="str">
        <f t="shared" si="66"/>
        <v>High</v>
      </c>
      <c r="Q591" s="37">
        <v>601.49</v>
      </c>
      <c r="R591" s="37">
        <v>0</v>
      </c>
      <c r="S591" s="37">
        <v>15</v>
      </c>
      <c r="T591" s="37">
        <f t="shared" si="63"/>
        <v>13537.050000000001</v>
      </c>
      <c r="U591" s="32">
        <f t="shared" si="64"/>
        <v>11858.099999999999</v>
      </c>
      <c r="V591" s="37">
        <f t="shared" si="67"/>
        <v>1678.9500000000025</v>
      </c>
      <c r="W591" s="39">
        <f t="shared" si="68"/>
        <v>0.12402628342216379</v>
      </c>
    </row>
    <row r="592" spans="1:23" x14ac:dyDescent="0.3">
      <c r="A592" s="40" t="s">
        <v>1282</v>
      </c>
      <c r="B592" s="41">
        <v>45899</v>
      </c>
      <c r="C592" s="42">
        <v>45922</v>
      </c>
      <c r="D592" s="43">
        <f t="shared" si="69"/>
        <v>23</v>
      </c>
      <c r="E592" s="43" t="str">
        <f>TEXT(Data!B592,"MMM-YYYY")</f>
        <v>Aug-2025</v>
      </c>
      <c r="F592" s="43" t="str">
        <f t="shared" si="65"/>
        <v>Q3-2025</v>
      </c>
      <c r="G592" s="33" t="s">
        <v>78</v>
      </c>
      <c r="H592" s="33" t="s">
        <v>90</v>
      </c>
      <c r="I592" s="33" t="s">
        <v>91</v>
      </c>
      <c r="J592" s="33" t="s">
        <v>19</v>
      </c>
      <c r="K592" s="33" t="s">
        <v>98</v>
      </c>
      <c r="L592" s="33" t="s">
        <v>63</v>
      </c>
      <c r="M592" s="33" t="s">
        <v>22</v>
      </c>
      <c r="N592" s="33" t="s">
        <v>1283</v>
      </c>
      <c r="O592" s="43">
        <v>663.9</v>
      </c>
      <c r="P592" s="44" t="str">
        <f t="shared" si="66"/>
        <v>High</v>
      </c>
      <c r="Q592" s="43">
        <v>947.77</v>
      </c>
      <c r="R592" s="43">
        <v>0.17399999999999999</v>
      </c>
      <c r="S592" s="43">
        <v>15</v>
      </c>
      <c r="T592" s="43">
        <f t="shared" si="63"/>
        <v>-417.04740000000004</v>
      </c>
      <c r="U592" s="33">
        <f t="shared" si="64"/>
        <v>9958.5</v>
      </c>
      <c r="V592" s="43">
        <f t="shared" si="67"/>
        <v>-10375.547399999999</v>
      </c>
      <c r="W592" s="45">
        <f t="shared" si="68"/>
        <v>24.878580708092169</v>
      </c>
    </row>
    <row r="593" spans="1:23" x14ac:dyDescent="0.3">
      <c r="A593" s="34" t="s">
        <v>1284</v>
      </c>
      <c r="B593" s="35">
        <v>44984</v>
      </c>
      <c r="C593" s="36">
        <v>44983</v>
      </c>
      <c r="D593" s="37">
        <f>DATEDIF(C593,B593, "MD")</f>
        <v>1</v>
      </c>
      <c r="E593" s="37" t="str">
        <f>TEXT(Data!B593,"MMM-YYYY")</f>
        <v>Feb-2023</v>
      </c>
      <c r="F593" s="37" t="str">
        <f t="shared" si="65"/>
        <v>Q1-2023</v>
      </c>
      <c r="G593" s="32" t="s">
        <v>52</v>
      </c>
      <c r="H593" s="32" t="s">
        <v>122</v>
      </c>
      <c r="I593" s="32" t="s">
        <v>167</v>
      </c>
      <c r="J593" s="32" t="s">
        <v>39</v>
      </c>
      <c r="K593" s="32" t="s">
        <v>28</v>
      </c>
      <c r="L593" s="32" t="s">
        <v>49</v>
      </c>
      <c r="M593" s="32" t="s">
        <v>35</v>
      </c>
      <c r="N593" s="32" t="s">
        <v>1285</v>
      </c>
      <c r="O593" s="37">
        <v>1015.91</v>
      </c>
      <c r="P593" s="38" t="str">
        <f t="shared" si="66"/>
        <v>High</v>
      </c>
      <c r="Q593" s="37">
        <v>2331.48</v>
      </c>
      <c r="R593" s="37">
        <v>0.14599999999999999</v>
      </c>
      <c r="S593" s="37">
        <v>26</v>
      </c>
      <c r="T593" s="37">
        <f t="shared" si="63"/>
        <v>24128.64272</v>
      </c>
      <c r="U593" s="32">
        <f t="shared" si="64"/>
        <v>26413.66</v>
      </c>
      <c r="V593" s="37">
        <f t="shared" si="67"/>
        <v>-2285.01728</v>
      </c>
      <c r="W593" s="39">
        <f t="shared" si="68"/>
        <v>-9.4701442866737429E-2</v>
      </c>
    </row>
    <row r="594" spans="1:23" x14ac:dyDescent="0.3">
      <c r="A594" s="40" t="s">
        <v>1286</v>
      </c>
      <c r="B594" s="41">
        <v>45504</v>
      </c>
      <c r="C594" s="42">
        <v>45519</v>
      </c>
      <c r="D594" s="43">
        <f t="shared" si="69"/>
        <v>15</v>
      </c>
      <c r="E594" s="43" t="str">
        <f>TEXT(Data!B594,"MMM-YYYY")</f>
        <v>Jul-2024</v>
      </c>
      <c r="F594" s="43" t="str">
        <f t="shared" si="65"/>
        <v>Q3-2024</v>
      </c>
      <c r="G594" s="33" t="s">
        <v>45</v>
      </c>
      <c r="H594" s="33" t="s">
        <v>46</v>
      </c>
      <c r="I594" s="33" t="s">
        <v>214</v>
      </c>
      <c r="J594" s="33" t="s">
        <v>19</v>
      </c>
      <c r="K594" s="33" t="s">
        <v>40</v>
      </c>
      <c r="L594" s="33" t="s">
        <v>84</v>
      </c>
      <c r="M594" s="33" t="s">
        <v>64</v>
      </c>
      <c r="N594" s="33" t="s">
        <v>1287</v>
      </c>
      <c r="O594" s="43">
        <v>1252.52</v>
      </c>
      <c r="P594" s="44" t="str">
        <f t="shared" si="66"/>
        <v>High</v>
      </c>
      <c r="Q594" s="43">
        <v>1417.24</v>
      </c>
      <c r="R594" s="43">
        <v>0.192</v>
      </c>
      <c r="S594" s="43">
        <v>5</v>
      </c>
      <c r="T594" s="43">
        <f t="shared" si="63"/>
        <v>4083.4300000000003</v>
      </c>
      <c r="U594" s="33">
        <f t="shared" si="64"/>
        <v>6262.6</v>
      </c>
      <c r="V594" s="43">
        <f t="shared" si="67"/>
        <v>-2179.17</v>
      </c>
      <c r="W594" s="45">
        <f t="shared" si="68"/>
        <v>-0.53366165209150151</v>
      </c>
    </row>
    <row r="595" spans="1:23" x14ac:dyDescent="0.3">
      <c r="A595" s="34" t="s">
        <v>1288</v>
      </c>
      <c r="B595" s="35">
        <v>45823</v>
      </c>
      <c r="C595" s="36">
        <v>45850</v>
      </c>
      <c r="D595" s="37">
        <f t="shared" si="69"/>
        <v>27</v>
      </c>
      <c r="E595" s="37" t="str">
        <f>TEXT(Data!B595,"MMM-YYYY")</f>
        <v>Jun-2025</v>
      </c>
      <c r="F595" s="37" t="str">
        <f t="shared" si="65"/>
        <v>Q2-2025</v>
      </c>
      <c r="G595" s="32" t="s">
        <v>78</v>
      </c>
      <c r="H595" s="32" t="s">
        <v>90</v>
      </c>
      <c r="I595" s="32" t="s">
        <v>91</v>
      </c>
      <c r="J595" s="32" t="s">
        <v>48</v>
      </c>
      <c r="K595" s="32" t="s">
        <v>98</v>
      </c>
      <c r="L595" s="32" t="s">
        <v>21</v>
      </c>
      <c r="M595" s="32" t="s">
        <v>81</v>
      </c>
      <c r="N595" s="32" t="s">
        <v>1289</v>
      </c>
      <c r="O595" s="37">
        <v>318.83</v>
      </c>
      <c r="P595" s="38" t="str">
        <f t="shared" si="66"/>
        <v>High</v>
      </c>
      <c r="Q595" s="37">
        <v>699.5</v>
      </c>
      <c r="R595" s="37">
        <v>0.08</v>
      </c>
      <c r="S595" s="37">
        <v>13</v>
      </c>
      <c r="T595" s="37">
        <f t="shared" si="63"/>
        <v>4921.3008</v>
      </c>
      <c r="U595" s="32">
        <f t="shared" si="64"/>
        <v>4144.79</v>
      </c>
      <c r="V595" s="37">
        <f t="shared" si="67"/>
        <v>776.51080000000002</v>
      </c>
      <c r="W595" s="39">
        <f t="shared" si="68"/>
        <v>0.15778568137919957</v>
      </c>
    </row>
    <row r="596" spans="1:23" x14ac:dyDescent="0.3">
      <c r="A596" s="40" t="s">
        <v>1290</v>
      </c>
      <c r="B596" s="41">
        <v>45473</v>
      </c>
      <c r="C596" s="42">
        <v>45494</v>
      </c>
      <c r="D596" s="43">
        <f t="shared" si="69"/>
        <v>21</v>
      </c>
      <c r="E596" s="43" t="str">
        <f>TEXT(Data!B596,"MMM-YYYY")</f>
        <v>Jun-2024</v>
      </c>
      <c r="F596" s="43" t="str">
        <f t="shared" si="65"/>
        <v>Q2-2024</v>
      </c>
      <c r="G596" s="33" t="s">
        <v>16</v>
      </c>
      <c r="H596" s="33" t="s">
        <v>17</v>
      </c>
      <c r="I596" s="33" t="s">
        <v>18</v>
      </c>
      <c r="J596" s="33" t="s">
        <v>62</v>
      </c>
      <c r="K596" s="33" t="s">
        <v>20</v>
      </c>
      <c r="L596" s="33" t="s">
        <v>95</v>
      </c>
      <c r="M596" s="33" t="s">
        <v>57</v>
      </c>
      <c r="N596" s="33" t="s">
        <v>1291</v>
      </c>
      <c r="O596" s="43">
        <v>753.43</v>
      </c>
      <c r="P596" s="44" t="str">
        <f t="shared" si="66"/>
        <v>High</v>
      </c>
      <c r="Q596" s="43">
        <v>1787.2</v>
      </c>
      <c r="R596" s="43">
        <v>7.2999999999999995E-2</v>
      </c>
      <c r="S596" s="43">
        <v>9</v>
      </c>
      <c r="T596" s="43">
        <f t="shared" si="63"/>
        <v>3448.4956200000001</v>
      </c>
      <c r="U596" s="33">
        <f t="shared" si="64"/>
        <v>6780.87</v>
      </c>
      <c r="V596" s="43">
        <f t="shared" si="67"/>
        <v>-3332.3743799999997</v>
      </c>
      <c r="W596" s="45">
        <f t="shared" si="68"/>
        <v>-0.9663269863744236</v>
      </c>
    </row>
    <row r="597" spans="1:23" x14ac:dyDescent="0.3">
      <c r="A597" s="34" t="s">
        <v>1292</v>
      </c>
      <c r="B597" s="35">
        <v>45705</v>
      </c>
      <c r="C597" s="36">
        <v>45703</v>
      </c>
      <c r="D597" s="37">
        <f>DATEDIF(C597,B597, "MD")</f>
        <v>2</v>
      </c>
      <c r="E597" s="37" t="str">
        <f>TEXT(Data!B597,"MMM-YYYY")</f>
        <v>Feb-2025</v>
      </c>
      <c r="F597" s="37" t="str">
        <f t="shared" si="65"/>
        <v>Q1-2025</v>
      </c>
      <c r="G597" s="32" t="s">
        <v>52</v>
      </c>
      <c r="H597" s="32" t="s">
        <v>53</v>
      </c>
      <c r="I597" s="32" t="s">
        <v>54</v>
      </c>
      <c r="J597" s="32" t="s">
        <v>62</v>
      </c>
      <c r="K597" s="32" t="s">
        <v>20</v>
      </c>
      <c r="L597" s="32" t="s">
        <v>145</v>
      </c>
      <c r="M597" s="32" t="s">
        <v>22</v>
      </c>
      <c r="N597" s="32" t="s">
        <v>1293</v>
      </c>
      <c r="O597" s="37">
        <v>1133.47</v>
      </c>
      <c r="P597" s="38" t="str">
        <f t="shared" si="66"/>
        <v>High</v>
      </c>
      <c r="Q597" s="37">
        <v>1698.75</v>
      </c>
      <c r="R597" s="37">
        <v>4.2999999999999997E-2</v>
      </c>
      <c r="S597" s="37">
        <v>5</v>
      </c>
      <c r="T597" s="37">
        <f t="shared" si="63"/>
        <v>7459.2886500000004</v>
      </c>
      <c r="U597" s="32">
        <f t="shared" si="64"/>
        <v>5667.35</v>
      </c>
      <c r="V597" s="37">
        <f t="shared" si="67"/>
        <v>1791.9386500000001</v>
      </c>
      <c r="W597" s="39">
        <f t="shared" si="68"/>
        <v>0.24022916045754578</v>
      </c>
    </row>
    <row r="598" spans="1:23" x14ac:dyDescent="0.3">
      <c r="A598" s="40" t="s">
        <v>1294</v>
      </c>
      <c r="B598" s="41">
        <v>44933</v>
      </c>
      <c r="C598" s="42">
        <v>44956</v>
      </c>
      <c r="D598" s="43">
        <f t="shared" si="69"/>
        <v>23</v>
      </c>
      <c r="E598" s="43" t="str">
        <f>TEXT(Data!B598,"MMM-YYYY")</f>
        <v>Jan-2023</v>
      </c>
      <c r="F598" s="43" t="str">
        <f t="shared" si="65"/>
        <v>Q1-2023</v>
      </c>
      <c r="G598" s="33" t="s">
        <v>16</v>
      </c>
      <c r="H598" s="33" t="s">
        <v>148</v>
      </c>
      <c r="I598" s="33" t="s">
        <v>258</v>
      </c>
      <c r="J598" s="33" t="s">
        <v>48</v>
      </c>
      <c r="K598" s="33" t="s">
        <v>28</v>
      </c>
      <c r="L598" s="33" t="s">
        <v>75</v>
      </c>
      <c r="M598" s="33" t="s">
        <v>30</v>
      </c>
      <c r="N598" s="33" t="s">
        <v>1295</v>
      </c>
      <c r="O598" s="43">
        <v>299.02</v>
      </c>
      <c r="P598" s="44" t="str">
        <f t="shared" si="66"/>
        <v>High</v>
      </c>
      <c r="Q598" s="43">
        <v>724.7</v>
      </c>
      <c r="R598" s="43">
        <v>0.14000000000000001</v>
      </c>
      <c r="S598" s="43">
        <v>5</v>
      </c>
      <c r="T598" s="43">
        <f t="shared" si="63"/>
        <v>3702.9880000000003</v>
      </c>
      <c r="U598" s="33">
        <f t="shared" si="64"/>
        <v>1495.1</v>
      </c>
      <c r="V598" s="43">
        <f t="shared" si="67"/>
        <v>2207.8880000000004</v>
      </c>
      <c r="W598" s="45">
        <f t="shared" si="68"/>
        <v>0.59624497837962209</v>
      </c>
    </row>
    <row r="599" spans="1:23" x14ac:dyDescent="0.3">
      <c r="A599" s="34" t="s">
        <v>1296</v>
      </c>
      <c r="B599" s="35">
        <v>45726</v>
      </c>
      <c r="C599" s="36">
        <v>45751</v>
      </c>
      <c r="D599" s="37">
        <f t="shared" si="69"/>
        <v>25</v>
      </c>
      <c r="E599" s="37" t="str">
        <f>TEXT(Data!B599,"MMM-YYYY")</f>
        <v>Mar-2025</v>
      </c>
      <c r="F599" s="37" t="str">
        <f t="shared" si="65"/>
        <v>Q1-2025</v>
      </c>
      <c r="G599" s="32" t="s">
        <v>45</v>
      </c>
      <c r="H599" s="32" t="s">
        <v>46</v>
      </c>
      <c r="I599" s="32" t="s">
        <v>47</v>
      </c>
      <c r="J599" s="32" t="s">
        <v>19</v>
      </c>
      <c r="K599" s="32" t="s">
        <v>98</v>
      </c>
      <c r="L599" s="32" t="s">
        <v>92</v>
      </c>
      <c r="M599" s="32" t="s">
        <v>30</v>
      </c>
      <c r="N599" s="32" t="s">
        <v>1297</v>
      </c>
      <c r="O599" s="37">
        <v>783.72</v>
      </c>
      <c r="P599" s="38" t="str">
        <f t="shared" si="66"/>
        <v>High</v>
      </c>
      <c r="Q599" s="37">
        <v>1355.94</v>
      </c>
      <c r="R599" s="37">
        <v>0.187</v>
      </c>
      <c r="S599" s="37">
        <v>4</v>
      </c>
      <c r="T599" s="37">
        <f t="shared" si="63"/>
        <v>7467.4049999999997</v>
      </c>
      <c r="U599" s="32">
        <f t="shared" si="64"/>
        <v>3134.88</v>
      </c>
      <c r="V599" s="37">
        <f t="shared" si="67"/>
        <v>4332.5249999999996</v>
      </c>
      <c r="W599" s="39">
        <f t="shared" si="68"/>
        <v>0.58019151231251009</v>
      </c>
    </row>
    <row r="600" spans="1:23" x14ac:dyDescent="0.3">
      <c r="A600" s="40" t="s">
        <v>1298</v>
      </c>
      <c r="B600" s="41">
        <v>45521</v>
      </c>
      <c r="C600" s="42">
        <v>45519</v>
      </c>
      <c r="D600" s="43">
        <f>DATEDIF(C600,B600, "MD")</f>
        <v>2</v>
      </c>
      <c r="E600" s="43" t="str">
        <f>TEXT(Data!B600,"MMM-YYYY")</f>
        <v>Aug-2024</v>
      </c>
      <c r="F600" s="43" t="str">
        <f t="shared" si="65"/>
        <v>Q3-2024</v>
      </c>
      <c r="G600" s="33" t="s">
        <v>52</v>
      </c>
      <c r="H600" s="33" t="s">
        <v>73</v>
      </c>
      <c r="I600" s="33" t="s">
        <v>225</v>
      </c>
      <c r="J600" s="33" t="s">
        <v>48</v>
      </c>
      <c r="K600" s="33" t="s">
        <v>98</v>
      </c>
      <c r="L600" s="33" t="s">
        <v>110</v>
      </c>
      <c r="M600" s="33" t="s">
        <v>64</v>
      </c>
      <c r="N600" s="33" t="s">
        <v>1299</v>
      </c>
      <c r="O600" s="43">
        <v>165.3</v>
      </c>
      <c r="P600" s="44" t="str">
        <f t="shared" si="66"/>
        <v>High</v>
      </c>
      <c r="Q600" s="43">
        <v>275.07</v>
      </c>
      <c r="R600" s="43">
        <v>0.13300000000000001</v>
      </c>
      <c r="S600" s="43">
        <v>25</v>
      </c>
      <c r="T600" s="43">
        <f t="shared" si="63"/>
        <v>57148.305</v>
      </c>
      <c r="U600" s="33">
        <f t="shared" si="64"/>
        <v>4132.5</v>
      </c>
      <c r="V600" s="43">
        <f t="shared" si="67"/>
        <v>53015.805</v>
      </c>
      <c r="W600" s="45">
        <f t="shared" si="68"/>
        <v>0.92768814403156841</v>
      </c>
    </row>
    <row r="601" spans="1:23" x14ac:dyDescent="0.3">
      <c r="A601" s="34" t="s">
        <v>1300</v>
      </c>
      <c r="B601" s="35">
        <v>45360</v>
      </c>
      <c r="C601" s="36">
        <v>45373</v>
      </c>
      <c r="D601" s="37">
        <f t="shared" si="69"/>
        <v>13</v>
      </c>
      <c r="E601" s="37" t="str">
        <f>TEXT(Data!B601,"MMM-YYYY")</f>
        <v>Mar-2024</v>
      </c>
      <c r="F601" s="37" t="str">
        <f t="shared" si="65"/>
        <v>Q1-2024</v>
      </c>
      <c r="G601" s="32" t="s">
        <v>78</v>
      </c>
      <c r="H601" s="32" t="s">
        <v>108</v>
      </c>
      <c r="I601" s="32" t="s">
        <v>228</v>
      </c>
      <c r="J601" s="32" t="s">
        <v>48</v>
      </c>
      <c r="K601" s="32" t="s">
        <v>28</v>
      </c>
      <c r="L601" s="32" t="s">
        <v>63</v>
      </c>
      <c r="M601" s="32" t="s">
        <v>57</v>
      </c>
      <c r="N601" s="32" t="s">
        <v>1301</v>
      </c>
      <c r="O601" s="37">
        <v>985.45</v>
      </c>
      <c r="P601" s="38" t="str">
        <f t="shared" si="66"/>
        <v>High</v>
      </c>
      <c r="Q601" s="37">
        <v>1802.44</v>
      </c>
      <c r="R601" s="37">
        <v>8.9999999999999993E-3</v>
      </c>
      <c r="S601" s="37">
        <v>19</v>
      </c>
      <c r="T601" s="37">
        <f t="shared" si="63"/>
        <v>18416.456609999997</v>
      </c>
      <c r="U601" s="32">
        <f t="shared" si="64"/>
        <v>18723.55</v>
      </c>
      <c r="V601" s="37">
        <f t="shared" si="67"/>
        <v>-307.09339000000182</v>
      </c>
      <c r="W601" s="39">
        <f t="shared" si="68"/>
        <v>-1.6674944399089911E-2</v>
      </c>
    </row>
    <row r="602" spans="1:23" x14ac:dyDescent="0.3">
      <c r="A602" s="40" t="s">
        <v>1302</v>
      </c>
      <c r="B602" s="41">
        <v>45523</v>
      </c>
      <c r="C602" s="42">
        <v>45537</v>
      </c>
      <c r="D602" s="43">
        <f t="shared" si="69"/>
        <v>14</v>
      </c>
      <c r="E602" s="43" t="str">
        <f>TEXT(Data!B602,"MMM-YYYY")</f>
        <v>Aug-2024</v>
      </c>
      <c r="F602" s="43" t="str">
        <f t="shared" si="65"/>
        <v>Q3-2024</v>
      </c>
      <c r="G602" s="33" t="s">
        <v>52</v>
      </c>
      <c r="H602" s="33" t="s">
        <v>53</v>
      </c>
      <c r="I602" s="33" t="s">
        <v>54</v>
      </c>
      <c r="J602" s="33" t="s">
        <v>48</v>
      </c>
      <c r="K602" s="33" t="s">
        <v>55</v>
      </c>
      <c r="L602" s="33" t="s">
        <v>21</v>
      </c>
      <c r="M602" s="33" t="s">
        <v>30</v>
      </c>
      <c r="N602" s="33" t="s">
        <v>1303</v>
      </c>
      <c r="O602" s="43">
        <v>1337.01</v>
      </c>
      <c r="P602" s="44" t="str">
        <f t="shared" si="66"/>
        <v>High</v>
      </c>
      <c r="Q602" s="43">
        <v>1269.78</v>
      </c>
      <c r="R602" s="43">
        <v>0.16</v>
      </c>
      <c r="S602" s="43">
        <v>7</v>
      </c>
      <c r="T602" s="43">
        <f t="shared" si="63"/>
        <v>3208.8335999999999</v>
      </c>
      <c r="U602" s="33">
        <f t="shared" si="64"/>
        <v>9359.07</v>
      </c>
      <c r="V602" s="43">
        <f t="shared" si="67"/>
        <v>-6150.2363999999998</v>
      </c>
      <c r="W602" s="45">
        <f t="shared" si="68"/>
        <v>-1.916657940754547</v>
      </c>
    </row>
    <row r="603" spans="1:23" x14ac:dyDescent="0.3">
      <c r="A603" s="34" t="s">
        <v>1304</v>
      </c>
      <c r="B603" s="35">
        <v>45880</v>
      </c>
      <c r="C603" s="36">
        <v>45897</v>
      </c>
      <c r="D603" s="37">
        <f t="shared" si="69"/>
        <v>17</v>
      </c>
      <c r="E603" s="37" t="str">
        <f>TEXT(Data!B603,"MMM-YYYY")</f>
        <v>Aug-2025</v>
      </c>
      <c r="F603" s="37" t="str">
        <f t="shared" si="65"/>
        <v>Q3-2025</v>
      </c>
      <c r="G603" s="32" t="s">
        <v>78</v>
      </c>
      <c r="H603" s="32" t="s">
        <v>90</v>
      </c>
      <c r="I603" s="32" t="s">
        <v>217</v>
      </c>
      <c r="J603" s="32" t="s">
        <v>27</v>
      </c>
      <c r="K603" s="32" t="s">
        <v>28</v>
      </c>
      <c r="L603" s="32" t="s">
        <v>84</v>
      </c>
      <c r="M603" s="32" t="s">
        <v>35</v>
      </c>
      <c r="N603" s="32" t="s">
        <v>1305</v>
      </c>
      <c r="O603" s="37">
        <v>416.16</v>
      </c>
      <c r="P603" s="38" t="str">
        <f t="shared" si="66"/>
        <v>High</v>
      </c>
      <c r="Q603" s="37">
        <v>571.9</v>
      </c>
      <c r="R603" s="37">
        <v>7.0999999999999994E-2</v>
      </c>
      <c r="S603" s="37">
        <v>2</v>
      </c>
      <c r="T603" s="37">
        <f t="shared" si="63"/>
        <v>2667.2333200000003</v>
      </c>
      <c r="U603" s="32">
        <f t="shared" si="64"/>
        <v>832.32</v>
      </c>
      <c r="V603" s="37">
        <f t="shared" si="67"/>
        <v>1834.9133200000001</v>
      </c>
      <c r="W603" s="39">
        <f t="shared" si="68"/>
        <v>0.6879463098488886</v>
      </c>
    </row>
    <row r="604" spans="1:23" x14ac:dyDescent="0.3">
      <c r="A604" s="40" t="s">
        <v>1306</v>
      </c>
      <c r="B604" s="41">
        <v>45793</v>
      </c>
      <c r="C604" s="42">
        <v>45795</v>
      </c>
      <c r="D604" s="43">
        <f t="shared" si="69"/>
        <v>2</v>
      </c>
      <c r="E604" s="43" t="str">
        <f>TEXT(Data!B604,"MMM-YYYY")</f>
        <v>May-2025</v>
      </c>
      <c r="F604" s="43" t="str">
        <f t="shared" si="65"/>
        <v>Q2-2025</v>
      </c>
      <c r="G604" s="33" t="s">
        <v>45</v>
      </c>
      <c r="H604" s="33" t="s">
        <v>46</v>
      </c>
      <c r="I604" s="33" t="s">
        <v>214</v>
      </c>
      <c r="J604" s="33" t="s">
        <v>105</v>
      </c>
      <c r="K604" s="33" t="s">
        <v>20</v>
      </c>
      <c r="L604" s="33" t="s">
        <v>29</v>
      </c>
      <c r="M604" s="33" t="s">
        <v>30</v>
      </c>
      <c r="N604" s="33" t="s">
        <v>1307</v>
      </c>
      <c r="O604" s="43">
        <v>1144.3800000000001</v>
      </c>
      <c r="P604" s="44" t="str">
        <f t="shared" si="66"/>
        <v>High</v>
      </c>
      <c r="Q604" s="43">
        <v>2755.04</v>
      </c>
      <c r="R604" s="43">
        <v>0.15</v>
      </c>
      <c r="S604" s="43">
        <v>17</v>
      </c>
      <c r="T604" s="43">
        <f t="shared" si="63"/>
        <v>34640.985000000001</v>
      </c>
      <c r="U604" s="33">
        <f t="shared" si="64"/>
        <v>19454.460000000003</v>
      </c>
      <c r="V604" s="43">
        <f t="shared" si="67"/>
        <v>15186.524999999998</v>
      </c>
      <c r="W604" s="45">
        <f t="shared" si="68"/>
        <v>0.4383976090749151</v>
      </c>
    </row>
    <row r="605" spans="1:23" x14ac:dyDescent="0.3">
      <c r="A605" s="34" t="s">
        <v>1308</v>
      </c>
      <c r="B605" s="35">
        <v>45026</v>
      </c>
      <c r="C605" s="36">
        <v>45041</v>
      </c>
      <c r="D605" s="37">
        <f t="shared" si="69"/>
        <v>15</v>
      </c>
      <c r="E605" s="37" t="str">
        <f>TEXT(Data!B605,"MMM-YYYY")</f>
        <v>Apr-2023</v>
      </c>
      <c r="F605" s="37" t="str">
        <f t="shared" si="65"/>
        <v>Q2-2023</v>
      </c>
      <c r="G605" s="32" t="s">
        <v>78</v>
      </c>
      <c r="H605" s="32" t="s">
        <v>108</v>
      </c>
      <c r="I605" s="32" t="s">
        <v>152</v>
      </c>
      <c r="J605" s="32" t="s">
        <v>62</v>
      </c>
      <c r="K605" s="32" t="s">
        <v>20</v>
      </c>
      <c r="L605" s="32" t="s">
        <v>145</v>
      </c>
      <c r="M605" s="32" t="s">
        <v>30</v>
      </c>
      <c r="N605" s="32" t="s">
        <v>1309</v>
      </c>
      <c r="O605" s="37">
        <v>405.66</v>
      </c>
      <c r="P605" s="38" t="str">
        <f t="shared" si="66"/>
        <v>High</v>
      </c>
      <c r="Q605" s="37">
        <v>962.51</v>
      </c>
      <c r="R605" s="37">
        <v>0.19</v>
      </c>
      <c r="S605" s="37">
        <v>7</v>
      </c>
      <c r="T605" s="37">
        <f t="shared" si="63"/>
        <v>10511.386199999999</v>
      </c>
      <c r="U605" s="32">
        <f t="shared" si="64"/>
        <v>2839.6200000000003</v>
      </c>
      <c r="V605" s="37">
        <f t="shared" si="67"/>
        <v>7671.7661999999982</v>
      </c>
      <c r="W605" s="39">
        <f t="shared" si="68"/>
        <v>0.72985294746377016</v>
      </c>
    </row>
    <row r="606" spans="1:23" x14ac:dyDescent="0.3">
      <c r="A606" s="40" t="s">
        <v>1310</v>
      </c>
      <c r="B606" s="41">
        <v>45186</v>
      </c>
      <c r="C606" s="42">
        <v>45201</v>
      </c>
      <c r="D606" s="43">
        <f t="shared" si="69"/>
        <v>15</v>
      </c>
      <c r="E606" s="43" t="str">
        <f>TEXT(Data!B606,"MMM-YYYY")</f>
        <v>Sep-2023</v>
      </c>
      <c r="F606" s="43" t="str">
        <f t="shared" si="65"/>
        <v>Q3-2023</v>
      </c>
      <c r="G606" s="33" t="s">
        <v>52</v>
      </c>
      <c r="H606" s="33" t="s">
        <v>73</v>
      </c>
      <c r="I606" s="33" t="s">
        <v>225</v>
      </c>
      <c r="J606" s="33" t="s">
        <v>62</v>
      </c>
      <c r="K606" s="33" t="s">
        <v>20</v>
      </c>
      <c r="L606" s="33" t="s">
        <v>56</v>
      </c>
      <c r="M606" s="33" t="s">
        <v>57</v>
      </c>
      <c r="N606" s="33" t="s">
        <v>1311</v>
      </c>
      <c r="O606" s="43">
        <v>689.33</v>
      </c>
      <c r="P606" s="44" t="str">
        <f t="shared" si="66"/>
        <v>High</v>
      </c>
      <c r="Q606" s="43">
        <v>668.27</v>
      </c>
      <c r="R606" s="43">
        <v>0.186</v>
      </c>
      <c r="S606" s="43">
        <v>13</v>
      </c>
      <c r="T606" s="43">
        <f t="shared" si="63"/>
        <v>486.56036000000006</v>
      </c>
      <c r="U606" s="33">
        <f t="shared" si="64"/>
        <v>8961.2900000000009</v>
      </c>
      <c r="V606" s="43">
        <f t="shared" si="67"/>
        <v>-8474.7296400000014</v>
      </c>
      <c r="W606" s="45">
        <f t="shared" si="68"/>
        <v>-17.417632706453933</v>
      </c>
    </row>
    <row r="607" spans="1:23" x14ac:dyDescent="0.3">
      <c r="A607" s="34" t="s">
        <v>1312</v>
      </c>
      <c r="B607" s="35">
        <v>45038</v>
      </c>
      <c r="C607" s="36">
        <v>45060</v>
      </c>
      <c r="D607" s="37">
        <f t="shared" si="69"/>
        <v>22</v>
      </c>
      <c r="E607" s="37" t="str">
        <f>TEXT(Data!B607,"MMM-YYYY")</f>
        <v>Apr-2023</v>
      </c>
      <c r="F607" s="37" t="str">
        <f t="shared" si="65"/>
        <v>Q2-2023</v>
      </c>
      <c r="G607" s="32" t="s">
        <v>45</v>
      </c>
      <c r="H607" s="32" t="s">
        <v>46</v>
      </c>
      <c r="I607" s="32" t="s">
        <v>231</v>
      </c>
      <c r="J607" s="32" t="s">
        <v>105</v>
      </c>
      <c r="K607" s="32" t="s">
        <v>20</v>
      </c>
      <c r="L607" s="32" t="s">
        <v>75</v>
      </c>
      <c r="M607" s="32" t="s">
        <v>81</v>
      </c>
      <c r="N607" s="32" t="s">
        <v>1313</v>
      </c>
      <c r="O607" s="37">
        <v>1209.22</v>
      </c>
      <c r="P607" s="38" t="str">
        <f t="shared" si="66"/>
        <v>High</v>
      </c>
      <c r="Q607" s="37">
        <v>1404.33</v>
      </c>
      <c r="R607" s="37">
        <v>0.10299999999999999</v>
      </c>
      <c r="S607" s="37">
        <v>11</v>
      </c>
      <c r="T607" s="37">
        <f t="shared" si="63"/>
        <v>453.68466000000001</v>
      </c>
      <c r="U607" s="32">
        <f t="shared" si="64"/>
        <v>13301.42</v>
      </c>
      <c r="V607" s="37">
        <f t="shared" si="67"/>
        <v>-12847.735339999999</v>
      </c>
      <c r="W607" s="39">
        <f t="shared" si="68"/>
        <v>-28.318646127466597</v>
      </c>
    </row>
    <row r="608" spans="1:23" x14ac:dyDescent="0.3">
      <c r="A608" s="40" t="s">
        <v>1314</v>
      </c>
      <c r="B608" s="41">
        <v>45827</v>
      </c>
      <c r="C608" s="42">
        <v>45829</v>
      </c>
      <c r="D608" s="43">
        <f t="shared" si="69"/>
        <v>2</v>
      </c>
      <c r="E608" s="43" t="str">
        <f>TEXT(Data!B608,"MMM-YYYY")</f>
        <v>Jun-2025</v>
      </c>
      <c r="F608" s="43" t="str">
        <f t="shared" si="65"/>
        <v>Q2-2025</v>
      </c>
      <c r="G608" s="33" t="s">
        <v>16</v>
      </c>
      <c r="H608" s="33" t="s">
        <v>148</v>
      </c>
      <c r="I608" s="33" t="s">
        <v>149</v>
      </c>
      <c r="J608" s="33" t="s">
        <v>62</v>
      </c>
      <c r="K608" s="33" t="s">
        <v>1364</v>
      </c>
      <c r="L608" s="33" t="s">
        <v>92</v>
      </c>
      <c r="M608" s="33" t="s">
        <v>42</v>
      </c>
      <c r="N608" s="33" t="s">
        <v>1315</v>
      </c>
      <c r="O608" s="43">
        <v>1466.27</v>
      </c>
      <c r="P608" s="44" t="str">
        <f t="shared" si="66"/>
        <v>High</v>
      </c>
      <c r="Q608" s="43">
        <v>3589.89</v>
      </c>
      <c r="R608" s="43">
        <v>9.7000000000000003E-2</v>
      </c>
      <c r="S608" s="43">
        <v>9</v>
      </c>
      <c r="T608" s="43">
        <f t="shared" si="63"/>
        <v>0</v>
      </c>
      <c r="U608" s="33">
        <f t="shared" si="64"/>
        <v>13196.43</v>
      </c>
      <c r="V608" s="43">
        <f t="shared" si="67"/>
        <v>-13196.43</v>
      </c>
      <c r="W608" s="45">
        <f t="shared" si="68"/>
        <v>0</v>
      </c>
    </row>
    <row r="609" spans="1:23" x14ac:dyDescent="0.3">
      <c r="A609" s="34" t="s">
        <v>1316</v>
      </c>
      <c r="B609" s="35">
        <v>45623</v>
      </c>
      <c r="C609" s="36">
        <v>45650</v>
      </c>
      <c r="D609" s="37">
        <f t="shared" si="69"/>
        <v>27</v>
      </c>
      <c r="E609" s="37" t="str">
        <f>TEXT(Data!B609,"MMM-YYYY")</f>
        <v>Nov-2024</v>
      </c>
      <c r="F609" s="37" t="str">
        <f t="shared" si="65"/>
        <v>Q4-2024</v>
      </c>
      <c r="G609" s="32" t="s">
        <v>16</v>
      </c>
      <c r="H609" s="32" t="s">
        <v>17</v>
      </c>
      <c r="I609" s="32" t="s">
        <v>113</v>
      </c>
      <c r="J609" s="32" t="s">
        <v>19</v>
      </c>
      <c r="K609" s="32" t="s">
        <v>55</v>
      </c>
      <c r="L609" s="32" t="s">
        <v>56</v>
      </c>
      <c r="M609" s="32" t="s">
        <v>30</v>
      </c>
      <c r="N609" s="32" t="s">
        <v>1317</v>
      </c>
      <c r="O609" s="37">
        <v>143.33000000000001</v>
      </c>
      <c r="P609" s="38" t="str">
        <f t="shared" si="66"/>
        <v>High</v>
      </c>
      <c r="Q609" s="37">
        <v>233.51</v>
      </c>
      <c r="R609" s="37">
        <v>0.16300000000000001</v>
      </c>
      <c r="S609" s="37">
        <v>14</v>
      </c>
      <c r="T609" s="37">
        <f t="shared" si="63"/>
        <v>0</v>
      </c>
      <c r="U609" s="32">
        <f t="shared" si="64"/>
        <v>2006.6200000000001</v>
      </c>
      <c r="V609" s="37">
        <f t="shared" si="67"/>
        <v>-2006.6200000000001</v>
      </c>
      <c r="W609" s="39">
        <f t="shared" si="68"/>
        <v>0</v>
      </c>
    </row>
    <row r="610" spans="1:23" x14ac:dyDescent="0.3">
      <c r="A610" s="40" t="s">
        <v>1318</v>
      </c>
      <c r="B610" s="41">
        <v>45319</v>
      </c>
      <c r="C610" s="42">
        <v>45318</v>
      </c>
      <c r="D610" s="43">
        <f>DATEDIF(C610,B610, "MD")</f>
        <v>1</v>
      </c>
      <c r="E610" s="43" t="str">
        <f>TEXT(Data!B610,"MMM-YYYY")</f>
        <v>Jan-2024</v>
      </c>
      <c r="F610" s="43" t="str">
        <f t="shared" si="65"/>
        <v>Q1-2024</v>
      </c>
      <c r="G610" s="33" t="s">
        <v>16</v>
      </c>
      <c r="H610" s="33" t="s">
        <v>148</v>
      </c>
      <c r="I610" s="33" t="s">
        <v>258</v>
      </c>
      <c r="J610" s="33" t="s">
        <v>105</v>
      </c>
      <c r="K610" s="33" t="s">
        <v>98</v>
      </c>
      <c r="L610" s="33" t="s">
        <v>68</v>
      </c>
      <c r="M610" s="33" t="s">
        <v>22</v>
      </c>
      <c r="N610" s="33" t="s">
        <v>1319</v>
      </c>
      <c r="O610" s="43">
        <v>109.75</v>
      </c>
      <c r="P610" s="44" t="str">
        <f t="shared" si="66"/>
        <v>Medium</v>
      </c>
      <c r="Q610" s="43">
        <v>124.25</v>
      </c>
      <c r="R610" s="43">
        <v>0.12</v>
      </c>
      <c r="S610" s="43">
        <v>19</v>
      </c>
      <c r="T610" s="43">
        <f t="shared" si="63"/>
        <v>0</v>
      </c>
      <c r="U610" s="33">
        <f t="shared" si="64"/>
        <v>2085.25</v>
      </c>
      <c r="V610" s="43">
        <f t="shared" si="67"/>
        <v>-2085.25</v>
      </c>
      <c r="W610" s="45">
        <f t="shared" si="68"/>
        <v>0</v>
      </c>
    </row>
    <row r="611" spans="1:23" x14ac:dyDescent="0.3">
      <c r="A611" s="34" t="s">
        <v>1320</v>
      </c>
      <c r="B611" s="35">
        <v>45032</v>
      </c>
      <c r="C611" s="36">
        <v>45039</v>
      </c>
      <c r="D611" s="37">
        <f t="shared" si="69"/>
        <v>7</v>
      </c>
      <c r="E611" s="37" t="str">
        <f>TEXT(Data!B611,"MMM-YYYY")</f>
        <v>Apr-2023</v>
      </c>
      <c r="F611" s="37" t="str">
        <f t="shared" si="65"/>
        <v>Q2-2023</v>
      </c>
      <c r="G611" s="32" t="s">
        <v>52</v>
      </c>
      <c r="H611" s="32" t="s">
        <v>122</v>
      </c>
      <c r="I611" s="32" t="s">
        <v>326</v>
      </c>
      <c r="J611" s="32" t="s">
        <v>19</v>
      </c>
      <c r="K611" s="32" t="s">
        <v>55</v>
      </c>
      <c r="L611" s="32" t="s">
        <v>68</v>
      </c>
      <c r="M611" s="32" t="s">
        <v>30</v>
      </c>
      <c r="N611" s="32" t="s">
        <v>1321</v>
      </c>
      <c r="O611" s="37">
        <v>1099.1500000000001</v>
      </c>
      <c r="P611" s="38" t="str">
        <f t="shared" si="66"/>
        <v>High</v>
      </c>
      <c r="Q611" s="37">
        <v>1431.37</v>
      </c>
      <c r="R611" s="37">
        <v>0.104</v>
      </c>
      <c r="S611" s="37">
        <v>8</v>
      </c>
      <c r="T611" s="37">
        <f t="shared" si="63"/>
        <v>0</v>
      </c>
      <c r="U611" s="32">
        <f t="shared" si="64"/>
        <v>8793.2000000000007</v>
      </c>
      <c r="V611" s="37">
        <f t="shared" si="67"/>
        <v>-8793.2000000000007</v>
      </c>
      <c r="W611" s="39">
        <f t="shared" si="68"/>
        <v>0</v>
      </c>
    </row>
    <row r="612" spans="1:23" x14ac:dyDescent="0.3">
      <c r="A612" s="40" t="s">
        <v>1322</v>
      </c>
      <c r="B612" s="41">
        <v>45323</v>
      </c>
      <c r="C612" s="42">
        <v>45323</v>
      </c>
      <c r="D612" s="43">
        <f t="shared" si="69"/>
        <v>0</v>
      </c>
      <c r="E612" s="43" t="str">
        <f>TEXT(Data!B612,"MMM-YYYY")</f>
        <v>Feb-2024</v>
      </c>
      <c r="F612" s="43" t="str">
        <f t="shared" si="65"/>
        <v>Q1-2024</v>
      </c>
      <c r="G612" s="33" t="s">
        <v>52</v>
      </c>
      <c r="H612" s="33" t="s">
        <v>122</v>
      </c>
      <c r="I612" s="33" t="s">
        <v>326</v>
      </c>
      <c r="J612" s="33" t="s">
        <v>48</v>
      </c>
      <c r="K612" s="33" t="s">
        <v>55</v>
      </c>
      <c r="L612" s="33" t="s">
        <v>92</v>
      </c>
      <c r="M612" s="33" t="s">
        <v>30</v>
      </c>
      <c r="N612" s="33" t="s">
        <v>1323</v>
      </c>
      <c r="O612" s="43">
        <v>714.43</v>
      </c>
      <c r="P612" s="44" t="str">
        <f t="shared" si="66"/>
        <v>High</v>
      </c>
      <c r="Q612" s="43">
        <v>1595.52</v>
      </c>
      <c r="R612" s="43">
        <v>0.19400000000000001</v>
      </c>
      <c r="S612" s="43">
        <v>14</v>
      </c>
      <c r="T612" s="43">
        <f t="shared" si="63"/>
        <v>0</v>
      </c>
      <c r="U612" s="33">
        <f t="shared" si="64"/>
        <v>10002.019999999999</v>
      </c>
      <c r="V612" s="43">
        <f t="shared" si="67"/>
        <v>-10002.019999999999</v>
      </c>
      <c r="W612" s="45">
        <f t="shared" si="68"/>
        <v>0</v>
      </c>
    </row>
    <row r="613" spans="1:23" x14ac:dyDescent="0.3">
      <c r="A613" s="34" t="s">
        <v>1324</v>
      </c>
      <c r="B613" s="35">
        <v>45584</v>
      </c>
      <c r="C613" s="36">
        <v>45602</v>
      </c>
      <c r="D613" s="37">
        <f t="shared" si="69"/>
        <v>18</v>
      </c>
      <c r="E613" s="37" t="str">
        <f>TEXT(Data!B613,"MMM-YYYY")</f>
        <v>Oct-2024</v>
      </c>
      <c r="F613" s="37" t="str">
        <f t="shared" si="65"/>
        <v>Q4-2024</v>
      </c>
      <c r="G613" s="32" t="s">
        <v>52</v>
      </c>
      <c r="H613" s="32" t="s">
        <v>122</v>
      </c>
      <c r="I613" s="32" t="s">
        <v>123</v>
      </c>
      <c r="J613" s="32" t="s">
        <v>27</v>
      </c>
      <c r="K613" s="32" t="s">
        <v>1364</v>
      </c>
      <c r="L613" s="32" t="s">
        <v>21</v>
      </c>
      <c r="M613" s="32" t="s">
        <v>64</v>
      </c>
      <c r="N613" s="32" t="s">
        <v>1325</v>
      </c>
      <c r="O613" s="37">
        <v>942.02</v>
      </c>
      <c r="P613" s="38" t="str">
        <f t="shared" si="66"/>
        <v>High</v>
      </c>
      <c r="Q613" s="37">
        <v>1028.46</v>
      </c>
      <c r="R613" s="37">
        <v>0</v>
      </c>
      <c r="S613" s="37">
        <v>9</v>
      </c>
      <c r="T613" s="37">
        <f t="shared" si="63"/>
        <v>0</v>
      </c>
      <c r="U613" s="32">
        <f t="shared" si="64"/>
        <v>8478.18</v>
      </c>
      <c r="V613" s="37">
        <f t="shared" si="67"/>
        <v>-8478.18</v>
      </c>
      <c r="W613" s="39">
        <f t="shared" si="68"/>
        <v>0</v>
      </c>
    </row>
    <row r="614" spans="1:23" x14ac:dyDescent="0.3">
      <c r="A614" s="40" t="s">
        <v>1326</v>
      </c>
      <c r="B614" s="41">
        <v>45468</v>
      </c>
      <c r="C614" s="42">
        <v>45473</v>
      </c>
      <c r="D614" s="43">
        <f t="shared" si="69"/>
        <v>5</v>
      </c>
      <c r="E614" s="43" t="str">
        <f>TEXT(Data!B614,"MMM-YYYY")</f>
        <v>Jun-2024</v>
      </c>
      <c r="F614" s="43" t="str">
        <f t="shared" si="65"/>
        <v>Q2-2024</v>
      </c>
      <c r="G614" s="33" t="s">
        <v>16</v>
      </c>
      <c r="H614" s="33" t="s">
        <v>17</v>
      </c>
      <c r="I614" s="33" t="s">
        <v>18</v>
      </c>
      <c r="J614" s="33" t="s">
        <v>27</v>
      </c>
      <c r="K614" s="33" t="s">
        <v>98</v>
      </c>
      <c r="L614" s="33" t="s">
        <v>110</v>
      </c>
      <c r="M614" s="33" t="s">
        <v>35</v>
      </c>
      <c r="N614" s="33" t="s">
        <v>1327</v>
      </c>
      <c r="O614" s="43">
        <v>1323.55</v>
      </c>
      <c r="P614" s="44" t="str">
        <f t="shared" si="66"/>
        <v>High</v>
      </c>
      <c r="Q614" s="43">
        <v>3230.35</v>
      </c>
      <c r="R614" s="43">
        <v>2.1999999999999999E-2</v>
      </c>
      <c r="S614" s="43">
        <v>26</v>
      </c>
      <c r="T614" s="43">
        <f t="shared" si="63"/>
        <v>0</v>
      </c>
      <c r="U614" s="33">
        <f t="shared" si="64"/>
        <v>34412.299999999996</v>
      </c>
      <c r="V614" s="43">
        <f t="shared" si="67"/>
        <v>-34412.299999999996</v>
      </c>
      <c r="W614" s="45">
        <f t="shared" si="68"/>
        <v>0</v>
      </c>
    </row>
    <row r="615" spans="1:23" x14ac:dyDescent="0.3">
      <c r="A615" s="34" t="s">
        <v>1328</v>
      </c>
      <c r="B615" s="35">
        <v>45137</v>
      </c>
      <c r="C615" s="36">
        <v>45157</v>
      </c>
      <c r="D615" s="37">
        <f t="shared" si="69"/>
        <v>20</v>
      </c>
      <c r="E615" s="37" t="str">
        <f>TEXT(Data!B615,"MMM-YYYY")</f>
        <v>Jul-2023</v>
      </c>
      <c r="F615" s="37" t="str">
        <f t="shared" si="65"/>
        <v>Q3-2023</v>
      </c>
      <c r="G615" s="32" t="s">
        <v>78</v>
      </c>
      <c r="H615" s="32" t="s">
        <v>90</v>
      </c>
      <c r="I615" s="32" t="s">
        <v>217</v>
      </c>
      <c r="J615" s="32" t="s">
        <v>105</v>
      </c>
      <c r="K615" s="32" t="s">
        <v>40</v>
      </c>
      <c r="L615" s="32" t="s">
        <v>41</v>
      </c>
      <c r="M615" s="32" t="s">
        <v>35</v>
      </c>
      <c r="N615" s="32" t="s">
        <v>1329</v>
      </c>
      <c r="O615" s="37">
        <v>1418.51</v>
      </c>
      <c r="P615" s="38" t="str">
        <f t="shared" si="66"/>
        <v>High</v>
      </c>
      <c r="Q615" s="37">
        <v>2789.61</v>
      </c>
      <c r="R615" s="37">
        <v>0.17100000000000001</v>
      </c>
      <c r="S615" s="37">
        <v>8</v>
      </c>
      <c r="T615" s="37">
        <f t="shared" si="63"/>
        <v>0</v>
      </c>
      <c r="U615" s="32">
        <f t="shared" si="64"/>
        <v>11348.08</v>
      </c>
      <c r="V615" s="37">
        <f t="shared" si="67"/>
        <v>-11348.08</v>
      </c>
      <c r="W615" s="39">
        <f t="shared" si="68"/>
        <v>0</v>
      </c>
    </row>
    <row r="616" spans="1:23" x14ac:dyDescent="0.3">
      <c r="A616" s="40" t="s">
        <v>1330</v>
      </c>
      <c r="B616" s="41">
        <v>45727</v>
      </c>
      <c r="C616" s="42">
        <v>45743</v>
      </c>
      <c r="D616" s="43">
        <f t="shared" si="69"/>
        <v>16</v>
      </c>
      <c r="E616" s="43" t="str">
        <f>TEXT(Data!B616,"MMM-YYYY")</f>
        <v>Mar-2025</v>
      </c>
      <c r="F616" s="43" t="str">
        <f t="shared" si="65"/>
        <v>Q1-2025</v>
      </c>
      <c r="G616" s="33" t="s">
        <v>45</v>
      </c>
      <c r="H616" s="33" t="s">
        <v>46</v>
      </c>
      <c r="I616" s="33" t="s">
        <v>214</v>
      </c>
      <c r="J616" s="33" t="s">
        <v>105</v>
      </c>
      <c r="K616" s="33" t="s">
        <v>55</v>
      </c>
      <c r="L616" s="33" t="s">
        <v>56</v>
      </c>
      <c r="M616" s="33" t="s">
        <v>30</v>
      </c>
      <c r="N616" s="33" t="s">
        <v>1331</v>
      </c>
      <c r="O616" s="43">
        <v>1317.58</v>
      </c>
      <c r="P616" s="44" t="str">
        <f t="shared" si="66"/>
        <v>High</v>
      </c>
      <c r="Q616" s="43">
        <v>1897.74</v>
      </c>
      <c r="R616" s="43">
        <v>8.1000000000000003E-2</v>
      </c>
      <c r="S616" s="43">
        <v>6</v>
      </c>
      <c r="T616" s="43">
        <f t="shared" si="63"/>
        <v>0</v>
      </c>
      <c r="U616" s="33">
        <f t="shared" si="64"/>
        <v>7905.48</v>
      </c>
      <c r="V616" s="43">
        <f t="shared" si="67"/>
        <v>-7905.48</v>
      </c>
      <c r="W616" s="45">
        <f t="shared" si="68"/>
        <v>0</v>
      </c>
    </row>
    <row r="617" spans="1:23" x14ac:dyDescent="0.3">
      <c r="A617" s="34" t="s">
        <v>1332</v>
      </c>
      <c r="B617" s="35">
        <v>45208</v>
      </c>
      <c r="C617" s="36">
        <v>45210</v>
      </c>
      <c r="D617" s="37">
        <f t="shared" si="69"/>
        <v>2</v>
      </c>
      <c r="E617" s="37" t="str">
        <f>TEXT(Data!B617,"MMM-YYYY")</f>
        <v>Oct-2023</v>
      </c>
      <c r="F617" s="37" t="str">
        <f t="shared" si="65"/>
        <v>Q4-2023</v>
      </c>
      <c r="G617" s="32" t="s">
        <v>16</v>
      </c>
      <c r="H617" s="32" t="s">
        <v>25</v>
      </c>
      <c r="I617" s="32" t="s">
        <v>26</v>
      </c>
      <c r="J617" s="32" t="s">
        <v>27</v>
      </c>
      <c r="K617" s="32" t="s">
        <v>40</v>
      </c>
      <c r="L617" s="32" t="s">
        <v>95</v>
      </c>
      <c r="M617" s="32" t="s">
        <v>35</v>
      </c>
      <c r="N617" s="32" t="s">
        <v>1333</v>
      </c>
      <c r="O617" s="37">
        <v>391.16</v>
      </c>
      <c r="P617" s="38" t="str">
        <f t="shared" si="66"/>
        <v>High</v>
      </c>
      <c r="Q617" s="37">
        <v>902.47</v>
      </c>
      <c r="R617" s="37">
        <v>4.0000000000000001E-3</v>
      </c>
      <c r="S617" s="37">
        <v>12</v>
      </c>
      <c r="T617" s="37">
        <f t="shared" si="63"/>
        <v>0</v>
      </c>
      <c r="U617" s="32">
        <f t="shared" si="64"/>
        <v>4693.92</v>
      </c>
      <c r="V617" s="37">
        <f t="shared" si="67"/>
        <v>-4693.92</v>
      </c>
      <c r="W617" s="39">
        <f t="shared" si="68"/>
        <v>0</v>
      </c>
    </row>
    <row r="618" spans="1:23" x14ac:dyDescent="0.3">
      <c r="A618" s="40" t="s">
        <v>1334</v>
      </c>
      <c r="B618" s="41">
        <v>45643</v>
      </c>
      <c r="C618" s="42">
        <v>45673</v>
      </c>
      <c r="D618" s="43">
        <f t="shared" si="69"/>
        <v>30</v>
      </c>
      <c r="E618" s="43" t="str">
        <f>TEXT(Data!B618,"MMM-YYYY")</f>
        <v>Dec-2024</v>
      </c>
      <c r="F618" s="43" t="str">
        <f t="shared" si="65"/>
        <v>Q4-2024</v>
      </c>
      <c r="G618" s="33" t="s">
        <v>78</v>
      </c>
      <c r="H618" s="33" t="s">
        <v>108</v>
      </c>
      <c r="I618" s="33" t="s">
        <v>228</v>
      </c>
      <c r="J618" s="33" t="s">
        <v>19</v>
      </c>
      <c r="K618" s="33" t="s">
        <v>20</v>
      </c>
      <c r="L618" s="33" t="s">
        <v>145</v>
      </c>
      <c r="M618" s="33" t="s">
        <v>64</v>
      </c>
      <c r="N618" s="33" t="s">
        <v>1335</v>
      </c>
      <c r="O618" s="43">
        <v>722.87</v>
      </c>
      <c r="P618" s="44" t="str">
        <f t="shared" si="66"/>
        <v>Low</v>
      </c>
      <c r="Q618" s="43">
        <v>-33.659999999999997</v>
      </c>
      <c r="R618" s="43">
        <v>0.10199999999999999</v>
      </c>
      <c r="S618" s="43">
        <v>28</v>
      </c>
      <c r="T618" s="43">
        <f t="shared" si="63"/>
        <v>0</v>
      </c>
      <c r="U618" s="33">
        <f t="shared" si="64"/>
        <v>20240.36</v>
      </c>
      <c r="V618" s="43">
        <f t="shared" si="67"/>
        <v>-20240.36</v>
      </c>
      <c r="W618" s="45">
        <f t="shared" si="68"/>
        <v>0</v>
      </c>
    </row>
    <row r="619" spans="1:23" x14ac:dyDescent="0.3">
      <c r="A619" s="34" t="s">
        <v>1336</v>
      </c>
      <c r="B619" s="35">
        <v>45849</v>
      </c>
      <c r="C619" s="36">
        <v>45854</v>
      </c>
      <c r="D619" s="37">
        <f t="shared" si="69"/>
        <v>5</v>
      </c>
      <c r="E619" s="37" t="str">
        <f>TEXT(Data!B619,"MMM-YYYY")</f>
        <v>Jul-2025</v>
      </c>
      <c r="F619" s="37" t="str">
        <f t="shared" si="65"/>
        <v>Q3-2025</v>
      </c>
      <c r="G619" s="32" t="s">
        <v>78</v>
      </c>
      <c r="H619" s="32" t="s">
        <v>108</v>
      </c>
      <c r="I619" s="32" t="s">
        <v>152</v>
      </c>
      <c r="J619" s="32" t="s">
        <v>105</v>
      </c>
      <c r="K619" s="32" t="s">
        <v>28</v>
      </c>
      <c r="L619" s="32" t="s">
        <v>95</v>
      </c>
      <c r="M619" s="32" t="s">
        <v>30</v>
      </c>
      <c r="N619" s="32" t="s">
        <v>1337</v>
      </c>
      <c r="O619" s="37">
        <v>930.03</v>
      </c>
      <c r="P619" s="38" t="str">
        <f t="shared" si="66"/>
        <v>High</v>
      </c>
      <c r="Q619" s="37">
        <v>1086.68</v>
      </c>
      <c r="R619" s="37">
        <v>0.109</v>
      </c>
      <c r="S619" s="37">
        <v>26</v>
      </c>
      <c r="T619" s="37">
        <f t="shared" si="63"/>
        <v>0</v>
      </c>
      <c r="U619" s="32">
        <f t="shared" si="64"/>
        <v>24180.78</v>
      </c>
      <c r="V619" s="37">
        <f t="shared" si="67"/>
        <v>-24180.78</v>
      </c>
      <c r="W619" s="39">
        <f t="shared" si="68"/>
        <v>0</v>
      </c>
    </row>
    <row r="620" spans="1:23" x14ac:dyDescent="0.3">
      <c r="A620" s="40" t="s">
        <v>1338</v>
      </c>
      <c r="B620" s="41">
        <v>45578</v>
      </c>
      <c r="C620" s="42">
        <v>45589</v>
      </c>
      <c r="D620" s="43">
        <f t="shared" si="69"/>
        <v>11</v>
      </c>
      <c r="E620" s="43" t="str">
        <f>TEXT(Data!B620,"MMM-YYYY")</f>
        <v>Oct-2024</v>
      </c>
      <c r="F620" s="43" t="str">
        <f t="shared" si="65"/>
        <v>Q4-2024</v>
      </c>
      <c r="G620" s="33" t="s">
        <v>78</v>
      </c>
      <c r="H620" s="33" t="s">
        <v>90</v>
      </c>
      <c r="I620" s="33" t="s">
        <v>217</v>
      </c>
      <c r="J620" s="33" t="s">
        <v>27</v>
      </c>
      <c r="K620" s="33" t="s">
        <v>55</v>
      </c>
      <c r="L620" s="33" t="s">
        <v>84</v>
      </c>
      <c r="M620" s="33" t="s">
        <v>22</v>
      </c>
      <c r="N620" s="33" t="s">
        <v>1339</v>
      </c>
      <c r="O620" s="43">
        <v>816.7</v>
      </c>
      <c r="P620" s="44" t="str">
        <f t="shared" si="66"/>
        <v>High</v>
      </c>
      <c r="Q620" s="43">
        <v>1010.75</v>
      </c>
      <c r="R620" s="43">
        <v>4.7E-2</v>
      </c>
      <c r="S620" s="43">
        <v>43</v>
      </c>
      <c r="T620" s="43">
        <f t="shared" si="63"/>
        <v>0</v>
      </c>
      <c r="U620" s="33">
        <f t="shared" si="64"/>
        <v>35118.1</v>
      </c>
      <c r="V620" s="43">
        <f t="shared" si="67"/>
        <v>-35118.1</v>
      </c>
      <c r="W620" s="45">
        <f t="shared" si="68"/>
        <v>0</v>
      </c>
    </row>
    <row r="621" spans="1:23" x14ac:dyDescent="0.3">
      <c r="A621" s="34" t="s">
        <v>1340</v>
      </c>
      <c r="B621" s="35">
        <v>45177</v>
      </c>
      <c r="C621" s="36">
        <v>45183</v>
      </c>
      <c r="D621" s="37">
        <f t="shared" si="69"/>
        <v>6</v>
      </c>
      <c r="E621" s="37" t="str">
        <f>TEXT(Data!B621,"MMM-YYYY")</f>
        <v>Sep-2023</v>
      </c>
      <c r="F621" s="37" t="str">
        <f t="shared" si="65"/>
        <v>Q3-2023</v>
      </c>
      <c r="G621" s="32" t="s">
        <v>16</v>
      </c>
      <c r="H621" s="32" t="s">
        <v>17</v>
      </c>
      <c r="I621" s="32" t="s">
        <v>135</v>
      </c>
      <c r="J621" s="32" t="s">
        <v>27</v>
      </c>
      <c r="K621" s="32" t="s">
        <v>98</v>
      </c>
      <c r="L621" s="32" t="s">
        <v>34</v>
      </c>
      <c r="M621" s="32" t="s">
        <v>81</v>
      </c>
      <c r="N621" s="32" t="s">
        <v>1341</v>
      </c>
      <c r="O621" s="37">
        <v>251.03</v>
      </c>
      <c r="P621" s="38" t="str">
        <f t="shared" si="66"/>
        <v>High</v>
      </c>
      <c r="Q621" s="37">
        <v>411.48</v>
      </c>
      <c r="R621" s="37">
        <v>0.16500000000000001</v>
      </c>
      <c r="S621" s="37">
        <v>3</v>
      </c>
      <c r="T621" s="37">
        <f t="shared" si="63"/>
        <v>0</v>
      </c>
      <c r="U621" s="32">
        <f t="shared" si="64"/>
        <v>753.09</v>
      </c>
      <c r="V621" s="37">
        <f t="shared" si="67"/>
        <v>-753.09</v>
      </c>
      <c r="W621" s="39">
        <f t="shared" si="68"/>
        <v>0</v>
      </c>
    </row>
    <row r="622" spans="1:23" x14ac:dyDescent="0.3">
      <c r="A622" s="40" t="s">
        <v>1342</v>
      </c>
      <c r="B622" s="41">
        <v>45764</v>
      </c>
      <c r="C622" s="42">
        <v>45780</v>
      </c>
      <c r="D622" s="43">
        <f t="shared" si="69"/>
        <v>16</v>
      </c>
      <c r="E622" s="43" t="str">
        <f>TEXT(Data!B622,"MMM-YYYY")</f>
        <v>Apr-2025</v>
      </c>
      <c r="F622" s="43" t="str">
        <f t="shared" si="65"/>
        <v>Q2-2025</v>
      </c>
      <c r="G622" s="33" t="s">
        <v>52</v>
      </c>
      <c r="H622" s="33" t="s">
        <v>73</v>
      </c>
      <c r="I622" s="33" t="s">
        <v>225</v>
      </c>
      <c r="J622" s="33" t="s">
        <v>48</v>
      </c>
      <c r="K622" s="33" t="s">
        <v>40</v>
      </c>
      <c r="L622" s="33" t="s">
        <v>29</v>
      </c>
      <c r="M622" s="33" t="s">
        <v>35</v>
      </c>
      <c r="N622" s="33" t="s">
        <v>1343</v>
      </c>
      <c r="O622" s="43">
        <v>168.68</v>
      </c>
      <c r="P622" s="44" t="str">
        <f t="shared" si="66"/>
        <v>High</v>
      </c>
      <c r="Q622" s="43">
        <v>413.34</v>
      </c>
      <c r="R622" s="43">
        <v>0.186</v>
      </c>
      <c r="S622" s="43">
        <v>7</v>
      </c>
      <c r="T622" s="43">
        <f t="shared" si="63"/>
        <v>0</v>
      </c>
      <c r="U622" s="33">
        <f t="shared" si="64"/>
        <v>1180.76</v>
      </c>
      <c r="V622" s="43">
        <f t="shared" si="67"/>
        <v>-1180.76</v>
      </c>
      <c r="W622" s="45">
        <f t="shared" si="68"/>
        <v>0</v>
      </c>
    </row>
    <row r="623" spans="1:23" x14ac:dyDescent="0.3">
      <c r="A623" s="34" t="s">
        <v>1344</v>
      </c>
      <c r="B623" s="35">
        <v>45501</v>
      </c>
      <c r="C623" s="36">
        <v>45527</v>
      </c>
      <c r="D623" s="37">
        <f t="shared" si="69"/>
        <v>26</v>
      </c>
      <c r="E623" s="37" t="str">
        <f>TEXT(Data!B623,"MMM-YYYY")</f>
        <v>Jul-2024</v>
      </c>
      <c r="F623" s="37" t="str">
        <f t="shared" si="65"/>
        <v>Q3-2024</v>
      </c>
      <c r="G623" s="32" t="s">
        <v>45</v>
      </c>
      <c r="H623" s="32" t="s">
        <v>60</v>
      </c>
      <c r="I623" s="32" t="s">
        <v>281</v>
      </c>
      <c r="J623" s="32" t="s">
        <v>19</v>
      </c>
      <c r="K623" s="32" t="s">
        <v>20</v>
      </c>
      <c r="L623" s="32" t="s">
        <v>29</v>
      </c>
      <c r="M623" s="32" t="s">
        <v>35</v>
      </c>
      <c r="N623" s="32" t="s">
        <v>1345</v>
      </c>
      <c r="O623" s="37">
        <v>1339.24</v>
      </c>
      <c r="P623" s="38" t="str">
        <f t="shared" si="66"/>
        <v>High</v>
      </c>
      <c r="Q623" s="37">
        <v>1558.89</v>
      </c>
      <c r="R623" s="37">
        <v>0.192</v>
      </c>
      <c r="S623" s="37">
        <v>24</v>
      </c>
      <c r="T623" s="37">
        <f t="shared" si="63"/>
        <v>0</v>
      </c>
      <c r="U623" s="32">
        <f t="shared" si="64"/>
        <v>32141.760000000002</v>
      </c>
      <c r="V623" s="37">
        <f t="shared" si="67"/>
        <v>-32141.760000000002</v>
      </c>
      <c r="W623" s="39">
        <f t="shared" si="68"/>
        <v>0</v>
      </c>
    </row>
    <row r="624" spans="1:23" x14ac:dyDescent="0.3">
      <c r="A624" s="40" t="s">
        <v>1346</v>
      </c>
      <c r="B624" s="41">
        <v>45857</v>
      </c>
      <c r="C624" s="42">
        <v>45869</v>
      </c>
      <c r="D624" s="43">
        <f t="shared" si="69"/>
        <v>12</v>
      </c>
      <c r="E624" s="43" t="str">
        <f>TEXT(Data!B624,"MMM-YYYY")</f>
        <v>Jul-2025</v>
      </c>
      <c r="F624" s="43" t="str">
        <f t="shared" si="65"/>
        <v>Q3-2025</v>
      </c>
      <c r="G624" s="33" t="s">
        <v>16</v>
      </c>
      <c r="H624" s="33" t="s">
        <v>17</v>
      </c>
      <c r="I624" s="33" t="s">
        <v>33</v>
      </c>
      <c r="J624" s="33" t="s">
        <v>62</v>
      </c>
      <c r="K624" s="33" t="s">
        <v>40</v>
      </c>
      <c r="L624" s="33" t="s">
        <v>68</v>
      </c>
      <c r="M624" s="33" t="s">
        <v>81</v>
      </c>
      <c r="N624" s="33" t="s">
        <v>1347</v>
      </c>
      <c r="O624" s="43">
        <v>619.64</v>
      </c>
      <c r="P624" s="44" t="str">
        <f t="shared" si="66"/>
        <v>High</v>
      </c>
      <c r="Q624" s="43">
        <v>861.16</v>
      </c>
      <c r="R624" s="43">
        <v>0.113</v>
      </c>
      <c r="S624" s="43">
        <v>14</v>
      </c>
      <c r="T624" s="43">
        <f t="shared" si="63"/>
        <v>0</v>
      </c>
      <c r="U624" s="33">
        <f t="shared" si="64"/>
        <v>8674.9599999999991</v>
      </c>
      <c r="V624" s="43">
        <f t="shared" si="67"/>
        <v>-8674.9599999999991</v>
      </c>
      <c r="W624" s="45">
        <f t="shared" si="68"/>
        <v>0</v>
      </c>
    </row>
    <row r="625" spans="1:23" x14ac:dyDescent="0.3">
      <c r="A625" s="34" t="s">
        <v>1348</v>
      </c>
      <c r="B625" s="35">
        <v>45141</v>
      </c>
      <c r="C625" s="36">
        <v>45140</v>
      </c>
      <c r="D625" s="37">
        <f>DATEDIF(C625,B625, "MD")</f>
        <v>1</v>
      </c>
      <c r="E625" s="37" t="str">
        <f>TEXT(Data!B625,"MMM-YYYY")</f>
        <v>Aug-2023</v>
      </c>
      <c r="F625" s="37" t="str">
        <f t="shared" si="65"/>
        <v>Q3-2023</v>
      </c>
      <c r="G625" s="32" t="s">
        <v>45</v>
      </c>
      <c r="H625" s="32" t="s">
        <v>116</v>
      </c>
      <c r="I625" s="32" t="s">
        <v>162</v>
      </c>
      <c r="J625" s="32" t="s">
        <v>39</v>
      </c>
      <c r="K625" s="32" t="s">
        <v>98</v>
      </c>
      <c r="L625" s="32" t="s">
        <v>29</v>
      </c>
      <c r="M625" s="32" t="s">
        <v>35</v>
      </c>
      <c r="N625" s="32" t="s">
        <v>1349</v>
      </c>
      <c r="O625" s="37">
        <v>1021.97</v>
      </c>
      <c r="P625" s="38" t="str">
        <f t="shared" si="66"/>
        <v>High</v>
      </c>
      <c r="Q625" s="37">
        <v>2296.25</v>
      </c>
      <c r="R625" s="37">
        <v>0.161</v>
      </c>
      <c r="S625" s="37">
        <v>26</v>
      </c>
      <c r="T625" s="37">
        <f t="shared" si="63"/>
        <v>0</v>
      </c>
      <c r="U625" s="32">
        <f t="shared" si="64"/>
        <v>26571.22</v>
      </c>
      <c r="V625" s="37">
        <f t="shared" si="67"/>
        <v>-26571.22</v>
      </c>
      <c r="W625" s="39">
        <f t="shared" si="68"/>
        <v>0</v>
      </c>
    </row>
    <row r="626" spans="1:23" x14ac:dyDescent="0.3">
      <c r="A626" s="40" t="s">
        <v>1350</v>
      </c>
      <c r="B626" s="41">
        <v>45249</v>
      </c>
      <c r="C626" s="42">
        <v>45272</v>
      </c>
      <c r="D626" s="43">
        <f t="shared" si="69"/>
        <v>23</v>
      </c>
      <c r="E626" s="43" t="str">
        <f>TEXT(Data!B626,"MMM-YYYY")</f>
        <v>Nov-2023</v>
      </c>
      <c r="F626" s="43" t="str">
        <f t="shared" si="65"/>
        <v>Q4-2023</v>
      </c>
      <c r="G626" s="33" t="s">
        <v>45</v>
      </c>
      <c r="H626" s="33" t="s">
        <v>60</v>
      </c>
      <c r="I626" s="33" t="s">
        <v>141</v>
      </c>
      <c r="J626" s="33" t="s">
        <v>62</v>
      </c>
      <c r="K626" s="33" t="s">
        <v>98</v>
      </c>
      <c r="L626" s="33" t="s">
        <v>21</v>
      </c>
      <c r="M626" s="33" t="s">
        <v>35</v>
      </c>
      <c r="N626" s="33" t="s">
        <v>1351</v>
      </c>
      <c r="O626" s="43">
        <v>1349.04</v>
      </c>
      <c r="P626" s="44" t="str">
        <f t="shared" si="66"/>
        <v>High</v>
      </c>
      <c r="Q626" s="43">
        <v>2636.6</v>
      </c>
      <c r="R626" s="43">
        <v>0.114</v>
      </c>
      <c r="S626" s="43">
        <v>14</v>
      </c>
      <c r="T626" s="43">
        <f t="shared" si="63"/>
        <v>0</v>
      </c>
      <c r="U626" s="33">
        <f t="shared" si="64"/>
        <v>18886.559999999998</v>
      </c>
      <c r="V626" s="43">
        <f t="shared" si="67"/>
        <v>-18886.559999999998</v>
      </c>
      <c r="W626" s="45">
        <f t="shared" si="68"/>
        <v>0</v>
      </c>
    </row>
    <row r="627" spans="1:23" x14ac:dyDescent="0.3">
      <c r="A627" s="34" t="s">
        <v>1352</v>
      </c>
      <c r="B627" s="35">
        <v>45282</v>
      </c>
      <c r="C627" s="36">
        <v>45307</v>
      </c>
      <c r="D627" s="37">
        <f t="shared" si="69"/>
        <v>25</v>
      </c>
      <c r="E627" s="37" t="str">
        <f>TEXT(Data!B627,"MMM-YYYY")</f>
        <v>Dec-2023</v>
      </c>
      <c r="F627" s="37" t="str">
        <f t="shared" si="65"/>
        <v>Q4-2023</v>
      </c>
      <c r="G627" s="32" t="s">
        <v>45</v>
      </c>
      <c r="H627" s="32" t="s">
        <v>60</v>
      </c>
      <c r="I627" s="32" t="s">
        <v>281</v>
      </c>
      <c r="J627" s="32" t="s">
        <v>62</v>
      </c>
      <c r="K627" s="32" t="s">
        <v>20</v>
      </c>
      <c r="L627" s="32" t="s">
        <v>75</v>
      </c>
      <c r="M627" s="32" t="s">
        <v>22</v>
      </c>
      <c r="N627" s="32" t="s">
        <v>1353</v>
      </c>
      <c r="O627" s="37">
        <v>1346.81</v>
      </c>
      <c r="P627" s="38" t="str">
        <f t="shared" si="66"/>
        <v>High</v>
      </c>
      <c r="Q627" s="37">
        <v>978.09</v>
      </c>
      <c r="R627" s="37">
        <v>0.159</v>
      </c>
      <c r="S627" s="37">
        <v>17</v>
      </c>
      <c r="T627" s="37">
        <f t="shared" si="63"/>
        <v>0</v>
      </c>
      <c r="U627" s="32">
        <f t="shared" si="64"/>
        <v>22895.77</v>
      </c>
      <c r="V627" s="37">
        <f t="shared" si="67"/>
        <v>-22895.77</v>
      </c>
      <c r="W627" s="39">
        <f t="shared" si="68"/>
        <v>0</v>
      </c>
    </row>
    <row r="628" spans="1:23" x14ac:dyDescent="0.3">
      <c r="A628" s="40" t="s">
        <v>1354</v>
      </c>
      <c r="B628" s="41">
        <v>45141</v>
      </c>
      <c r="C628" s="42">
        <v>45168</v>
      </c>
      <c r="D628" s="43">
        <f t="shared" si="69"/>
        <v>27</v>
      </c>
      <c r="E628" s="43" t="str">
        <f>TEXT(Data!B628,"MMM-YYYY")</f>
        <v>Aug-2023</v>
      </c>
      <c r="F628" s="43" t="str">
        <f t="shared" si="65"/>
        <v>Q3-2023</v>
      </c>
      <c r="G628" s="33" t="s">
        <v>45</v>
      </c>
      <c r="H628" s="33" t="s">
        <v>116</v>
      </c>
      <c r="I628" s="33" t="s">
        <v>162</v>
      </c>
      <c r="J628" s="33" t="s">
        <v>48</v>
      </c>
      <c r="K628" s="33" t="s">
        <v>55</v>
      </c>
      <c r="L628" s="33" t="s">
        <v>126</v>
      </c>
      <c r="M628" s="33" t="s">
        <v>64</v>
      </c>
      <c r="N628" s="33" t="s">
        <v>1355</v>
      </c>
      <c r="O628" s="43">
        <v>226.04</v>
      </c>
      <c r="P628" s="44" t="str">
        <f t="shared" si="66"/>
        <v>High</v>
      </c>
      <c r="Q628" s="43">
        <v>545.72</v>
      </c>
      <c r="R628" s="43">
        <v>0.151</v>
      </c>
      <c r="S628" s="43">
        <v>11</v>
      </c>
      <c r="T628" s="43">
        <f t="shared" si="63"/>
        <v>0</v>
      </c>
      <c r="U628" s="33">
        <f t="shared" si="64"/>
        <v>2486.44</v>
      </c>
      <c r="V628" s="43">
        <f t="shared" si="67"/>
        <v>-2486.44</v>
      </c>
      <c r="W628" s="45">
        <f t="shared" si="68"/>
        <v>0</v>
      </c>
    </row>
    <row r="629" spans="1:23" x14ac:dyDescent="0.3">
      <c r="A629" s="34" t="s">
        <v>1356</v>
      </c>
      <c r="B629" s="35">
        <v>45100</v>
      </c>
      <c r="C629" s="36">
        <v>45125</v>
      </c>
      <c r="D629" s="37">
        <f t="shared" si="69"/>
        <v>25</v>
      </c>
      <c r="E629" s="37" t="str">
        <f>TEXT(Data!B629,"MMM-YYYY")</f>
        <v>Jun-2023</v>
      </c>
      <c r="F629" s="37" t="str">
        <f t="shared" si="65"/>
        <v>Q2-2023</v>
      </c>
      <c r="G629" s="32" t="s">
        <v>52</v>
      </c>
      <c r="H629" s="32" t="s">
        <v>53</v>
      </c>
      <c r="I629" s="32" t="s">
        <v>179</v>
      </c>
      <c r="J629" s="32" t="s">
        <v>105</v>
      </c>
      <c r="K629" s="32" t="s">
        <v>28</v>
      </c>
      <c r="L629" s="32" t="s">
        <v>126</v>
      </c>
      <c r="M629" s="32" t="s">
        <v>42</v>
      </c>
      <c r="N629" s="32" t="s">
        <v>1357</v>
      </c>
      <c r="O629" s="37">
        <v>807.02</v>
      </c>
      <c r="P629" s="38" t="str">
        <f t="shared" si="66"/>
        <v>High</v>
      </c>
      <c r="Q629" s="37">
        <v>1435.54</v>
      </c>
      <c r="R629" s="37">
        <v>0</v>
      </c>
      <c r="S629" s="37">
        <v>23</v>
      </c>
      <c r="T629" s="37">
        <f t="shared" si="63"/>
        <v>0</v>
      </c>
      <c r="U629" s="32">
        <f t="shared" si="64"/>
        <v>18561.46</v>
      </c>
      <c r="V629" s="37">
        <f t="shared" si="67"/>
        <v>-18561.46</v>
      </c>
      <c r="W629" s="39">
        <f t="shared" si="68"/>
        <v>0</v>
      </c>
    </row>
    <row r="630" spans="1:23" x14ac:dyDescent="0.3">
      <c r="A630" s="40" t="s">
        <v>1358</v>
      </c>
      <c r="B630" s="41">
        <v>45267</v>
      </c>
      <c r="C630" s="42">
        <v>45293</v>
      </c>
      <c r="D630" s="43">
        <f t="shared" si="69"/>
        <v>26</v>
      </c>
      <c r="E630" s="43" t="str">
        <f>TEXT(Data!B630,"MMM-YYYY")</f>
        <v>Dec-2023</v>
      </c>
      <c r="F630" s="43" t="str">
        <f t="shared" si="65"/>
        <v>Q4-2023</v>
      </c>
      <c r="G630" s="33" t="s">
        <v>78</v>
      </c>
      <c r="H630" s="33" t="s">
        <v>79</v>
      </c>
      <c r="I630" s="33" t="s">
        <v>335</v>
      </c>
      <c r="J630" s="33" t="s">
        <v>105</v>
      </c>
      <c r="K630" s="33" t="s">
        <v>55</v>
      </c>
      <c r="L630" s="33" t="s">
        <v>63</v>
      </c>
      <c r="M630" s="33" t="s">
        <v>22</v>
      </c>
      <c r="N630" s="33" t="s">
        <v>1359</v>
      </c>
      <c r="O630" s="43">
        <v>1071.99</v>
      </c>
      <c r="P630" s="44" t="str">
        <f t="shared" si="66"/>
        <v>High</v>
      </c>
      <c r="Q630" s="43">
        <v>2397.3000000000002</v>
      </c>
      <c r="R630" s="43">
        <v>6.2E-2</v>
      </c>
      <c r="S630" s="43">
        <v>18</v>
      </c>
      <c r="T630" s="43">
        <f t="shared" si="63"/>
        <v>0</v>
      </c>
      <c r="U630" s="33">
        <f t="shared" si="64"/>
        <v>19295.82</v>
      </c>
      <c r="V630" s="43">
        <f t="shared" si="67"/>
        <v>-19295.82</v>
      </c>
      <c r="W630" s="45">
        <f t="shared" si="68"/>
        <v>0</v>
      </c>
    </row>
    <row r="631" spans="1:23" x14ac:dyDescent="0.3">
      <c r="A631" s="34" t="s">
        <v>1360</v>
      </c>
      <c r="B631" s="35">
        <v>45249</v>
      </c>
      <c r="C631" s="36">
        <v>45279</v>
      </c>
      <c r="D631" s="37">
        <f t="shared" si="69"/>
        <v>0</v>
      </c>
      <c r="E631" s="37" t="str">
        <f>TEXT(Data!B631,"MMM-YYYY")</f>
        <v>Nov-2023</v>
      </c>
      <c r="F631" s="37" t="str">
        <f t="shared" si="65"/>
        <v>Q4-2023</v>
      </c>
      <c r="G631" s="32" t="s">
        <v>45</v>
      </c>
      <c r="H631" s="32" t="s">
        <v>46</v>
      </c>
      <c r="I631" s="32" t="s">
        <v>231</v>
      </c>
      <c r="J631" s="32" t="s">
        <v>48</v>
      </c>
      <c r="K631" s="32" t="s">
        <v>20</v>
      </c>
      <c r="L631" s="32" t="s">
        <v>1364</v>
      </c>
      <c r="M631" s="32" t="s">
        <v>42</v>
      </c>
      <c r="N631" s="32" t="s">
        <v>1361</v>
      </c>
      <c r="O631" s="37">
        <v>807.11</v>
      </c>
      <c r="P631" s="38" t="str">
        <f t="shared" si="66"/>
        <v>High</v>
      </c>
      <c r="Q631" s="37">
        <v>1853.86</v>
      </c>
      <c r="R631" s="37">
        <v>0.13900000000000001</v>
      </c>
      <c r="S631" s="37">
        <v>8</v>
      </c>
      <c r="T631" s="37">
        <f t="shared" si="63"/>
        <v>0</v>
      </c>
      <c r="U631" s="32">
        <f t="shared" si="64"/>
        <v>6456.88</v>
      </c>
      <c r="V631" s="37">
        <f t="shared" si="67"/>
        <v>-6456.88</v>
      </c>
      <c r="W631" s="39">
        <f t="shared" si="68"/>
        <v>0</v>
      </c>
    </row>
    <row r="632" spans="1:23" x14ac:dyDescent="0.3">
      <c r="A632" s="40" t="s">
        <v>1362</v>
      </c>
      <c r="B632" s="41">
        <v>45716</v>
      </c>
      <c r="C632" s="42">
        <v>45726</v>
      </c>
      <c r="D632" s="43">
        <f t="shared" si="69"/>
        <v>10</v>
      </c>
      <c r="E632" s="43" t="str">
        <f>TEXT(Data!B632,"MMM-YYYY")</f>
        <v>Feb-2025</v>
      </c>
      <c r="F632" s="43" t="str">
        <f t="shared" si="65"/>
        <v>Q1-2025</v>
      </c>
      <c r="G632" s="33" t="s">
        <v>45</v>
      </c>
      <c r="H632" s="33" t="s">
        <v>46</v>
      </c>
      <c r="I632" s="33" t="s">
        <v>47</v>
      </c>
      <c r="J632" s="33" t="s">
        <v>27</v>
      </c>
      <c r="K632" s="33" t="s">
        <v>55</v>
      </c>
      <c r="L632" s="33" t="s">
        <v>126</v>
      </c>
      <c r="M632" s="33" t="s">
        <v>57</v>
      </c>
      <c r="N632" s="33" t="s">
        <v>1363</v>
      </c>
      <c r="O632" s="43">
        <v>51.86</v>
      </c>
      <c r="P632" s="44" t="str">
        <f t="shared" si="66"/>
        <v>Low</v>
      </c>
      <c r="Q632" s="43">
        <v>45.98</v>
      </c>
      <c r="R632" s="43">
        <v>0.17299999999999999</v>
      </c>
      <c r="S632" s="43">
        <v>7</v>
      </c>
      <c r="T632" s="43">
        <f t="shared" si="63"/>
        <v>0</v>
      </c>
      <c r="U632" s="33">
        <f t="shared" si="64"/>
        <v>363.02</v>
      </c>
      <c r="V632" s="43">
        <f t="shared" si="67"/>
        <v>-363.02</v>
      </c>
      <c r="W632" s="45">
        <f t="shared" si="68"/>
        <v>0</v>
      </c>
    </row>
    <row r="633" spans="1:23" x14ac:dyDescent="0.3">
      <c r="A633" t="s">
        <v>1362</v>
      </c>
      <c r="B633" s="6">
        <v>45716</v>
      </c>
      <c r="C633" s="2">
        <v>45726</v>
      </c>
      <c r="D633" s="4">
        <f t="shared" ref="D633" si="70">DATEDIF(B633,C633, "MD")</f>
        <v>10</v>
      </c>
      <c r="E633" s="4" t="str">
        <f>TEXT(Data!B633,"MMM-YYYY")</f>
        <v>Feb-2025</v>
      </c>
      <c r="F633" s="4" t="str">
        <f t="shared" ref="F633" si="71">"Q"&amp;ROUNDUP(MONTH(B633)/3,0)&amp;"-"&amp;YEAR(B633)</f>
        <v>Q1-2025</v>
      </c>
      <c r="G633" t="s">
        <v>45</v>
      </c>
      <c r="H633" t="s">
        <v>46</v>
      </c>
      <c r="I633" t="s">
        <v>47</v>
      </c>
      <c r="J633" t="s">
        <v>27</v>
      </c>
      <c r="K633" t="s">
        <v>55</v>
      </c>
      <c r="L633" t="s">
        <v>126</v>
      </c>
      <c r="M633" t="s">
        <v>57</v>
      </c>
      <c r="N633" t="s">
        <v>1363</v>
      </c>
      <c r="O633" s="4">
        <v>51.86</v>
      </c>
      <c r="P633" s="7" t="str">
        <f t="shared" ref="P633" si="72">IF(Q633&lt;50, "Low", IF(Q633&lt;200, "Medium", "High"))</f>
        <v>Low</v>
      </c>
      <c r="Q633" s="4">
        <v>45.98</v>
      </c>
      <c r="R633" s="4">
        <v>0.17299999999999999</v>
      </c>
      <c r="S633" s="4">
        <v>7</v>
      </c>
      <c r="T633" s="4">
        <f t="shared" ref="T633" si="73">(Q659*S633)*(1-R633)</f>
        <v>0</v>
      </c>
      <c r="U633">
        <f t="shared" ref="U633" si="74">(O633*S633)</f>
        <v>363.02</v>
      </c>
      <c r="V633" s="4">
        <f t="shared" ref="V633" si="75">(T633-U633)</f>
        <v>-363.02</v>
      </c>
      <c r="W633" s="4">
        <f t="shared" ref="W633" si="76">IF(T633=0, 0, V633/T633)</f>
        <v>0</v>
      </c>
    </row>
  </sheetData>
  <conditionalFormatting sqref="Q1:Q1048576">
    <cfRule type="cellIs" dxfId="20" priority="1" operator="lessThan">
      <formula>0</formula>
    </cfRule>
  </conditionalFormatting>
  <dataValidations count="1">
    <dataValidation type="date" operator="greaterThanOrEqual" allowBlank="1" showInputMessage="1" showErrorMessage="1" error="Invalid Date ;Required date cannot be before the order date" sqref="C1:C633" xr:uid="{C1048F1F-83DB-4FF0-B06B-9AF4483410E8}">
      <formula1>B1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4827-1CF2-42EF-ADBC-F70042D55DD6}">
  <dimension ref="A3:O10"/>
  <sheetViews>
    <sheetView topLeftCell="C10" workbookViewId="0">
      <selection activeCell="G8" sqref="G8"/>
    </sheetView>
  </sheetViews>
  <sheetFormatPr defaultRowHeight="14.4" x14ac:dyDescent="0.3"/>
  <cols>
    <col min="1" max="1" width="19.6640625" bestFit="1" customWidth="1"/>
    <col min="2" max="2" width="15.21875" bestFit="1" customWidth="1"/>
    <col min="3" max="7" width="11.77734375" bestFit="1" customWidth="1"/>
    <col min="8" max="8" width="6.77734375" bestFit="1" customWidth="1"/>
    <col min="9" max="9" width="11.77734375" bestFit="1" customWidth="1"/>
    <col min="10" max="10" width="18.5546875" customWidth="1"/>
    <col min="13" max="13" width="15.77734375" customWidth="1"/>
  </cols>
  <sheetData>
    <row r="3" spans="1:15" x14ac:dyDescent="0.3">
      <c r="A3" s="8" t="s">
        <v>1419</v>
      </c>
      <c r="B3" s="8" t="s">
        <v>1411</v>
      </c>
      <c r="L3" s="14" t="s">
        <v>1428</v>
      </c>
      <c r="M3" s="14"/>
    </row>
    <row r="4" spans="1:15" x14ac:dyDescent="0.3">
      <c r="A4" s="8" t="s">
        <v>1376</v>
      </c>
      <c r="B4" t="s">
        <v>98</v>
      </c>
      <c r="C4" t="s">
        <v>55</v>
      </c>
      <c r="D4" t="s">
        <v>40</v>
      </c>
      <c r="E4" t="s">
        <v>1364</v>
      </c>
      <c r="F4" t="s">
        <v>28</v>
      </c>
      <c r="G4" t="s">
        <v>20</v>
      </c>
      <c r="H4" t="s">
        <v>1523</v>
      </c>
      <c r="I4" t="s">
        <v>1377</v>
      </c>
      <c r="J4" s="14" t="s">
        <v>3</v>
      </c>
      <c r="K4" s="14" t="s">
        <v>98</v>
      </c>
      <c r="L4" s="14" t="s">
        <v>55</v>
      </c>
      <c r="M4" s="14" t="s">
        <v>40</v>
      </c>
      <c r="N4" s="14" t="s">
        <v>28</v>
      </c>
      <c r="O4" s="14" t="s">
        <v>20</v>
      </c>
    </row>
    <row r="5" spans="1:15" x14ac:dyDescent="0.3">
      <c r="A5" s="9" t="s">
        <v>16</v>
      </c>
      <c r="B5" s="49">
        <v>221557.91543999998</v>
      </c>
      <c r="C5" s="49">
        <v>609034.81166000001</v>
      </c>
      <c r="D5" s="49">
        <v>547113.83230000001</v>
      </c>
      <c r="E5" s="49">
        <v>32176.557119999994</v>
      </c>
      <c r="F5" s="49">
        <v>488253.39859000011</v>
      </c>
      <c r="G5" s="49">
        <v>469950.91472999996</v>
      </c>
      <c r="H5" s="49"/>
      <c r="I5" s="49">
        <v>2368087.4298400003</v>
      </c>
      <c r="J5" s="9" t="s">
        <v>16</v>
      </c>
      <c r="K5" s="16">
        <f>GETPIVOTDATA("Gross Revenue",$A$3,"Region","Africa","Channel","Direct")/GETPIVOTDATA("Gross Revenue",$A$3,"Region","Africa")</f>
        <v>9.3559854525712985E-2</v>
      </c>
      <c r="L5" s="16">
        <f>GETPIVOTDATA("Gross Revenue",$A$3,"Region","Africa","Channel","Distributor")/GETPIVOTDATA("Gross Revenue",$A$3,"Region","Africa")</f>
        <v>0.25718425932489725</v>
      </c>
      <c r="M5" s="16">
        <f>GETPIVOTDATA("Gross Revenue",$A$3,"Region","Africa","Channel","Marketplace")/GETPIVOTDATA("Gross Revenue",$A$3,"Region","Africa")</f>
        <v>0.23103616251912021</v>
      </c>
      <c r="N5" s="16">
        <f>GETPIVOTDATA("Gross Revenue",$A$3,"Region","Africa","Channel","Online")/GETPIVOTDATA("Gross Revenue",$A$3,"Region","Africa")</f>
        <v>0.20618047815193585</v>
      </c>
      <c r="O5" s="16">
        <f>GETPIVOTDATA("Gross Revenue",$A$3,"Region","Africa","Channel","Retail")/GETPIVOTDATA("Gross Revenue",$A$3,"Region","Africa")</f>
        <v>0.19845167404218356</v>
      </c>
    </row>
    <row r="6" spans="1:15" x14ac:dyDescent="0.3">
      <c r="A6" s="9" t="s">
        <v>52</v>
      </c>
      <c r="B6" s="49">
        <v>810323.27522000019</v>
      </c>
      <c r="C6" s="49">
        <v>535213.82120000001</v>
      </c>
      <c r="D6" s="49">
        <v>378272.95461000007</v>
      </c>
      <c r="E6" s="49">
        <v>0</v>
      </c>
      <c r="F6" s="49">
        <v>684409.16889999993</v>
      </c>
      <c r="G6" s="49">
        <v>251720.18796000001</v>
      </c>
      <c r="H6" s="49"/>
      <c r="I6" s="49">
        <v>2659939.4078900004</v>
      </c>
      <c r="J6" s="9" t="s">
        <v>52</v>
      </c>
      <c r="K6" s="16">
        <f>GETPIVOTDATA("Gross Revenue",$A$3,"Region","Americas","Channel","Direct")/GETPIVOTDATA("Gross Revenue",$A$3,"Region","Americas")</f>
        <v>0.30463974961850349</v>
      </c>
      <c r="L6" s="16">
        <f>GETPIVOTDATA("Gross Revenue",$A$3,"Region","Americas","Channel","Distributor")/GETPIVOTDATA("Gross Revenue",$A$3,"Region","Americas")</f>
        <v>0.20121278688244967</v>
      </c>
      <c r="M6" s="16">
        <f>GETPIVOTDATA("Gross Revenue",$A$3,"Region","Americas","Channel","Marketplace")/GETPIVOTDATA("Gross Revenue",$A$3,"Region","Americas")</f>
        <v>0.14221111709836484</v>
      </c>
      <c r="N6" s="18">
        <f>GETPIVOTDATA("Gross Revenue",$A$3,"Region","Americas","Channel","Online")/GETPIVOTDATA("Gross Revenue",$A$3,"Region","Americas")</f>
        <v>0.25730254112927642</v>
      </c>
      <c r="O6" s="16">
        <f>GETPIVOTDATA("Gross Revenue",$A$3,"Region","Americas","Channel","Retail")/GETPIVOTDATA("Gross Revenue",$A$3,"Region","Americas")</f>
        <v>9.4633805271405524E-2</v>
      </c>
    </row>
    <row r="7" spans="1:15" x14ac:dyDescent="0.3">
      <c r="A7" s="9" t="s">
        <v>45</v>
      </c>
      <c r="B7" s="49">
        <v>502810.96600000007</v>
      </c>
      <c r="C7" s="49">
        <v>733734.99893000012</v>
      </c>
      <c r="D7" s="49">
        <v>533246.94006000005</v>
      </c>
      <c r="E7" s="49">
        <v>30599.393100000001</v>
      </c>
      <c r="F7" s="49">
        <v>461186.45322000008</v>
      </c>
      <c r="G7" s="49">
        <v>591814.68848000001</v>
      </c>
      <c r="H7" s="49"/>
      <c r="I7" s="49">
        <v>2853393.4397900002</v>
      </c>
      <c r="J7" s="9" t="s">
        <v>45</v>
      </c>
      <c r="K7" s="16">
        <f>GETPIVOTDATA("Gross Revenue",$A$3,"Region","Asia","Channel","Direct")/GETPIVOTDATA("Gross Revenue",$A$3,"Region","Asia")</f>
        <v>0.17621508446343284</v>
      </c>
      <c r="L7" s="16">
        <f>GETPIVOTDATA("Gross Revenue",$A$3,"Region","Asia","Channel","Distributor")/GETPIVOTDATA("Gross Revenue",$A$3,"Region","Asia")</f>
        <v>0.25714469960511316</v>
      </c>
      <c r="M7" s="16">
        <f>GETPIVOTDATA("Gross Revenue",$A$3,"Region","Asia","Channel","Marketplace")/GETPIVOTDATA("Gross Revenue",$A$3,"Region","Asia")</f>
        <v>0.18688167310682721</v>
      </c>
      <c r="N7" s="16">
        <f>GETPIVOTDATA("Gross Revenue",$A$3,"Region","Asia","Channel","Online")/GETPIVOTDATA("Gross Revenue",$A$3,"Region","Asia")</f>
        <v>0.16162736157897026</v>
      </c>
      <c r="O7" s="16">
        <f>GETPIVOTDATA("Gross Revenue",$A$3,"Region","Asia","Channel","Retail")/GETPIVOTDATA("Gross Revenue",$A$3,"Region","Asia")</f>
        <v>0.20740732078067561</v>
      </c>
    </row>
    <row r="8" spans="1:15" x14ac:dyDescent="0.3">
      <c r="A8" s="9" t="s">
        <v>78</v>
      </c>
      <c r="B8" s="49">
        <v>864934.80995000002</v>
      </c>
      <c r="C8" s="49">
        <v>280509.11341000005</v>
      </c>
      <c r="D8" s="49">
        <v>529056.67933000007</v>
      </c>
      <c r="E8" s="49">
        <v>20690.58468</v>
      </c>
      <c r="F8" s="49">
        <v>450760.49241999997</v>
      </c>
      <c r="G8" s="49">
        <v>444113.99171999999</v>
      </c>
      <c r="H8" s="49"/>
      <c r="I8" s="49">
        <v>2590065.6715099998</v>
      </c>
      <c r="J8" s="9" t="s">
        <v>78</v>
      </c>
      <c r="K8" s="18">
        <f>GETPIVOTDATA("Gross Revenue",$A$3,"Region","Europe","Channel","Direct")/GETPIVOTDATA("Gross Revenue",$A$3,"Region","Europe")</f>
        <v>0.33394319667799999</v>
      </c>
      <c r="L8" s="16">
        <f>GETPIVOTDATA("Gross Revenue",$A$3,"Region","Europe","Channel","Distributor")/GETPIVOTDATA("Gross Revenue",$A$3,"Region","Europe")</f>
        <v>0.10830193091068002</v>
      </c>
      <c r="M8" s="16">
        <f>GETPIVOTDATA("Gross Revenue",$A$3,"Region","Europe","Channel","Marketplace")/GETPIVOTDATA("Gross Revenue",$A$3,"Region","Europe")</f>
        <v>0.20426380888696222</v>
      </c>
      <c r="N8" s="16">
        <f>GETPIVOTDATA("Gross Revenue",$A$3,"Region","Europe","Channel","Online")/GETPIVOTDATA("Gross Revenue",$A$3,"Region","Europe")</f>
        <v>0.17403438738184893</v>
      </c>
      <c r="O8" s="16">
        <f>GETPIVOTDATA("Gross Revenue",$A$3,"Region","Europe","Channel","Retail")/GETPIVOTDATA("Gross Revenue",$A$3,"Region","Europe")</f>
        <v>0.17146823596217273</v>
      </c>
    </row>
    <row r="9" spans="1:15" x14ac:dyDescent="0.3">
      <c r="A9" s="9" t="s">
        <v>1523</v>
      </c>
      <c r="B9" s="49"/>
      <c r="C9" s="49"/>
      <c r="D9" s="49"/>
      <c r="E9" s="49"/>
      <c r="F9" s="49"/>
      <c r="G9" s="49"/>
      <c r="H9" s="49"/>
      <c r="I9" s="49"/>
    </row>
    <row r="10" spans="1:15" x14ac:dyDescent="0.3">
      <c r="A10" s="9" t="s">
        <v>1377</v>
      </c>
      <c r="B10" s="49">
        <v>2399626.9666100005</v>
      </c>
      <c r="C10" s="49">
        <v>2158492.7452000002</v>
      </c>
      <c r="D10" s="49">
        <v>1987690.4063000004</v>
      </c>
      <c r="E10" s="49">
        <v>83466.534899999999</v>
      </c>
      <c r="F10" s="49">
        <v>2084609.5131300001</v>
      </c>
      <c r="G10" s="49">
        <v>1757599.7828900001</v>
      </c>
      <c r="H10" s="49"/>
      <c r="I10" s="49">
        <v>10471485.949030001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5598-262C-4D32-A37B-EB74B32EBC54}">
  <dimension ref="A3:J26"/>
  <sheetViews>
    <sheetView workbookViewId="0">
      <selection activeCell="G29" sqref="G29"/>
    </sheetView>
  </sheetViews>
  <sheetFormatPr defaultRowHeight="14.4" x14ac:dyDescent="0.3"/>
  <cols>
    <col min="1" max="1" width="20" bestFit="1" customWidth="1"/>
    <col min="2" max="2" width="15.5546875" bestFit="1" customWidth="1"/>
    <col min="3" max="4" width="12" bestFit="1" customWidth="1"/>
    <col min="5" max="5" width="12.21875" bestFit="1" customWidth="1"/>
    <col min="6" max="9" width="12" bestFit="1" customWidth="1"/>
  </cols>
  <sheetData>
    <row r="3" spans="1:10" x14ac:dyDescent="0.3">
      <c r="A3" s="8" t="s">
        <v>1419</v>
      </c>
      <c r="B3" s="8" t="s">
        <v>1411</v>
      </c>
    </row>
    <row r="4" spans="1:10" x14ac:dyDescent="0.3">
      <c r="A4" s="8" t="s">
        <v>1376</v>
      </c>
      <c r="B4" t="s">
        <v>98</v>
      </c>
      <c r="C4" t="s">
        <v>55</v>
      </c>
      <c r="D4" t="s">
        <v>40</v>
      </c>
      <c r="E4" t="s">
        <v>1364</v>
      </c>
      <c r="F4" t="s">
        <v>28</v>
      </c>
      <c r="G4" t="s">
        <v>20</v>
      </c>
      <c r="H4" t="s">
        <v>1377</v>
      </c>
      <c r="J4" t="s">
        <v>1429</v>
      </c>
    </row>
    <row r="5" spans="1:10" x14ac:dyDescent="0.3">
      <c r="A5" s="9" t="s">
        <v>1381</v>
      </c>
      <c r="B5">
        <v>123918.67067000001</v>
      </c>
      <c r="C5">
        <v>63499.793340000004</v>
      </c>
      <c r="D5">
        <v>109365.66036000001</v>
      </c>
      <c r="F5">
        <v>67314.883890000012</v>
      </c>
      <c r="G5">
        <v>83956.571799999991</v>
      </c>
      <c r="H5">
        <v>448055.58006000007</v>
      </c>
      <c r="J5" t="s">
        <v>1430</v>
      </c>
    </row>
    <row r="6" spans="1:10" x14ac:dyDescent="0.3">
      <c r="A6" s="10" t="s">
        <v>16</v>
      </c>
      <c r="B6">
        <v>14666.089860000002</v>
      </c>
      <c r="D6">
        <v>59443.156200000005</v>
      </c>
      <c r="H6">
        <v>74109.246060000005</v>
      </c>
    </row>
    <row r="7" spans="1:10" x14ac:dyDescent="0.3">
      <c r="A7" s="10" t="s">
        <v>52</v>
      </c>
      <c r="C7">
        <v>15805.03098</v>
      </c>
      <c r="D7">
        <v>36385.454160000001</v>
      </c>
      <c r="F7">
        <v>31908.427200000002</v>
      </c>
      <c r="H7">
        <v>84098.91234000001</v>
      </c>
    </row>
    <row r="8" spans="1:10" x14ac:dyDescent="0.3">
      <c r="A8" s="10" t="s">
        <v>45</v>
      </c>
      <c r="B8">
        <v>989.39469999999983</v>
      </c>
      <c r="G8">
        <v>58986.696099999994</v>
      </c>
      <c r="H8">
        <v>59976.090799999991</v>
      </c>
    </row>
    <row r="9" spans="1:10" x14ac:dyDescent="0.3">
      <c r="A9" s="10" t="s">
        <v>78</v>
      </c>
      <c r="B9">
        <v>108263.18611000001</v>
      </c>
      <c r="C9">
        <v>47694.762360000001</v>
      </c>
      <c r="D9">
        <v>13537.050000000001</v>
      </c>
      <c r="F9">
        <v>35406.456690000006</v>
      </c>
      <c r="G9">
        <v>24969.875699999997</v>
      </c>
      <c r="H9">
        <v>229871.33086000002</v>
      </c>
    </row>
    <row r="10" spans="1:10" x14ac:dyDescent="0.3">
      <c r="A10" s="9" t="s">
        <v>1393</v>
      </c>
      <c r="B10">
        <v>50434.433300000004</v>
      </c>
      <c r="C10">
        <v>51208.950449999997</v>
      </c>
      <c r="D10">
        <v>39508.723799999992</v>
      </c>
      <c r="E10">
        <v>14370.599999999999</v>
      </c>
      <c r="F10">
        <v>27630.068209999998</v>
      </c>
      <c r="G10">
        <v>36.970199999999998</v>
      </c>
      <c r="H10">
        <v>183189.74595999997</v>
      </c>
    </row>
    <row r="11" spans="1:10" x14ac:dyDescent="0.3">
      <c r="A11" s="10" t="s">
        <v>16</v>
      </c>
      <c r="B11">
        <v>4692.9673199999997</v>
      </c>
      <c r="C11">
        <v>10684.750349999998</v>
      </c>
      <c r="F11">
        <v>25267.517249999997</v>
      </c>
      <c r="H11">
        <v>40645.234919999995</v>
      </c>
    </row>
    <row r="12" spans="1:10" x14ac:dyDescent="0.3">
      <c r="A12" s="10" t="s">
        <v>52</v>
      </c>
      <c r="B12">
        <v>13797.385980000001</v>
      </c>
      <c r="C12">
        <v>28646.702999999998</v>
      </c>
      <c r="H12">
        <v>42444.08898</v>
      </c>
    </row>
    <row r="13" spans="1:10" x14ac:dyDescent="0.3">
      <c r="A13" s="10" t="s">
        <v>45</v>
      </c>
      <c r="G13">
        <v>36.970199999999998</v>
      </c>
      <c r="H13">
        <v>36.970199999999998</v>
      </c>
    </row>
    <row r="14" spans="1:10" x14ac:dyDescent="0.3">
      <c r="A14" s="10" t="s">
        <v>78</v>
      </c>
      <c r="B14">
        <v>31944.079999999998</v>
      </c>
      <c r="C14">
        <v>11877.497099999999</v>
      </c>
      <c r="D14">
        <v>39508.723799999992</v>
      </c>
      <c r="E14">
        <v>14370.599999999999</v>
      </c>
      <c r="F14">
        <v>2362.5509599999996</v>
      </c>
      <c r="H14">
        <v>100063.45185999997</v>
      </c>
    </row>
    <row r="15" spans="1:10" x14ac:dyDescent="0.3">
      <c r="A15" s="9" t="s">
        <v>1405</v>
      </c>
      <c r="B15">
        <v>31870.237459999997</v>
      </c>
      <c r="C15">
        <v>89137.403859999991</v>
      </c>
      <c r="D15">
        <v>154148.00663000002</v>
      </c>
      <c r="E15">
        <v>31644.291119999994</v>
      </c>
      <c r="F15">
        <v>93233.179479999992</v>
      </c>
      <c r="G15">
        <v>11781.338519999999</v>
      </c>
      <c r="H15">
        <v>411814.45707</v>
      </c>
    </row>
    <row r="16" spans="1:10" x14ac:dyDescent="0.3">
      <c r="A16" s="10" t="s">
        <v>16</v>
      </c>
      <c r="D16">
        <v>51310.244619999998</v>
      </c>
      <c r="E16">
        <v>31644.291119999994</v>
      </c>
      <c r="H16">
        <v>82954.535739999992</v>
      </c>
    </row>
    <row r="17" spans="1:8" x14ac:dyDescent="0.3">
      <c r="A17" s="10" t="s">
        <v>52</v>
      </c>
      <c r="B17">
        <v>4565.2551400000002</v>
      </c>
      <c r="C17">
        <v>62939.472569999998</v>
      </c>
      <c r="D17">
        <v>19527.59952</v>
      </c>
      <c r="F17">
        <v>53384.356480000002</v>
      </c>
      <c r="H17">
        <v>140416.68371000001</v>
      </c>
    </row>
    <row r="18" spans="1:8" x14ac:dyDescent="0.3">
      <c r="A18" s="10" t="s">
        <v>45</v>
      </c>
      <c r="B18">
        <v>346.46290000000005</v>
      </c>
      <c r="D18">
        <v>7038.4882499999994</v>
      </c>
      <c r="F18">
        <v>39848.822999999997</v>
      </c>
      <c r="H18">
        <v>47233.774149999997</v>
      </c>
    </row>
    <row r="19" spans="1:8" x14ac:dyDescent="0.3">
      <c r="A19" s="10" t="s">
        <v>78</v>
      </c>
      <c r="B19">
        <v>26958.519419999997</v>
      </c>
      <c r="C19">
        <v>26197.93129</v>
      </c>
      <c r="D19">
        <v>76271.674240000008</v>
      </c>
      <c r="G19">
        <v>11781.338519999999</v>
      </c>
      <c r="H19">
        <v>141209.46346999999</v>
      </c>
    </row>
    <row r="20" spans="1:8" x14ac:dyDescent="0.3">
      <c r="A20" s="9" t="s">
        <v>1377</v>
      </c>
      <c r="B20">
        <v>206223.34143</v>
      </c>
      <c r="C20">
        <v>203846.14765</v>
      </c>
      <c r="D20">
        <v>303022.39079000003</v>
      </c>
      <c r="E20">
        <v>46014.891119999993</v>
      </c>
      <c r="F20">
        <v>188178.13158000002</v>
      </c>
      <c r="G20">
        <v>95774.880519999992</v>
      </c>
      <c r="H20">
        <v>1043059.7830899999</v>
      </c>
    </row>
    <row r="22" spans="1:8" x14ac:dyDescent="0.3">
      <c r="B22" t="s">
        <v>3</v>
      </c>
      <c r="C22" t="s">
        <v>98</v>
      </c>
      <c r="D22" t="s">
        <v>55</v>
      </c>
      <c r="E22" t="s">
        <v>1431</v>
      </c>
      <c r="F22" t="s">
        <v>28</v>
      </c>
      <c r="G22" t="s">
        <v>20</v>
      </c>
    </row>
    <row r="23" spans="1:8" x14ac:dyDescent="0.3">
      <c r="B23" t="s">
        <v>16</v>
      </c>
    </row>
    <row r="24" spans="1:8" x14ac:dyDescent="0.3">
      <c r="B24" t="s">
        <v>52</v>
      </c>
    </row>
    <row r="25" spans="1:8" x14ac:dyDescent="0.3">
      <c r="B25" t="s">
        <v>45</v>
      </c>
    </row>
    <row r="26" spans="1:8" x14ac:dyDescent="0.3">
      <c r="B26" t="s">
        <v>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91C4-A1AD-44F2-859E-0288D66B2227}">
  <dimension ref="A1:W633"/>
  <sheetViews>
    <sheetView topLeftCell="G49" workbookViewId="0">
      <selection activeCell="T1" sqref="T1"/>
    </sheetView>
  </sheetViews>
  <sheetFormatPr defaultRowHeight="14.4" x14ac:dyDescent="0.3"/>
  <cols>
    <col min="1" max="1" width="16.21875" bestFit="1" customWidth="1"/>
    <col min="2" max="2" width="11.5546875" style="6" customWidth="1"/>
    <col min="3" max="3" width="14.21875" customWidth="1"/>
    <col min="4" max="4" width="15" style="4" customWidth="1"/>
    <col min="5" max="6" width="14.44140625" style="4" customWidth="1"/>
    <col min="7" max="7" width="8.77734375" customWidth="1"/>
    <col min="8" max="8" width="14" bestFit="1" customWidth="1"/>
    <col min="9" max="9" width="12.44140625" bestFit="1" customWidth="1"/>
    <col min="10" max="10" width="18.44140625" customWidth="1"/>
    <col min="11" max="11" width="11.21875" bestFit="1" customWidth="1"/>
    <col min="12" max="12" width="12.77734375" customWidth="1"/>
    <col min="13" max="13" width="17.21875" customWidth="1"/>
    <col min="14" max="14" width="10" bestFit="1" customWidth="1"/>
    <col min="15" max="15" width="10.21875" style="4" customWidth="1"/>
    <col min="16" max="16" width="11.77734375" style="4" customWidth="1"/>
    <col min="17" max="17" width="10.5546875" style="4" customWidth="1"/>
    <col min="18" max="18" width="12.77734375" style="4" customWidth="1"/>
    <col min="19" max="19" width="10.21875" style="4" customWidth="1"/>
    <col min="20" max="20" width="15.21875" customWidth="1"/>
    <col min="21" max="21" width="14.5546875" customWidth="1"/>
    <col min="22" max="22" width="12.5546875" customWidth="1"/>
    <col min="23" max="23" width="18.77734375" customWidth="1"/>
  </cols>
  <sheetData>
    <row r="1" spans="1:23" x14ac:dyDescent="0.3">
      <c r="A1" s="29" t="s">
        <v>0</v>
      </c>
      <c r="B1" s="30" t="s">
        <v>1</v>
      </c>
      <c r="C1" s="29" t="s">
        <v>2</v>
      </c>
      <c r="D1" s="31" t="s">
        <v>1365</v>
      </c>
      <c r="E1" s="31" t="s">
        <v>1371</v>
      </c>
      <c r="F1" s="31" t="s">
        <v>1370</v>
      </c>
      <c r="G1" s="29" t="s">
        <v>3</v>
      </c>
      <c r="H1" s="29" t="s">
        <v>4</v>
      </c>
      <c r="I1" s="29" t="s">
        <v>5</v>
      </c>
      <c r="J1" s="29" t="s">
        <v>6</v>
      </c>
      <c r="K1" s="29" t="s">
        <v>7</v>
      </c>
      <c r="L1" s="29" t="s">
        <v>8</v>
      </c>
      <c r="M1" s="29" t="s">
        <v>9</v>
      </c>
      <c r="N1" s="29" t="s">
        <v>10</v>
      </c>
      <c r="O1" s="31" t="s">
        <v>11</v>
      </c>
      <c r="P1" s="31" t="s">
        <v>1375</v>
      </c>
      <c r="Q1" s="31" t="s">
        <v>12</v>
      </c>
      <c r="R1" s="31" t="s">
        <v>13</v>
      </c>
      <c r="S1" s="31" t="s">
        <v>14</v>
      </c>
      <c r="T1" s="31" t="s">
        <v>1366</v>
      </c>
      <c r="U1" s="31" t="s">
        <v>1367</v>
      </c>
      <c r="V1" s="31" t="s">
        <v>1368</v>
      </c>
      <c r="W1" s="31" t="s">
        <v>1369</v>
      </c>
    </row>
    <row r="2" spans="1:23" x14ac:dyDescent="0.3">
      <c r="A2" t="s">
        <v>15</v>
      </c>
      <c r="B2" s="6">
        <v>45362</v>
      </c>
      <c r="C2" s="2">
        <v>45388</v>
      </c>
      <c r="D2" s="4">
        <f>DATEDIF(B2,C2, "MD")</f>
        <v>26</v>
      </c>
      <c r="E2" s="4" t="str">
        <f>TEXT(Data!B2,"MMM-YYYY")</f>
        <v>Oct-2024</v>
      </c>
      <c r="F2" s="4" t="str">
        <f>"Q"&amp;ROUNDUP(MONTH(B2)/3,0)&amp;"-"&amp;YEAR(B2)</f>
        <v>Q1-2024</v>
      </c>
      <c r="G2" t="s">
        <v>16</v>
      </c>
      <c r="H2" t="s">
        <v>17</v>
      </c>
      <c r="I2" t="s">
        <v>18</v>
      </c>
      <c r="J2" t="s">
        <v>19</v>
      </c>
      <c r="K2" t="s">
        <v>20</v>
      </c>
      <c r="L2" t="s">
        <v>21</v>
      </c>
      <c r="M2" t="s">
        <v>22</v>
      </c>
      <c r="N2" t="s">
        <v>23</v>
      </c>
      <c r="O2" s="4">
        <v>279.24</v>
      </c>
      <c r="P2" s="7" t="str">
        <f>IF(Q2&lt;50, "Low", IF(Q2&lt;200, "Medium", "High"))</f>
        <v>High</v>
      </c>
      <c r="Q2" s="4">
        <v>608.9</v>
      </c>
      <c r="R2" s="4">
        <v>0.112</v>
      </c>
      <c r="S2" s="4">
        <v>9</v>
      </c>
      <c r="T2" s="4">
        <f>(Q28*S2)*(1-R2)</f>
        <v>1403.9546399999999</v>
      </c>
      <c r="U2">
        <f t="shared" ref="U2:U65" si="0">(O2*S2)</f>
        <v>2513.16</v>
      </c>
      <c r="V2" s="4">
        <f>(T2-U2)</f>
        <v>-1109.2053599999999</v>
      </c>
      <c r="W2" s="4">
        <f>IF(T2=0, 0, V2/T2)</f>
        <v>-0.79005783263766982</v>
      </c>
    </row>
    <row r="3" spans="1:23" x14ac:dyDescent="0.3">
      <c r="A3" t="s">
        <v>24</v>
      </c>
      <c r="B3" s="6">
        <v>45588</v>
      </c>
      <c r="C3" s="2">
        <v>45587</v>
      </c>
      <c r="D3" s="4">
        <f>DATEDIF(C3, B3, "MD")</f>
        <v>1</v>
      </c>
      <c r="E3" s="4" t="str">
        <f>TEXT(Data!B3,"MMM-YYYY")</f>
        <v>Feb-2023</v>
      </c>
      <c r="F3" s="4" t="str">
        <f t="shared" ref="F3:F66" si="1">"Q"&amp;ROUNDUP(MONTH(B3)/3,0)&amp;"-"&amp;YEAR(B3)</f>
        <v>Q4-2024</v>
      </c>
      <c r="G3" t="s">
        <v>16</v>
      </c>
      <c r="H3" t="s">
        <v>25</v>
      </c>
      <c r="I3" t="s">
        <v>26</v>
      </c>
      <c r="J3" t="s">
        <v>27</v>
      </c>
      <c r="K3" t="s">
        <v>28</v>
      </c>
      <c r="L3" t="s">
        <v>29</v>
      </c>
      <c r="M3" t="s">
        <v>30</v>
      </c>
      <c r="N3" t="s">
        <v>31</v>
      </c>
      <c r="O3" s="4">
        <v>1084.3900000000001</v>
      </c>
      <c r="P3" s="7" t="str">
        <f t="shared" ref="P3:P66" si="2">IF(Q3&lt;50, "Low", IF(Q3&lt;200, "Medium", "High"))</f>
        <v>High</v>
      </c>
      <c r="Q3" s="4">
        <v>759.33</v>
      </c>
      <c r="R3" s="4">
        <v>0.23699999999999999</v>
      </c>
      <c r="S3" s="4">
        <v>31</v>
      </c>
      <c r="T3" s="4">
        <f t="shared" ref="T3:T65" si="3">(Q29*S3)*(1-R3)</f>
        <v>17934.41419</v>
      </c>
      <c r="U3">
        <f t="shared" si="0"/>
        <v>33616.090000000004</v>
      </c>
      <c r="V3" s="4">
        <f t="shared" ref="V3:V66" si="4">(T3-U3)</f>
        <v>-15681.675810000004</v>
      </c>
      <c r="W3" s="4">
        <f t="shared" ref="W3:W66" si="5">IF(T3=0, 0, V3/T3)</f>
        <v>-0.87439018882166253</v>
      </c>
    </row>
    <row r="4" spans="1:23" x14ac:dyDescent="0.3">
      <c r="A4" t="s">
        <v>32</v>
      </c>
      <c r="B4" s="6">
        <v>44985</v>
      </c>
      <c r="C4" s="2">
        <v>45010</v>
      </c>
      <c r="D4" s="4">
        <f t="shared" ref="D4:D67" si="6">DATEDIF(B4,C4, "MD")</f>
        <v>25</v>
      </c>
      <c r="E4" s="4" t="str">
        <f>TEXT(Data!B4,"MMM-YYYY")</f>
        <v>Mar-2025</v>
      </c>
      <c r="F4" s="4" t="str">
        <f t="shared" si="1"/>
        <v>Q1-2023</v>
      </c>
      <c r="G4" t="s">
        <v>16</v>
      </c>
      <c r="H4" t="s">
        <v>17</v>
      </c>
      <c r="I4" t="s">
        <v>33</v>
      </c>
      <c r="J4" t="s">
        <v>19</v>
      </c>
      <c r="K4" t="s">
        <v>20</v>
      </c>
      <c r="L4" t="s">
        <v>34</v>
      </c>
      <c r="M4" t="s">
        <v>35</v>
      </c>
      <c r="N4" t="s">
        <v>36</v>
      </c>
      <c r="O4" s="4">
        <v>1460.76</v>
      </c>
      <c r="P4" s="7" t="str">
        <f t="shared" si="2"/>
        <v>Low</v>
      </c>
      <c r="Q4" s="4">
        <v>-30.66</v>
      </c>
      <c r="R4" s="4">
        <v>0.13100000000000001</v>
      </c>
      <c r="S4" s="4">
        <v>12</v>
      </c>
      <c r="T4" s="4">
        <f t="shared" si="3"/>
        <v>4534.0944</v>
      </c>
      <c r="U4">
        <f t="shared" si="0"/>
        <v>17529.12</v>
      </c>
      <c r="V4" s="4">
        <f t="shared" si="4"/>
        <v>-12995.025599999999</v>
      </c>
      <c r="W4" s="4">
        <f t="shared" si="5"/>
        <v>-2.8660686023652264</v>
      </c>
    </row>
    <row r="5" spans="1:23" x14ac:dyDescent="0.3">
      <c r="A5" t="s">
        <v>37</v>
      </c>
      <c r="B5" s="6">
        <v>45745</v>
      </c>
      <c r="C5" s="2">
        <v>45749</v>
      </c>
      <c r="D5" s="4">
        <f t="shared" si="6"/>
        <v>4</v>
      </c>
      <c r="E5" s="4" t="str">
        <f>TEXT(Data!B5,"MMM-YYYY")</f>
        <v>Dec-2023</v>
      </c>
      <c r="F5" s="4" t="str">
        <f t="shared" si="1"/>
        <v>Q1-2025</v>
      </c>
      <c r="G5" t="s">
        <v>16</v>
      </c>
      <c r="H5" t="s">
        <v>25</v>
      </c>
      <c r="I5" t="s">
        <v>38</v>
      </c>
      <c r="J5" t="s">
        <v>39</v>
      </c>
      <c r="K5" t="s">
        <v>40</v>
      </c>
      <c r="L5" t="s">
        <v>41</v>
      </c>
      <c r="M5" t="s">
        <v>42</v>
      </c>
      <c r="N5" t="s">
        <v>43</v>
      </c>
      <c r="O5" s="4">
        <v>259.93</v>
      </c>
      <c r="P5" s="7" t="str">
        <f t="shared" si="2"/>
        <v>High</v>
      </c>
      <c r="Q5" s="4">
        <v>255.94</v>
      </c>
      <c r="R5" s="4">
        <v>7.1999999999999995E-2</v>
      </c>
      <c r="S5" s="4">
        <v>22</v>
      </c>
      <c r="T5" s="4">
        <f t="shared" si="3"/>
        <v>34016.730880000003</v>
      </c>
      <c r="U5">
        <f t="shared" si="0"/>
        <v>5718.46</v>
      </c>
      <c r="V5" s="4">
        <f t="shared" si="4"/>
        <v>28298.270880000004</v>
      </c>
      <c r="W5" s="4">
        <f t="shared" si="5"/>
        <v>0.83189272301994943</v>
      </c>
    </row>
    <row r="6" spans="1:23" x14ac:dyDescent="0.3">
      <c r="A6" t="s">
        <v>44</v>
      </c>
      <c r="B6" s="6">
        <v>45266</v>
      </c>
      <c r="C6" s="2">
        <v>45291</v>
      </c>
      <c r="D6" s="4">
        <f t="shared" si="6"/>
        <v>25</v>
      </c>
      <c r="E6" s="4" t="str">
        <f>TEXT(Data!B6,"MMM-YYYY")</f>
        <v>Jan-2023</v>
      </c>
      <c r="F6" s="4" t="str">
        <f t="shared" si="1"/>
        <v>Q4-2023</v>
      </c>
      <c r="G6" t="s">
        <v>45</v>
      </c>
      <c r="H6" t="s">
        <v>46</v>
      </c>
      <c r="I6" t="s">
        <v>47</v>
      </c>
      <c r="J6" t="s">
        <v>48</v>
      </c>
      <c r="K6" t="s">
        <v>20</v>
      </c>
      <c r="L6" t="s">
        <v>49</v>
      </c>
      <c r="M6" t="s">
        <v>30</v>
      </c>
      <c r="N6" t="s">
        <v>50</v>
      </c>
      <c r="O6" s="4">
        <v>663.03</v>
      </c>
      <c r="P6" s="7" t="str">
        <f t="shared" si="2"/>
        <v>High</v>
      </c>
      <c r="Q6" s="4">
        <v>813.51</v>
      </c>
      <c r="R6" s="4">
        <v>0.10199999999999999</v>
      </c>
      <c r="S6" s="4">
        <v>15</v>
      </c>
      <c r="T6" s="4">
        <f t="shared" si="3"/>
        <v>8510.0765999999985</v>
      </c>
      <c r="U6">
        <f t="shared" si="0"/>
        <v>9945.4499999999989</v>
      </c>
      <c r="V6" s="4">
        <f t="shared" si="4"/>
        <v>-1435.3734000000004</v>
      </c>
      <c r="W6" s="4">
        <f t="shared" si="5"/>
        <v>-0.16866750647109341</v>
      </c>
    </row>
    <row r="7" spans="1:23" x14ac:dyDescent="0.3">
      <c r="A7" t="s">
        <v>51</v>
      </c>
      <c r="B7" s="6">
        <v>44928</v>
      </c>
      <c r="C7" s="2">
        <v>44931</v>
      </c>
      <c r="D7" s="4">
        <f t="shared" si="6"/>
        <v>3</v>
      </c>
      <c r="E7" s="4" t="str">
        <f>TEXT(Data!B7,"MMM-YYYY")</f>
        <v>Dec-2024</v>
      </c>
      <c r="F7" s="4" t="str">
        <f t="shared" si="1"/>
        <v>Q1-2023</v>
      </c>
      <c r="G7" t="s">
        <v>52</v>
      </c>
      <c r="H7" t="s">
        <v>53</v>
      </c>
      <c r="I7" t="s">
        <v>54</v>
      </c>
      <c r="J7" t="s">
        <v>19</v>
      </c>
      <c r="K7" t="s">
        <v>55</v>
      </c>
      <c r="L7" t="s">
        <v>56</v>
      </c>
      <c r="M7" t="s">
        <v>57</v>
      </c>
      <c r="N7" t="s">
        <v>58</v>
      </c>
      <c r="O7" s="4">
        <v>315.87</v>
      </c>
      <c r="P7" s="7" t="str">
        <f t="shared" si="2"/>
        <v>High</v>
      </c>
      <c r="Q7" s="4">
        <v>591.67999999999995</v>
      </c>
      <c r="R7" s="4">
        <v>0</v>
      </c>
      <c r="S7" s="4">
        <v>7</v>
      </c>
      <c r="T7" s="4">
        <f t="shared" si="3"/>
        <v>12558.49</v>
      </c>
      <c r="U7">
        <f t="shared" si="0"/>
        <v>2211.09</v>
      </c>
      <c r="V7" s="4">
        <f t="shared" si="4"/>
        <v>10347.4</v>
      </c>
      <c r="W7" s="4">
        <f t="shared" si="5"/>
        <v>0.82393663569425946</v>
      </c>
    </row>
    <row r="8" spans="1:23" x14ac:dyDescent="0.3">
      <c r="A8" t="s">
        <v>59</v>
      </c>
      <c r="B8" s="6">
        <v>45653</v>
      </c>
      <c r="C8" s="2">
        <v>45671</v>
      </c>
      <c r="D8" s="4">
        <f t="shared" si="6"/>
        <v>18</v>
      </c>
      <c r="E8" s="4" t="str">
        <f>TEXT(Data!B8,"MMM-YYYY")</f>
        <v>Jan-2023</v>
      </c>
      <c r="F8" s="4" t="str">
        <f t="shared" si="1"/>
        <v>Q4-2024</v>
      </c>
      <c r="G8" t="s">
        <v>45</v>
      </c>
      <c r="H8" t="s">
        <v>60</v>
      </c>
      <c r="I8" t="s">
        <v>61</v>
      </c>
      <c r="J8" t="s">
        <v>62</v>
      </c>
      <c r="K8" t="s">
        <v>40</v>
      </c>
      <c r="L8" t="s">
        <v>63</v>
      </c>
      <c r="M8" t="s">
        <v>64</v>
      </c>
      <c r="N8" t="s">
        <v>65</v>
      </c>
      <c r="O8" s="4">
        <v>586.07000000000005</v>
      </c>
      <c r="P8" s="7" t="str">
        <f t="shared" si="2"/>
        <v>High</v>
      </c>
      <c r="Q8" s="4">
        <v>845.97</v>
      </c>
      <c r="R8" s="4">
        <v>0.14699999999999999</v>
      </c>
      <c r="S8" s="4">
        <v>4</v>
      </c>
      <c r="T8" s="4">
        <f t="shared" si="3"/>
        <v>8983.864239999999</v>
      </c>
      <c r="U8">
        <f t="shared" si="0"/>
        <v>2344.2800000000002</v>
      </c>
      <c r="V8" s="4">
        <f t="shared" si="4"/>
        <v>6639.5842399999983</v>
      </c>
      <c r="W8" s="4">
        <f t="shared" si="5"/>
        <v>0.73905660889639613</v>
      </c>
    </row>
    <row r="9" spans="1:23" x14ac:dyDescent="0.3">
      <c r="A9" t="s">
        <v>66</v>
      </c>
      <c r="B9" s="6">
        <v>44941</v>
      </c>
      <c r="C9" s="2">
        <v>44939</v>
      </c>
      <c r="D9" s="4">
        <f>DATEDIF(C9,B9, "MD")</f>
        <v>2</v>
      </c>
      <c r="E9" s="4" t="str">
        <f>TEXT(Data!B9,"MMM-YYYY")</f>
        <v>May-2024</v>
      </c>
      <c r="F9" s="4" t="str">
        <f t="shared" si="1"/>
        <v>Q1-2023</v>
      </c>
      <c r="G9" t="s">
        <v>16</v>
      </c>
      <c r="H9" t="s">
        <v>25</v>
      </c>
      <c r="I9" t="s">
        <v>67</v>
      </c>
      <c r="J9" t="s">
        <v>27</v>
      </c>
      <c r="K9" t="s">
        <v>28</v>
      </c>
      <c r="L9" t="s">
        <v>68</v>
      </c>
      <c r="M9" t="s">
        <v>30</v>
      </c>
      <c r="N9" t="s">
        <v>69</v>
      </c>
      <c r="O9" s="4">
        <v>28.38</v>
      </c>
      <c r="P9" s="7" t="str">
        <f t="shared" si="2"/>
        <v>Low</v>
      </c>
      <c r="Q9" s="4">
        <v>47.22</v>
      </c>
      <c r="R9" s="4">
        <v>0.19400000000000001</v>
      </c>
      <c r="S9" s="4">
        <v>18</v>
      </c>
      <c r="T9" s="4">
        <f t="shared" si="3"/>
        <v>19177.399799999999</v>
      </c>
      <c r="U9">
        <f t="shared" si="0"/>
        <v>510.84</v>
      </c>
      <c r="V9" s="4">
        <f t="shared" si="4"/>
        <v>18666.559799999999</v>
      </c>
      <c r="W9" s="4">
        <f t="shared" si="5"/>
        <v>0.97336239504168864</v>
      </c>
    </row>
    <row r="10" spans="1:23" x14ac:dyDescent="0.3">
      <c r="A10" t="s">
        <v>70</v>
      </c>
      <c r="B10" s="6">
        <v>45416</v>
      </c>
      <c r="C10" s="2">
        <v>45441</v>
      </c>
      <c r="D10" s="4">
        <f t="shared" si="6"/>
        <v>25</v>
      </c>
      <c r="E10" s="4" t="str">
        <f>TEXT(Data!B10,"MMM-YYYY")</f>
        <v>May-2025</v>
      </c>
      <c r="F10" s="4" t="str">
        <f t="shared" si="1"/>
        <v>Q2-2024</v>
      </c>
      <c r="G10" t="s">
        <v>16</v>
      </c>
      <c r="H10" t="s">
        <v>25</v>
      </c>
      <c r="I10" t="s">
        <v>67</v>
      </c>
      <c r="J10" t="s">
        <v>39</v>
      </c>
      <c r="K10" t="s">
        <v>40</v>
      </c>
      <c r="L10" t="s">
        <v>68</v>
      </c>
      <c r="M10" t="s">
        <v>64</v>
      </c>
      <c r="N10" t="s">
        <v>71</v>
      </c>
      <c r="O10" s="4">
        <v>1295.3399999999999</v>
      </c>
      <c r="P10" s="7" t="str">
        <f t="shared" si="2"/>
        <v>High</v>
      </c>
      <c r="Q10" s="4">
        <v>2530.81</v>
      </c>
      <c r="R10" s="4">
        <v>3.1E-2</v>
      </c>
      <c r="S10" s="4">
        <v>6</v>
      </c>
      <c r="T10" s="4">
        <f t="shared" si="3"/>
        <v>17656.36218</v>
      </c>
      <c r="U10">
        <f t="shared" si="0"/>
        <v>7772.0399999999991</v>
      </c>
      <c r="V10" s="4">
        <f t="shared" si="4"/>
        <v>9884.322180000001</v>
      </c>
      <c r="W10" s="4">
        <f t="shared" si="5"/>
        <v>0.55981646044825306</v>
      </c>
    </row>
    <row r="11" spans="1:23" x14ac:dyDescent="0.3">
      <c r="A11" t="s">
        <v>72</v>
      </c>
      <c r="B11" s="6">
        <v>45798</v>
      </c>
      <c r="C11" s="2">
        <v>45817</v>
      </c>
      <c r="D11" s="4">
        <f t="shared" si="6"/>
        <v>19</v>
      </c>
      <c r="E11" s="4" t="str">
        <f>TEXT(Data!B11,"MMM-YYYY")</f>
        <v>Jan-2024</v>
      </c>
      <c r="F11" s="4" t="str">
        <f t="shared" si="1"/>
        <v>Q2-2025</v>
      </c>
      <c r="G11" t="s">
        <v>52</v>
      </c>
      <c r="H11" t="s">
        <v>73</v>
      </c>
      <c r="I11" t="s">
        <v>74</v>
      </c>
      <c r="J11" t="s">
        <v>39</v>
      </c>
      <c r="K11" t="s">
        <v>28</v>
      </c>
      <c r="L11" t="s">
        <v>75</v>
      </c>
      <c r="M11" t="s">
        <v>22</v>
      </c>
      <c r="N11" t="s">
        <v>76</v>
      </c>
      <c r="O11" s="4">
        <v>1331.38</v>
      </c>
      <c r="P11" s="7" t="str">
        <f t="shared" si="2"/>
        <v>High</v>
      </c>
      <c r="Q11" s="4">
        <v>2309.56</v>
      </c>
      <c r="R11" s="4">
        <v>0.14899999999999999</v>
      </c>
      <c r="S11" s="4">
        <v>31</v>
      </c>
      <c r="T11" s="4">
        <f t="shared" si="3"/>
        <v>5259.5799699999998</v>
      </c>
      <c r="U11">
        <f t="shared" si="0"/>
        <v>41272.780000000006</v>
      </c>
      <c r="V11" s="4">
        <f t="shared" si="4"/>
        <v>-36013.200030000007</v>
      </c>
      <c r="W11" s="4">
        <f t="shared" si="5"/>
        <v>-6.8471627459635354</v>
      </c>
    </row>
    <row r="12" spans="1:23" x14ac:dyDescent="0.3">
      <c r="A12" t="s">
        <v>77</v>
      </c>
      <c r="B12" s="6">
        <v>45319</v>
      </c>
      <c r="C12" s="2">
        <v>45331</v>
      </c>
      <c r="D12" s="4">
        <f t="shared" si="6"/>
        <v>12</v>
      </c>
      <c r="E12" s="4" t="str">
        <f>TEXT(Data!B12,"MMM-YYYY")</f>
        <v>Jan-2025</v>
      </c>
      <c r="F12" s="4" t="str">
        <f t="shared" si="1"/>
        <v>Q1-2024</v>
      </c>
      <c r="G12" t="s">
        <v>78</v>
      </c>
      <c r="H12" t="s">
        <v>79</v>
      </c>
      <c r="I12" t="s">
        <v>80</v>
      </c>
      <c r="J12" t="s">
        <v>19</v>
      </c>
      <c r="K12" t="s">
        <v>28</v>
      </c>
      <c r="L12" t="s">
        <v>41</v>
      </c>
      <c r="M12" t="s">
        <v>81</v>
      </c>
      <c r="N12" t="s">
        <v>82</v>
      </c>
      <c r="O12" s="4">
        <v>644.16999999999996</v>
      </c>
      <c r="P12" s="7" t="str">
        <f t="shared" si="2"/>
        <v>High</v>
      </c>
      <c r="Q12" s="4">
        <v>700.12</v>
      </c>
      <c r="R12" s="4">
        <v>6.0000000000000001E-3</v>
      </c>
      <c r="S12" s="4">
        <v>23</v>
      </c>
      <c r="T12" s="4">
        <f t="shared" si="3"/>
        <v>21204.733619999999</v>
      </c>
      <c r="U12">
        <f t="shared" si="0"/>
        <v>14815.91</v>
      </c>
      <c r="V12" s="4">
        <f t="shared" si="4"/>
        <v>6388.8236199999992</v>
      </c>
      <c r="W12" s="4">
        <f t="shared" si="5"/>
        <v>0.30129233097152197</v>
      </c>
    </row>
    <row r="13" spans="1:23" x14ac:dyDescent="0.3">
      <c r="A13" t="s">
        <v>83</v>
      </c>
      <c r="B13" s="6">
        <v>45660</v>
      </c>
      <c r="C13" s="2">
        <v>45680</v>
      </c>
      <c r="D13" s="4">
        <f t="shared" si="6"/>
        <v>20</v>
      </c>
      <c r="E13" s="4" t="str">
        <f>TEXT(Data!B13,"MMM-YYYY")</f>
        <v>Mar-2025</v>
      </c>
      <c r="F13" s="4" t="str">
        <f t="shared" si="1"/>
        <v>Q1-2025</v>
      </c>
      <c r="G13" t="s">
        <v>45</v>
      </c>
      <c r="H13" t="s">
        <v>46</v>
      </c>
      <c r="I13" t="s">
        <v>47</v>
      </c>
      <c r="J13" t="s">
        <v>19</v>
      </c>
      <c r="K13" t="s">
        <v>55</v>
      </c>
      <c r="L13" t="s">
        <v>84</v>
      </c>
      <c r="M13" t="s">
        <v>42</v>
      </c>
      <c r="N13" t="s">
        <v>85</v>
      </c>
      <c r="O13" s="4">
        <v>908.6</v>
      </c>
      <c r="P13" s="7" t="str">
        <f t="shared" si="2"/>
        <v>High</v>
      </c>
      <c r="Q13" s="4">
        <v>691.37</v>
      </c>
      <c r="R13" s="4">
        <v>0.25</v>
      </c>
      <c r="S13" s="4">
        <v>20</v>
      </c>
      <c r="T13" s="4">
        <f t="shared" si="3"/>
        <v>26031.15</v>
      </c>
      <c r="U13">
        <f t="shared" si="0"/>
        <v>18172</v>
      </c>
      <c r="V13" s="4">
        <f t="shared" si="4"/>
        <v>7859.1500000000015</v>
      </c>
      <c r="W13" s="4">
        <f t="shared" si="5"/>
        <v>0.30191328466087747</v>
      </c>
    </row>
    <row r="14" spans="1:23" x14ac:dyDescent="0.3">
      <c r="A14" t="s">
        <v>86</v>
      </c>
      <c r="B14" s="6">
        <v>45722</v>
      </c>
      <c r="C14" s="2">
        <v>45747</v>
      </c>
      <c r="D14" s="4">
        <f t="shared" si="6"/>
        <v>25</v>
      </c>
      <c r="E14" s="4" t="str">
        <f>TEXT(Data!B14,"MMM-YYYY")</f>
        <v>Jan-2024</v>
      </c>
      <c r="F14" s="4" t="str">
        <f t="shared" si="1"/>
        <v>Q1-2025</v>
      </c>
      <c r="G14" t="s">
        <v>52</v>
      </c>
      <c r="H14" t="s">
        <v>73</v>
      </c>
      <c r="I14" t="s">
        <v>87</v>
      </c>
      <c r="J14" t="s">
        <v>39</v>
      </c>
      <c r="K14" t="s">
        <v>28</v>
      </c>
      <c r="L14" t="s">
        <v>29</v>
      </c>
      <c r="M14" t="s">
        <v>22</v>
      </c>
      <c r="N14" t="s">
        <v>88</v>
      </c>
      <c r="O14" s="4">
        <v>331.57</v>
      </c>
      <c r="P14" s="7" t="str">
        <f t="shared" si="2"/>
        <v>High</v>
      </c>
      <c r="Q14" s="4">
        <v>548.4</v>
      </c>
      <c r="R14" s="4">
        <v>9.4E-2</v>
      </c>
      <c r="S14" s="4">
        <v>10</v>
      </c>
      <c r="T14" s="4">
        <f t="shared" si="3"/>
        <v>12644.498400000002</v>
      </c>
      <c r="U14">
        <f t="shared" si="0"/>
        <v>3315.7</v>
      </c>
      <c r="V14" s="4">
        <f t="shared" si="4"/>
        <v>9328.7984000000033</v>
      </c>
      <c r="W14" s="4">
        <f t="shared" si="5"/>
        <v>0.73777528415045723</v>
      </c>
    </row>
    <row r="15" spans="1:23" x14ac:dyDescent="0.3">
      <c r="A15" t="s">
        <v>89</v>
      </c>
      <c r="B15" s="6">
        <v>45311</v>
      </c>
      <c r="C15" s="2">
        <v>45335</v>
      </c>
      <c r="D15" s="4">
        <f t="shared" si="6"/>
        <v>24</v>
      </c>
      <c r="E15" s="4" t="str">
        <f>TEXT(Data!B15,"MMM-YYYY")</f>
        <v>Sep-2025</v>
      </c>
      <c r="F15" s="4" t="str">
        <f t="shared" si="1"/>
        <v>Q1-2024</v>
      </c>
      <c r="G15" t="s">
        <v>78</v>
      </c>
      <c r="H15" t="s">
        <v>90</v>
      </c>
      <c r="I15" t="s">
        <v>91</v>
      </c>
      <c r="J15" t="s">
        <v>19</v>
      </c>
      <c r="K15" t="s">
        <v>20</v>
      </c>
      <c r="L15" t="s">
        <v>92</v>
      </c>
      <c r="M15" t="s">
        <v>30</v>
      </c>
      <c r="N15" t="s">
        <v>93</v>
      </c>
      <c r="O15" s="4">
        <v>643.53</v>
      </c>
      <c r="P15" s="7" t="str">
        <f t="shared" si="2"/>
        <v>High</v>
      </c>
      <c r="Q15" s="4">
        <v>1439.01</v>
      </c>
      <c r="R15" s="4">
        <v>0</v>
      </c>
      <c r="S15" s="4">
        <v>15</v>
      </c>
      <c r="T15" s="4">
        <f t="shared" si="3"/>
        <v>6816.3</v>
      </c>
      <c r="U15">
        <f t="shared" si="0"/>
        <v>9652.9499999999989</v>
      </c>
      <c r="V15" s="4">
        <f t="shared" si="4"/>
        <v>-2836.6499999999987</v>
      </c>
      <c r="W15" s="4">
        <f t="shared" si="5"/>
        <v>-0.4161568592931647</v>
      </c>
    </row>
    <row r="16" spans="1:23" x14ac:dyDescent="0.3">
      <c r="A16" t="s">
        <v>94</v>
      </c>
      <c r="B16" s="6">
        <v>45901</v>
      </c>
      <c r="C16" s="2">
        <v>45930</v>
      </c>
      <c r="D16" s="4">
        <f t="shared" si="6"/>
        <v>29</v>
      </c>
      <c r="E16" s="4" t="str">
        <f>TEXT(Data!B16,"MMM-YYYY")</f>
        <v>Apr-2023</v>
      </c>
      <c r="F16" s="4" t="str">
        <f t="shared" si="1"/>
        <v>Q3-2025</v>
      </c>
      <c r="G16" t="s">
        <v>52</v>
      </c>
      <c r="H16" t="s">
        <v>73</v>
      </c>
      <c r="I16" t="s">
        <v>87</v>
      </c>
      <c r="J16" t="s">
        <v>27</v>
      </c>
      <c r="K16" t="s">
        <v>20</v>
      </c>
      <c r="L16" t="s">
        <v>95</v>
      </c>
      <c r="M16" t="s">
        <v>81</v>
      </c>
      <c r="N16" t="s">
        <v>96</v>
      </c>
      <c r="O16" s="4">
        <v>780.59</v>
      </c>
      <c r="P16" s="7" t="str">
        <f t="shared" si="2"/>
        <v>High</v>
      </c>
      <c r="Q16" s="4">
        <v>631.57000000000005</v>
      </c>
      <c r="R16" s="4">
        <v>0</v>
      </c>
      <c r="S16" s="4">
        <v>12</v>
      </c>
      <c r="T16" s="4">
        <f t="shared" si="3"/>
        <v>18971.64</v>
      </c>
      <c r="U16">
        <f t="shared" si="0"/>
        <v>9367.08</v>
      </c>
      <c r="V16" s="4">
        <f t="shared" si="4"/>
        <v>9604.56</v>
      </c>
      <c r="W16" s="4">
        <f t="shared" si="5"/>
        <v>0.50625881579030596</v>
      </c>
    </row>
    <row r="17" spans="1:23" x14ac:dyDescent="0.3">
      <c r="A17" t="s">
        <v>97</v>
      </c>
      <c r="B17" s="6">
        <v>45039</v>
      </c>
      <c r="C17" s="2">
        <v>45038</v>
      </c>
      <c r="D17" s="4">
        <f>DATEDIF(C17, B17, "MD")</f>
        <v>1</v>
      </c>
      <c r="E17" s="4" t="str">
        <f>TEXT(Data!B17,"MMM-YYYY")</f>
        <v>Dec-2024</v>
      </c>
      <c r="F17" s="4" t="str">
        <f t="shared" si="1"/>
        <v>Q2-2023</v>
      </c>
      <c r="G17" t="s">
        <v>16</v>
      </c>
      <c r="H17" t="s">
        <v>17</v>
      </c>
      <c r="I17" t="s">
        <v>33</v>
      </c>
      <c r="J17" t="s">
        <v>62</v>
      </c>
      <c r="K17" t="s">
        <v>98</v>
      </c>
      <c r="L17" t="s">
        <v>63</v>
      </c>
      <c r="M17" t="s">
        <v>57</v>
      </c>
      <c r="N17" t="s">
        <v>99</v>
      </c>
      <c r="O17" s="4">
        <v>756.51</v>
      </c>
      <c r="P17" s="7" t="str">
        <f t="shared" si="2"/>
        <v>High</v>
      </c>
      <c r="Q17" s="4">
        <v>850.8</v>
      </c>
      <c r="R17" s="4">
        <v>7.3999999999999996E-2</v>
      </c>
      <c r="S17" s="4">
        <v>9</v>
      </c>
      <c r="T17" s="4">
        <f t="shared" si="3"/>
        <v>14666.089860000002</v>
      </c>
      <c r="U17">
        <f t="shared" si="0"/>
        <v>6808.59</v>
      </c>
      <c r="V17" s="4">
        <f t="shared" si="4"/>
        <v>7857.4998600000017</v>
      </c>
      <c r="W17" s="4">
        <f t="shared" si="5"/>
        <v>0.53575969702943038</v>
      </c>
    </row>
    <row r="18" spans="1:23" x14ac:dyDescent="0.3">
      <c r="A18" t="s">
        <v>100</v>
      </c>
      <c r="B18" s="6">
        <v>45636</v>
      </c>
      <c r="C18" s="2">
        <v>45665</v>
      </c>
      <c r="D18" s="4">
        <f t="shared" si="6"/>
        <v>29</v>
      </c>
      <c r="E18" s="4" t="str">
        <f>TEXT(Data!B18,"MMM-YYYY")</f>
        <v>Sep-2025</v>
      </c>
      <c r="F18" s="4" t="str">
        <f t="shared" si="1"/>
        <v>Q4-2024</v>
      </c>
      <c r="G18" t="s">
        <v>78</v>
      </c>
      <c r="H18" t="s">
        <v>90</v>
      </c>
      <c r="I18" t="s">
        <v>91</v>
      </c>
      <c r="J18" t="s">
        <v>62</v>
      </c>
      <c r="K18" t="s">
        <v>20</v>
      </c>
      <c r="L18" t="s">
        <v>95</v>
      </c>
      <c r="M18" t="s">
        <v>30</v>
      </c>
      <c r="N18" t="s">
        <v>101</v>
      </c>
      <c r="O18" s="4">
        <v>891.08</v>
      </c>
      <c r="P18" s="7" t="str">
        <f t="shared" si="2"/>
        <v>High</v>
      </c>
      <c r="Q18" s="4">
        <v>1040.0999999999999</v>
      </c>
      <c r="R18" s="4">
        <v>0.109</v>
      </c>
      <c r="S18" s="4">
        <v>28</v>
      </c>
      <c r="T18" s="4">
        <f t="shared" si="3"/>
        <v>79945.865999999995</v>
      </c>
      <c r="U18">
        <f t="shared" si="0"/>
        <v>24950.240000000002</v>
      </c>
      <c r="V18" s="4">
        <f t="shared" si="4"/>
        <v>54995.625999999989</v>
      </c>
      <c r="W18" s="4">
        <f t="shared" si="5"/>
        <v>0.68791081705212864</v>
      </c>
    </row>
    <row r="19" spans="1:23" x14ac:dyDescent="0.3">
      <c r="A19" t="s">
        <v>102</v>
      </c>
      <c r="B19" s="6">
        <v>45908</v>
      </c>
      <c r="C19" s="2">
        <v>45916</v>
      </c>
      <c r="D19" s="4">
        <f t="shared" si="6"/>
        <v>8</v>
      </c>
      <c r="E19" s="4" t="str">
        <f>TEXT(Data!B19,"MMM-YYYY")</f>
        <v>Jul-2025</v>
      </c>
      <c r="F19" s="4" t="str">
        <f t="shared" si="1"/>
        <v>Q3-2025</v>
      </c>
      <c r="G19" t="s">
        <v>45</v>
      </c>
      <c r="H19" t="s">
        <v>46</v>
      </c>
      <c r="I19" t="s">
        <v>47</v>
      </c>
      <c r="J19" t="s">
        <v>19</v>
      </c>
      <c r="K19" t="s">
        <v>55</v>
      </c>
      <c r="L19" t="s">
        <v>21</v>
      </c>
      <c r="M19" t="s">
        <v>42</v>
      </c>
      <c r="N19" t="s">
        <v>103</v>
      </c>
      <c r="O19" s="4">
        <v>1225.57</v>
      </c>
      <c r="P19" s="7" t="str">
        <f t="shared" si="2"/>
        <v>High</v>
      </c>
      <c r="Q19" s="4">
        <v>2705.57</v>
      </c>
      <c r="R19" s="4">
        <v>0.183</v>
      </c>
      <c r="S19" s="4">
        <v>16</v>
      </c>
      <c r="T19" s="4">
        <f t="shared" si="3"/>
        <v>14842.34096</v>
      </c>
      <c r="U19">
        <f t="shared" si="0"/>
        <v>19609.12</v>
      </c>
      <c r="V19" s="4">
        <f t="shared" si="4"/>
        <v>-4766.7790399999994</v>
      </c>
      <c r="W19" s="4">
        <f t="shared" si="5"/>
        <v>-0.32116086356232038</v>
      </c>
    </row>
    <row r="20" spans="1:23" x14ac:dyDescent="0.3">
      <c r="A20" t="s">
        <v>104</v>
      </c>
      <c r="B20" s="6">
        <v>45858</v>
      </c>
      <c r="C20" s="2">
        <v>45874</v>
      </c>
      <c r="D20" s="4">
        <f t="shared" si="6"/>
        <v>16</v>
      </c>
      <c r="E20" s="4" t="str">
        <f>TEXT(Data!B20,"MMM-YYYY")</f>
        <v>May-2025</v>
      </c>
      <c r="F20" s="4" t="str">
        <f t="shared" si="1"/>
        <v>Q3-2025</v>
      </c>
      <c r="G20" t="s">
        <v>52</v>
      </c>
      <c r="H20" t="s">
        <v>73</v>
      </c>
      <c r="I20" t="s">
        <v>87</v>
      </c>
      <c r="J20" t="s">
        <v>105</v>
      </c>
      <c r="K20" t="s">
        <v>40</v>
      </c>
      <c r="L20" t="s">
        <v>41</v>
      </c>
      <c r="M20" t="s">
        <v>81</v>
      </c>
      <c r="N20" t="s">
        <v>106</v>
      </c>
      <c r="O20" s="4">
        <v>1068.17</v>
      </c>
      <c r="P20" s="7" t="str">
        <f t="shared" si="2"/>
        <v>High</v>
      </c>
      <c r="Q20" s="4">
        <v>2375.37</v>
      </c>
      <c r="R20" s="4">
        <v>0.109</v>
      </c>
      <c r="S20" s="4">
        <v>18</v>
      </c>
      <c r="T20" s="4">
        <f t="shared" si="3"/>
        <v>15979.62168</v>
      </c>
      <c r="U20">
        <f t="shared" si="0"/>
        <v>19227.060000000001</v>
      </c>
      <c r="V20" s="4">
        <f t="shared" si="4"/>
        <v>-3247.4383200000011</v>
      </c>
      <c r="W20" s="4">
        <f t="shared" si="5"/>
        <v>-0.20322372988745258</v>
      </c>
    </row>
    <row r="21" spans="1:23" x14ac:dyDescent="0.3">
      <c r="A21" t="s">
        <v>107</v>
      </c>
      <c r="B21" s="6">
        <v>45798</v>
      </c>
      <c r="C21" s="2">
        <v>45796</v>
      </c>
      <c r="D21" s="4">
        <f>DATEDIF(C21,B21, "MD")</f>
        <v>2</v>
      </c>
      <c r="E21" s="4" t="str">
        <f>TEXT(Data!B21,"MMM-YYYY")</f>
        <v>Jul-2024</v>
      </c>
      <c r="F21" s="4" t="str">
        <f t="shared" si="1"/>
        <v>Q2-2025</v>
      </c>
      <c r="G21" t="s">
        <v>78</v>
      </c>
      <c r="H21" t="s">
        <v>108</v>
      </c>
      <c r="I21" t="s">
        <v>109</v>
      </c>
      <c r="J21" t="s">
        <v>105</v>
      </c>
      <c r="K21" t="s">
        <v>28</v>
      </c>
      <c r="L21" t="s">
        <v>110</v>
      </c>
      <c r="M21" t="s">
        <v>57</v>
      </c>
      <c r="N21" t="s">
        <v>111</v>
      </c>
      <c r="O21" s="4">
        <v>1015.16</v>
      </c>
      <c r="P21" s="7" t="str">
        <f t="shared" si="2"/>
        <v>High</v>
      </c>
      <c r="Q21" s="4">
        <v>2148.14</v>
      </c>
      <c r="R21" s="4">
        <v>3.7999999999999999E-2</v>
      </c>
      <c r="S21" s="4">
        <v>19</v>
      </c>
      <c r="T21" s="4">
        <f t="shared" si="3"/>
        <v>25535.279900000001</v>
      </c>
      <c r="U21">
        <f t="shared" si="0"/>
        <v>19288.04</v>
      </c>
      <c r="V21" s="4">
        <f t="shared" si="4"/>
        <v>6247.2399000000005</v>
      </c>
      <c r="W21" s="4">
        <f t="shared" si="5"/>
        <v>0.24465131866441769</v>
      </c>
    </row>
    <row r="22" spans="1:23" x14ac:dyDescent="0.3">
      <c r="A22" t="s">
        <v>112</v>
      </c>
      <c r="B22" s="6">
        <v>45498</v>
      </c>
      <c r="C22" s="2">
        <v>45497</v>
      </c>
      <c r="D22" s="4">
        <f>DATEDIF(C22,B22, "MD")</f>
        <v>1</v>
      </c>
      <c r="E22" s="4" t="str">
        <f>TEXT(Data!B22,"MMM-YYYY")</f>
        <v>May-2023</v>
      </c>
      <c r="F22" s="4" t="str">
        <f t="shared" si="1"/>
        <v>Q3-2024</v>
      </c>
      <c r="G22" t="s">
        <v>16</v>
      </c>
      <c r="H22" t="s">
        <v>17</v>
      </c>
      <c r="I22" t="s">
        <v>113</v>
      </c>
      <c r="J22" t="s">
        <v>39</v>
      </c>
      <c r="K22" t="s">
        <v>98</v>
      </c>
      <c r="L22" t="s">
        <v>29</v>
      </c>
      <c r="M22" t="s">
        <v>57</v>
      </c>
      <c r="N22" t="s">
        <v>114</v>
      </c>
      <c r="O22" s="4">
        <v>1494.4</v>
      </c>
      <c r="P22" s="7" t="str">
        <f t="shared" si="2"/>
        <v>High</v>
      </c>
      <c r="Q22" s="4">
        <v>3661.07</v>
      </c>
      <c r="R22" s="4">
        <v>7.1999999999999995E-2</v>
      </c>
      <c r="S22" s="4">
        <v>7</v>
      </c>
      <c r="T22" s="4">
        <f t="shared" si="3"/>
        <v>3565.5894400000002</v>
      </c>
      <c r="U22">
        <f t="shared" si="0"/>
        <v>10460.800000000001</v>
      </c>
      <c r="V22" s="4">
        <f t="shared" si="4"/>
        <v>-6895.2105600000014</v>
      </c>
      <c r="W22" s="4">
        <f t="shared" si="5"/>
        <v>-1.9338206700544864</v>
      </c>
    </row>
    <row r="23" spans="1:23" x14ac:dyDescent="0.3">
      <c r="A23" t="s">
        <v>115</v>
      </c>
      <c r="B23" s="6">
        <v>45057</v>
      </c>
      <c r="C23" s="2">
        <v>45074</v>
      </c>
      <c r="D23" s="4">
        <f t="shared" si="6"/>
        <v>17</v>
      </c>
      <c r="E23" s="4" t="str">
        <f>TEXT(Data!B23,"MMM-YYYY")</f>
        <v>Jun-2025</v>
      </c>
      <c r="F23" s="4" t="str">
        <f t="shared" si="1"/>
        <v>Q2-2023</v>
      </c>
      <c r="G23" t="s">
        <v>45</v>
      </c>
      <c r="H23" t="s">
        <v>116</v>
      </c>
      <c r="I23" t="s">
        <v>117</v>
      </c>
      <c r="J23" t="s">
        <v>105</v>
      </c>
      <c r="K23" t="s">
        <v>40</v>
      </c>
      <c r="L23" t="s">
        <v>63</v>
      </c>
      <c r="M23" t="s">
        <v>35</v>
      </c>
      <c r="N23" t="s">
        <v>118</v>
      </c>
      <c r="O23" s="4">
        <v>1331.19</v>
      </c>
      <c r="P23" s="7" t="str">
        <f t="shared" si="2"/>
        <v>High</v>
      </c>
      <c r="Q23" s="4">
        <v>2903.09</v>
      </c>
      <c r="R23" s="4">
        <v>0.14299999999999999</v>
      </c>
      <c r="S23" s="4">
        <v>8</v>
      </c>
      <c r="T23" s="4">
        <f t="shared" si="3"/>
        <v>24160.543999999998</v>
      </c>
      <c r="U23">
        <f t="shared" si="0"/>
        <v>10649.52</v>
      </c>
      <c r="V23" s="4">
        <f t="shared" si="4"/>
        <v>13511.023999999998</v>
      </c>
      <c r="W23" s="4">
        <f t="shared" si="5"/>
        <v>0.55921853415221112</v>
      </c>
    </row>
    <row r="24" spans="1:23" x14ac:dyDescent="0.3">
      <c r="A24" t="s">
        <v>119</v>
      </c>
      <c r="B24" s="6">
        <v>45822</v>
      </c>
      <c r="C24" s="2">
        <v>45837</v>
      </c>
      <c r="D24" s="4">
        <f t="shared" si="6"/>
        <v>15</v>
      </c>
      <c r="E24" s="4" t="str">
        <f>TEXT(Data!B24,"MMM-YYYY")</f>
        <v>May-2024</v>
      </c>
      <c r="F24" s="4" t="str">
        <f t="shared" si="1"/>
        <v>Q2-2025</v>
      </c>
      <c r="G24" t="s">
        <v>16</v>
      </c>
      <c r="H24" t="s">
        <v>25</v>
      </c>
      <c r="I24" t="s">
        <v>26</v>
      </c>
      <c r="J24" t="s">
        <v>48</v>
      </c>
      <c r="K24" t="s">
        <v>40</v>
      </c>
      <c r="L24" t="s">
        <v>110</v>
      </c>
      <c r="M24" t="s">
        <v>81</v>
      </c>
      <c r="N24" t="s">
        <v>120</v>
      </c>
      <c r="O24" s="4">
        <v>730.99</v>
      </c>
      <c r="P24" s="7" t="str">
        <f t="shared" si="2"/>
        <v>High</v>
      </c>
      <c r="Q24" s="4">
        <v>1242.8399999999999</v>
      </c>
      <c r="R24" s="4">
        <v>0.12</v>
      </c>
      <c r="S24" s="4">
        <v>10</v>
      </c>
      <c r="T24" s="4">
        <f t="shared" si="3"/>
        <v>16065.367999999999</v>
      </c>
      <c r="U24">
        <f t="shared" si="0"/>
        <v>7309.9</v>
      </c>
      <c r="V24" s="4">
        <f t="shared" si="4"/>
        <v>8755.4679999999989</v>
      </c>
      <c r="W24" s="4">
        <f t="shared" si="5"/>
        <v>0.54499019256826231</v>
      </c>
    </row>
    <row r="25" spans="1:23" x14ac:dyDescent="0.3">
      <c r="A25" t="s">
        <v>121</v>
      </c>
      <c r="B25" s="6">
        <v>45430</v>
      </c>
      <c r="C25" s="2">
        <v>45435</v>
      </c>
      <c r="D25" s="4">
        <f t="shared" si="6"/>
        <v>5</v>
      </c>
      <c r="E25" s="4" t="str">
        <f>TEXT(Data!B25,"MMM-YYYY")</f>
        <v>Feb-2023</v>
      </c>
      <c r="F25" s="4" t="str">
        <f t="shared" si="1"/>
        <v>Q2-2024</v>
      </c>
      <c r="G25" t="s">
        <v>52</v>
      </c>
      <c r="H25" t="s">
        <v>122</v>
      </c>
      <c r="I25" t="s">
        <v>123</v>
      </c>
      <c r="J25" t="s">
        <v>105</v>
      </c>
      <c r="K25" t="s">
        <v>20</v>
      </c>
      <c r="L25" t="s">
        <v>92</v>
      </c>
      <c r="M25" t="s">
        <v>57</v>
      </c>
      <c r="N25" t="s">
        <v>124</v>
      </c>
      <c r="O25" s="4">
        <v>1274.5899999999999</v>
      </c>
      <c r="P25" s="7" t="str">
        <f t="shared" si="2"/>
        <v>High</v>
      </c>
      <c r="Q25" s="4">
        <v>2553.69</v>
      </c>
      <c r="R25" s="4">
        <v>0.01</v>
      </c>
      <c r="S25" s="4">
        <v>8</v>
      </c>
      <c r="T25" s="4">
        <f t="shared" si="3"/>
        <v>14187.650399999999</v>
      </c>
      <c r="U25">
        <f t="shared" si="0"/>
        <v>10196.719999999999</v>
      </c>
      <c r="V25" s="4">
        <f t="shared" si="4"/>
        <v>3990.9303999999993</v>
      </c>
      <c r="W25" s="4">
        <f t="shared" si="5"/>
        <v>0.28129607704458237</v>
      </c>
    </row>
    <row r="26" spans="1:23" x14ac:dyDescent="0.3">
      <c r="A26" t="s">
        <v>125</v>
      </c>
      <c r="B26" s="6">
        <v>44964</v>
      </c>
      <c r="C26" s="2">
        <v>44969</v>
      </c>
      <c r="D26" s="4">
        <f t="shared" si="6"/>
        <v>5</v>
      </c>
      <c r="E26" s="4" t="str">
        <f>TEXT(Data!B26,"MMM-YYYY")</f>
        <v>Jun-2024</v>
      </c>
      <c r="F26" s="4" t="str">
        <f t="shared" si="1"/>
        <v>Q1-2023</v>
      </c>
      <c r="G26" t="s">
        <v>52</v>
      </c>
      <c r="H26" t="s">
        <v>73</v>
      </c>
      <c r="I26" t="s">
        <v>74</v>
      </c>
      <c r="J26" t="s">
        <v>27</v>
      </c>
      <c r="K26" t="s">
        <v>28</v>
      </c>
      <c r="L26" t="s">
        <v>126</v>
      </c>
      <c r="M26" t="s">
        <v>22</v>
      </c>
      <c r="N26" t="s">
        <v>127</v>
      </c>
      <c r="O26" s="4">
        <v>948.55</v>
      </c>
      <c r="P26" s="7" t="str">
        <f t="shared" si="2"/>
        <v>High</v>
      </c>
      <c r="Q26" s="4">
        <v>2089.16</v>
      </c>
      <c r="R26" s="4">
        <v>7.0000000000000001E-3</v>
      </c>
      <c r="S26" s="4">
        <v>12</v>
      </c>
      <c r="T26" s="4">
        <f t="shared" si="3"/>
        <v>31336.100999999999</v>
      </c>
      <c r="U26">
        <f t="shared" si="0"/>
        <v>11382.599999999999</v>
      </c>
      <c r="V26" s="4">
        <f t="shared" si="4"/>
        <v>19953.501</v>
      </c>
      <c r="W26" s="4">
        <f t="shared" si="5"/>
        <v>0.63675761703729516</v>
      </c>
    </row>
    <row r="27" spans="1:23" x14ac:dyDescent="0.3">
      <c r="A27" t="s">
        <v>128</v>
      </c>
      <c r="B27" s="6">
        <v>45473</v>
      </c>
      <c r="C27" s="2">
        <v>45487</v>
      </c>
      <c r="D27" s="4">
        <f t="shared" si="6"/>
        <v>14</v>
      </c>
      <c r="E27" s="4" t="str">
        <f>TEXT(Data!B27,"MMM-YYYY")</f>
        <v>Nov-2024</v>
      </c>
      <c r="F27" s="4" t="str">
        <f t="shared" si="1"/>
        <v>Q2-2024</v>
      </c>
      <c r="G27" t="s">
        <v>52</v>
      </c>
      <c r="H27" t="s">
        <v>73</v>
      </c>
      <c r="I27" t="s">
        <v>87</v>
      </c>
      <c r="J27" t="s">
        <v>27</v>
      </c>
      <c r="K27" t="s">
        <v>20</v>
      </c>
      <c r="L27" t="s">
        <v>21</v>
      </c>
      <c r="M27" t="s">
        <v>81</v>
      </c>
      <c r="N27" t="s">
        <v>129</v>
      </c>
      <c r="O27" s="4">
        <v>1491.85</v>
      </c>
      <c r="P27" s="7" t="str">
        <f t="shared" si="2"/>
        <v>High</v>
      </c>
      <c r="Q27" s="4">
        <v>2583.02</v>
      </c>
      <c r="R27" s="4">
        <v>0.16800000000000001</v>
      </c>
      <c r="S27" s="4">
        <v>4</v>
      </c>
      <c r="T27" s="4">
        <f t="shared" si="3"/>
        <v>353.76639999999998</v>
      </c>
      <c r="U27">
        <f t="shared" si="0"/>
        <v>5967.4</v>
      </c>
      <c r="V27" s="4">
        <f t="shared" si="4"/>
        <v>-5613.6335999999992</v>
      </c>
      <c r="W27" s="4">
        <f t="shared" si="5"/>
        <v>-15.868193248426079</v>
      </c>
    </row>
    <row r="28" spans="1:23" x14ac:dyDescent="0.3">
      <c r="A28" t="s">
        <v>130</v>
      </c>
      <c r="B28" s="6">
        <v>45626</v>
      </c>
      <c r="C28" s="2">
        <v>45656</v>
      </c>
      <c r="D28" s="4">
        <f t="shared" si="6"/>
        <v>0</v>
      </c>
      <c r="E28" s="4" t="str">
        <f>TEXT(Data!B28,"MMM-YYYY")</f>
        <v>Jul-2024</v>
      </c>
      <c r="F28" s="4" t="str">
        <f t="shared" si="1"/>
        <v>Q4-2024</v>
      </c>
      <c r="G28" t="s">
        <v>78</v>
      </c>
      <c r="H28" t="s">
        <v>90</v>
      </c>
      <c r="I28" t="s">
        <v>91</v>
      </c>
      <c r="J28" t="s">
        <v>48</v>
      </c>
      <c r="K28" t="s">
        <v>40</v>
      </c>
      <c r="L28" t="s">
        <v>84</v>
      </c>
      <c r="M28" t="s">
        <v>30</v>
      </c>
      <c r="N28" t="s">
        <v>131</v>
      </c>
      <c r="O28" s="4">
        <v>117.64</v>
      </c>
      <c r="P28" s="7" t="str">
        <f t="shared" si="2"/>
        <v>Medium</v>
      </c>
      <c r="Q28" s="4">
        <v>175.67</v>
      </c>
      <c r="R28" s="4">
        <v>0</v>
      </c>
      <c r="S28" s="4">
        <v>10</v>
      </c>
      <c r="T28" s="4">
        <f t="shared" si="3"/>
        <v>3857.2000000000003</v>
      </c>
      <c r="U28">
        <f t="shared" si="0"/>
        <v>1176.4000000000001</v>
      </c>
      <c r="V28" s="4">
        <f t="shared" si="4"/>
        <v>2680.8</v>
      </c>
      <c r="W28" s="4">
        <f t="shared" si="5"/>
        <v>0.69501192574924819</v>
      </c>
    </row>
    <row r="29" spans="1:23" x14ac:dyDescent="0.3">
      <c r="A29" t="s">
        <v>132</v>
      </c>
      <c r="B29" s="6">
        <v>45492</v>
      </c>
      <c r="C29" s="2">
        <v>45492</v>
      </c>
      <c r="D29" s="4">
        <f t="shared" si="6"/>
        <v>0</v>
      </c>
      <c r="E29" s="4" t="str">
        <f>TEXT(Data!B29,"MMM-YYYY")</f>
        <v>Apr-2023</v>
      </c>
      <c r="F29" s="4" t="str">
        <f t="shared" si="1"/>
        <v>Q3-2024</v>
      </c>
      <c r="G29" t="s">
        <v>16</v>
      </c>
      <c r="H29" t="s">
        <v>17</v>
      </c>
      <c r="I29" t="s">
        <v>18</v>
      </c>
      <c r="J29" t="s">
        <v>62</v>
      </c>
      <c r="K29" t="s">
        <v>20</v>
      </c>
      <c r="L29" t="s">
        <v>75</v>
      </c>
      <c r="M29" t="s">
        <v>42</v>
      </c>
      <c r="N29" t="s">
        <v>133</v>
      </c>
      <c r="O29" s="4">
        <v>857.24</v>
      </c>
      <c r="P29" s="7" t="str">
        <f t="shared" si="2"/>
        <v>High</v>
      </c>
      <c r="Q29" s="4">
        <v>758.23</v>
      </c>
      <c r="R29" s="4">
        <v>0.125</v>
      </c>
      <c r="S29" s="4">
        <v>6</v>
      </c>
      <c r="T29" s="4">
        <f t="shared" si="3"/>
        <v>1243.5675000000001</v>
      </c>
      <c r="U29">
        <f t="shared" si="0"/>
        <v>5143.4400000000005</v>
      </c>
      <c r="V29" s="4">
        <f t="shared" si="4"/>
        <v>-3899.8725000000004</v>
      </c>
      <c r="W29" s="4">
        <f t="shared" si="5"/>
        <v>-3.1360360414694015</v>
      </c>
    </row>
    <row r="30" spans="1:23" x14ac:dyDescent="0.3">
      <c r="A30" t="s">
        <v>134</v>
      </c>
      <c r="B30" s="6">
        <v>45030</v>
      </c>
      <c r="C30" s="2">
        <v>45060</v>
      </c>
      <c r="D30" s="4">
        <f t="shared" si="6"/>
        <v>0</v>
      </c>
      <c r="E30" s="4" t="str">
        <f>TEXT(Data!B30,"MMM-YYYY")</f>
        <v>Apr-2025</v>
      </c>
      <c r="F30" s="4" t="str">
        <f t="shared" si="1"/>
        <v>Q2-2023</v>
      </c>
      <c r="G30" t="s">
        <v>16</v>
      </c>
      <c r="H30" t="s">
        <v>17</v>
      </c>
      <c r="I30" t="s">
        <v>135</v>
      </c>
      <c r="J30" t="s">
        <v>48</v>
      </c>
      <c r="K30" t="s">
        <v>40</v>
      </c>
      <c r="L30" t="s">
        <v>110</v>
      </c>
      <c r="M30" t="s">
        <v>42</v>
      </c>
      <c r="N30" t="s">
        <v>136</v>
      </c>
      <c r="O30" s="4">
        <v>209.25</v>
      </c>
      <c r="P30" s="7" t="str">
        <f t="shared" si="2"/>
        <v>High</v>
      </c>
      <c r="Q30" s="4">
        <v>434.8</v>
      </c>
      <c r="R30" s="4">
        <v>0</v>
      </c>
      <c r="S30" s="4">
        <v>9</v>
      </c>
      <c r="T30" s="4">
        <f t="shared" si="3"/>
        <v>377.09999999999997</v>
      </c>
      <c r="U30">
        <f t="shared" si="0"/>
        <v>1883.25</v>
      </c>
      <c r="V30" s="4">
        <f t="shared" si="4"/>
        <v>-1506.15</v>
      </c>
      <c r="W30" s="4">
        <f t="shared" si="5"/>
        <v>-3.9940334128878288</v>
      </c>
    </row>
    <row r="31" spans="1:23" x14ac:dyDescent="0.3">
      <c r="A31" t="s">
        <v>137</v>
      </c>
      <c r="B31" s="6">
        <v>45754</v>
      </c>
      <c r="C31" s="2">
        <v>45758</v>
      </c>
      <c r="D31" s="4">
        <f t="shared" si="6"/>
        <v>4</v>
      </c>
      <c r="E31" s="4" t="str">
        <f>TEXT(Data!B31,"MMM-YYYY")</f>
        <v>Dec-2024</v>
      </c>
      <c r="F31" s="4" t="str">
        <f t="shared" si="1"/>
        <v>Q2-2025</v>
      </c>
      <c r="G31" t="s">
        <v>78</v>
      </c>
      <c r="H31" t="s">
        <v>90</v>
      </c>
      <c r="I31" t="s">
        <v>138</v>
      </c>
      <c r="J31" t="s">
        <v>27</v>
      </c>
      <c r="K31" t="s">
        <v>20</v>
      </c>
      <c r="L31" t="s">
        <v>63</v>
      </c>
      <c r="M31" t="s">
        <v>35</v>
      </c>
      <c r="N31" t="s">
        <v>139</v>
      </c>
      <c r="O31" s="4">
        <v>754.77</v>
      </c>
      <c r="P31" s="7" t="str">
        <f t="shared" si="2"/>
        <v>High</v>
      </c>
      <c r="Q31" s="4">
        <v>1666.18</v>
      </c>
      <c r="R31" s="4">
        <v>0.13900000000000001</v>
      </c>
      <c r="S31" s="4">
        <v>14</v>
      </c>
      <c r="T31" s="4">
        <f t="shared" si="3"/>
        <v>11781.338519999999</v>
      </c>
      <c r="U31">
        <f t="shared" si="0"/>
        <v>10566.779999999999</v>
      </c>
      <c r="V31" s="4">
        <f t="shared" si="4"/>
        <v>1214.5585200000005</v>
      </c>
      <c r="W31" s="4">
        <f t="shared" si="5"/>
        <v>0.10309172577786183</v>
      </c>
    </row>
    <row r="32" spans="1:23" x14ac:dyDescent="0.3">
      <c r="A32" t="s">
        <v>140</v>
      </c>
      <c r="B32" s="6">
        <v>45653</v>
      </c>
      <c r="C32" s="2">
        <v>45672</v>
      </c>
      <c r="D32" s="4">
        <f t="shared" si="6"/>
        <v>19</v>
      </c>
      <c r="E32" s="4" t="str">
        <f>TEXT(Data!B32,"MMM-YYYY")</f>
        <v>Feb-2023</v>
      </c>
      <c r="F32" s="4" t="str">
        <f t="shared" si="1"/>
        <v>Q4-2024</v>
      </c>
      <c r="G32" t="s">
        <v>45</v>
      </c>
      <c r="H32" t="s">
        <v>60</v>
      </c>
      <c r="I32" t="s">
        <v>141</v>
      </c>
      <c r="J32" t="s">
        <v>39</v>
      </c>
      <c r="K32" t="s">
        <v>55</v>
      </c>
      <c r="L32" t="s">
        <v>41</v>
      </c>
      <c r="M32" t="s">
        <v>22</v>
      </c>
      <c r="N32" t="s">
        <v>142</v>
      </c>
      <c r="O32" s="4">
        <v>495.59</v>
      </c>
      <c r="P32" s="7" t="str">
        <f t="shared" si="2"/>
        <v>High</v>
      </c>
      <c r="Q32" s="4">
        <v>631.78</v>
      </c>
      <c r="R32" s="4">
        <v>8.6999999999999994E-2</v>
      </c>
      <c r="S32" s="4">
        <v>17</v>
      </c>
      <c r="T32" s="4">
        <f t="shared" si="3"/>
        <v>43367.691729999999</v>
      </c>
      <c r="U32">
        <f t="shared" si="0"/>
        <v>8425.0299999999988</v>
      </c>
      <c r="V32" s="4">
        <f t="shared" si="4"/>
        <v>34942.66173</v>
      </c>
      <c r="W32" s="4">
        <f t="shared" si="5"/>
        <v>0.8057302645376464</v>
      </c>
    </row>
    <row r="33" spans="1:23" x14ac:dyDescent="0.3">
      <c r="A33" t="s">
        <v>143</v>
      </c>
      <c r="B33" s="6">
        <v>44980</v>
      </c>
      <c r="C33" s="2">
        <v>45010</v>
      </c>
      <c r="D33" s="4">
        <f t="shared" si="6"/>
        <v>2</v>
      </c>
      <c r="E33" s="4" t="str">
        <f>TEXT(Data!B33,"MMM-YYYY")</f>
        <v>Jul-2025</v>
      </c>
      <c r="F33" s="4" t="str">
        <f t="shared" si="1"/>
        <v>Q1-2023</v>
      </c>
      <c r="G33" t="s">
        <v>52</v>
      </c>
      <c r="H33" t="s">
        <v>53</v>
      </c>
      <c r="I33" t="s">
        <v>144</v>
      </c>
      <c r="J33" t="s">
        <v>105</v>
      </c>
      <c r="K33" t="s">
        <v>28</v>
      </c>
      <c r="L33" t="s">
        <v>145</v>
      </c>
      <c r="M33" t="s">
        <v>42</v>
      </c>
      <c r="N33" t="s">
        <v>146</v>
      </c>
      <c r="O33" s="4">
        <v>1242.6600000000001</v>
      </c>
      <c r="P33" s="7" t="str">
        <f t="shared" si="2"/>
        <v>High</v>
      </c>
      <c r="Q33" s="4">
        <v>1794.07</v>
      </c>
      <c r="R33" s="4">
        <v>8.8999999999999996E-2</v>
      </c>
      <c r="S33" s="4">
        <v>16</v>
      </c>
      <c r="T33" s="4">
        <f t="shared" si="3"/>
        <v>10231.623200000002</v>
      </c>
      <c r="U33">
        <f t="shared" si="0"/>
        <v>19882.560000000001</v>
      </c>
      <c r="V33" s="4">
        <f t="shared" si="4"/>
        <v>-9650.9367999999995</v>
      </c>
      <c r="W33" s="4">
        <f t="shared" si="5"/>
        <v>-0.94324591624914389</v>
      </c>
    </row>
    <row r="34" spans="1:23" x14ac:dyDescent="0.3">
      <c r="A34" t="s">
        <v>147</v>
      </c>
      <c r="B34" s="6">
        <v>45862</v>
      </c>
      <c r="C34" s="2">
        <v>45875</v>
      </c>
      <c r="D34" s="4">
        <f t="shared" si="6"/>
        <v>13</v>
      </c>
      <c r="E34" s="4" t="str">
        <f>TEXT(Data!B34,"MMM-YYYY")</f>
        <v>Apr-2024</v>
      </c>
      <c r="F34" s="4" t="str">
        <f t="shared" si="1"/>
        <v>Q3-2025</v>
      </c>
      <c r="G34" t="s">
        <v>16</v>
      </c>
      <c r="H34" t="s">
        <v>148</v>
      </c>
      <c r="I34" t="s">
        <v>149</v>
      </c>
      <c r="J34" t="s">
        <v>27</v>
      </c>
      <c r="K34" t="s">
        <v>40</v>
      </c>
      <c r="L34" t="s">
        <v>145</v>
      </c>
      <c r="M34" t="s">
        <v>35</v>
      </c>
      <c r="N34" t="s">
        <v>150</v>
      </c>
      <c r="O34" s="4">
        <v>1463.9</v>
      </c>
      <c r="P34" s="7" t="str">
        <f t="shared" si="2"/>
        <v>High</v>
      </c>
      <c r="Q34" s="4">
        <v>2633.02</v>
      </c>
      <c r="R34" s="4">
        <v>8.4000000000000005E-2</v>
      </c>
      <c r="S34" s="4">
        <v>4</v>
      </c>
      <c r="T34" s="4">
        <f t="shared" si="3"/>
        <v>-19.309279999999998</v>
      </c>
      <c r="U34">
        <f t="shared" si="0"/>
        <v>5855.6</v>
      </c>
      <c r="V34" s="4">
        <f t="shared" si="4"/>
        <v>-5874.9092800000008</v>
      </c>
      <c r="W34" s="4">
        <f t="shared" si="5"/>
        <v>304.25315081660227</v>
      </c>
    </row>
    <row r="35" spans="1:23" x14ac:dyDescent="0.3">
      <c r="A35" t="s">
        <v>151</v>
      </c>
      <c r="B35" s="6">
        <v>45400</v>
      </c>
      <c r="C35" s="2">
        <v>45420</v>
      </c>
      <c r="D35" s="4">
        <f t="shared" si="6"/>
        <v>20</v>
      </c>
      <c r="E35" s="4" t="str">
        <f>TEXT(Data!B35,"MMM-YYYY")</f>
        <v>Aug-2024</v>
      </c>
      <c r="F35" s="4" t="str">
        <f t="shared" si="1"/>
        <v>Q2-2024</v>
      </c>
      <c r="G35" t="s">
        <v>78</v>
      </c>
      <c r="H35" t="s">
        <v>108</v>
      </c>
      <c r="I35" t="s">
        <v>152</v>
      </c>
      <c r="J35" t="s">
        <v>39</v>
      </c>
      <c r="K35" t="s">
        <v>1364</v>
      </c>
      <c r="L35" t="s">
        <v>145</v>
      </c>
      <c r="M35" t="s">
        <v>57</v>
      </c>
      <c r="N35" t="s">
        <v>153</v>
      </c>
      <c r="O35" s="4">
        <v>645.33000000000004</v>
      </c>
      <c r="P35" s="7" t="str">
        <f t="shared" si="2"/>
        <v>High</v>
      </c>
      <c r="Q35" s="4">
        <v>1321.85</v>
      </c>
      <c r="R35" s="4">
        <v>0</v>
      </c>
      <c r="S35" s="4">
        <v>10</v>
      </c>
      <c r="T35" s="4">
        <f t="shared" si="3"/>
        <v>14370.599999999999</v>
      </c>
      <c r="U35">
        <f t="shared" si="0"/>
        <v>6453.3</v>
      </c>
      <c r="V35" s="4">
        <f t="shared" si="4"/>
        <v>7917.2999999999984</v>
      </c>
      <c r="W35" s="4">
        <f t="shared" si="5"/>
        <v>0.55093733038286496</v>
      </c>
    </row>
    <row r="36" spans="1:23" x14ac:dyDescent="0.3">
      <c r="A36" t="s">
        <v>154</v>
      </c>
      <c r="B36" s="6">
        <v>45527</v>
      </c>
      <c r="C36" s="2">
        <v>45525</v>
      </c>
      <c r="D36" s="4">
        <f>DATEDIF(C36,B36, "MD")</f>
        <v>2</v>
      </c>
      <c r="E36" s="4" t="str">
        <f>TEXT(Data!B36,"MMM-YYYY")</f>
        <v>Mar-2023</v>
      </c>
      <c r="F36" s="4" t="str">
        <f t="shared" si="1"/>
        <v>Q3-2024</v>
      </c>
      <c r="G36" t="s">
        <v>16</v>
      </c>
      <c r="H36" t="s">
        <v>148</v>
      </c>
      <c r="I36" t="s">
        <v>149</v>
      </c>
      <c r="J36" t="s">
        <v>27</v>
      </c>
      <c r="K36" t="s">
        <v>20</v>
      </c>
      <c r="L36" t="s">
        <v>63</v>
      </c>
      <c r="M36" t="s">
        <v>22</v>
      </c>
      <c r="N36" t="s">
        <v>155</v>
      </c>
      <c r="O36" s="4">
        <v>1432.52</v>
      </c>
      <c r="P36" s="7" t="str">
        <f t="shared" si="2"/>
        <v>High</v>
      </c>
      <c r="Q36" s="4">
        <v>3036.87</v>
      </c>
      <c r="R36" s="4">
        <v>0</v>
      </c>
      <c r="S36" s="4">
        <v>9</v>
      </c>
      <c r="T36" s="4">
        <f t="shared" si="3"/>
        <v>17207.010000000002</v>
      </c>
      <c r="U36">
        <f t="shared" si="0"/>
        <v>12892.68</v>
      </c>
      <c r="V36" s="4">
        <f t="shared" si="4"/>
        <v>4314.3300000000017</v>
      </c>
      <c r="W36" s="4">
        <f t="shared" si="5"/>
        <v>0.25073095209452434</v>
      </c>
    </row>
    <row r="37" spans="1:23" x14ac:dyDescent="0.3">
      <c r="A37" t="s">
        <v>156</v>
      </c>
      <c r="B37" s="6">
        <v>45012</v>
      </c>
      <c r="C37" s="2">
        <v>45038</v>
      </c>
      <c r="D37" s="4">
        <f t="shared" si="6"/>
        <v>26</v>
      </c>
      <c r="E37" s="4" t="str">
        <f>TEXT(Data!B37,"MMM-YYYY")</f>
        <v>Mar-2024</v>
      </c>
      <c r="F37" s="4" t="str">
        <f t="shared" si="1"/>
        <v>Q1-2023</v>
      </c>
      <c r="G37" t="s">
        <v>45</v>
      </c>
      <c r="H37" t="s">
        <v>60</v>
      </c>
      <c r="I37" t="s">
        <v>141</v>
      </c>
      <c r="J37" t="s">
        <v>39</v>
      </c>
      <c r="K37" t="s">
        <v>40</v>
      </c>
      <c r="L37" t="s">
        <v>29</v>
      </c>
      <c r="M37" t="s">
        <v>30</v>
      </c>
      <c r="N37" t="s">
        <v>157</v>
      </c>
      <c r="O37" s="4">
        <v>178.53</v>
      </c>
      <c r="P37" s="7" t="str">
        <f t="shared" si="2"/>
        <v>Medium</v>
      </c>
      <c r="Q37" s="4">
        <v>199.37</v>
      </c>
      <c r="R37" s="4">
        <v>0.10100000000000001</v>
      </c>
      <c r="S37" s="4">
        <v>37</v>
      </c>
      <c r="T37" s="4">
        <f t="shared" si="3"/>
        <v>86276.904139999999</v>
      </c>
      <c r="U37">
        <f t="shared" si="0"/>
        <v>6605.61</v>
      </c>
      <c r="V37" s="4">
        <f t="shared" si="4"/>
        <v>79671.294139999998</v>
      </c>
      <c r="W37" s="4">
        <f t="shared" si="5"/>
        <v>0.92343709981432354</v>
      </c>
    </row>
    <row r="38" spans="1:23" x14ac:dyDescent="0.3">
      <c r="A38" t="s">
        <v>158</v>
      </c>
      <c r="B38" s="6">
        <v>45358</v>
      </c>
      <c r="C38" s="2">
        <v>45376</v>
      </c>
      <c r="D38" s="4">
        <f t="shared" si="6"/>
        <v>18</v>
      </c>
      <c r="E38" s="4" t="str">
        <f>TEXT(Data!B38,"MMM-YYYY")</f>
        <v>Jun-2025</v>
      </c>
      <c r="F38" s="4" t="str">
        <f t="shared" si="1"/>
        <v>Q1-2024</v>
      </c>
      <c r="G38" t="s">
        <v>78</v>
      </c>
      <c r="H38" t="s">
        <v>79</v>
      </c>
      <c r="I38" t="s">
        <v>159</v>
      </c>
      <c r="J38" t="s">
        <v>19</v>
      </c>
      <c r="K38" t="s">
        <v>28</v>
      </c>
      <c r="L38" t="s">
        <v>56</v>
      </c>
      <c r="M38" t="s">
        <v>22</v>
      </c>
      <c r="N38" t="s">
        <v>160</v>
      </c>
      <c r="O38" s="4">
        <v>712.84</v>
      </c>
      <c r="P38" s="7" t="str">
        <f t="shared" si="2"/>
        <v>High</v>
      </c>
      <c r="Q38" s="4">
        <v>927.51</v>
      </c>
      <c r="R38" s="4">
        <v>0.24299999999999999</v>
      </c>
      <c r="S38" s="4">
        <v>27</v>
      </c>
      <c r="T38" s="4">
        <f t="shared" si="3"/>
        <v>25427.751119999997</v>
      </c>
      <c r="U38">
        <f t="shared" si="0"/>
        <v>19246.68</v>
      </c>
      <c r="V38" s="4">
        <f t="shared" si="4"/>
        <v>6181.0711199999969</v>
      </c>
      <c r="W38" s="4">
        <f t="shared" si="5"/>
        <v>0.24308367227718869</v>
      </c>
    </row>
    <row r="39" spans="1:23" x14ac:dyDescent="0.3">
      <c r="A39" t="s">
        <v>161</v>
      </c>
      <c r="B39" s="6">
        <v>45832</v>
      </c>
      <c r="C39" s="2">
        <v>45848</v>
      </c>
      <c r="D39" s="4">
        <f t="shared" si="6"/>
        <v>16</v>
      </c>
      <c r="E39" s="4" t="str">
        <f>TEXT(Data!B39,"MMM-YYYY")</f>
        <v>Apr-2024</v>
      </c>
      <c r="F39" s="4" t="str">
        <f t="shared" si="1"/>
        <v>Q2-2025</v>
      </c>
      <c r="G39" t="s">
        <v>45</v>
      </c>
      <c r="H39" t="s">
        <v>116</v>
      </c>
      <c r="I39" t="s">
        <v>162</v>
      </c>
      <c r="J39" t="s">
        <v>105</v>
      </c>
      <c r="K39" t="s">
        <v>98</v>
      </c>
      <c r="L39" t="s">
        <v>126</v>
      </c>
      <c r="M39" t="s">
        <v>22</v>
      </c>
      <c r="N39" t="s">
        <v>163</v>
      </c>
      <c r="O39" s="4">
        <v>757.19</v>
      </c>
      <c r="P39" s="7" t="str">
        <f t="shared" si="2"/>
        <v>High</v>
      </c>
      <c r="Q39" s="4">
        <v>1735.41</v>
      </c>
      <c r="R39" s="4">
        <v>0.13600000000000001</v>
      </c>
      <c r="S39" s="4">
        <v>8</v>
      </c>
      <c r="T39" s="4">
        <f t="shared" si="3"/>
        <v>13219.269119999999</v>
      </c>
      <c r="U39">
        <f t="shared" si="0"/>
        <v>6057.52</v>
      </c>
      <c r="V39" s="4">
        <f t="shared" si="4"/>
        <v>7161.7491199999986</v>
      </c>
      <c r="W39" s="4">
        <f t="shared" si="5"/>
        <v>0.54176589151700383</v>
      </c>
    </row>
    <row r="40" spans="1:23" x14ac:dyDescent="0.3">
      <c r="A40" t="s">
        <v>164</v>
      </c>
      <c r="B40" s="6">
        <v>45401</v>
      </c>
      <c r="C40" s="2">
        <v>45418</v>
      </c>
      <c r="D40" s="4">
        <f t="shared" si="6"/>
        <v>17</v>
      </c>
      <c r="E40" s="4" t="str">
        <f>TEXT(Data!B40,"MMM-YYYY")</f>
        <v>Jun-2023</v>
      </c>
      <c r="F40" s="4" t="str">
        <f t="shared" si="1"/>
        <v>Q2-2024</v>
      </c>
      <c r="G40" t="s">
        <v>16</v>
      </c>
      <c r="H40" t="s">
        <v>25</v>
      </c>
      <c r="I40" t="s">
        <v>26</v>
      </c>
      <c r="J40" t="s">
        <v>39</v>
      </c>
      <c r="K40" t="s">
        <v>28</v>
      </c>
      <c r="L40" t="s">
        <v>75</v>
      </c>
      <c r="M40" t="s">
        <v>30</v>
      </c>
      <c r="N40" t="s">
        <v>165</v>
      </c>
      <c r="O40" s="4">
        <v>865.33</v>
      </c>
      <c r="P40" s="7" t="str">
        <f t="shared" si="2"/>
        <v>High</v>
      </c>
      <c r="Q40" s="4">
        <v>1395.64</v>
      </c>
      <c r="R40" s="4">
        <v>0.17499999999999999</v>
      </c>
      <c r="S40" s="4">
        <v>13</v>
      </c>
      <c r="T40" s="4">
        <f t="shared" si="3"/>
        <v>8106.7057499999992</v>
      </c>
      <c r="U40">
        <f t="shared" si="0"/>
        <v>11249.29</v>
      </c>
      <c r="V40" s="4">
        <f t="shared" si="4"/>
        <v>-3142.5842500000017</v>
      </c>
      <c r="W40" s="4">
        <f t="shared" si="5"/>
        <v>-0.38765243822991874</v>
      </c>
    </row>
    <row r="41" spans="1:23" x14ac:dyDescent="0.3">
      <c r="A41" t="s">
        <v>166</v>
      </c>
      <c r="B41" s="6">
        <v>45094</v>
      </c>
      <c r="C41" s="2">
        <v>45101</v>
      </c>
      <c r="D41" s="4">
        <f t="shared" si="6"/>
        <v>7</v>
      </c>
      <c r="E41" s="4" t="str">
        <f>TEXT(Data!B41,"MMM-YYYY")</f>
        <v>Aug-2024</v>
      </c>
      <c r="F41" s="4" t="str">
        <f t="shared" si="1"/>
        <v>Q2-2023</v>
      </c>
      <c r="G41" t="s">
        <v>52</v>
      </c>
      <c r="H41" t="s">
        <v>122</v>
      </c>
      <c r="I41" t="s">
        <v>167</v>
      </c>
      <c r="J41" t="s">
        <v>19</v>
      </c>
      <c r="K41" t="s">
        <v>20</v>
      </c>
      <c r="L41" t="s">
        <v>34</v>
      </c>
      <c r="M41" t="s">
        <v>30</v>
      </c>
      <c r="N41" t="s">
        <v>168</v>
      </c>
      <c r="O41" s="4">
        <v>313.99</v>
      </c>
      <c r="P41" s="7" t="str">
        <f t="shared" si="2"/>
        <v>High</v>
      </c>
      <c r="Q41" s="4">
        <v>454.42</v>
      </c>
      <c r="R41" s="4">
        <v>0.129</v>
      </c>
      <c r="S41" s="4">
        <v>9</v>
      </c>
      <c r="T41" s="4">
        <f t="shared" si="3"/>
        <v>8980.9071300000014</v>
      </c>
      <c r="U41">
        <f t="shared" si="0"/>
        <v>2825.91</v>
      </c>
      <c r="V41" s="4">
        <f t="shared" si="4"/>
        <v>6154.9971300000016</v>
      </c>
      <c r="W41" s="4">
        <f t="shared" si="5"/>
        <v>0.68534247608904963</v>
      </c>
    </row>
    <row r="42" spans="1:23" x14ac:dyDescent="0.3">
      <c r="A42" t="s">
        <v>169</v>
      </c>
      <c r="B42" s="6">
        <v>45531</v>
      </c>
      <c r="C42" s="2">
        <v>45554</v>
      </c>
      <c r="D42" s="4">
        <f t="shared" si="6"/>
        <v>23</v>
      </c>
      <c r="E42" s="4" t="str">
        <f>TEXT(Data!B42,"MMM-YYYY")</f>
        <v>Jan-2024</v>
      </c>
      <c r="F42" s="4" t="str">
        <f t="shared" si="1"/>
        <v>Q3-2024</v>
      </c>
      <c r="G42" t="s">
        <v>78</v>
      </c>
      <c r="H42" t="s">
        <v>79</v>
      </c>
      <c r="I42" t="s">
        <v>80</v>
      </c>
      <c r="J42" t="s">
        <v>62</v>
      </c>
      <c r="K42" t="s">
        <v>98</v>
      </c>
      <c r="L42" t="s">
        <v>145</v>
      </c>
      <c r="M42" t="s">
        <v>64</v>
      </c>
      <c r="N42" t="s">
        <v>170</v>
      </c>
      <c r="O42" s="4">
        <v>1024.01</v>
      </c>
      <c r="P42" s="7" t="str">
        <f t="shared" si="2"/>
        <v>High</v>
      </c>
      <c r="Q42" s="4">
        <v>1580.97</v>
      </c>
      <c r="R42" s="4">
        <v>3.6999999999999998E-2</v>
      </c>
      <c r="S42" s="4">
        <v>27</v>
      </c>
      <c r="T42" s="4">
        <f t="shared" si="3"/>
        <v>32087.834099999996</v>
      </c>
      <c r="U42">
        <f t="shared" si="0"/>
        <v>27648.27</v>
      </c>
      <c r="V42" s="4">
        <f t="shared" si="4"/>
        <v>4439.564099999996</v>
      </c>
      <c r="W42" s="4">
        <f t="shared" si="5"/>
        <v>0.13835661472707492</v>
      </c>
    </row>
    <row r="43" spans="1:23" x14ac:dyDescent="0.3">
      <c r="A43" t="s">
        <v>171</v>
      </c>
      <c r="B43" s="6">
        <v>45302</v>
      </c>
      <c r="C43" s="2">
        <v>45324</v>
      </c>
      <c r="D43" s="4">
        <f t="shared" si="6"/>
        <v>22</v>
      </c>
      <c r="E43" s="4" t="str">
        <f>TEXT(Data!B43,"MMM-YYYY")</f>
        <v>Oct-2024</v>
      </c>
      <c r="F43" s="4" t="str">
        <f t="shared" si="1"/>
        <v>Q1-2024</v>
      </c>
      <c r="G43" t="s">
        <v>16</v>
      </c>
      <c r="H43" t="s">
        <v>148</v>
      </c>
      <c r="I43" t="s">
        <v>172</v>
      </c>
      <c r="J43" t="s">
        <v>48</v>
      </c>
      <c r="K43" t="s">
        <v>28</v>
      </c>
      <c r="L43" t="s">
        <v>95</v>
      </c>
      <c r="M43" t="s">
        <v>35</v>
      </c>
      <c r="N43" t="s">
        <v>173</v>
      </c>
      <c r="O43" s="4">
        <v>1206.2</v>
      </c>
      <c r="P43" s="7" t="str">
        <f t="shared" si="2"/>
        <v>High</v>
      </c>
      <c r="Q43" s="4">
        <v>1759.79</v>
      </c>
      <c r="R43" s="4">
        <v>0</v>
      </c>
      <c r="S43" s="4">
        <v>6</v>
      </c>
      <c r="T43" s="4">
        <f t="shared" si="3"/>
        <v>7368.0599999999995</v>
      </c>
      <c r="U43">
        <f t="shared" si="0"/>
        <v>7237.2000000000007</v>
      </c>
      <c r="V43" s="4">
        <f t="shared" si="4"/>
        <v>130.85999999999876</v>
      </c>
      <c r="W43" s="4">
        <f t="shared" si="5"/>
        <v>1.7760441690214082E-2</v>
      </c>
    </row>
    <row r="44" spans="1:23" x14ac:dyDescent="0.3">
      <c r="A44" t="s">
        <v>174</v>
      </c>
      <c r="B44" s="6">
        <v>45590</v>
      </c>
      <c r="C44" s="2">
        <v>45610</v>
      </c>
      <c r="D44" s="4">
        <f t="shared" si="6"/>
        <v>20</v>
      </c>
      <c r="E44" s="4" t="str">
        <f>TEXT(Data!B44,"MMM-YYYY")</f>
        <v>May-2025</v>
      </c>
      <c r="F44" s="4" t="str">
        <f t="shared" si="1"/>
        <v>Q4-2024</v>
      </c>
      <c r="G44" t="s">
        <v>16</v>
      </c>
      <c r="H44" t="s">
        <v>17</v>
      </c>
      <c r="I44" t="s">
        <v>113</v>
      </c>
      <c r="J44" t="s">
        <v>19</v>
      </c>
      <c r="K44" t="s">
        <v>98</v>
      </c>
      <c r="L44" t="s">
        <v>92</v>
      </c>
      <c r="M44" t="s">
        <v>30</v>
      </c>
      <c r="N44" t="s">
        <v>175</v>
      </c>
      <c r="O44" s="4">
        <v>1396.48</v>
      </c>
      <c r="P44" s="7" t="str">
        <f t="shared" si="2"/>
        <v>High</v>
      </c>
      <c r="Q44" s="4">
        <v>3204.5</v>
      </c>
      <c r="R44" s="4">
        <v>0.318</v>
      </c>
      <c r="S44" s="4">
        <v>14</v>
      </c>
      <c r="T44" s="4">
        <f t="shared" si="3"/>
        <v>5778.7360400000007</v>
      </c>
      <c r="U44">
        <f t="shared" si="0"/>
        <v>19550.72</v>
      </c>
      <c r="V44" s="4">
        <f t="shared" si="4"/>
        <v>-13771.983960000001</v>
      </c>
      <c r="W44" s="4">
        <f t="shared" si="5"/>
        <v>-2.3832173445319715</v>
      </c>
    </row>
    <row r="45" spans="1:23" x14ac:dyDescent="0.3">
      <c r="A45" t="s">
        <v>176</v>
      </c>
      <c r="B45" s="6">
        <v>45806</v>
      </c>
      <c r="C45" s="2">
        <v>45828</v>
      </c>
      <c r="D45" s="4">
        <f t="shared" si="6"/>
        <v>22</v>
      </c>
      <c r="E45" s="4" t="str">
        <f>TEXT(Data!B45,"MMM-YYYY")</f>
        <v>May-2024</v>
      </c>
      <c r="F45" s="4" t="str">
        <f t="shared" si="1"/>
        <v>Q2-2025</v>
      </c>
      <c r="G45" t="s">
        <v>78</v>
      </c>
      <c r="H45" t="s">
        <v>79</v>
      </c>
      <c r="I45" t="s">
        <v>80</v>
      </c>
      <c r="J45" t="s">
        <v>19</v>
      </c>
      <c r="K45" t="s">
        <v>98</v>
      </c>
      <c r="L45" t="s">
        <v>75</v>
      </c>
      <c r="M45" t="s">
        <v>30</v>
      </c>
      <c r="N45" t="s">
        <v>177</v>
      </c>
      <c r="O45" s="4">
        <v>483.47</v>
      </c>
      <c r="P45" s="7" t="str">
        <f t="shared" si="2"/>
        <v>High</v>
      </c>
      <c r="Q45" s="4">
        <v>1135.43</v>
      </c>
      <c r="R45" s="4">
        <v>0.14599999999999999</v>
      </c>
      <c r="S45" s="4">
        <v>11</v>
      </c>
      <c r="T45" s="4">
        <f t="shared" si="3"/>
        <v>17662.129100000002</v>
      </c>
      <c r="U45">
        <f t="shared" si="0"/>
        <v>5318.17</v>
      </c>
      <c r="V45" s="4">
        <f t="shared" si="4"/>
        <v>12343.959100000002</v>
      </c>
      <c r="W45" s="4">
        <f t="shared" si="5"/>
        <v>0.6988941723905755</v>
      </c>
    </row>
    <row r="46" spans="1:23" x14ac:dyDescent="0.3">
      <c r="A46" t="s">
        <v>178</v>
      </c>
      <c r="B46" s="6">
        <v>45432</v>
      </c>
      <c r="C46" s="2">
        <v>45445</v>
      </c>
      <c r="D46" s="4">
        <f t="shared" si="6"/>
        <v>13</v>
      </c>
      <c r="E46" s="4" t="str">
        <f>TEXT(Data!B46,"MMM-YYYY")</f>
        <v>Apr-2023</v>
      </c>
      <c r="F46" s="4" t="str">
        <f t="shared" si="1"/>
        <v>Q2-2024</v>
      </c>
      <c r="G46" t="s">
        <v>52</v>
      </c>
      <c r="H46" t="s">
        <v>53</v>
      </c>
      <c r="I46" t="s">
        <v>179</v>
      </c>
      <c r="J46" t="s">
        <v>105</v>
      </c>
      <c r="K46" t="s">
        <v>40</v>
      </c>
      <c r="L46" t="s">
        <v>95</v>
      </c>
      <c r="M46" t="s">
        <v>22</v>
      </c>
      <c r="N46" t="s">
        <v>180</v>
      </c>
      <c r="O46" s="4">
        <v>675.43</v>
      </c>
      <c r="P46" s="7" t="str">
        <f t="shared" si="2"/>
        <v>High</v>
      </c>
      <c r="Q46" s="4">
        <v>996.36</v>
      </c>
      <c r="R46" s="4">
        <v>0.182</v>
      </c>
      <c r="S46" s="4">
        <v>22</v>
      </c>
      <c r="T46" s="4">
        <f t="shared" si="3"/>
        <v>22844.122400000004</v>
      </c>
      <c r="U46">
        <f t="shared" si="0"/>
        <v>14859.46</v>
      </c>
      <c r="V46" s="4">
        <f t="shared" si="4"/>
        <v>7984.6624000000047</v>
      </c>
      <c r="W46" s="4">
        <f t="shared" si="5"/>
        <v>0.34952808692707771</v>
      </c>
    </row>
    <row r="47" spans="1:23" x14ac:dyDescent="0.3">
      <c r="A47" t="s">
        <v>181</v>
      </c>
      <c r="B47" s="6">
        <v>45035</v>
      </c>
      <c r="C47" s="2">
        <v>45046</v>
      </c>
      <c r="D47" s="4">
        <f t="shared" si="6"/>
        <v>11</v>
      </c>
      <c r="E47" s="4" t="str">
        <f>TEXT(Data!B47,"MMM-YYYY")</f>
        <v>Jun-2023</v>
      </c>
      <c r="F47" s="4" t="str">
        <f t="shared" si="1"/>
        <v>Q2-2023</v>
      </c>
      <c r="G47" t="s">
        <v>45</v>
      </c>
      <c r="H47" t="s">
        <v>60</v>
      </c>
      <c r="I47" t="s">
        <v>141</v>
      </c>
      <c r="J47" t="s">
        <v>62</v>
      </c>
      <c r="K47" t="s">
        <v>20</v>
      </c>
      <c r="L47" t="s">
        <v>75</v>
      </c>
      <c r="M47" t="s">
        <v>35</v>
      </c>
      <c r="N47" t="s">
        <v>182</v>
      </c>
      <c r="O47" s="4">
        <v>826.55</v>
      </c>
      <c r="P47" s="7" t="str">
        <f t="shared" si="2"/>
        <v>High</v>
      </c>
      <c r="Q47" s="4">
        <v>1397.05</v>
      </c>
      <c r="R47" s="4">
        <v>0.16900000000000001</v>
      </c>
      <c r="S47" s="4">
        <v>28</v>
      </c>
      <c r="T47" s="4">
        <f t="shared" si="3"/>
        <v>14447.799239999997</v>
      </c>
      <c r="U47">
        <f t="shared" si="0"/>
        <v>23143.399999999998</v>
      </c>
      <c r="V47" s="4">
        <f t="shared" si="4"/>
        <v>-8695.6007600000012</v>
      </c>
      <c r="W47" s="4">
        <f t="shared" si="5"/>
        <v>-0.6018633437212686</v>
      </c>
    </row>
    <row r="48" spans="1:23" x14ac:dyDescent="0.3">
      <c r="A48" t="s">
        <v>183</v>
      </c>
      <c r="B48" s="6">
        <v>45100</v>
      </c>
      <c r="C48" s="2">
        <v>45110</v>
      </c>
      <c r="D48" s="4">
        <f t="shared" si="6"/>
        <v>10</v>
      </c>
      <c r="E48" s="4" t="str">
        <f>TEXT(Data!B48,"MMM-YYYY")</f>
        <v>May-2024</v>
      </c>
      <c r="F48" s="4" t="str">
        <f t="shared" si="1"/>
        <v>Q2-2023</v>
      </c>
      <c r="G48" t="s">
        <v>16</v>
      </c>
      <c r="H48" t="s">
        <v>25</v>
      </c>
      <c r="I48" t="s">
        <v>67</v>
      </c>
      <c r="J48" t="s">
        <v>48</v>
      </c>
      <c r="K48" t="s">
        <v>28</v>
      </c>
      <c r="L48" t="s">
        <v>29</v>
      </c>
      <c r="M48" t="s">
        <v>30</v>
      </c>
      <c r="N48" t="s">
        <v>184</v>
      </c>
      <c r="O48" s="4">
        <v>337.75</v>
      </c>
      <c r="P48" s="7" t="str">
        <f t="shared" si="2"/>
        <v>High</v>
      </c>
      <c r="Q48" s="4">
        <v>548.89</v>
      </c>
      <c r="R48" s="4">
        <v>0</v>
      </c>
      <c r="S48" s="4">
        <v>13</v>
      </c>
      <c r="T48" s="4">
        <f t="shared" si="3"/>
        <v>18926.830000000002</v>
      </c>
      <c r="U48">
        <f t="shared" si="0"/>
        <v>4390.75</v>
      </c>
      <c r="V48" s="4">
        <f t="shared" si="4"/>
        <v>14536.080000000002</v>
      </c>
      <c r="W48" s="4">
        <f t="shared" si="5"/>
        <v>0.76801450639119173</v>
      </c>
    </row>
    <row r="49" spans="1:23" x14ac:dyDescent="0.3">
      <c r="A49" t="s">
        <v>185</v>
      </c>
      <c r="B49" s="6">
        <v>45426</v>
      </c>
      <c r="C49" s="2">
        <v>45440</v>
      </c>
      <c r="D49" s="4">
        <f t="shared" si="6"/>
        <v>14</v>
      </c>
      <c r="E49" s="4" t="str">
        <f>TEXT(Data!B49,"MMM-YYYY")</f>
        <v>Oct-2024</v>
      </c>
      <c r="F49" s="4" t="str">
        <f t="shared" si="1"/>
        <v>Q2-2024</v>
      </c>
      <c r="G49" t="s">
        <v>78</v>
      </c>
      <c r="H49" t="s">
        <v>108</v>
      </c>
      <c r="I49" t="s">
        <v>109</v>
      </c>
      <c r="J49" t="s">
        <v>48</v>
      </c>
      <c r="K49" t="s">
        <v>20</v>
      </c>
      <c r="L49" t="s">
        <v>56</v>
      </c>
      <c r="M49" t="s">
        <v>35</v>
      </c>
      <c r="N49" t="s">
        <v>186</v>
      </c>
      <c r="O49" s="4">
        <v>1421.14</v>
      </c>
      <c r="P49" s="7" t="str">
        <f t="shared" si="2"/>
        <v>High</v>
      </c>
      <c r="Q49" s="4">
        <v>3524</v>
      </c>
      <c r="R49" s="4">
        <v>0</v>
      </c>
      <c r="S49" s="4">
        <v>31</v>
      </c>
      <c r="T49" s="4">
        <f t="shared" si="3"/>
        <v>16939.329999999998</v>
      </c>
      <c r="U49">
        <f t="shared" si="0"/>
        <v>44055.340000000004</v>
      </c>
      <c r="V49" s="4">
        <f t="shared" si="4"/>
        <v>-27116.010000000006</v>
      </c>
      <c r="W49" s="4">
        <f t="shared" si="5"/>
        <v>-1.6007722855626527</v>
      </c>
    </row>
    <row r="50" spans="1:23" x14ac:dyDescent="0.3">
      <c r="A50" t="s">
        <v>187</v>
      </c>
      <c r="B50" s="6">
        <v>45579</v>
      </c>
      <c r="C50" s="2">
        <v>45604</v>
      </c>
      <c r="D50" s="4">
        <f t="shared" si="6"/>
        <v>25</v>
      </c>
      <c r="E50" s="4" t="str">
        <f>TEXT(Data!B50,"MMM-YYYY")</f>
        <v>Jul-2023</v>
      </c>
      <c r="F50" s="4" t="str">
        <f t="shared" si="1"/>
        <v>Q4-2024</v>
      </c>
      <c r="G50" t="s">
        <v>16</v>
      </c>
      <c r="H50" t="s">
        <v>25</v>
      </c>
      <c r="I50" t="s">
        <v>38</v>
      </c>
      <c r="J50" t="s">
        <v>105</v>
      </c>
      <c r="K50" t="s">
        <v>28</v>
      </c>
      <c r="L50" t="s">
        <v>68</v>
      </c>
      <c r="M50" t="s">
        <v>35</v>
      </c>
      <c r="N50" t="s">
        <v>188</v>
      </c>
      <c r="O50" s="4">
        <v>859.35</v>
      </c>
      <c r="P50" s="7" t="str">
        <f t="shared" si="2"/>
        <v>High</v>
      </c>
      <c r="Q50" s="4">
        <v>1825.61</v>
      </c>
      <c r="R50" s="4">
        <v>0.187</v>
      </c>
      <c r="S50" s="4">
        <v>24</v>
      </c>
      <c r="T50" s="4">
        <f t="shared" si="3"/>
        <v>26300.615040000001</v>
      </c>
      <c r="U50">
        <f t="shared" si="0"/>
        <v>20624.400000000001</v>
      </c>
      <c r="V50" s="4">
        <f t="shared" si="4"/>
        <v>5676.2150399999991</v>
      </c>
      <c r="W50" s="4">
        <f t="shared" si="5"/>
        <v>0.21582061983596865</v>
      </c>
    </row>
    <row r="51" spans="1:23" x14ac:dyDescent="0.3">
      <c r="A51" t="s">
        <v>189</v>
      </c>
      <c r="B51" s="6">
        <v>45117</v>
      </c>
      <c r="C51" s="2">
        <v>45139</v>
      </c>
      <c r="D51" s="4">
        <f t="shared" si="6"/>
        <v>22</v>
      </c>
      <c r="E51" s="4" t="str">
        <f>TEXT(Data!B51,"MMM-YYYY")</f>
        <v>Nov-2024</v>
      </c>
      <c r="F51" s="4" t="str">
        <f t="shared" si="1"/>
        <v>Q3-2023</v>
      </c>
      <c r="G51" t="s">
        <v>78</v>
      </c>
      <c r="H51" t="s">
        <v>90</v>
      </c>
      <c r="I51" t="s">
        <v>91</v>
      </c>
      <c r="J51" t="s">
        <v>48</v>
      </c>
      <c r="K51" t="s">
        <v>40</v>
      </c>
      <c r="L51" t="s">
        <v>56</v>
      </c>
      <c r="M51" t="s">
        <v>30</v>
      </c>
      <c r="N51" t="s">
        <v>190</v>
      </c>
      <c r="O51" s="4">
        <v>1303.56</v>
      </c>
      <c r="P51" s="7" t="str">
        <f t="shared" si="2"/>
        <v>High</v>
      </c>
      <c r="Q51" s="4">
        <v>1791.37</v>
      </c>
      <c r="R51" s="4">
        <v>0.126</v>
      </c>
      <c r="S51" s="4">
        <v>22</v>
      </c>
      <c r="T51" s="4">
        <f t="shared" si="3"/>
        <v>21312.892040000002</v>
      </c>
      <c r="U51">
        <f t="shared" si="0"/>
        <v>28678.32</v>
      </c>
      <c r="V51" s="4">
        <f t="shared" si="4"/>
        <v>-7365.4279599999973</v>
      </c>
      <c r="W51" s="4">
        <f t="shared" si="5"/>
        <v>-0.34558557075110097</v>
      </c>
    </row>
    <row r="52" spans="1:23" x14ac:dyDescent="0.3">
      <c r="A52" t="s">
        <v>191</v>
      </c>
      <c r="B52" s="6">
        <v>45602</v>
      </c>
      <c r="C52" s="2">
        <v>45618</v>
      </c>
      <c r="D52" s="4">
        <f t="shared" si="6"/>
        <v>16</v>
      </c>
      <c r="E52" s="4" t="str">
        <f>TEXT(Data!B52,"MMM-YYYY")</f>
        <v>Oct-2024</v>
      </c>
      <c r="F52" s="4" t="str">
        <f t="shared" si="1"/>
        <v>Q4-2024</v>
      </c>
      <c r="G52" t="s">
        <v>52</v>
      </c>
      <c r="H52" t="s">
        <v>53</v>
      </c>
      <c r="I52" t="s">
        <v>54</v>
      </c>
      <c r="J52" t="s">
        <v>39</v>
      </c>
      <c r="K52" t="s">
        <v>55</v>
      </c>
      <c r="L52" t="s">
        <v>145</v>
      </c>
      <c r="M52" t="s">
        <v>81</v>
      </c>
      <c r="N52" t="s">
        <v>192</v>
      </c>
      <c r="O52" s="4">
        <v>1454.11</v>
      </c>
      <c r="P52" s="7" t="str">
        <f t="shared" si="2"/>
        <v>High</v>
      </c>
      <c r="Q52" s="4">
        <v>2629.75</v>
      </c>
      <c r="R52" s="4">
        <v>0.29199999999999998</v>
      </c>
      <c r="S52" s="4">
        <v>8</v>
      </c>
      <c r="T52" s="4">
        <f t="shared" si="3"/>
        <v>17808.182399999998</v>
      </c>
      <c r="U52">
        <f t="shared" si="0"/>
        <v>11632.88</v>
      </c>
      <c r="V52" s="4">
        <f t="shared" si="4"/>
        <v>6175.3023999999987</v>
      </c>
      <c r="W52" s="4">
        <f t="shared" si="5"/>
        <v>0.34676769707839467</v>
      </c>
    </row>
    <row r="53" spans="1:23" x14ac:dyDescent="0.3">
      <c r="A53" t="s">
        <v>193</v>
      </c>
      <c r="B53" s="6">
        <v>45582</v>
      </c>
      <c r="C53" s="2">
        <v>45602</v>
      </c>
      <c r="D53" s="4">
        <f t="shared" si="6"/>
        <v>20</v>
      </c>
      <c r="E53" s="4" t="str">
        <f>TEXT(Data!B53,"MMM-YYYY")</f>
        <v>Mar-2023</v>
      </c>
      <c r="F53" s="4" t="str">
        <f t="shared" si="1"/>
        <v>Q4-2024</v>
      </c>
      <c r="G53" t="s">
        <v>45</v>
      </c>
      <c r="H53" t="s">
        <v>60</v>
      </c>
      <c r="I53" t="s">
        <v>61</v>
      </c>
      <c r="J53" t="s">
        <v>105</v>
      </c>
      <c r="K53" t="s">
        <v>55</v>
      </c>
      <c r="L53" t="s">
        <v>68</v>
      </c>
      <c r="M53" t="s">
        <v>64</v>
      </c>
      <c r="N53" t="s">
        <v>194</v>
      </c>
      <c r="O53" s="4">
        <v>72.94</v>
      </c>
      <c r="P53" s="7" t="str">
        <f t="shared" si="2"/>
        <v>Medium</v>
      </c>
      <c r="Q53" s="4">
        <v>106.3</v>
      </c>
      <c r="R53" s="4">
        <v>0.29499999999999998</v>
      </c>
      <c r="S53" s="4">
        <v>8</v>
      </c>
      <c r="T53" s="4">
        <f t="shared" si="3"/>
        <v>11819.917200000002</v>
      </c>
      <c r="U53">
        <f t="shared" si="0"/>
        <v>583.52</v>
      </c>
      <c r="V53" s="4">
        <f t="shared" si="4"/>
        <v>11236.397200000001</v>
      </c>
      <c r="W53" s="4">
        <f t="shared" si="5"/>
        <v>0.95063247989588284</v>
      </c>
    </row>
    <row r="54" spans="1:23" x14ac:dyDescent="0.3">
      <c r="A54" t="s">
        <v>195</v>
      </c>
      <c r="B54" s="6">
        <v>45016</v>
      </c>
      <c r="C54" s="2">
        <v>45021</v>
      </c>
      <c r="D54" s="4">
        <f t="shared" si="6"/>
        <v>5</v>
      </c>
      <c r="E54" s="4" t="str">
        <f>TEXT(Data!B54,"MMM-YYYY")</f>
        <v>Jan-2025</v>
      </c>
      <c r="F54" s="4" t="str">
        <f t="shared" si="1"/>
        <v>Q1-2023</v>
      </c>
      <c r="G54" t="s">
        <v>16</v>
      </c>
      <c r="H54" t="s">
        <v>17</v>
      </c>
      <c r="I54" t="s">
        <v>135</v>
      </c>
      <c r="J54" t="s">
        <v>27</v>
      </c>
      <c r="K54" t="s">
        <v>40</v>
      </c>
      <c r="L54" t="s">
        <v>56</v>
      </c>
      <c r="M54" t="s">
        <v>57</v>
      </c>
      <c r="N54" t="s">
        <v>196</v>
      </c>
      <c r="O54" s="4">
        <v>533.26</v>
      </c>
      <c r="P54" s="7" t="str">
        <f t="shared" si="2"/>
        <v>High</v>
      </c>
      <c r="Q54" s="4">
        <v>385.72</v>
      </c>
      <c r="R54" s="4">
        <v>0</v>
      </c>
      <c r="S54" s="4">
        <v>15</v>
      </c>
      <c r="T54" s="4">
        <f t="shared" si="3"/>
        <v>10554.3</v>
      </c>
      <c r="U54">
        <f t="shared" si="0"/>
        <v>7998.9</v>
      </c>
      <c r="V54" s="4">
        <f t="shared" si="4"/>
        <v>2555.3999999999996</v>
      </c>
      <c r="W54" s="4">
        <f t="shared" si="5"/>
        <v>0.24211932577243397</v>
      </c>
    </row>
    <row r="55" spans="1:23" x14ac:dyDescent="0.3">
      <c r="A55" t="s">
        <v>197</v>
      </c>
      <c r="B55" s="6">
        <v>45678</v>
      </c>
      <c r="C55" s="2">
        <v>45704</v>
      </c>
      <c r="D55" s="4">
        <f t="shared" si="6"/>
        <v>26</v>
      </c>
      <c r="E55" s="4" t="str">
        <f>TEXT(Data!B55,"MMM-YYYY")</f>
        <v>Aug-2023</v>
      </c>
      <c r="F55" s="4" t="str">
        <f t="shared" si="1"/>
        <v>Q1-2025</v>
      </c>
      <c r="G55" t="s">
        <v>78</v>
      </c>
      <c r="H55" t="s">
        <v>90</v>
      </c>
      <c r="I55" t="s">
        <v>138</v>
      </c>
      <c r="J55" t="s">
        <v>19</v>
      </c>
      <c r="K55" t="s">
        <v>55</v>
      </c>
      <c r="L55" t="s">
        <v>68</v>
      </c>
      <c r="M55" t="s">
        <v>57</v>
      </c>
      <c r="N55" t="s">
        <v>198</v>
      </c>
      <c r="O55" s="4">
        <v>204.11</v>
      </c>
      <c r="P55" s="7" t="str">
        <f t="shared" si="2"/>
        <v>High</v>
      </c>
      <c r="Q55" s="4">
        <v>236.87</v>
      </c>
      <c r="R55" s="4">
        <v>0.182</v>
      </c>
      <c r="S55" s="4">
        <v>13</v>
      </c>
      <c r="T55" s="4">
        <f t="shared" si="3"/>
        <v>21238.118460000002</v>
      </c>
      <c r="U55">
        <f t="shared" si="0"/>
        <v>2653.4300000000003</v>
      </c>
      <c r="V55" s="4">
        <f t="shared" si="4"/>
        <v>18584.688460000001</v>
      </c>
      <c r="W55" s="4">
        <f t="shared" si="5"/>
        <v>0.87506284961177294</v>
      </c>
    </row>
    <row r="56" spans="1:23" x14ac:dyDescent="0.3">
      <c r="A56" t="s">
        <v>199</v>
      </c>
      <c r="B56" s="6">
        <v>45168</v>
      </c>
      <c r="C56" s="2">
        <v>45170</v>
      </c>
      <c r="D56" s="4">
        <f t="shared" si="6"/>
        <v>2</v>
      </c>
      <c r="E56" s="4" t="str">
        <f>TEXT(Data!B56,"MMM-YYYY")</f>
        <v>Apr-2025</v>
      </c>
      <c r="F56" s="4" t="str">
        <f t="shared" si="1"/>
        <v>Q3-2023</v>
      </c>
      <c r="G56" t="s">
        <v>78</v>
      </c>
      <c r="H56" t="s">
        <v>79</v>
      </c>
      <c r="I56" t="s">
        <v>159</v>
      </c>
      <c r="J56" t="s">
        <v>19</v>
      </c>
      <c r="K56" t="s">
        <v>98</v>
      </c>
      <c r="L56" t="s">
        <v>126</v>
      </c>
      <c r="M56" t="s">
        <v>35</v>
      </c>
      <c r="N56" t="s">
        <v>200</v>
      </c>
      <c r="O56" s="4">
        <v>44.42</v>
      </c>
      <c r="P56" s="7" t="str">
        <f t="shared" si="2"/>
        <v>Low</v>
      </c>
      <c r="Q56" s="4">
        <v>41.9</v>
      </c>
      <c r="R56" s="4">
        <v>0.14399999999999999</v>
      </c>
      <c r="S56" s="4">
        <v>6</v>
      </c>
      <c r="T56" s="4">
        <f t="shared" si="3"/>
        <v>14195.647199999998</v>
      </c>
      <c r="U56">
        <f t="shared" si="0"/>
        <v>266.52</v>
      </c>
      <c r="V56" s="4">
        <f t="shared" si="4"/>
        <v>13929.127199999997</v>
      </c>
      <c r="W56" s="4">
        <f t="shared" si="5"/>
        <v>0.9812252307876459</v>
      </c>
    </row>
    <row r="57" spans="1:23" x14ac:dyDescent="0.3">
      <c r="A57" t="s">
        <v>201</v>
      </c>
      <c r="B57" s="6">
        <v>45753</v>
      </c>
      <c r="C57" s="2">
        <v>45777</v>
      </c>
      <c r="D57" s="4">
        <f t="shared" si="6"/>
        <v>24</v>
      </c>
      <c r="E57" s="4" t="str">
        <f>TEXT(Data!B57,"MMM-YYYY")</f>
        <v>Feb-2025</v>
      </c>
      <c r="F57" s="4" t="str">
        <f t="shared" si="1"/>
        <v>Q2-2025</v>
      </c>
      <c r="G57" t="s">
        <v>52</v>
      </c>
      <c r="H57" t="s">
        <v>73</v>
      </c>
      <c r="I57" t="s">
        <v>87</v>
      </c>
      <c r="J57" t="s">
        <v>27</v>
      </c>
      <c r="K57" t="s">
        <v>28</v>
      </c>
      <c r="L57" t="s">
        <v>95</v>
      </c>
      <c r="M57" t="s">
        <v>64</v>
      </c>
      <c r="N57" t="s">
        <v>202</v>
      </c>
      <c r="O57" s="4">
        <v>855.78</v>
      </c>
      <c r="P57" s="7" t="str">
        <f t="shared" si="2"/>
        <v>High</v>
      </c>
      <c r="Q57" s="4">
        <v>977.38</v>
      </c>
      <c r="R57" s="4">
        <v>0.14699999999999999</v>
      </c>
      <c r="S57" s="4">
        <v>38</v>
      </c>
      <c r="T57" s="4">
        <f t="shared" si="3"/>
        <v>48735.421419999999</v>
      </c>
      <c r="U57">
        <f t="shared" si="0"/>
        <v>32519.64</v>
      </c>
      <c r="V57" s="4">
        <f t="shared" si="4"/>
        <v>16215.781419999999</v>
      </c>
      <c r="W57" s="4">
        <f t="shared" si="5"/>
        <v>0.33273091619036216</v>
      </c>
    </row>
    <row r="58" spans="1:23" x14ac:dyDescent="0.3">
      <c r="A58" t="s">
        <v>203</v>
      </c>
      <c r="B58" s="6">
        <v>45697</v>
      </c>
      <c r="C58" s="2">
        <v>45717</v>
      </c>
      <c r="D58" s="4">
        <f t="shared" si="6"/>
        <v>20</v>
      </c>
      <c r="E58" s="4" t="str">
        <f>TEXT(Data!B58,"MMM-YYYY")</f>
        <v>Dec-2024</v>
      </c>
      <c r="F58" s="4" t="str">
        <f t="shared" si="1"/>
        <v>Q1-2025</v>
      </c>
      <c r="G58" t="s">
        <v>52</v>
      </c>
      <c r="H58" t="s">
        <v>73</v>
      </c>
      <c r="I58" t="s">
        <v>74</v>
      </c>
      <c r="J58" t="s">
        <v>19</v>
      </c>
      <c r="K58" t="s">
        <v>55</v>
      </c>
      <c r="L58" t="s">
        <v>56</v>
      </c>
      <c r="M58" t="s">
        <v>57</v>
      </c>
      <c r="N58" t="s">
        <v>204</v>
      </c>
      <c r="O58" s="4">
        <v>1154.6400000000001</v>
      </c>
      <c r="P58" s="7" t="str">
        <f t="shared" si="2"/>
        <v>High</v>
      </c>
      <c r="Q58" s="4">
        <v>2794.13</v>
      </c>
      <c r="R58" s="4">
        <v>3.5000000000000003E-2</v>
      </c>
      <c r="S58" s="4">
        <v>11</v>
      </c>
      <c r="T58" s="4">
        <f t="shared" si="3"/>
        <v>4119.0446000000002</v>
      </c>
      <c r="U58">
        <f t="shared" si="0"/>
        <v>12701.04</v>
      </c>
      <c r="V58" s="4">
        <f t="shared" si="4"/>
        <v>-8581.9953999999998</v>
      </c>
      <c r="W58" s="4">
        <f t="shared" si="5"/>
        <v>-2.0834917398078185</v>
      </c>
    </row>
    <row r="59" spans="1:23" x14ac:dyDescent="0.3">
      <c r="A59" t="s">
        <v>205</v>
      </c>
      <c r="B59" s="6">
        <v>45643</v>
      </c>
      <c r="C59" s="2">
        <v>45644</v>
      </c>
      <c r="D59" s="4">
        <f t="shared" si="6"/>
        <v>1</v>
      </c>
      <c r="E59" s="4" t="str">
        <f>TEXT(Data!B59,"MMM-YYYY")</f>
        <v>Jun-2025</v>
      </c>
      <c r="F59" s="4" t="str">
        <f t="shared" si="1"/>
        <v>Q4-2024</v>
      </c>
      <c r="G59" t="s">
        <v>78</v>
      </c>
      <c r="H59" t="s">
        <v>79</v>
      </c>
      <c r="I59" t="s">
        <v>159</v>
      </c>
      <c r="J59" t="s">
        <v>27</v>
      </c>
      <c r="K59" t="s">
        <v>20</v>
      </c>
      <c r="L59" t="s">
        <v>49</v>
      </c>
      <c r="M59" t="s">
        <v>81</v>
      </c>
      <c r="N59" t="s">
        <v>206</v>
      </c>
      <c r="O59" s="4">
        <v>346.82</v>
      </c>
      <c r="P59" s="7" t="str">
        <f t="shared" si="2"/>
        <v>High</v>
      </c>
      <c r="Q59" s="4">
        <v>701.95</v>
      </c>
      <c r="R59" s="4">
        <v>0.14699999999999999</v>
      </c>
      <c r="S59" s="4">
        <v>8</v>
      </c>
      <c r="T59" s="4">
        <f t="shared" si="3"/>
        <v>304.14567999999997</v>
      </c>
      <c r="U59">
        <f t="shared" si="0"/>
        <v>2774.56</v>
      </c>
      <c r="V59" s="4">
        <f t="shared" si="4"/>
        <v>-2470.4143199999999</v>
      </c>
      <c r="W59" s="4">
        <f t="shared" si="5"/>
        <v>-8.122470521363315</v>
      </c>
    </row>
    <row r="60" spans="1:23" x14ac:dyDescent="0.3">
      <c r="A60" t="s">
        <v>207</v>
      </c>
      <c r="B60" s="6">
        <v>45817</v>
      </c>
      <c r="C60" s="2">
        <v>45826</v>
      </c>
      <c r="D60" s="4">
        <f t="shared" si="6"/>
        <v>9</v>
      </c>
      <c r="E60" s="4" t="str">
        <f>TEXT(Data!B60,"MMM-YYYY")</f>
        <v>May-2025</v>
      </c>
      <c r="F60" s="4" t="str">
        <f t="shared" si="1"/>
        <v>Q2-2025</v>
      </c>
      <c r="G60" t="s">
        <v>78</v>
      </c>
      <c r="H60" t="s">
        <v>90</v>
      </c>
      <c r="I60" t="s">
        <v>91</v>
      </c>
      <c r="J60" t="s">
        <v>62</v>
      </c>
      <c r="K60" t="s">
        <v>40</v>
      </c>
      <c r="L60" t="s">
        <v>92</v>
      </c>
      <c r="M60" t="s">
        <v>81</v>
      </c>
      <c r="N60" t="s">
        <v>208</v>
      </c>
      <c r="O60" s="4">
        <v>1225.5</v>
      </c>
      <c r="P60" s="7" t="str">
        <f t="shared" si="2"/>
        <v>Low</v>
      </c>
      <c r="Q60" s="4">
        <v>-5.27</v>
      </c>
      <c r="R60" s="4">
        <v>7.4999999999999997E-2</v>
      </c>
      <c r="S60" s="4">
        <v>56</v>
      </c>
      <c r="T60" s="4">
        <f t="shared" si="3"/>
        <v>93667.868000000002</v>
      </c>
      <c r="U60">
        <f t="shared" si="0"/>
        <v>68628</v>
      </c>
      <c r="V60" s="4">
        <f t="shared" si="4"/>
        <v>25039.868000000002</v>
      </c>
      <c r="W60" s="4">
        <f t="shared" si="5"/>
        <v>0.2673261229774121</v>
      </c>
    </row>
    <row r="61" spans="1:23" x14ac:dyDescent="0.3">
      <c r="A61" t="s">
        <v>209</v>
      </c>
      <c r="B61" s="6">
        <v>45779</v>
      </c>
      <c r="C61" s="2">
        <v>45790</v>
      </c>
      <c r="D61" s="4">
        <f t="shared" si="6"/>
        <v>11</v>
      </c>
      <c r="E61" s="4" t="str">
        <f>TEXT(Data!B61,"MMM-YYYY")</f>
        <v>Mar-2024</v>
      </c>
      <c r="F61" s="4" t="str">
        <f t="shared" si="1"/>
        <v>Q2-2025</v>
      </c>
      <c r="G61" t="s">
        <v>16</v>
      </c>
      <c r="H61" t="s">
        <v>17</v>
      </c>
      <c r="I61" t="s">
        <v>135</v>
      </c>
      <c r="J61" t="s">
        <v>62</v>
      </c>
      <c r="K61" t="s">
        <v>28</v>
      </c>
      <c r="L61" t="s">
        <v>75</v>
      </c>
      <c r="M61" t="s">
        <v>81</v>
      </c>
      <c r="N61" t="s">
        <v>210</v>
      </c>
      <c r="O61" s="4">
        <v>1057.5999999999999</v>
      </c>
      <c r="P61" s="7" t="str">
        <f t="shared" si="2"/>
        <v>High</v>
      </c>
      <c r="Q61" s="4">
        <v>1437.06</v>
      </c>
      <c r="R61" s="4">
        <v>0.20499999999999999</v>
      </c>
      <c r="S61" s="4">
        <v>4</v>
      </c>
      <c r="T61" s="4">
        <f t="shared" si="3"/>
        <v>4086.5861999999997</v>
      </c>
      <c r="U61">
        <f t="shared" si="0"/>
        <v>4230.3999999999996</v>
      </c>
      <c r="V61" s="4">
        <f t="shared" si="4"/>
        <v>-143.8137999999999</v>
      </c>
      <c r="W61" s="4">
        <f t="shared" si="5"/>
        <v>-3.5191671718560573E-2</v>
      </c>
    </row>
    <row r="62" spans="1:23" x14ac:dyDescent="0.3">
      <c r="A62" t="s">
        <v>211</v>
      </c>
      <c r="B62" s="6">
        <v>45361</v>
      </c>
      <c r="C62" s="2">
        <v>45391</v>
      </c>
      <c r="D62" s="4">
        <f t="shared" si="6"/>
        <v>30</v>
      </c>
      <c r="E62" s="4" t="str">
        <f>TEXT(Data!B62,"MMM-YYYY")</f>
        <v>Sep-2025</v>
      </c>
      <c r="F62" s="4" t="str">
        <f t="shared" si="1"/>
        <v>Q1-2024</v>
      </c>
      <c r="G62" t="s">
        <v>78</v>
      </c>
      <c r="H62" t="s">
        <v>90</v>
      </c>
      <c r="I62" t="s">
        <v>138</v>
      </c>
      <c r="J62" t="s">
        <v>19</v>
      </c>
      <c r="K62" t="s">
        <v>98</v>
      </c>
      <c r="L62" t="s">
        <v>34</v>
      </c>
      <c r="M62" t="s">
        <v>22</v>
      </c>
      <c r="N62" t="s">
        <v>212</v>
      </c>
      <c r="O62" s="4">
        <v>1176.56</v>
      </c>
      <c r="P62" s="7" t="str">
        <f t="shared" si="2"/>
        <v>High</v>
      </c>
      <c r="Q62" s="4">
        <v>1911.89</v>
      </c>
      <c r="R62" s="4">
        <v>0.11899999999999999</v>
      </c>
      <c r="S62" s="4">
        <v>20</v>
      </c>
      <c r="T62" s="4">
        <f t="shared" si="3"/>
        <v>29568.826800000003</v>
      </c>
      <c r="U62">
        <f t="shared" si="0"/>
        <v>23531.199999999997</v>
      </c>
      <c r="V62" s="4">
        <f t="shared" si="4"/>
        <v>6037.6268000000055</v>
      </c>
      <c r="W62" s="4">
        <f t="shared" si="5"/>
        <v>0.20418891966319086</v>
      </c>
    </row>
    <row r="63" spans="1:23" x14ac:dyDescent="0.3">
      <c r="A63" t="s">
        <v>213</v>
      </c>
      <c r="B63" s="6">
        <v>45910</v>
      </c>
      <c r="C63" s="2">
        <v>45912</v>
      </c>
      <c r="D63" s="4">
        <f t="shared" si="6"/>
        <v>2</v>
      </c>
      <c r="E63" s="4" t="str">
        <f>TEXT(Data!B63,"MMM-YYYY")</f>
        <v>Apr-2025</v>
      </c>
      <c r="F63" s="4" t="str">
        <f t="shared" si="1"/>
        <v>Q3-2025</v>
      </c>
      <c r="G63" t="s">
        <v>45</v>
      </c>
      <c r="H63" t="s">
        <v>46</v>
      </c>
      <c r="I63" t="s">
        <v>214</v>
      </c>
      <c r="J63" t="s">
        <v>48</v>
      </c>
      <c r="K63" t="s">
        <v>28</v>
      </c>
      <c r="L63" t="s">
        <v>68</v>
      </c>
      <c r="M63" t="s">
        <v>22</v>
      </c>
      <c r="N63" t="s">
        <v>215</v>
      </c>
      <c r="O63" s="4">
        <v>1470.15</v>
      </c>
      <c r="P63" s="7" t="str">
        <f t="shared" si="2"/>
        <v>High</v>
      </c>
      <c r="Q63" s="4">
        <v>2593.7800000000002</v>
      </c>
      <c r="R63" s="4">
        <v>0.11</v>
      </c>
      <c r="S63" s="4">
        <v>12</v>
      </c>
      <c r="T63" s="4">
        <f t="shared" si="3"/>
        <v>7255.4580000000005</v>
      </c>
      <c r="U63">
        <f t="shared" si="0"/>
        <v>17641.800000000003</v>
      </c>
      <c r="V63" s="4">
        <f t="shared" si="4"/>
        <v>-10386.342000000002</v>
      </c>
      <c r="W63" s="4">
        <f t="shared" si="5"/>
        <v>-1.4315212078961799</v>
      </c>
    </row>
    <row r="64" spans="1:23" x14ac:dyDescent="0.3">
      <c r="A64" t="s">
        <v>216</v>
      </c>
      <c r="B64" s="6">
        <v>45774</v>
      </c>
      <c r="C64" s="2">
        <v>45802</v>
      </c>
      <c r="D64" s="4">
        <f t="shared" si="6"/>
        <v>28</v>
      </c>
      <c r="E64" s="4" t="str">
        <f>TEXT(Data!B64,"MMM-YYYY")</f>
        <v>Nov-2024</v>
      </c>
      <c r="F64" s="4" t="str">
        <f t="shared" si="1"/>
        <v>Q2-2025</v>
      </c>
      <c r="G64" t="s">
        <v>78</v>
      </c>
      <c r="H64" t="s">
        <v>90</v>
      </c>
      <c r="I64" t="s">
        <v>217</v>
      </c>
      <c r="J64" t="s">
        <v>62</v>
      </c>
      <c r="K64" t="s">
        <v>40</v>
      </c>
      <c r="L64" t="s">
        <v>34</v>
      </c>
      <c r="M64" t="s">
        <v>42</v>
      </c>
      <c r="N64" t="s">
        <v>218</v>
      </c>
      <c r="O64" s="4">
        <v>603.45000000000005</v>
      </c>
      <c r="P64" s="7" t="str">
        <f t="shared" si="2"/>
        <v>High</v>
      </c>
      <c r="Q64" s="4">
        <v>1244.08</v>
      </c>
      <c r="R64" s="4">
        <v>0.2</v>
      </c>
      <c r="S64" s="4">
        <v>11</v>
      </c>
      <c r="T64" s="4">
        <f t="shared" si="3"/>
        <v>9767.2960000000003</v>
      </c>
      <c r="U64">
        <f t="shared" si="0"/>
        <v>6637.9500000000007</v>
      </c>
      <c r="V64" s="4">
        <f t="shared" si="4"/>
        <v>3129.3459999999995</v>
      </c>
      <c r="W64" s="4">
        <f t="shared" si="5"/>
        <v>0.32039020830330106</v>
      </c>
    </row>
    <row r="65" spans="1:23" x14ac:dyDescent="0.3">
      <c r="A65" t="s">
        <v>219</v>
      </c>
      <c r="B65" s="6">
        <v>45598</v>
      </c>
      <c r="C65" s="2">
        <v>45614</v>
      </c>
      <c r="D65" s="4">
        <f t="shared" si="6"/>
        <v>16</v>
      </c>
      <c r="E65" s="4" t="str">
        <f>TEXT(Data!B65,"MMM-YYYY")</f>
        <v>Feb-2023</v>
      </c>
      <c r="F65" s="4" t="str">
        <f t="shared" si="1"/>
        <v>Q4-2024</v>
      </c>
      <c r="G65" t="s">
        <v>45</v>
      </c>
      <c r="H65" t="s">
        <v>60</v>
      </c>
      <c r="I65" t="s">
        <v>220</v>
      </c>
      <c r="J65" t="s">
        <v>62</v>
      </c>
      <c r="K65" t="s">
        <v>55</v>
      </c>
      <c r="L65" t="s">
        <v>68</v>
      </c>
      <c r="M65" t="s">
        <v>64</v>
      </c>
      <c r="N65" t="s">
        <v>221</v>
      </c>
      <c r="O65" s="4">
        <v>1233.58</v>
      </c>
      <c r="P65" s="7" t="str">
        <f t="shared" si="2"/>
        <v>High</v>
      </c>
      <c r="Q65" s="4">
        <v>1912.51</v>
      </c>
      <c r="R65" s="4">
        <v>0.255</v>
      </c>
      <c r="S65" s="4">
        <v>51</v>
      </c>
      <c r="T65" s="4">
        <f t="shared" si="3"/>
        <v>3175.2421499999996</v>
      </c>
      <c r="U65">
        <f t="shared" si="0"/>
        <v>62912.579999999994</v>
      </c>
      <c r="V65" s="4">
        <f t="shared" si="4"/>
        <v>-59737.337849999996</v>
      </c>
      <c r="W65" s="4">
        <f t="shared" si="5"/>
        <v>-18.813474698299782</v>
      </c>
    </row>
    <row r="66" spans="1:23" x14ac:dyDescent="0.3">
      <c r="A66" t="s">
        <v>222</v>
      </c>
      <c r="B66" s="6">
        <v>44972</v>
      </c>
      <c r="C66" s="2">
        <v>44983</v>
      </c>
      <c r="D66" s="4">
        <f t="shared" si="6"/>
        <v>11</v>
      </c>
      <c r="E66" s="4" t="str">
        <f>TEXT(Data!B66,"MMM-YYYY")</f>
        <v>Dec-2023</v>
      </c>
      <c r="F66" s="4" t="str">
        <f t="shared" si="1"/>
        <v>Q1-2023</v>
      </c>
      <c r="G66" t="s">
        <v>16</v>
      </c>
      <c r="H66" t="s">
        <v>148</v>
      </c>
      <c r="I66" t="s">
        <v>149</v>
      </c>
      <c r="J66" t="s">
        <v>39</v>
      </c>
      <c r="K66" t="s">
        <v>20</v>
      </c>
      <c r="L66" t="s">
        <v>95</v>
      </c>
      <c r="M66" t="s">
        <v>57</v>
      </c>
      <c r="N66" t="s">
        <v>223</v>
      </c>
      <c r="O66" s="4">
        <v>498.5</v>
      </c>
      <c r="P66" s="7" t="str">
        <f t="shared" si="2"/>
        <v>High</v>
      </c>
      <c r="Q66" s="4">
        <v>755.87</v>
      </c>
      <c r="R66" s="4">
        <v>0.13</v>
      </c>
      <c r="S66" s="4">
        <v>40</v>
      </c>
      <c r="T66" s="4">
        <f t="shared" ref="T66:T129" si="7">(Q92*S66)*(1-R66)</f>
        <v>44693.64</v>
      </c>
      <c r="U66">
        <f t="shared" ref="U66:U129" si="8">(O66*S66)</f>
        <v>19940</v>
      </c>
      <c r="V66" s="4">
        <f t="shared" si="4"/>
        <v>24753.64</v>
      </c>
      <c r="W66" s="4">
        <f t="shared" si="5"/>
        <v>0.55385150996875621</v>
      </c>
    </row>
    <row r="67" spans="1:23" x14ac:dyDescent="0.3">
      <c r="A67" t="s">
        <v>224</v>
      </c>
      <c r="B67" s="6">
        <v>45263</v>
      </c>
      <c r="C67" s="2">
        <v>45286</v>
      </c>
      <c r="D67" s="4">
        <f t="shared" si="6"/>
        <v>23</v>
      </c>
      <c r="E67" s="4" t="str">
        <f>TEXT(Data!B67,"MMM-YYYY")</f>
        <v>Mar-2023</v>
      </c>
      <c r="F67" s="4" t="str">
        <f t="shared" ref="F67:F130" si="9">"Q"&amp;ROUNDUP(MONTH(B67)/3,0)&amp;"-"&amp;YEAR(B67)</f>
        <v>Q4-2023</v>
      </c>
      <c r="G67" t="s">
        <v>52</v>
      </c>
      <c r="H67" t="s">
        <v>73</v>
      </c>
      <c r="I67" t="s">
        <v>225</v>
      </c>
      <c r="J67" t="s">
        <v>27</v>
      </c>
      <c r="K67" t="s">
        <v>20</v>
      </c>
      <c r="L67" t="s">
        <v>68</v>
      </c>
      <c r="M67" t="s">
        <v>42</v>
      </c>
      <c r="N67" t="s">
        <v>226</v>
      </c>
      <c r="O67" s="4">
        <v>1303.1099999999999</v>
      </c>
      <c r="P67" s="7" t="str">
        <f t="shared" ref="P67:P130" si="10">IF(Q67&lt;50, "Low", IF(Q67&lt;200, "Medium", "High"))</f>
        <v>High</v>
      </c>
      <c r="Q67" s="4">
        <v>1145.67</v>
      </c>
      <c r="R67" s="4">
        <v>0.184</v>
      </c>
      <c r="S67" s="4">
        <v>13</v>
      </c>
      <c r="T67" s="4">
        <f t="shared" si="7"/>
        <v>9671.5257600000004</v>
      </c>
      <c r="U67">
        <f t="shared" si="8"/>
        <v>16940.43</v>
      </c>
      <c r="V67" s="4">
        <f t="shared" ref="V67:V130" si="11">(T67-U67)</f>
        <v>-7268.9042399999998</v>
      </c>
      <c r="W67" s="4">
        <f t="shared" ref="W67:W130" si="12">IF(T67=0, 0, V67/T67)</f>
        <v>-0.75157781929952694</v>
      </c>
    </row>
    <row r="68" spans="1:23" x14ac:dyDescent="0.3">
      <c r="A68" t="s">
        <v>227</v>
      </c>
      <c r="B68" s="6">
        <v>45004</v>
      </c>
      <c r="C68" s="2">
        <v>45025</v>
      </c>
      <c r="D68" s="4">
        <f t="shared" ref="D68:D131" si="13">DATEDIF(B68,C68, "MD")</f>
        <v>21</v>
      </c>
      <c r="E68" s="4" t="str">
        <f>TEXT(Data!B68,"MMM-YYYY")</f>
        <v>May-2024</v>
      </c>
      <c r="F68" s="4" t="str">
        <f t="shared" si="9"/>
        <v>Q1-2023</v>
      </c>
      <c r="G68" t="s">
        <v>78</v>
      </c>
      <c r="H68" t="s">
        <v>108</v>
      </c>
      <c r="I68" t="s">
        <v>228</v>
      </c>
      <c r="J68" t="s">
        <v>48</v>
      </c>
      <c r="K68" t="s">
        <v>20</v>
      </c>
      <c r="L68" t="s">
        <v>49</v>
      </c>
      <c r="M68" t="s">
        <v>81</v>
      </c>
      <c r="N68" t="s">
        <v>229</v>
      </c>
      <c r="O68" s="4">
        <v>1082.17</v>
      </c>
      <c r="P68" s="7" t="str">
        <f t="shared" si="10"/>
        <v>High</v>
      </c>
      <c r="Q68" s="4">
        <v>1234.0999999999999</v>
      </c>
      <c r="R68" s="4">
        <v>0.189</v>
      </c>
      <c r="S68" s="4">
        <v>16</v>
      </c>
      <c r="T68" s="4">
        <f t="shared" si="7"/>
        <v>18232.188319999997</v>
      </c>
      <c r="U68">
        <f t="shared" si="8"/>
        <v>17314.72</v>
      </c>
      <c r="V68" s="4">
        <f t="shared" si="11"/>
        <v>917.46831999999631</v>
      </c>
      <c r="W68" s="4">
        <f t="shared" si="12"/>
        <v>5.0321349467061474E-2</v>
      </c>
    </row>
    <row r="69" spans="1:23" x14ac:dyDescent="0.3">
      <c r="A69" t="s">
        <v>230</v>
      </c>
      <c r="B69" s="6">
        <v>45434</v>
      </c>
      <c r="C69" s="2">
        <v>45449</v>
      </c>
      <c r="D69" s="4">
        <f t="shared" si="13"/>
        <v>15</v>
      </c>
      <c r="E69" s="4" t="str">
        <f>TEXT(Data!B69,"MMM-YYYY")</f>
        <v>Aug-2023</v>
      </c>
      <c r="F69" s="4" t="str">
        <f t="shared" si="9"/>
        <v>Q2-2024</v>
      </c>
      <c r="G69" t="s">
        <v>45</v>
      </c>
      <c r="H69" t="s">
        <v>46</v>
      </c>
      <c r="I69" t="s">
        <v>231</v>
      </c>
      <c r="J69" t="s">
        <v>19</v>
      </c>
      <c r="K69" t="s">
        <v>55</v>
      </c>
      <c r="L69" t="s">
        <v>21</v>
      </c>
      <c r="M69" t="s">
        <v>64</v>
      </c>
      <c r="N69" t="s">
        <v>232</v>
      </c>
      <c r="O69" s="4">
        <v>673.88</v>
      </c>
      <c r="P69" s="7" t="str">
        <f t="shared" si="10"/>
        <v>High</v>
      </c>
      <c r="Q69" s="4">
        <v>1228.01</v>
      </c>
      <c r="R69" s="4">
        <v>0.105</v>
      </c>
      <c r="S69" s="4">
        <v>13</v>
      </c>
      <c r="T69" s="4">
        <f t="shared" si="7"/>
        <v>11273.616900000001</v>
      </c>
      <c r="U69">
        <f t="shared" si="8"/>
        <v>8760.44</v>
      </c>
      <c r="V69" s="4">
        <f t="shared" si="11"/>
        <v>2513.1769000000004</v>
      </c>
      <c r="W69" s="4">
        <f t="shared" si="12"/>
        <v>0.22292551913840536</v>
      </c>
    </row>
    <row r="70" spans="1:23" x14ac:dyDescent="0.3">
      <c r="A70" t="s">
        <v>233</v>
      </c>
      <c r="B70" s="6">
        <v>45157</v>
      </c>
      <c r="C70" s="2">
        <v>45176</v>
      </c>
      <c r="D70" s="4">
        <f t="shared" si="13"/>
        <v>19</v>
      </c>
      <c r="E70" s="4" t="str">
        <f>TEXT(Data!B70,"MMM-YYYY")</f>
        <v>Apr-2023</v>
      </c>
      <c r="F70" s="4" t="str">
        <f t="shared" si="9"/>
        <v>Q3-2023</v>
      </c>
      <c r="G70" t="s">
        <v>16</v>
      </c>
      <c r="H70" t="s">
        <v>148</v>
      </c>
      <c r="I70" t="s">
        <v>149</v>
      </c>
      <c r="J70" t="s">
        <v>105</v>
      </c>
      <c r="K70" t="s">
        <v>20</v>
      </c>
      <c r="L70" t="s">
        <v>145</v>
      </c>
      <c r="M70" t="s">
        <v>64</v>
      </c>
      <c r="N70" t="s">
        <v>234</v>
      </c>
      <c r="O70" s="4">
        <v>494.61</v>
      </c>
      <c r="P70" s="7" t="str">
        <f t="shared" si="10"/>
        <v>High</v>
      </c>
      <c r="Q70" s="4">
        <v>605.23</v>
      </c>
      <c r="R70" s="4">
        <v>0.20399999999999999</v>
      </c>
      <c r="S70" s="4">
        <v>18</v>
      </c>
      <c r="T70" s="4">
        <f t="shared" si="7"/>
        <v>15600.46968</v>
      </c>
      <c r="U70">
        <f t="shared" si="8"/>
        <v>8902.98</v>
      </c>
      <c r="V70" s="4">
        <f t="shared" si="11"/>
        <v>6697.4896800000006</v>
      </c>
      <c r="W70" s="4">
        <f t="shared" si="12"/>
        <v>0.42931333590464055</v>
      </c>
    </row>
    <row r="71" spans="1:23" x14ac:dyDescent="0.3">
      <c r="A71" t="s">
        <v>235</v>
      </c>
      <c r="B71" s="6">
        <v>45037</v>
      </c>
      <c r="C71" s="2">
        <v>45056</v>
      </c>
      <c r="D71" s="4">
        <f t="shared" si="13"/>
        <v>19</v>
      </c>
      <c r="E71" s="4" t="str">
        <f>TEXT(Data!B71,"MMM-YYYY")</f>
        <v>Mar-2024</v>
      </c>
      <c r="F71" s="4" t="str">
        <f t="shared" si="9"/>
        <v>Q2-2023</v>
      </c>
      <c r="G71" t="s">
        <v>45</v>
      </c>
      <c r="H71" t="s">
        <v>116</v>
      </c>
      <c r="I71" t="s">
        <v>162</v>
      </c>
      <c r="J71" t="s">
        <v>19</v>
      </c>
      <c r="K71" t="s">
        <v>20</v>
      </c>
      <c r="L71" t="s">
        <v>75</v>
      </c>
      <c r="M71" t="s">
        <v>22</v>
      </c>
      <c r="N71" t="s">
        <v>236</v>
      </c>
      <c r="O71" s="4">
        <v>882.33</v>
      </c>
      <c r="P71" s="7" t="str">
        <f t="shared" si="10"/>
        <v>High</v>
      </c>
      <c r="Q71" s="4">
        <v>1880.15</v>
      </c>
      <c r="R71" s="4">
        <v>0.05</v>
      </c>
      <c r="S71" s="4">
        <v>5</v>
      </c>
      <c r="T71" s="4">
        <f t="shared" si="7"/>
        <v>11803.702499999998</v>
      </c>
      <c r="U71">
        <f t="shared" si="8"/>
        <v>4411.6500000000005</v>
      </c>
      <c r="V71" s="4">
        <f t="shared" si="11"/>
        <v>7392.0524999999971</v>
      </c>
      <c r="W71" s="4">
        <f t="shared" si="12"/>
        <v>0.6262486283435218</v>
      </c>
    </row>
    <row r="72" spans="1:23" x14ac:dyDescent="0.3">
      <c r="A72" t="s">
        <v>237</v>
      </c>
      <c r="B72" s="6">
        <v>45369</v>
      </c>
      <c r="C72" s="2">
        <v>45372</v>
      </c>
      <c r="D72" s="4">
        <f t="shared" si="13"/>
        <v>3</v>
      </c>
      <c r="E72" s="4" t="str">
        <f>TEXT(Data!B72,"MMM-YYYY")</f>
        <v>Apr-2025</v>
      </c>
      <c r="F72" s="4" t="str">
        <f t="shared" si="9"/>
        <v>Q1-2024</v>
      </c>
      <c r="G72" t="s">
        <v>78</v>
      </c>
      <c r="H72" t="s">
        <v>79</v>
      </c>
      <c r="I72" t="s">
        <v>159</v>
      </c>
      <c r="J72" t="s">
        <v>62</v>
      </c>
      <c r="K72" t="s">
        <v>28</v>
      </c>
      <c r="L72" t="s">
        <v>110</v>
      </c>
      <c r="M72" t="s">
        <v>81</v>
      </c>
      <c r="N72" t="s">
        <v>238</v>
      </c>
      <c r="O72" s="4">
        <v>910.63</v>
      </c>
      <c r="P72" s="7" t="str">
        <f t="shared" si="10"/>
        <v>High</v>
      </c>
      <c r="Q72" s="4">
        <v>1269.4000000000001</v>
      </c>
      <c r="R72" s="4">
        <v>6.8000000000000005E-2</v>
      </c>
      <c r="S72" s="4">
        <v>9</v>
      </c>
      <c r="T72" s="4">
        <f t="shared" si="7"/>
        <v>240.65172000000001</v>
      </c>
      <c r="U72">
        <f t="shared" si="8"/>
        <v>8195.67</v>
      </c>
      <c r="V72" s="4">
        <f t="shared" si="11"/>
        <v>-7955.0182800000002</v>
      </c>
      <c r="W72" s="4">
        <f t="shared" si="12"/>
        <v>-33.05614553679483</v>
      </c>
    </row>
    <row r="73" spans="1:23" x14ac:dyDescent="0.3">
      <c r="A73" t="s">
        <v>239</v>
      </c>
      <c r="B73" s="6">
        <v>45756</v>
      </c>
      <c r="C73" s="2">
        <v>45783</v>
      </c>
      <c r="D73" s="4">
        <f t="shared" si="13"/>
        <v>27</v>
      </c>
      <c r="E73" s="4" t="str">
        <f>TEXT(Data!B73,"MMM-YYYY")</f>
        <v>Apr-2024</v>
      </c>
      <c r="F73" s="4" t="str">
        <f t="shared" si="9"/>
        <v>Q2-2025</v>
      </c>
      <c r="G73" t="s">
        <v>52</v>
      </c>
      <c r="H73" t="s">
        <v>73</v>
      </c>
      <c r="I73" t="s">
        <v>87</v>
      </c>
      <c r="J73" t="s">
        <v>105</v>
      </c>
      <c r="K73" t="s">
        <v>40</v>
      </c>
      <c r="L73" t="s">
        <v>84</v>
      </c>
      <c r="M73" t="s">
        <v>57</v>
      </c>
      <c r="N73" t="s">
        <v>240</v>
      </c>
      <c r="O73" s="4">
        <v>264.19</v>
      </c>
      <c r="P73" s="7" t="str">
        <f t="shared" si="10"/>
        <v>High</v>
      </c>
      <c r="Q73" s="4">
        <v>620.92999999999995</v>
      </c>
      <c r="R73" s="4">
        <v>0.14199999999999999</v>
      </c>
      <c r="S73" s="4">
        <v>12</v>
      </c>
      <c r="T73" s="4">
        <f t="shared" si="7"/>
        <v>19527.59952</v>
      </c>
      <c r="U73">
        <f t="shared" si="8"/>
        <v>3170.2799999999997</v>
      </c>
      <c r="V73" s="4">
        <f t="shared" si="11"/>
        <v>16357.319520000001</v>
      </c>
      <c r="W73" s="4">
        <f t="shared" si="12"/>
        <v>0.83765132028885447</v>
      </c>
    </row>
    <row r="74" spans="1:23" x14ac:dyDescent="0.3">
      <c r="A74" t="s">
        <v>241</v>
      </c>
      <c r="B74" s="6">
        <v>45394</v>
      </c>
      <c r="C74" s="2">
        <v>45419</v>
      </c>
      <c r="D74" s="4">
        <f t="shared" si="13"/>
        <v>25</v>
      </c>
      <c r="E74" s="4" t="str">
        <f>TEXT(Data!B74,"MMM-YYYY")</f>
        <v>Dec-2024</v>
      </c>
      <c r="F74" s="4" t="str">
        <f t="shared" si="9"/>
        <v>Q2-2024</v>
      </c>
      <c r="G74" t="s">
        <v>16</v>
      </c>
      <c r="H74" t="s">
        <v>148</v>
      </c>
      <c r="I74" t="s">
        <v>149</v>
      </c>
      <c r="J74" t="s">
        <v>27</v>
      </c>
      <c r="K74" t="s">
        <v>55</v>
      </c>
      <c r="L74" t="s">
        <v>75</v>
      </c>
      <c r="M74" t="s">
        <v>57</v>
      </c>
      <c r="N74" t="s">
        <v>242</v>
      </c>
      <c r="O74" s="4">
        <v>1376.51</v>
      </c>
      <c r="P74" s="7" t="str">
        <f t="shared" si="10"/>
        <v>High</v>
      </c>
      <c r="Q74" s="4">
        <v>1455.91</v>
      </c>
      <c r="R74" s="4">
        <v>0.185</v>
      </c>
      <c r="S74" s="4">
        <v>17</v>
      </c>
      <c r="T74" s="4">
        <f t="shared" si="7"/>
        <v>5807.6003499999997</v>
      </c>
      <c r="U74">
        <f t="shared" si="8"/>
        <v>23400.67</v>
      </c>
      <c r="V74" s="4">
        <f t="shared" si="11"/>
        <v>-17593.069649999998</v>
      </c>
      <c r="W74" s="4">
        <f t="shared" si="12"/>
        <v>-3.0293182364037841</v>
      </c>
    </row>
    <row r="75" spans="1:23" x14ac:dyDescent="0.3">
      <c r="A75" t="s">
        <v>243</v>
      </c>
      <c r="B75" s="6">
        <v>45641</v>
      </c>
      <c r="C75" s="2">
        <v>45646</v>
      </c>
      <c r="D75" s="4">
        <f t="shared" si="13"/>
        <v>5</v>
      </c>
      <c r="E75" s="4" t="str">
        <f>TEXT(Data!B75,"MMM-YYYY")</f>
        <v>May-2023</v>
      </c>
      <c r="F75" s="4" t="str">
        <f t="shared" si="9"/>
        <v>Q4-2024</v>
      </c>
      <c r="G75" t="s">
        <v>45</v>
      </c>
      <c r="H75" t="s">
        <v>116</v>
      </c>
      <c r="I75" t="s">
        <v>117</v>
      </c>
      <c r="J75" t="s">
        <v>62</v>
      </c>
      <c r="K75" t="s">
        <v>98</v>
      </c>
      <c r="L75" t="s">
        <v>29</v>
      </c>
      <c r="M75" t="s">
        <v>35</v>
      </c>
      <c r="N75" t="s">
        <v>244</v>
      </c>
      <c r="O75" s="4">
        <v>717.55</v>
      </c>
      <c r="P75" s="7" t="str">
        <f t="shared" si="10"/>
        <v>High</v>
      </c>
      <c r="Q75" s="4">
        <v>546.42999999999995</v>
      </c>
      <c r="R75" s="4">
        <v>4.7E-2</v>
      </c>
      <c r="S75" s="4">
        <v>18</v>
      </c>
      <c r="T75" s="4">
        <f t="shared" si="7"/>
        <v>34328.070179999995</v>
      </c>
      <c r="U75">
        <f t="shared" si="8"/>
        <v>12915.9</v>
      </c>
      <c r="V75" s="4">
        <f t="shared" si="11"/>
        <v>21412.170179999994</v>
      </c>
      <c r="W75" s="4">
        <f t="shared" si="12"/>
        <v>0.62375106050893059</v>
      </c>
    </row>
    <row r="76" spans="1:23" x14ac:dyDescent="0.3">
      <c r="A76" t="s">
        <v>245</v>
      </c>
      <c r="B76" s="6">
        <v>45066</v>
      </c>
      <c r="C76" s="2">
        <v>45064</v>
      </c>
      <c r="D76" s="4">
        <f>DATEDIF(C76,B76, "MD")</f>
        <v>2</v>
      </c>
      <c r="E76" s="4" t="str">
        <f>TEXT(Data!B76,"MMM-YYYY")</f>
        <v>Sep-2023</v>
      </c>
      <c r="F76" s="4" t="str">
        <f t="shared" si="9"/>
        <v>Q2-2023</v>
      </c>
      <c r="G76" t="s">
        <v>16</v>
      </c>
      <c r="H76" t="s">
        <v>148</v>
      </c>
      <c r="I76" t="s">
        <v>172</v>
      </c>
      <c r="J76" t="s">
        <v>19</v>
      </c>
      <c r="K76" t="s">
        <v>55</v>
      </c>
      <c r="L76" t="s">
        <v>75</v>
      </c>
      <c r="M76" t="s">
        <v>22</v>
      </c>
      <c r="N76" t="s">
        <v>246</v>
      </c>
      <c r="O76" s="4">
        <v>917.88</v>
      </c>
      <c r="P76" s="7" t="str">
        <f t="shared" si="10"/>
        <v>High</v>
      </c>
      <c r="Q76" s="4">
        <v>1347.92</v>
      </c>
      <c r="R76" s="4">
        <v>0.34300000000000003</v>
      </c>
      <c r="S76" s="4">
        <v>5</v>
      </c>
      <c r="T76" s="4">
        <f t="shared" si="7"/>
        <v>10198.97235</v>
      </c>
      <c r="U76">
        <f t="shared" si="8"/>
        <v>4589.3999999999996</v>
      </c>
      <c r="V76" s="4">
        <f t="shared" si="11"/>
        <v>5609.5723500000004</v>
      </c>
      <c r="W76" s="4">
        <f t="shared" si="12"/>
        <v>0.55001348738826616</v>
      </c>
    </row>
    <row r="77" spans="1:23" x14ac:dyDescent="0.3">
      <c r="A77" t="s">
        <v>247</v>
      </c>
      <c r="B77" s="6">
        <v>45187</v>
      </c>
      <c r="C77" s="2">
        <v>45207</v>
      </c>
      <c r="D77" s="4">
        <f t="shared" si="13"/>
        <v>20</v>
      </c>
      <c r="E77" s="4" t="str">
        <f>TEXT(Data!B77,"MMM-YYYY")</f>
        <v>Aug-2024</v>
      </c>
      <c r="F77" s="4" t="str">
        <f t="shared" si="9"/>
        <v>Q3-2023</v>
      </c>
      <c r="G77" t="s">
        <v>45</v>
      </c>
      <c r="H77" t="s">
        <v>60</v>
      </c>
      <c r="I77" t="s">
        <v>141</v>
      </c>
      <c r="J77" t="s">
        <v>62</v>
      </c>
      <c r="K77" t="s">
        <v>98</v>
      </c>
      <c r="L77" t="s">
        <v>56</v>
      </c>
      <c r="M77" t="s">
        <v>22</v>
      </c>
      <c r="N77" t="s">
        <v>248</v>
      </c>
      <c r="O77" s="4">
        <v>825.64</v>
      </c>
      <c r="P77" s="7" t="str">
        <f t="shared" si="10"/>
        <v>High</v>
      </c>
      <c r="Q77" s="4">
        <v>1108.43</v>
      </c>
      <c r="R77" s="4">
        <v>0.114</v>
      </c>
      <c r="S77" s="4">
        <v>7</v>
      </c>
      <c r="T77" s="4">
        <f t="shared" si="7"/>
        <v>2073.2045600000001</v>
      </c>
      <c r="U77">
        <f t="shared" si="8"/>
        <v>5779.48</v>
      </c>
      <c r="V77" s="4">
        <f t="shared" si="11"/>
        <v>-3706.2754399999994</v>
      </c>
      <c r="W77" s="4">
        <f t="shared" si="12"/>
        <v>-1.7877036890175464</v>
      </c>
    </row>
    <row r="78" spans="1:23" x14ac:dyDescent="0.3">
      <c r="A78" t="s">
        <v>249</v>
      </c>
      <c r="B78" s="6">
        <v>45532</v>
      </c>
      <c r="C78" s="2">
        <v>45560</v>
      </c>
      <c r="D78" s="4">
        <f t="shared" si="13"/>
        <v>28</v>
      </c>
      <c r="E78" s="4" t="str">
        <f>TEXT(Data!B78,"MMM-YYYY")</f>
        <v>Jun-2024</v>
      </c>
      <c r="F78" s="4" t="str">
        <f t="shared" si="9"/>
        <v>Q3-2024</v>
      </c>
      <c r="G78" t="s">
        <v>52</v>
      </c>
      <c r="H78" t="s">
        <v>73</v>
      </c>
      <c r="I78" t="s">
        <v>225</v>
      </c>
      <c r="J78" t="s">
        <v>39</v>
      </c>
      <c r="K78" t="s">
        <v>28</v>
      </c>
      <c r="L78" t="s">
        <v>1364</v>
      </c>
      <c r="M78" t="s">
        <v>81</v>
      </c>
      <c r="N78" t="s">
        <v>250</v>
      </c>
      <c r="O78" s="4">
        <v>1394.65</v>
      </c>
      <c r="P78" s="7" t="str">
        <f t="shared" si="10"/>
        <v>High</v>
      </c>
      <c r="Q78" s="4">
        <v>3144.1</v>
      </c>
      <c r="R78" s="4">
        <v>0.13400000000000001</v>
      </c>
      <c r="S78" s="4">
        <v>13</v>
      </c>
      <c r="T78" s="4">
        <f t="shared" si="7"/>
        <v>21984.960139999999</v>
      </c>
      <c r="U78">
        <f t="shared" si="8"/>
        <v>18130.45</v>
      </c>
      <c r="V78" s="4">
        <f t="shared" si="11"/>
        <v>3854.5101399999985</v>
      </c>
      <c r="W78" s="4">
        <f t="shared" si="12"/>
        <v>0.17532486370020767</v>
      </c>
    </row>
    <row r="79" spans="1:23" x14ac:dyDescent="0.3">
      <c r="A79" t="s">
        <v>251</v>
      </c>
      <c r="B79" s="6">
        <v>45473</v>
      </c>
      <c r="C79" s="2">
        <v>45471</v>
      </c>
      <c r="D79" s="4">
        <f>DATEDIF(C79,B79, "MD")</f>
        <v>2</v>
      </c>
      <c r="E79" s="4" t="str">
        <f>TEXT(Data!B79,"MMM-YYYY")</f>
        <v>Jun-2023</v>
      </c>
      <c r="F79" s="4" t="str">
        <f t="shared" si="9"/>
        <v>Q2-2024</v>
      </c>
      <c r="G79" t="s">
        <v>52</v>
      </c>
      <c r="H79" t="s">
        <v>73</v>
      </c>
      <c r="I79" t="s">
        <v>225</v>
      </c>
      <c r="J79" t="s">
        <v>62</v>
      </c>
      <c r="K79" t="s">
        <v>98</v>
      </c>
      <c r="L79" t="s">
        <v>49</v>
      </c>
      <c r="M79" t="s">
        <v>81</v>
      </c>
      <c r="N79" t="s">
        <v>252</v>
      </c>
      <c r="O79" s="4">
        <v>1112.98</v>
      </c>
      <c r="P79" s="7" t="str">
        <f t="shared" si="10"/>
        <v>High</v>
      </c>
      <c r="Q79" s="4">
        <v>2095.73</v>
      </c>
      <c r="R79" s="4">
        <v>7.1999999999999995E-2</v>
      </c>
      <c r="S79" s="4">
        <v>17</v>
      </c>
      <c r="T79" s="4">
        <f t="shared" si="7"/>
        <v>3822.3670400000005</v>
      </c>
      <c r="U79">
        <f t="shared" si="8"/>
        <v>18920.66</v>
      </c>
      <c r="V79" s="4">
        <f t="shared" si="11"/>
        <v>-15098.292959999999</v>
      </c>
      <c r="W79" s="4">
        <f t="shared" si="12"/>
        <v>-3.9499851275402365</v>
      </c>
    </row>
    <row r="80" spans="1:23" x14ac:dyDescent="0.3">
      <c r="A80" t="s">
        <v>253</v>
      </c>
      <c r="B80" s="6">
        <v>45091</v>
      </c>
      <c r="C80" s="2">
        <v>45093</v>
      </c>
      <c r="D80" s="4">
        <f t="shared" si="13"/>
        <v>2</v>
      </c>
      <c r="E80" s="4" t="str">
        <f>TEXT(Data!B80,"MMM-YYYY")</f>
        <v>Nov-2024</v>
      </c>
      <c r="F80" s="4" t="str">
        <f t="shared" si="9"/>
        <v>Q2-2023</v>
      </c>
      <c r="G80" t="s">
        <v>78</v>
      </c>
      <c r="H80" t="s">
        <v>108</v>
      </c>
      <c r="I80" t="s">
        <v>228</v>
      </c>
      <c r="J80" t="s">
        <v>39</v>
      </c>
      <c r="K80" t="s">
        <v>98</v>
      </c>
      <c r="L80" t="s">
        <v>95</v>
      </c>
      <c r="M80" t="s">
        <v>22</v>
      </c>
      <c r="N80" t="s">
        <v>254</v>
      </c>
      <c r="O80" s="4">
        <v>357.36</v>
      </c>
      <c r="P80" s="7" t="str">
        <f t="shared" si="10"/>
        <v>High</v>
      </c>
      <c r="Q80" s="4">
        <v>703.62</v>
      </c>
      <c r="R80" s="4">
        <v>0.25700000000000001</v>
      </c>
      <c r="S80" s="4">
        <v>20</v>
      </c>
      <c r="T80" s="4">
        <f t="shared" si="7"/>
        <v>44117.408199999998</v>
      </c>
      <c r="U80">
        <f t="shared" si="8"/>
        <v>7147.2000000000007</v>
      </c>
      <c r="V80" s="4">
        <f t="shared" si="11"/>
        <v>36970.208199999994</v>
      </c>
      <c r="W80" s="4">
        <f t="shared" si="12"/>
        <v>0.83799592288832592</v>
      </c>
    </row>
    <row r="81" spans="1:23" x14ac:dyDescent="0.3">
      <c r="A81" t="s">
        <v>255</v>
      </c>
      <c r="B81" s="6">
        <v>45617</v>
      </c>
      <c r="C81" s="2">
        <v>45647</v>
      </c>
      <c r="D81" s="4">
        <f t="shared" si="13"/>
        <v>0</v>
      </c>
      <c r="E81" s="4" t="str">
        <f>TEXT(Data!B81,"MMM-YYYY")</f>
        <v>Feb-2023</v>
      </c>
      <c r="F81" s="4" t="str">
        <f t="shared" si="9"/>
        <v>Q4-2024</v>
      </c>
      <c r="G81" t="s">
        <v>78</v>
      </c>
      <c r="H81" t="s">
        <v>90</v>
      </c>
      <c r="I81" t="s">
        <v>91</v>
      </c>
      <c r="J81" t="s">
        <v>62</v>
      </c>
      <c r="K81" t="s">
        <v>98</v>
      </c>
      <c r="L81" t="s">
        <v>34</v>
      </c>
      <c r="M81" t="s">
        <v>64</v>
      </c>
      <c r="N81" t="s">
        <v>256</v>
      </c>
      <c r="O81" s="4">
        <v>1122.68</v>
      </c>
      <c r="P81" s="7" t="str">
        <f t="shared" si="10"/>
        <v>High</v>
      </c>
      <c r="Q81" s="4">
        <v>1997.19</v>
      </c>
      <c r="R81" s="4">
        <v>0.186</v>
      </c>
      <c r="S81" s="4">
        <v>3</v>
      </c>
      <c r="T81" s="4">
        <f t="shared" si="7"/>
        <v>3404.8806</v>
      </c>
      <c r="U81">
        <f t="shared" si="8"/>
        <v>3368.04</v>
      </c>
      <c r="V81" s="4">
        <f t="shared" si="11"/>
        <v>36.840599999999995</v>
      </c>
      <c r="W81" s="4">
        <f t="shared" si="12"/>
        <v>1.081993888420052E-2</v>
      </c>
    </row>
    <row r="82" spans="1:23" x14ac:dyDescent="0.3">
      <c r="A82" t="s">
        <v>257</v>
      </c>
      <c r="B82" s="6">
        <v>44965</v>
      </c>
      <c r="C82" s="2">
        <v>44968</v>
      </c>
      <c r="D82" s="4">
        <f t="shared" si="13"/>
        <v>3</v>
      </c>
      <c r="E82" s="4" t="str">
        <f>TEXT(Data!B82,"MMM-YYYY")</f>
        <v>Aug-2023</v>
      </c>
      <c r="F82" s="4" t="str">
        <f t="shared" si="9"/>
        <v>Q1-2023</v>
      </c>
      <c r="G82" t="s">
        <v>16</v>
      </c>
      <c r="H82" t="s">
        <v>148</v>
      </c>
      <c r="I82" t="s">
        <v>258</v>
      </c>
      <c r="J82" t="s">
        <v>19</v>
      </c>
      <c r="K82" t="s">
        <v>98</v>
      </c>
      <c r="L82" t="s">
        <v>110</v>
      </c>
      <c r="M82" t="s">
        <v>35</v>
      </c>
      <c r="N82" t="s">
        <v>259</v>
      </c>
      <c r="O82" s="4">
        <v>1410.05</v>
      </c>
      <c r="P82" s="7" t="str">
        <f t="shared" si="10"/>
        <v>High</v>
      </c>
      <c r="Q82" s="4">
        <v>2763.95</v>
      </c>
      <c r="R82" s="4">
        <v>0.161</v>
      </c>
      <c r="S82" s="4">
        <v>26</v>
      </c>
      <c r="T82" s="4">
        <f t="shared" si="7"/>
        <v>336.15374000000003</v>
      </c>
      <c r="U82">
        <f t="shared" si="8"/>
        <v>36661.299999999996</v>
      </c>
      <c r="V82" s="4">
        <f t="shared" si="11"/>
        <v>-36325.146259999994</v>
      </c>
      <c r="W82" s="4">
        <f t="shared" si="12"/>
        <v>-108.06110995522462</v>
      </c>
    </row>
    <row r="83" spans="1:23" x14ac:dyDescent="0.3">
      <c r="A83" t="s">
        <v>260</v>
      </c>
      <c r="B83" s="6">
        <v>45157</v>
      </c>
      <c r="C83" s="2">
        <v>45181</v>
      </c>
      <c r="D83" s="4">
        <f t="shared" si="13"/>
        <v>24</v>
      </c>
      <c r="E83" s="4" t="str">
        <f>TEXT(Data!B83,"MMM-YYYY")</f>
        <v>May-2025</v>
      </c>
      <c r="F83" s="4" t="str">
        <f t="shared" si="9"/>
        <v>Q3-2023</v>
      </c>
      <c r="G83" t="s">
        <v>52</v>
      </c>
      <c r="H83" t="s">
        <v>53</v>
      </c>
      <c r="I83" t="s">
        <v>179</v>
      </c>
      <c r="J83" t="s">
        <v>105</v>
      </c>
      <c r="K83" t="s">
        <v>20</v>
      </c>
      <c r="L83" t="s">
        <v>34</v>
      </c>
      <c r="M83" t="s">
        <v>30</v>
      </c>
      <c r="N83" t="s">
        <v>261</v>
      </c>
      <c r="O83" s="4">
        <v>1183.95</v>
      </c>
      <c r="P83" s="7" t="str">
        <f t="shared" si="10"/>
        <v>High</v>
      </c>
      <c r="Q83" s="4">
        <v>1503.53</v>
      </c>
      <c r="R83" s="4">
        <v>0.24099999999999999</v>
      </c>
      <c r="S83" s="4">
        <v>16</v>
      </c>
      <c r="T83" s="4">
        <f t="shared" si="7"/>
        <v>27333.836640000001</v>
      </c>
      <c r="U83">
        <f t="shared" si="8"/>
        <v>18943.2</v>
      </c>
      <c r="V83" s="4">
        <f t="shared" si="11"/>
        <v>8390.6366400000006</v>
      </c>
      <c r="W83" s="4">
        <f t="shared" si="12"/>
        <v>0.30696885879976488</v>
      </c>
    </row>
    <row r="84" spans="1:23" x14ac:dyDescent="0.3">
      <c r="A84" t="s">
        <v>262</v>
      </c>
      <c r="B84" s="6">
        <v>45791</v>
      </c>
      <c r="C84" s="2">
        <v>45801</v>
      </c>
      <c r="D84" s="4">
        <f t="shared" si="13"/>
        <v>10</v>
      </c>
      <c r="E84" s="4" t="str">
        <f>TEXT(Data!B84,"MMM-YYYY")</f>
        <v>Apr-2025</v>
      </c>
      <c r="F84" s="4" t="str">
        <f t="shared" si="9"/>
        <v>Q2-2025</v>
      </c>
      <c r="G84" t="s">
        <v>78</v>
      </c>
      <c r="H84" t="s">
        <v>90</v>
      </c>
      <c r="I84" t="s">
        <v>217</v>
      </c>
      <c r="J84" t="s">
        <v>62</v>
      </c>
      <c r="K84" t="s">
        <v>40</v>
      </c>
      <c r="L84" t="s">
        <v>95</v>
      </c>
      <c r="M84" t="s">
        <v>22</v>
      </c>
      <c r="N84" t="s">
        <v>263</v>
      </c>
      <c r="O84" s="4">
        <v>170.39</v>
      </c>
      <c r="P84" s="7" t="str">
        <f t="shared" si="10"/>
        <v>High</v>
      </c>
      <c r="Q84" s="4">
        <v>388.04</v>
      </c>
      <c r="R84" s="4">
        <v>8.4000000000000005E-2</v>
      </c>
      <c r="S84" s="4">
        <v>15</v>
      </c>
      <c r="T84" s="4">
        <f t="shared" si="7"/>
        <v>2281.3896</v>
      </c>
      <c r="U84">
        <f t="shared" si="8"/>
        <v>2555.85</v>
      </c>
      <c r="V84" s="4">
        <f t="shared" si="11"/>
        <v>-274.46039999999994</v>
      </c>
      <c r="W84" s="4">
        <f t="shared" si="12"/>
        <v>-0.12030404627074653</v>
      </c>
    </row>
    <row r="85" spans="1:23" x14ac:dyDescent="0.3">
      <c r="A85" t="s">
        <v>264</v>
      </c>
      <c r="B85" s="6">
        <v>45770</v>
      </c>
      <c r="C85" s="2">
        <v>45769</v>
      </c>
      <c r="D85" s="4">
        <f>DATEDIF(C85,B85, "MD")</f>
        <v>1</v>
      </c>
      <c r="E85" s="4" t="str">
        <f>TEXT(Data!B85,"MMM-YYYY")</f>
        <v>Mar-2025</v>
      </c>
      <c r="F85" s="4" t="str">
        <f t="shared" si="9"/>
        <v>Q2-2025</v>
      </c>
      <c r="G85" t="s">
        <v>52</v>
      </c>
      <c r="H85" t="s">
        <v>122</v>
      </c>
      <c r="I85" t="s">
        <v>167</v>
      </c>
      <c r="J85" t="s">
        <v>39</v>
      </c>
      <c r="K85" t="s">
        <v>55</v>
      </c>
      <c r="L85" t="s">
        <v>145</v>
      </c>
      <c r="M85" t="s">
        <v>64</v>
      </c>
      <c r="N85" t="s">
        <v>265</v>
      </c>
      <c r="O85" s="4">
        <v>23.24</v>
      </c>
      <c r="P85" s="7" t="str">
        <f t="shared" si="10"/>
        <v>Low</v>
      </c>
      <c r="Q85" s="4">
        <v>44.57</v>
      </c>
      <c r="R85" s="4">
        <v>0.215</v>
      </c>
      <c r="S85" s="4">
        <v>15</v>
      </c>
      <c r="T85" s="4">
        <f t="shared" si="7"/>
        <v>4198.3762500000003</v>
      </c>
      <c r="U85">
        <f t="shared" si="8"/>
        <v>348.59999999999997</v>
      </c>
      <c r="V85" s="4">
        <f t="shared" si="11"/>
        <v>3849.7762500000003</v>
      </c>
      <c r="W85" s="4">
        <f t="shared" si="12"/>
        <v>0.91696789919674304</v>
      </c>
    </row>
    <row r="86" spans="1:23" x14ac:dyDescent="0.3">
      <c r="A86" t="s">
        <v>266</v>
      </c>
      <c r="B86" s="6">
        <v>45741</v>
      </c>
      <c r="C86" s="2">
        <v>45764</v>
      </c>
      <c r="D86" s="4">
        <f t="shared" si="13"/>
        <v>23</v>
      </c>
      <c r="E86" s="4" t="str">
        <f>TEXT(Data!B86,"MMM-YYYY")</f>
        <v>Dec-2023</v>
      </c>
      <c r="F86" s="4" t="str">
        <f t="shared" si="9"/>
        <v>Q1-2025</v>
      </c>
      <c r="G86" t="s">
        <v>78</v>
      </c>
      <c r="H86" t="s">
        <v>108</v>
      </c>
      <c r="I86" t="s">
        <v>152</v>
      </c>
      <c r="J86" t="s">
        <v>48</v>
      </c>
      <c r="K86" t="s">
        <v>20</v>
      </c>
      <c r="L86" t="s">
        <v>92</v>
      </c>
      <c r="M86" t="s">
        <v>35</v>
      </c>
      <c r="N86" t="s">
        <v>267</v>
      </c>
      <c r="O86" s="4">
        <v>1421.19</v>
      </c>
      <c r="P86" s="7" t="str">
        <f t="shared" si="10"/>
        <v>High</v>
      </c>
      <c r="Q86" s="4">
        <v>1808.26</v>
      </c>
      <c r="R86" s="4">
        <v>0.104</v>
      </c>
      <c r="S86" s="4">
        <v>13</v>
      </c>
      <c r="T86" s="4">
        <f t="shared" si="7"/>
        <v>11939.7824</v>
      </c>
      <c r="U86">
        <f t="shared" si="8"/>
        <v>18475.47</v>
      </c>
      <c r="V86" s="4">
        <f t="shared" si="11"/>
        <v>-6535.6876000000011</v>
      </c>
      <c r="W86" s="4">
        <f t="shared" si="12"/>
        <v>-0.54738749677716081</v>
      </c>
    </row>
    <row r="87" spans="1:23" x14ac:dyDescent="0.3">
      <c r="A87" t="s">
        <v>268</v>
      </c>
      <c r="B87" s="6">
        <v>45282</v>
      </c>
      <c r="C87" s="2">
        <v>45283</v>
      </c>
      <c r="D87" s="4">
        <f t="shared" si="13"/>
        <v>1</v>
      </c>
      <c r="E87" s="4" t="str">
        <f>TEXT(Data!B87,"MMM-YYYY")</f>
        <v>Apr-2024</v>
      </c>
      <c r="F87" s="4" t="str">
        <f t="shared" si="9"/>
        <v>Q4-2023</v>
      </c>
      <c r="G87" t="s">
        <v>16</v>
      </c>
      <c r="H87" t="s">
        <v>148</v>
      </c>
      <c r="I87" t="s">
        <v>258</v>
      </c>
      <c r="J87" t="s">
        <v>39</v>
      </c>
      <c r="K87" t="s">
        <v>40</v>
      </c>
      <c r="L87" t="s">
        <v>145</v>
      </c>
      <c r="M87" t="s">
        <v>22</v>
      </c>
      <c r="N87" t="s">
        <v>269</v>
      </c>
      <c r="O87" s="4">
        <v>1186.18</v>
      </c>
      <c r="P87" s="7" t="str">
        <f t="shared" si="10"/>
        <v>High</v>
      </c>
      <c r="Q87" s="4">
        <v>1285.0899999999999</v>
      </c>
      <c r="R87" s="4">
        <v>7.0000000000000007E-2</v>
      </c>
      <c r="S87" s="4">
        <v>11</v>
      </c>
      <c r="T87" s="4">
        <f t="shared" si="7"/>
        <v>18364.589100000001</v>
      </c>
      <c r="U87">
        <f t="shared" si="8"/>
        <v>13047.980000000001</v>
      </c>
      <c r="V87" s="4">
        <f t="shared" si="11"/>
        <v>5316.6090999999997</v>
      </c>
      <c r="W87" s="4">
        <f t="shared" si="12"/>
        <v>0.28950329740838032</v>
      </c>
    </row>
    <row r="88" spans="1:23" x14ac:dyDescent="0.3">
      <c r="A88" t="s">
        <v>270</v>
      </c>
      <c r="B88" s="6">
        <v>45388</v>
      </c>
      <c r="C88" s="2">
        <v>45407</v>
      </c>
      <c r="D88" s="4">
        <f t="shared" si="13"/>
        <v>19</v>
      </c>
      <c r="E88" s="4" t="str">
        <f>TEXT(Data!B88,"MMM-YYYY")</f>
        <v>Aug-2025</v>
      </c>
      <c r="F88" s="4" t="str">
        <f t="shared" si="9"/>
        <v>Q2-2024</v>
      </c>
      <c r="G88" t="s">
        <v>45</v>
      </c>
      <c r="H88" t="s">
        <v>116</v>
      </c>
      <c r="I88" t="s">
        <v>162</v>
      </c>
      <c r="J88" t="s">
        <v>19</v>
      </c>
      <c r="K88" t="s">
        <v>20</v>
      </c>
      <c r="L88" t="s">
        <v>95</v>
      </c>
      <c r="M88" t="s">
        <v>22</v>
      </c>
      <c r="N88" t="s">
        <v>271</v>
      </c>
      <c r="O88" s="4">
        <v>1366.48</v>
      </c>
      <c r="P88" s="7" t="str">
        <f t="shared" si="10"/>
        <v>High</v>
      </c>
      <c r="Q88" s="4">
        <v>1678.14</v>
      </c>
      <c r="R88" s="4">
        <v>0.154</v>
      </c>
      <c r="S88" s="4">
        <v>10</v>
      </c>
      <c r="T88" s="4">
        <f t="shared" si="7"/>
        <v>36.970199999999998</v>
      </c>
      <c r="U88">
        <f t="shared" si="8"/>
        <v>13664.8</v>
      </c>
      <c r="V88" s="4">
        <f t="shared" si="11"/>
        <v>-13627.8298</v>
      </c>
      <c r="W88" s="4">
        <f t="shared" si="12"/>
        <v>-368.61661013464897</v>
      </c>
    </row>
    <row r="89" spans="1:23" x14ac:dyDescent="0.3">
      <c r="A89" t="s">
        <v>272</v>
      </c>
      <c r="B89" s="6">
        <v>45876</v>
      </c>
      <c r="C89" s="2">
        <v>45888</v>
      </c>
      <c r="D89" s="4">
        <f t="shared" si="13"/>
        <v>12</v>
      </c>
      <c r="E89" s="4" t="str">
        <f>TEXT(Data!B89,"MMM-YYYY")</f>
        <v>Jan-2024</v>
      </c>
      <c r="F89" s="4" t="str">
        <f t="shared" si="9"/>
        <v>Q3-2025</v>
      </c>
      <c r="G89" t="s">
        <v>16</v>
      </c>
      <c r="H89" t="s">
        <v>17</v>
      </c>
      <c r="I89" t="s">
        <v>135</v>
      </c>
      <c r="J89" t="s">
        <v>19</v>
      </c>
      <c r="K89" t="s">
        <v>1364</v>
      </c>
      <c r="L89" t="s">
        <v>110</v>
      </c>
      <c r="M89" t="s">
        <v>22</v>
      </c>
      <c r="N89" t="s">
        <v>273</v>
      </c>
      <c r="O89" s="4">
        <v>601.51</v>
      </c>
      <c r="P89" s="7" t="str">
        <f t="shared" si="10"/>
        <v>High</v>
      </c>
      <c r="Q89" s="4">
        <v>679.35</v>
      </c>
      <c r="R89" s="4">
        <v>0.188</v>
      </c>
      <c r="S89" s="4">
        <v>3</v>
      </c>
      <c r="T89" s="4">
        <f t="shared" si="7"/>
        <v>532.26600000000008</v>
      </c>
      <c r="U89">
        <f t="shared" si="8"/>
        <v>1804.53</v>
      </c>
      <c r="V89" s="4">
        <f t="shared" si="11"/>
        <v>-1272.2639999999999</v>
      </c>
      <c r="W89" s="4">
        <f t="shared" si="12"/>
        <v>-2.3902785449380568</v>
      </c>
    </row>
    <row r="90" spans="1:23" x14ac:dyDescent="0.3">
      <c r="A90" t="s">
        <v>274</v>
      </c>
      <c r="B90" s="6">
        <v>45312</v>
      </c>
      <c r="C90" s="2">
        <v>45316</v>
      </c>
      <c r="D90" s="4">
        <f t="shared" si="13"/>
        <v>4</v>
      </c>
      <c r="E90" s="4" t="str">
        <f>TEXT(Data!B90,"MMM-YYYY")</f>
        <v>Jun-2023</v>
      </c>
      <c r="F90" s="4" t="str">
        <f t="shared" si="9"/>
        <v>Q1-2024</v>
      </c>
      <c r="G90" t="s">
        <v>45</v>
      </c>
      <c r="H90" t="s">
        <v>60</v>
      </c>
      <c r="I90" t="s">
        <v>141</v>
      </c>
      <c r="J90" t="s">
        <v>48</v>
      </c>
      <c r="K90" t="s">
        <v>98</v>
      </c>
      <c r="L90" t="s">
        <v>21</v>
      </c>
      <c r="M90" t="s">
        <v>64</v>
      </c>
      <c r="N90" t="s">
        <v>275</v>
      </c>
      <c r="O90" s="4">
        <v>523.70000000000005</v>
      </c>
      <c r="P90" s="7" t="str">
        <f t="shared" si="10"/>
        <v>High</v>
      </c>
      <c r="Q90" s="4">
        <v>1109.92</v>
      </c>
      <c r="R90" s="4">
        <v>0.03</v>
      </c>
      <c r="S90" s="4">
        <v>11</v>
      </c>
      <c r="T90" s="4">
        <f t="shared" si="7"/>
        <v>2666.1129000000001</v>
      </c>
      <c r="U90">
        <f t="shared" si="8"/>
        <v>5760.7000000000007</v>
      </c>
      <c r="V90" s="4">
        <f t="shared" si="11"/>
        <v>-3094.5871000000006</v>
      </c>
      <c r="W90" s="4">
        <f t="shared" si="12"/>
        <v>-1.160711198689298</v>
      </c>
    </row>
    <row r="91" spans="1:23" x14ac:dyDescent="0.3">
      <c r="A91" t="s">
        <v>276</v>
      </c>
      <c r="B91" s="6">
        <v>45106</v>
      </c>
      <c r="C91" s="2">
        <v>45109</v>
      </c>
      <c r="D91" s="4">
        <f t="shared" si="13"/>
        <v>3</v>
      </c>
      <c r="E91" s="4" t="str">
        <f>TEXT(Data!B91,"MMM-YYYY")</f>
        <v>Apr-2025</v>
      </c>
      <c r="F91" s="4" t="str">
        <f t="shared" si="9"/>
        <v>Q2-2023</v>
      </c>
      <c r="G91" t="s">
        <v>45</v>
      </c>
      <c r="H91" t="s">
        <v>46</v>
      </c>
      <c r="I91" t="s">
        <v>231</v>
      </c>
      <c r="J91" t="s">
        <v>27</v>
      </c>
      <c r="K91" t="s">
        <v>40</v>
      </c>
      <c r="L91" t="s">
        <v>84</v>
      </c>
      <c r="M91" t="s">
        <v>64</v>
      </c>
      <c r="N91" t="s">
        <v>277</v>
      </c>
      <c r="O91" s="4">
        <v>55.65</v>
      </c>
      <c r="P91" s="7" t="str">
        <f t="shared" si="10"/>
        <v>Medium</v>
      </c>
      <c r="Q91" s="4">
        <v>83.57</v>
      </c>
      <c r="R91" s="4">
        <v>6.6000000000000003E-2</v>
      </c>
      <c r="S91" s="4">
        <v>8</v>
      </c>
      <c r="T91" s="4">
        <f t="shared" si="7"/>
        <v>25677.677439999999</v>
      </c>
      <c r="U91">
        <f t="shared" si="8"/>
        <v>445.2</v>
      </c>
      <c r="V91" s="4">
        <f t="shared" si="11"/>
        <v>25232.477439999999</v>
      </c>
      <c r="W91" s="4">
        <f t="shared" si="12"/>
        <v>0.98266198331059018</v>
      </c>
    </row>
    <row r="92" spans="1:23" x14ac:dyDescent="0.3">
      <c r="A92" t="s">
        <v>278</v>
      </c>
      <c r="B92" s="6">
        <v>45775</v>
      </c>
      <c r="C92" s="2">
        <v>45792</v>
      </c>
      <c r="D92" s="4">
        <f t="shared" si="13"/>
        <v>17</v>
      </c>
      <c r="E92" s="4" t="str">
        <f>TEXT(Data!B92,"MMM-YYYY")</f>
        <v>Jun-2025</v>
      </c>
      <c r="F92" s="4" t="str">
        <f t="shared" si="9"/>
        <v>Q2-2025</v>
      </c>
      <c r="G92" t="s">
        <v>45</v>
      </c>
      <c r="H92" t="s">
        <v>46</v>
      </c>
      <c r="I92" t="s">
        <v>231</v>
      </c>
      <c r="J92" t="s">
        <v>27</v>
      </c>
      <c r="K92" t="s">
        <v>98</v>
      </c>
      <c r="L92" t="s">
        <v>126</v>
      </c>
      <c r="M92" t="s">
        <v>35</v>
      </c>
      <c r="N92" t="s">
        <v>279</v>
      </c>
      <c r="O92" s="4">
        <v>691.19</v>
      </c>
      <c r="P92" s="7" t="str">
        <f t="shared" si="10"/>
        <v>High</v>
      </c>
      <c r="Q92" s="4">
        <v>1284.3</v>
      </c>
      <c r="R92" s="4">
        <v>7.3999999999999996E-2</v>
      </c>
      <c r="S92" s="4">
        <v>7</v>
      </c>
      <c r="T92" s="4">
        <f t="shared" si="7"/>
        <v>346.46290000000005</v>
      </c>
      <c r="U92">
        <f t="shared" si="8"/>
        <v>4838.33</v>
      </c>
      <c r="V92" s="4">
        <f t="shared" si="11"/>
        <v>-4491.8670999999995</v>
      </c>
      <c r="W92" s="4">
        <f t="shared" si="12"/>
        <v>-12.964929578318483</v>
      </c>
    </row>
    <row r="93" spans="1:23" x14ac:dyDescent="0.3">
      <c r="A93" t="s">
        <v>280</v>
      </c>
      <c r="B93" s="6">
        <v>45817</v>
      </c>
      <c r="C93" s="2">
        <v>45833</v>
      </c>
      <c r="D93" s="4">
        <f t="shared" si="13"/>
        <v>16</v>
      </c>
      <c r="E93" s="4" t="str">
        <f>TEXT(Data!B93,"MMM-YYYY")</f>
        <v>Jun-2023</v>
      </c>
      <c r="F93" s="4" t="str">
        <f t="shared" si="9"/>
        <v>Q2-2025</v>
      </c>
      <c r="G93" t="s">
        <v>45</v>
      </c>
      <c r="H93" t="s">
        <v>60</v>
      </c>
      <c r="I93" t="s">
        <v>281</v>
      </c>
      <c r="J93" t="s">
        <v>105</v>
      </c>
      <c r="K93" t="s">
        <v>55</v>
      </c>
      <c r="L93" t="s">
        <v>110</v>
      </c>
      <c r="M93" t="s">
        <v>42</v>
      </c>
      <c r="N93" t="s">
        <v>282</v>
      </c>
      <c r="O93" s="4">
        <v>527.33000000000004</v>
      </c>
      <c r="P93" s="7" t="str">
        <f t="shared" si="10"/>
        <v>High</v>
      </c>
      <c r="Q93" s="4">
        <v>911.72</v>
      </c>
      <c r="R93" s="4">
        <v>0.14399999999999999</v>
      </c>
      <c r="S93" s="4">
        <v>25</v>
      </c>
      <c r="T93" s="4">
        <f t="shared" si="7"/>
        <v>74251.58</v>
      </c>
      <c r="U93">
        <f t="shared" si="8"/>
        <v>13183.250000000002</v>
      </c>
      <c r="V93" s="4">
        <f t="shared" si="11"/>
        <v>61068.33</v>
      </c>
      <c r="W93" s="4">
        <f t="shared" si="12"/>
        <v>0.82245158958233622</v>
      </c>
    </row>
    <row r="94" spans="1:23" x14ac:dyDescent="0.3">
      <c r="A94" t="s">
        <v>283</v>
      </c>
      <c r="B94" s="6">
        <v>45101</v>
      </c>
      <c r="C94" s="2">
        <v>45100</v>
      </c>
      <c r="D94" s="4">
        <f>DATEDIF(C94,B94, "MD")</f>
        <v>1</v>
      </c>
      <c r="E94" s="4" t="str">
        <f>TEXT(Data!B94,"MMM-YYYY")</f>
        <v>Oct-2024</v>
      </c>
      <c r="F94" s="4" t="str">
        <f t="shared" si="9"/>
        <v>Q2-2023</v>
      </c>
      <c r="G94" t="s">
        <v>52</v>
      </c>
      <c r="H94" t="s">
        <v>73</v>
      </c>
      <c r="I94" t="s">
        <v>225</v>
      </c>
      <c r="J94" t="s">
        <v>39</v>
      </c>
      <c r="K94" t="s">
        <v>20</v>
      </c>
      <c r="L94" t="s">
        <v>63</v>
      </c>
      <c r="M94" t="s">
        <v>30</v>
      </c>
      <c r="N94" t="s">
        <v>284</v>
      </c>
      <c r="O94" s="4">
        <v>804.01</v>
      </c>
      <c r="P94" s="7" t="str">
        <f t="shared" si="10"/>
        <v>High</v>
      </c>
      <c r="Q94" s="4">
        <v>1405.07</v>
      </c>
      <c r="R94" s="4">
        <v>9.6000000000000002E-2</v>
      </c>
      <c r="S94" s="4">
        <v>8</v>
      </c>
      <c r="T94" s="4">
        <f t="shared" si="7"/>
        <v>4491.2166399999996</v>
      </c>
      <c r="U94">
        <f t="shared" si="8"/>
        <v>6432.08</v>
      </c>
      <c r="V94" s="4">
        <f t="shared" si="11"/>
        <v>-1940.8633600000003</v>
      </c>
      <c r="W94" s="4">
        <f t="shared" si="12"/>
        <v>-0.43214645731273393</v>
      </c>
    </row>
    <row r="95" spans="1:23" x14ac:dyDescent="0.3">
      <c r="A95" t="s">
        <v>285</v>
      </c>
      <c r="B95" s="6">
        <v>45569</v>
      </c>
      <c r="C95" s="2">
        <v>45598</v>
      </c>
      <c r="D95" s="4">
        <f t="shared" si="13"/>
        <v>29</v>
      </c>
      <c r="E95" s="4" t="str">
        <f>TEXT(Data!B95,"MMM-YYYY")</f>
        <v>Sep-2025</v>
      </c>
      <c r="F95" s="4" t="str">
        <f t="shared" si="9"/>
        <v>Q4-2024</v>
      </c>
      <c r="G95" t="s">
        <v>16</v>
      </c>
      <c r="H95" t="s">
        <v>25</v>
      </c>
      <c r="I95" t="s">
        <v>67</v>
      </c>
      <c r="J95" t="s">
        <v>19</v>
      </c>
      <c r="K95" t="s">
        <v>55</v>
      </c>
      <c r="L95" t="s">
        <v>84</v>
      </c>
      <c r="M95" t="s">
        <v>81</v>
      </c>
      <c r="N95" t="s">
        <v>286</v>
      </c>
      <c r="O95" s="4">
        <v>412.09</v>
      </c>
      <c r="P95" s="7" t="str">
        <f t="shared" si="10"/>
        <v>High</v>
      </c>
      <c r="Q95" s="4">
        <v>968.94</v>
      </c>
      <c r="R95" s="4">
        <v>9.9000000000000005E-2</v>
      </c>
      <c r="S95" s="4">
        <v>23</v>
      </c>
      <c r="T95" s="4">
        <f t="shared" si="7"/>
        <v>1834.19273</v>
      </c>
      <c r="U95">
        <f t="shared" si="8"/>
        <v>9478.07</v>
      </c>
      <c r="V95" s="4">
        <f t="shared" si="11"/>
        <v>-7643.87727</v>
      </c>
      <c r="W95" s="4">
        <f t="shared" si="12"/>
        <v>-4.1674340678473847</v>
      </c>
    </row>
    <row r="96" spans="1:23" x14ac:dyDescent="0.3">
      <c r="A96" t="s">
        <v>287</v>
      </c>
      <c r="B96" s="6">
        <v>45910</v>
      </c>
      <c r="C96" s="2">
        <v>45930</v>
      </c>
      <c r="D96" s="4">
        <f t="shared" si="13"/>
        <v>20</v>
      </c>
      <c r="E96" s="4" t="str">
        <f>TEXT(Data!B96,"MMM-YYYY")</f>
        <v>Apr-2023</v>
      </c>
      <c r="F96" s="4" t="str">
        <f t="shared" si="9"/>
        <v>Q3-2025</v>
      </c>
      <c r="G96" t="s">
        <v>16</v>
      </c>
      <c r="H96" t="s">
        <v>17</v>
      </c>
      <c r="I96" t="s">
        <v>113</v>
      </c>
      <c r="J96" t="s">
        <v>19</v>
      </c>
      <c r="K96" t="s">
        <v>98</v>
      </c>
      <c r="L96" t="s">
        <v>49</v>
      </c>
      <c r="M96" t="s">
        <v>42</v>
      </c>
      <c r="N96" t="s">
        <v>288</v>
      </c>
      <c r="O96" s="4">
        <v>1009.48</v>
      </c>
      <c r="P96" s="7" t="str">
        <f t="shared" si="10"/>
        <v>High</v>
      </c>
      <c r="Q96" s="4">
        <v>1088.81</v>
      </c>
      <c r="R96" s="4">
        <v>0.16</v>
      </c>
      <c r="S96" s="4">
        <v>6</v>
      </c>
      <c r="T96" s="4">
        <f t="shared" si="7"/>
        <v>9873.8135999999995</v>
      </c>
      <c r="U96">
        <f t="shared" si="8"/>
        <v>6056.88</v>
      </c>
      <c r="V96" s="4">
        <f t="shared" si="11"/>
        <v>3816.9335999999994</v>
      </c>
      <c r="W96" s="4">
        <f t="shared" si="12"/>
        <v>0.38657136488782812</v>
      </c>
    </row>
    <row r="97" spans="1:23" x14ac:dyDescent="0.3">
      <c r="A97" t="s">
        <v>289</v>
      </c>
      <c r="B97" s="6">
        <v>45022</v>
      </c>
      <c r="C97" s="2">
        <v>45043</v>
      </c>
      <c r="D97" s="4">
        <f t="shared" si="13"/>
        <v>21</v>
      </c>
      <c r="E97" s="4" t="str">
        <f>TEXT(Data!B97,"MMM-YYYY")</f>
        <v>Aug-2025</v>
      </c>
      <c r="F97" s="4" t="str">
        <f t="shared" si="9"/>
        <v>Q2-2023</v>
      </c>
      <c r="G97" t="s">
        <v>78</v>
      </c>
      <c r="H97" t="s">
        <v>108</v>
      </c>
      <c r="I97" t="s">
        <v>228</v>
      </c>
      <c r="J97" t="s">
        <v>105</v>
      </c>
      <c r="K97" t="s">
        <v>55</v>
      </c>
      <c r="L97" t="s">
        <v>34</v>
      </c>
      <c r="M97" t="s">
        <v>30</v>
      </c>
      <c r="N97" t="s">
        <v>290</v>
      </c>
      <c r="O97" s="4">
        <v>1084.79</v>
      </c>
      <c r="P97" s="7" t="str">
        <f t="shared" si="10"/>
        <v>High</v>
      </c>
      <c r="Q97" s="4">
        <v>2484.9899999999998</v>
      </c>
      <c r="R97" s="4">
        <v>3.4000000000000002E-2</v>
      </c>
      <c r="S97" s="4">
        <v>18</v>
      </c>
      <c r="T97" s="4">
        <f t="shared" si="7"/>
        <v>47694.762360000001</v>
      </c>
      <c r="U97">
        <f t="shared" si="8"/>
        <v>19526.22</v>
      </c>
      <c r="V97" s="4">
        <f t="shared" si="11"/>
        <v>28168.542359999999</v>
      </c>
      <c r="W97" s="4">
        <f t="shared" si="12"/>
        <v>0.59060032939013052</v>
      </c>
    </row>
    <row r="98" spans="1:23" x14ac:dyDescent="0.3">
      <c r="A98" t="s">
        <v>291</v>
      </c>
      <c r="B98" s="6">
        <v>45870</v>
      </c>
      <c r="C98" s="2">
        <v>45885</v>
      </c>
      <c r="D98" s="4">
        <f t="shared" si="13"/>
        <v>15</v>
      </c>
      <c r="E98" s="4" t="str">
        <f>TEXT(Data!B98,"MMM-YYYY")</f>
        <v>May-2024</v>
      </c>
      <c r="F98" s="4" t="str">
        <f t="shared" si="9"/>
        <v>Q3-2025</v>
      </c>
      <c r="G98" t="s">
        <v>45</v>
      </c>
      <c r="H98" t="s">
        <v>60</v>
      </c>
      <c r="I98" t="s">
        <v>1364</v>
      </c>
      <c r="J98" t="s">
        <v>105</v>
      </c>
      <c r="K98" t="s">
        <v>98</v>
      </c>
      <c r="L98" t="s">
        <v>68</v>
      </c>
      <c r="M98" t="s">
        <v>64</v>
      </c>
      <c r="N98" t="s">
        <v>292</v>
      </c>
      <c r="O98" s="4">
        <v>24.44</v>
      </c>
      <c r="P98" s="7" t="str">
        <f t="shared" si="10"/>
        <v>Low</v>
      </c>
      <c r="Q98" s="4">
        <v>28.69</v>
      </c>
      <c r="R98" s="4">
        <v>0.14599999999999999</v>
      </c>
      <c r="S98" s="4">
        <v>6</v>
      </c>
      <c r="T98" s="4">
        <f t="shared" si="7"/>
        <v>8605.3480799999998</v>
      </c>
      <c r="U98">
        <f t="shared" si="8"/>
        <v>146.64000000000001</v>
      </c>
      <c r="V98" s="4">
        <f t="shared" si="11"/>
        <v>8458.7080800000003</v>
      </c>
      <c r="W98" s="4">
        <f t="shared" si="12"/>
        <v>0.98295943422197984</v>
      </c>
    </row>
    <row r="99" spans="1:23" x14ac:dyDescent="0.3">
      <c r="A99" t="s">
        <v>293</v>
      </c>
      <c r="B99" s="6">
        <v>45440</v>
      </c>
      <c r="C99" s="2">
        <v>45438</v>
      </c>
      <c r="D99" s="4">
        <f>DATEDIF(C99,B99, "MD")</f>
        <v>2</v>
      </c>
      <c r="E99" s="4" t="str">
        <f>TEXT(Data!B99,"MMM-YYYY")</f>
        <v>Jul-2025</v>
      </c>
      <c r="F99" s="4" t="str">
        <f t="shared" si="9"/>
        <v>Q2-2024</v>
      </c>
      <c r="G99" t="s">
        <v>16</v>
      </c>
      <c r="H99" t="s">
        <v>25</v>
      </c>
      <c r="I99" t="s">
        <v>67</v>
      </c>
      <c r="J99" t="s">
        <v>105</v>
      </c>
      <c r="K99" t="s">
        <v>28</v>
      </c>
      <c r="L99" t="s">
        <v>84</v>
      </c>
      <c r="M99" t="s">
        <v>81</v>
      </c>
      <c r="N99" t="s">
        <v>294</v>
      </c>
      <c r="O99" s="4">
        <v>1227.08</v>
      </c>
      <c r="P99" s="7" t="str">
        <f t="shared" si="10"/>
        <v>High</v>
      </c>
      <c r="Q99" s="4">
        <v>1896.62</v>
      </c>
      <c r="R99" s="4">
        <v>0</v>
      </c>
      <c r="S99" s="4">
        <v>18</v>
      </c>
      <c r="T99" s="4">
        <f t="shared" si="7"/>
        <v>25810.2</v>
      </c>
      <c r="U99">
        <f t="shared" si="8"/>
        <v>22087.439999999999</v>
      </c>
      <c r="V99" s="4">
        <f t="shared" si="11"/>
        <v>3722.760000000002</v>
      </c>
      <c r="W99" s="4">
        <f t="shared" si="12"/>
        <v>0.14423599972104059</v>
      </c>
    </row>
    <row r="100" spans="1:23" x14ac:dyDescent="0.3">
      <c r="A100" t="s">
        <v>295</v>
      </c>
      <c r="B100" s="6">
        <v>45860</v>
      </c>
      <c r="C100" s="2">
        <v>45887</v>
      </c>
      <c r="D100" s="4">
        <f t="shared" si="13"/>
        <v>27</v>
      </c>
      <c r="E100" s="4" t="str">
        <f>TEXT(Data!B100,"MMM-YYYY")</f>
        <v>Feb-2023</v>
      </c>
      <c r="F100" s="4" t="str">
        <f t="shared" si="9"/>
        <v>Q3-2025</v>
      </c>
      <c r="G100" t="s">
        <v>45</v>
      </c>
      <c r="H100" t="s">
        <v>116</v>
      </c>
      <c r="I100" t="s">
        <v>117</v>
      </c>
      <c r="J100" t="s">
        <v>39</v>
      </c>
      <c r="K100" t="s">
        <v>40</v>
      </c>
      <c r="L100" t="s">
        <v>110</v>
      </c>
      <c r="M100" t="s">
        <v>35</v>
      </c>
      <c r="N100" t="s">
        <v>296</v>
      </c>
      <c r="O100" s="4">
        <v>547.32000000000005</v>
      </c>
      <c r="P100" s="7" t="str">
        <f t="shared" si="10"/>
        <v>High</v>
      </c>
      <c r="Q100" s="4">
        <v>419.17</v>
      </c>
      <c r="R100" s="4">
        <v>9.1999999999999998E-2</v>
      </c>
      <c r="S100" s="4">
        <v>14</v>
      </c>
      <c r="T100" s="4">
        <f t="shared" si="7"/>
        <v>3615.67416</v>
      </c>
      <c r="U100">
        <f t="shared" si="8"/>
        <v>7662.4800000000005</v>
      </c>
      <c r="V100" s="4">
        <f t="shared" si="11"/>
        <v>-4046.8058400000004</v>
      </c>
      <c r="W100" s="4">
        <f t="shared" si="12"/>
        <v>-1.1192396385630061</v>
      </c>
    </row>
    <row r="101" spans="1:23" x14ac:dyDescent="0.3">
      <c r="A101" t="s">
        <v>297</v>
      </c>
      <c r="B101" s="6">
        <v>44985</v>
      </c>
      <c r="C101" s="2">
        <v>45005</v>
      </c>
      <c r="D101" s="4">
        <f t="shared" si="13"/>
        <v>20</v>
      </c>
      <c r="E101" s="4" t="str">
        <f>TEXT(Data!B101,"MMM-YYYY")</f>
        <v>Jan-2025</v>
      </c>
      <c r="F101" s="4" t="str">
        <f t="shared" si="9"/>
        <v>Q1-2023</v>
      </c>
      <c r="G101" t="s">
        <v>78</v>
      </c>
      <c r="H101" t="s">
        <v>79</v>
      </c>
      <c r="I101" t="s">
        <v>80</v>
      </c>
      <c r="J101" t="s">
        <v>62</v>
      </c>
      <c r="K101" t="s">
        <v>98</v>
      </c>
      <c r="L101" t="s">
        <v>92</v>
      </c>
      <c r="M101" t="s">
        <v>57</v>
      </c>
      <c r="N101" t="s">
        <v>298</v>
      </c>
      <c r="O101" s="4">
        <v>1200.78</v>
      </c>
      <c r="P101" s="7" t="str">
        <f t="shared" si="10"/>
        <v>High</v>
      </c>
      <c r="Q101" s="4">
        <v>2001.17</v>
      </c>
      <c r="R101" s="4">
        <v>0.29199999999999998</v>
      </c>
      <c r="S101" s="4">
        <v>18</v>
      </c>
      <c r="T101" s="4">
        <f t="shared" si="7"/>
        <v>8854.276319999999</v>
      </c>
      <c r="U101">
        <f t="shared" si="8"/>
        <v>21614.04</v>
      </c>
      <c r="V101" s="4">
        <f t="shared" si="11"/>
        <v>-12759.763680000002</v>
      </c>
      <c r="W101" s="4">
        <f t="shared" si="12"/>
        <v>-1.4410848745682701</v>
      </c>
    </row>
    <row r="102" spans="1:23" x14ac:dyDescent="0.3">
      <c r="A102" t="s">
        <v>299</v>
      </c>
      <c r="B102" s="6">
        <v>45684</v>
      </c>
      <c r="C102" s="2">
        <v>45703</v>
      </c>
      <c r="D102" s="4">
        <f t="shared" si="13"/>
        <v>19</v>
      </c>
      <c r="E102" s="4" t="str">
        <f>TEXT(Data!B102,"MMM-YYYY")</f>
        <v>Jan-2024</v>
      </c>
      <c r="F102" s="4" t="str">
        <f t="shared" si="9"/>
        <v>Q1-2025</v>
      </c>
      <c r="G102" t="s">
        <v>45</v>
      </c>
      <c r="H102" t="s">
        <v>116</v>
      </c>
      <c r="I102" t="s">
        <v>117</v>
      </c>
      <c r="J102" t="s">
        <v>39</v>
      </c>
      <c r="K102" t="s">
        <v>98</v>
      </c>
      <c r="L102" t="s">
        <v>49</v>
      </c>
      <c r="M102" t="s">
        <v>42</v>
      </c>
      <c r="N102" t="s">
        <v>300</v>
      </c>
      <c r="O102" s="4">
        <v>1253.22</v>
      </c>
      <c r="P102" s="7" t="str">
        <f t="shared" si="10"/>
        <v>High</v>
      </c>
      <c r="Q102" s="4">
        <v>3104.71</v>
      </c>
      <c r="R102" s="4">
        <v>0</v>
      </c>
      <c r="S102" s="4">
        <v>17</v>
      </c>
      <c r="T102" s="4">
        <f t="shared" si="7"/>
        <v>31422.63</v>
      </c>
      <c r="U102">
        <f t="shared" si="8"/>
        <v>21304.74</v>
      </c>
      <c r="V102" s="4">
        <f t="shared" si="11"/>
        <v>10117.89</v>
      </c>
      <c r="W102" s="4">
        <f t="shared" si="12"/>
        <v>0.3219937350883742</v>
      </c>
    </row>
    <row r="103" spans="1:23" x14ac:dyDescent="0.3">
      <c r="A103" t="s">
        <v>301</v>
      </c>
      <c r="B103" s="6">
        <v>45304</v>
      </c>
      <c r="C103" s="2">
        <v>45313</v>
      </c>
      <c r="D103" s="4">
        <f t="shared" si="13"/>
        <v>9</v>
      </c>
      <c r="E103" s="4" t="str">
        <f>TEXT(Data!B103,"MMM-YYYY")</f>
        <v>Mar-2025</v>
      </c>
      <c r="F103" s="4" t="str">
        <f t="shared" si="9"/>
        <v>Q1-2024</v>
      </c>
      <c r="G103" t="s">
        <v>45</v>
      </c>
      <c r="H103" t="s">
        <v>60</v>
      </c>
      <c r="I103" t="s">
        <v>220</v>
      </c>
      <c r="J103" t="s">
        <v>105</v>
      </c>
      <c r="K103" t="s">
        <v>40</v>
      </c>
      <c r="L103" t="s">
        <v>29</v>
      </c>
      <c r="M103" t="s">
        <v>22</v>
      </c>
      <c r="N103" t="s">
        <v>302</v>
      </c>
      <c r="O103" s="4">
        <v>313.60000000000002</v>
      </c>
      <c r="P103" s="7" t="str">
        <f t="shared" si="10"/>
        <v>High</v>
      </c>
      <c r="Q103" s="4">
        <v>334.28</v>
      </c>
      <c r="R103" s="4">
        <v>0.14000000000000001</v>
      </c>
      <c r="S103" s="4">
        <v>22</v>
      </c>
      <c r="T103" s="4">
        <f t="shared" si="7"/>
        <v>854.99479999999994</v>
      </c>
      <c r="U103">
        <f t="shared" si="8"/>
        <v>6899.2000000000007</v>
      </c>
      <c r="V103" s="4">
        <f t="shared" si="11"/>
        <v>-6044.2052000000003</v>
      </c>
      <c r="W103" s="4">
        <f t="shared" si="12"/>
        <v>-7.0692888424584579</v>
      </c>
    </row>
    <row r="104" spans="1:23" x14ac:dyDescent="0.3">
      <c r="A104" t="s">
        <v>303</v>
      </c>
      <c r="B104" s="6">
        <v>45747</v>
      </c>
      <c r="C104" s="2">
        <v>45751</v>
      </c>
      <c r="D104" s="4">
        <f t="shared" si="13"/>
        <v>4</v>
      </c>
      <c r="E104" s="4" t="str">
        <f>TEXT(Data!B104,"MMM-YYYY")</f>
        <v>Dec-2024</v>
      </c>
      <c r="F104" s="4" t="str">
        <f t="shared" si="9"/>
        <v>Q1-2025</v>
      </c>
      <c r="G104" t="s">
        <v>16</v>
      </c>
      <c r="H104" t="s">
        <v>17</v>
      </c>
      <c r="I104" t="s">
        <v>135</v>
      </c>
      <c r="J104" t="s">
        <v>19</v>
      </c>
      <c r="K104" t="s">
        <v>98</v>
      </c>
      <c r="L104" t="s">
        <v>21</v>
      </c>
      <c r="M104" t="s">
        <v>57</v>
      </c>
      <c r="N104" t="s">
        <v>304</v>
      </c>
      <c r="O104" s="4">
        <v>862.08</v>
      </c>
      <c r="P104" s="7" t="str">
        <f t="shared" si="10"/>
        <v>High</v>
      </c>
      <c r="Q104" s="4">
        <v>1952.83</v>
      </c>
      <c r="R104" s="4">
        <v>0</v>
      </c>
      <c r="S104" s="4">
        <v>7</v>
      </c>
      <c r="T104" s="4">
        <f t="shared" si="7"/>
        <v>2527.7000000000003</v>
      </c>
      <c r="U104">
        <f t="shared" si="8"/>
        <v>6034.56</v>
      </c>
      <c r="V104" s="4">
        <f t="shared" si="11"/>
        <v>-3506.86</v>
      </c>
      <c r="W104" s="4">
        <f t="shared" si="12"/>
        <v>-1.3873719191359732</v>
      </c>
    </row>
    <row r="105" spans="1:23" x14ac:dyDescent="0.3">
      <c r="A105" t="s">
        <v>305</v>
      </c>
      <c r="B105" s="6">
        <v>45631</v>
      </c>
      <c r="C105" s="2">
        <v>45654</v>
      </c>
      <c r="D105" s="4">
        <f t="shared" si="13"/>
        <v>23</v>
      </c>
      <c r="E105" s="4" t="str">
        <f>TEXT(Data!B105,"MMM-YYYY")</f>
        <v>Sep-2024</v>
      </c>
      <c r="F105" s="4" t="str">
        <f t="shared" si="9"/>
        <v>Q4-2024</v>
      </c>
      <c r="G105" t="s">
        <v>52</v>
      </c>
      <c r="H105" t="s">
        <v>53</v>
      </c>
      <c r="I105" t="s">
        <v>179</v>
      </c>
      <c r="J105" t="s">
        <v>19</v>
      </c>
      <c r="K105" t="s">
        <v>98</v>
      </c>
      <c r="L105" t="s">
        <v>84</v>
      </c>
      <c r="M105" t="s">
        <v>81</v>
      </c>
      <c r="N105" t="s">
        <v>306</v>
      </c>
      <c r="O105" s="4">
        <v>107.03</v>
      </c>
      <c r="P105" s="7" t="str">
        <f t="shared" si="10"/>
        <v>High</v>
      </c>
      <c r="Q105" s="4">
        <v>242.29</v>
      </c>
      <c r="R105" s="4">
        <v>0.18</v>
      </c>
      <c r="S105" s="4">
        <v>30</v>
      </c>
      <c r="T105" s="4">
        <f t="shared" si="7"/>
        <v>24706.764000000003</v>
      </c>
      <c r="U105">
        <f t="shared" si="8"/>
        <v>3210.9</v>
      </c>
      <c r="V105" s="4">
        <f t="shared" si="11"/>
        <v>21495.864000000001</v>
      </c>
      <c r="W105" s="4">
        <f t="shared" si="12"/>
        <v>0.87003963772835646</v>
      </c>
    </row>
    <row r="106" spans="1:23" x14ac:dyDescent="0.3">
      <c r="A106" t="s">
        <v>307</v>
      </c>
      <c r="B106" s="6">
        <v>45549</v>
      </c>
      <c r="C106" s="2">
        <v>45570</v>
      </c>
      <c r="D106" s="4">
        <f t="shared" si="13"/>
        <v>21</v>
      </c>
      <c r="E106" s="4" t="str">
        <f>TEXT(Data!B106,"MMM-YYYY")</f>
        <v>May-2024</v>
      </c>
      <c r="F106" s="4" t="str">
        <f t="shared" si="9"/>
        <v>Q3-2024</v>
      </c>
      <c r="G106" t="s">
        <v>45</v>
      </c>
      <c r="H106" t="s">
        <v>116</v>
      </c>
      <c r="I106" t="s">
        <v>162</v>
      </c>
      <c r="J106" t="s">
        <v>62</v>
      </c>
      <c r="K106" t="s">
        <v>28</v>
      </c>
      <c r="L106" t="s">
        <v>92</v>
      </c>
      <c r="M106" t="s">
        <v>57</v>
      </c>
      <c r="N106" t="s">
        <v>308</v>
      </c>
      <c r="O106" s="4">
        <v>1405.56</v>
      </c>
      <c r="P106" s="7" t="str">
        <f t="shared" si="10"/>
        <v>High</v>
      </c>
      <c r="Q106" s="4">
        <v>2968.87</v>
      </c>
      <c r="R106" s="4">
        <v>0.16900000000000001</v>
      </c>
      <c r="S106" s="4">
        <v>5</v>
      </c>
      <c r="T106" s="4">
        <f t="shared" si="7"/>
        <v>4270.2181499999997</v>
      </c>
      <c r="U106">
        <f t="shared" si="8"/>
        <v>7027.7999999999993</v>
      </c>
      <c r="V106" s="4">
        <f t="shared" si="11"/>
        <v>-2757.5818499999996</v>
      </c>
      <c r="W106" s="4">
        <f t="shared" si="12"/>
        <v>-0.64577072016800818</v>
      </c>
    </row>
    <row r="107" spans="1:23" x14ac:dyDescent="0.3">
      <c r="A107" t="s">
        <v>309</v>
      </c>
      <c r="B107" s="6">
        <v>45433</v>
      </c>
      <c r="C107" s="2">
        <v>45439</v>
      </c>
      <c r="D107" s="4">
        <f t="shared" si="13"/>
        <v>6</v>
      </c>
      <c r="E107" s="4" t="str">
        <f>TEXT(Data!B107,"MMM-YYYY")</f>
        <v>May-2023</v>
      </c>
      <c r="F107" s="4" t="str">
        <f t="shared" si="9"/>
        <v>Q2-2024</v>
      </c>
      <c r="G107" t="s">
        <v>16</v>
      </c>
      <c r="H107" t="s">
        <v>148</v>
      </c>
      <c r="I107" t="s">
        <v>149</v>
      </c>
      <c r="J107" t="s">
        <v>39</v>
      </c>
      <c r="K107" t="s">
        <v>28</v>
      </c>
      <c r="L107" t="s">
        <v>110</v>
      </c>
      <c r="M107" t="s">
        <v>22</v>
      </c>
      <c r="N107" t="s">
        <v>310</v>
      </c>
      <c r="O107" s="4">
        <v>1157.51</v>
      </c>
      <c r="P107" s="7" t="str">
        <f t="shared" si="10"/>
        <v>High</v>
      </c>
      <c r="Q107" s="4">
        <v>1394.3</v>
      </c>
      <c r="R107" s="4">
        <v>0.27800000000000002</v>
      </c>
      <c r="S107" s="4">
        <v>12</v>
      </c>
      <c r="T107" s="4">
        <f t="shared" si="7"/>
        <v>4055.5317599999998</v>
      </c>
      <c r="U107">
        <f t="shared" si="8"/>
        <v>13890.119999999999</v>
      </c>
      <c r="V107" s="4">
        <f t="shared" si="11"/>
        <v>-9834.5882399999991</v>
      </c>
      <c r="W107" s="4">
        <f t="shared" si="12"/>
        <v>-2.4249811916156712</v>
      </c>
    </row>
    <row r="108" spans="1:23" x14ac:dyDescent="0.3">
      <c r="A108" t="s">
        <v>311</v>
      </c>
      <c r="B108" s="6">
        <v>45057</v>
      </c>
      <c r="C108" s="2">
        <v>45084</v>
      </c>
      <c r="D108" s="4">
        <f t="shared" si="13"/>
        <v>27</v>
      </c>
      <c r="E108" s="4" t="str">
        <f>TEXT(Data!B108,"MMM-YYYY")</f>
        <v>Aug-2024</v>
      </c>
      <c r="F108" s="4" t="str">
        <f t="shared" si="9"/>
        <v>Q2-2023</v>
      </c>
      <c r="G108" t="s">
        <v>16</v>
      </c>
      <c r="H108" t="s">
        <v>17</v>
      </c>
      <c r="I108" t="s">
        <v>113</v>
      </c>
      <c r="J108" t="s">
        <v>19</v>
      </c>
      <c r="K108" t="s">
        <v>28</v>
      </c>
      <c r="L108" t="s">
        <v>29</v>
      </c>
      <c r="M108" t="s">
        <v>42</v>
      </c>
      <c r="N108" t="s">
        <v>312</v>
      </c>
      <c r="O108" s="4">
        <v>12.85</v>
      </c>
      <c r="P108" s="7" t="str">
        <f t="shared" si="10"/>
        <v>Low</v>
      </c>
      <c r="Q108" s="4">
        <v>15.41</v>
      </c>
      <c r="R108" s="4">
        <v>0.13700000000000001</v>
      </c>
      <c r="S108" s="4">
        <v>39</v>
      </c>
      <c r="T108" s="4">
        <f t="shared" si="7"/>
        <v>22483.549139999999</v>
      </c>
      <c r="U108">
        <f t="shared" si="8"/>
        <v>501.15</v>
      </c>
      <c r="V108" s="4">
        <f t="shared" si="11"/>
        <v>21982.399139999998</v>
      </c>
      <c r="W108" s="4">
        <f t="shared" si="12"/>
        <v>0.97771036961827273</v>
      </c>
    </row>
    <row r="109" spans="1:23" x14ac:dyDescent="0.3">
      <c r="A109" t="s">
        <v>313</v>
      </c>
      <c r="B109" s="6">
        <v>45518</v>
      </c>
      <c r="C109" s="2">
        <v>45539</v>
      </c>
      <c r="D109" s="4">
        <f t="shared" si="13"/>
        <v>21</v>
      </c>
      <c r="E109" s="4" t="str">
        <f>TEXT(Data!B109,"MMM-YYYY")</f>
        <v>Oct-2024</v>
      </c>
      <c r="F109" s="4" t="str">
        <f t="shared" si="9"/>
        <v>Q3-2024</v>
      </c>
      <c r="G109" t="s">
        <v>78</v>
      </c>
      <c r="H109" t="s">
        <v>108</v>
      </c>
      <c r="I109" t="s">
        <v>228</v>
      </c>
      <c r="J109" t="s">
        <v>39</v>
      </c>
      <c r="K109" t="s">
        <v>28</v>
      </c>
      <c r="L109" t="s">
        <v>29</v>
      </c>
      <c r="M109" t="s">
        <v>42</v>
      </c>
      <c r="N109" t="s">
        <v>314</v>
      </c>
      <c r="O109" s="4">
        <v>1138.8</v>
      </c>
      <c r="P109" s="7" t="str">
        <f t="shared" si="10"/>
        <v>High</v>
      </c>
      <c r="Q109" s="4">
        <v>2250.81</v>
      </c>
      <c r="R109" s="4">
        <v>0.123</v>
      </c>
      <c r="S109" s="4">
        <v>12</v>
      </c>
      <c r="T109" s="4">
        <f t="shared" si="7"/>
        <v>5654.22948</v>
      </c>
      <c r="U109">
        <f t="shared" si="8"/>
        <v>13665.599999999999</v>
      </c>
      <c r="V109" s="4">
        <f t="shared" si="11"/>
        <v>-8011.3705199999986</v>
      </c>
      <c r="W109" s="4">
        <f t="shared" si="12"/>
        <v>-1.4168810353979475</v>
      </c>
    </row>
    <row r="110" spans="1:23" x14ac:dyDescent="0.3">
      <c r="A110" t="s">
        <v>315</v>
      </c>
      <c r="B110" s="6">
        <v>45581</v>
      </c>
      <c r="C110" s="2">
        <v>45604</v>
      </c>
      <c r="D110" s="4">
        <f t="shared" si="13"/>
        <v>23</v>
      </c>
      <c r="E110" s="4" t="str">
        <f>TEXT(Data!B110,"MMM-YYYY")</f>
        <v>Jun-2024</v>
      </c>
      <c r="F110" s="4" t="str">
        <f t="shared" si="9"/>
        <v>Q4-2024</v>
      </c>
      <c r="G110" t="s">
        <v>45</v>
      </c>
      <c r="H110" t="s">
        <v>46</v>
      </c>
      <c r="I110" t="s">
        <v>47</v>
      </c>
      <c r="J110" t="s">
        <v>62</v>
      </c>
      <c r="K110" t="s">
        <v>20</v>
      </c>
      <c r="L110" t="s">
        <v>29</v>
      </c>
      <c r="M110" t="s">
        <v>35</v>
      </c>
      <c r="N110" t="s">
        <v>316</v>
      </c>
      <c r="O110" s="4">
        <v>82.14</v>
      </c>
      <c r="P110" s="7" t="str">
        <f t="shared" si="10"/>
        <v>Medium</v>
      </c>
      <c r="Q110" s="4">
        <v>166.04</v>
      </c>
      <c r="R110" s="4">
        <v>0</v>
      </c>
      <c r="S110" s="4">
        <v>10</v>
      </c>
      <c r="T110" s="4">
        <f t="shared" si="7"/>
        <v>5727.1</v>
      </c>
      <c r="U110">
        <f t="shared" si="8"/>
        <v>821.4</v>
      </c>
      <c r="V110" s="4">
        <f t="shared" si="11"/>
        <v>4905.7000000000007</v>
      </c>
      <c r="W110" s="4">
        <f t="shared" si="12"/>
        <v>0.85657662691414516</v>
      </c>
    </row>
    <row r="111" spans="1:23" x14ac:dyDescent="0.3">
      <c r="A111" t="s">
        <v>317</v>
      </c>
      <c r="B111" s="6">
        <v>45445</v>
      </c>
      <c r="C111" s="2">
        <v>45451</v>
      </c>
      <c r="D111" s="4">
        <f t="shared" si="13"/>
        <v>6</v>
      </c>
      <c r="E111" s="4" t="str">
        <f>TEXT(Data!B111,"MMM-YYYY")</f>
        <v>Jun-2024</v>
      </c>
      <c r="F111" s="4" t="str">
        <f t="shared" si="9"/>
        <v>Q2-2024</v>
      </c>
      <c r="G111" t="s">
        <v>16</v>
      </c>
      <c r="H111" t="s">
        <v>17</v>
      </c>
      <c r="I111" t="s">
        <v>18</v>
      </c>
      <c r="J111" t="s">
        <v>48</v>
      </c>
      <c r="K111" t="s">
        <v>40</v>
      </c>
      <c r="L111" t="s">
        <v>75</v>
      </c>
      <c r="M111" t="s">
        <v>81</v>
      </c>
      <c r="N111" t="s">
        <v>318</v>
      </c>
      <c r="O111" s="4">
        <v>292.94</v>
      </c>
      <c r="P111" s="7" t="str">
        <f t="shared" si="10"/>
        <v>High</v>
      </c>
      <c r="Q111" s="4">
        <v>356.55</v>
      </c>
      <c r="R111" s="4">
        <v>0.22900000000000001</v>
      </c>
      <c r="S111" s="4">
        <v>2</v>
      </c>
      <c r="T111" s="4">
        <f t="shared" si="7"/>
        <v>3583.4075399999997</v>
      </c>
      <c r="U111">
        <f t="shared" si="8"/>
        <v>585.88</v>
      </c>
      <c r="V111" s="4">
        <f t="shared" si="11"/>
        <v>2997.5275399999996</v>
      </c>
      <c r="W111" s="4">
        <f t="shared" si="12"/>
        <v>0.83650199050482543</v>
      </c>
    </row>
    <row r="112" spans="1:23" x14ac:dyDescent="0.3">
      <c r="A112" t="s">
        <v>319</v>
      </c>
      <c r="B112" s="6">
        <v>45452</v>
      </c>
      <c r="C112" s="2">
        <v>45480</v>
      </c>
      <c r="D112" s="4">
        <f t="shared" si="13"/>
        <v>28</v>
      </c>
      <c r="E112" s="4" t="str">
        <f>TEXT(Data!B112,"MMM-YYYY")</f>
        <v>Jun-2024</v>
      </c>
      <c r="F112" s="4" t="str">
        <f t="shared" si="9"/>
        <v>Q2-2024</v>
      </c>
      <c r="G112" t="s">
        <v>45</v>
      </c>
      <c r="H112" t="s">
        <v>116</v>
      </c>
      <c r="I112" t="s">
        <v>117</v>
      </c>
      <c r="J112" t="s">
        <v>19</v>
      </c>
      <c r="K112" t="s">
        <v>28</v>
      </c>
      <c r="L112" t="s">
        <v>29</v>
      </c>
      <c r="M112" t="s">
        <v>22</v>
      </c>
      <c r="N112" t="s">
        <v>320</v>
      </c>
      <c r="O112" s="4">
        <v>550.22</v>
      </c>
      <c r="P112" s="7" t="str">
        <f t="shared" si="10"/>
        <v>High</v>
      </c>
      <c r="Q112" s="4">
        <v>1025.05</v>
      </c>
      <c r="R112" s="4">
        <v>0</v>
      </c>
      <c r="S112" s="4">
        <v>27</v>
      </c>
      <c r="T112" s="4">
        <f t="shared" si="7"/>
        <v>44038.080000000002</v>
      </c>
      <c r="U112">
        <f t="shared" si="8"/>
        <v>14855.94</v>
      </c>
      <c r="V112" s="4">
        <f t="shared" si="11"/>
        <v>29182.14</v>
      </c>
      <c r="W112" s="4">
        <f t="shared" si="12"/>
        <v>0.66265695507161071</v>
      </c>
    </row>
    <row r="113" spans="1:23" x14ac:dyDescent="0.3">
      <c r="A113" t="s">
        <v>321</v>
      </c>
      <c r="B113" s="6">
        <v>45453</v>
      </c>
      <c r="C113" s="2">
        <v>45454</v>
      </c>
      <c r="D113" s="4">
        <f t="shared" si="13"/>
        <v>1</v>
      </c>
      <c r="E113" s="4" t="str">
        <f>TEXT(Data!B113,"MMM-YYYY")</f>
        <v>Jun-2024</v>
      </c>
      <c r="F113" s="4" t="str">
        <f t="shared" si="9"/>
        <v>Q2-2024</v>
      </c>
      <c r="G113" t="s">
        <v>78</v>
      </c>
      <c r="H113" t="s">
        <v>108</v>
      </c>
      <c r="I113" t="s">
        <v>109</v>
      </c>
      <c r="J113" t="s">
        <v>62</v>
      </c>
      <c r="K113" t="s">
        <v>40</v>
      </c>
      <c r="L113" t="s">
        <v>110</v>
      </c>
      <c r="M113" t="s">
        <v>57</v>
      </c>
      <c r="N113" t="s">
        <v>322</v>
      </c>
      <c r="O113" s="4">
        <v>1187.1300000000001</v>
      </c>
      <c r="P113" s="7" t="str">
        <f t="shared" si="10"/>
        <v>High</v>
      </c>
      <c r="Q113" s="4">
        <v>1795.17</v>
      </c>
      <c r="R113" s="4">
        <v>1.2E-2</v>
      </c>
      <c r="S113" s="4">
        <v>17</v>
      </c>
      <c r="T113" s="4">
        <f t="shared" si="7"/>
        <v>6606.0347600000005</v>
      </c>
      <c r="U113">
        <f t="shared" si="8"/>
        <v>20181.210000000003</v>
      </c>
      <c r="V113" s="4">
        <f t="shared" si="11"/>
        <v>-13575.175240000002</v>
      </c>
      <c r="W113" s="4">
        <f t="shared" si="12"/>
        <v>-2.0549657598229172</v>
      </c>
    </row>
    <row r="114" spans="1:23" x14ac:dyDescent="0.3">
      <c r="A114" t="s">
        <v>323</v>
      </c>
      <c r="B114" s="6">
        <v>45472</v>
      </c>
      <c r="C114" s="2">
        <v>45499</v>
      </c>
      <c r="D114" s="4">
        <f t="shared" si="13"/>
        <v>27</v>
      </c>
      <c r="E114" s="4" t="str">
        <f>TEXT(Data!B114,"MMM-YYYY")</f>
        <v>Jan-2025</v>
      </c>
      <c r="F114" s="4" t="str">
        <f t="shared" si="9"/>
        <v>Q2-2024</v>
      </c>
      <c r="G114" t="s">
        <v>16</v>
      </c>
      <c r="H114" t="s">
        <v>148</v>
      </c>
      <c r="I114" t="s">
        <v>172</v>
      </c>
      <c r="J114" t="s">
        <v>105</v>
      </c>
      <c r="K114" t="s">
        <v>55</v>
      </c>
      <c r="L114" t="s">
        <v>56</v>
      </c>
      <c r="M114" t="s">
        <v>35</v>
      </c>
      <c r="N114" t="s">
        <v>324</v>
      </c>
      <c r="O114" s="4">
        <v>5.36</v>
      </c>
      <c r="P114" s="7" t="str">
        <f t="shared" si="10"/>
        <v>Low</v>
      </c>
      <c r="Q114" s="4">
        <v>4.37</v>
      </c>
      <c r="R114" s="4">
        <v>0.11799999999999999</v>
      </c>
      <c r="S114" s="4">
        <v>9</v>
      </c>
      <c r="T114" s="4">
        <f t="shared" si="7"/>
        <v>14734.198080000002</v>
      </c>
      <c r="U114">
        <f t="shared" si="8"/>
        <v>48.24</v>
      </c>
      <c r="V114" s="4">
        <f t="shared" si="11"/>
        <v>14685.958080000002</v>
      </c>
      <c r="W114" s="4">
        <f t="shared" si="12"/>
        <v>0.99672598401771995</v>
      </c>
    </row>
    <row r="115" spans="1:23" x14ac:dyDescent="0.3">
      <c r="A115" t="s">
        <v>325</v>
      </c>
      <c r="B115" s="6">
        <v>45674</v>
      </c>
      <c r="C115" s="2">
        <v>45681</v>
      </c>
      <c r="D115" s="4">
        <f t="shared" si="13"/>
        <v>7</v>
      </c>
      <c r="E115" s="4" t="str">
        <f>TEXT(Data!B115,"MMM-YYYY")</f>
        <v>Nov-2023</v>
      </c>
      <c r="F115" s="4" t="str">
        <f t="shared" si="9"/>
        <v>Q1-2025</v>
      </c>
      <c r="G115" t="s">
        <v>52</v>
      </c>
      <c r="H115" t="s">
        <v>122</v>
      </c>
      <c r="I115" t="s">
        <v>326</v>
      </c>
      <c r="J115" t="s">
        <v>105</v>
      </c>
      <c r="K115" t="s">
        <v>28</v>
      </c>
      <c r="L115" t="s">
        <v>41</v>
      </c>
      <c r="M115" t="s">
        <v>81</v>
      </c>
      <c r="N115" t="s">
        <v>327</v>
      </c>
      <c r="O115" s="4">
        <v>142.09</v>
      </c>
      <c r="P115" s="7" t="str">
        <f t="shared" si="10"/>
        <v>High</v>
      </c>
      <c r="Q115" s="4">
        <v>218.5</v>
      </c>
      <c r="R115" s="4">
        <v>0.11899999999999999</v>
      </c>
      <c r="S115" s="4">
        <v>11</v>
      </c>
      <c r="T115" s="4">
        <f t="shared" si="7"/>
        <v>822.7659000000001</v>
      </c>
      <c r="U115">
        <f t="shared" si="8"/>
        <v>1562.99</v>
      </c>
      <c r="V115" s="4">
        <f t="shared" si="11"/>
        <v>-740.22409999999991</v>
      </c>
      <c r="W115" s="4">
        <f t="shared" si="12"/>
        <v>-0.89967766043779862</v>
      </c>
    </row>
    <row r="116" spans="1:23" x14ac:dyDescent="0.3">
      <c r="A116" t="s">
        <v>328</v>
      </c>
      <c r="B116" s="6">
        <v>45250</v>
      </c>
      <c r="C116" s="2">
        <v>45265</v>
      </c>
      <c r="D116" s="4">
        <f t="shared" si="13"/>
        <v>15</v>
      </c>
      <c r="E116" s="4" t="str">
        <f>TEXT(Data!B116,"MMM-YYYY")</f>
        <v>Mar-2023</v>
      </c>
      <c r="F116" s="4" t="str">
        <f t="shared" si="9"/>
        <v>Q4-2023</v>
      </c>
      <c r="G116" t="s">
        <v>45</v>
      </c>
      <c r="H116" t="s">
        <v>46</v>
      </c>
      <c r="I116" t="s">
        <v>214</v>
      </c>
      <c r="J116" t="s">
        <v>105</v>
      </c>
      <c r="K116" t="s">
        <v>20</v>
      </c>
      <c r="L116" t="s">
        <v>49</v>
      </c>
      <c r="M116" t="s">
        <v>35</v>
      </c>
      <c r="N116" t="s">
        <v>329</v>
      </c>
      <c r="O116" s="4">
        <v>354.24</v>
      </c>
      <c r="P116" s="7" t="str">
        <f t="shared" si="10"/>
        <v>High</v>
      </c>
      <c r="Q116" s="4">
        <v>249.87</v>
      </c>
      <c r="R116" s="4">
        <v>0</v>
      </c>
      <c r="S116" s="4">
        <v>6</v>
      </c>
      <c r="T116" s="4">
        <f t="shared" si="7"/>
        <v>13513.439999999999</v>
      </c>
      <c r="U116">
        <f t="shared" si="8"/>
        <v>2125.44</v>
      </c>
      <c r="V116" s="4">
        <f t="shared" si="11"/>
        <v>11387.999999999998</v>
      </c>
      <c r="W116" s="4">
        <f t="shared" si="12"/>
        <v>0.84271658437821895</v>
      </c>
    </row>
    <row r="117" spans="1:23" x14ac:dyDescent="0.3">
      <c r="A117" t="s">
        <v>330</v>
      </c>
      <c r="B117" s="6">
        <v>44987</v>
      </c>
      <c r="C117" s="2">
        <v>44990</v>
      </c>
      <c r="D117" s="4">
        <f t="shared" si="13"/>
        <v>3</v>
      </c>
      <c r="E117" s="4" t="str">
        <f>TEXT(Data!B117,"MMM-YYYY")</f>
        <v>Jun-2025</v>
      </c>
      <c r="F117" s="4" t="str">
        <f t="shared" si="9"/>
        <v>Q1-2023</v>
      </c>
      <c r="G117" t="s">
        <v>52</v>
      </c>
      <c r="H117" t="s">
        <v>73</v>
      </c>
      <c r="I117" t="s">
        <v>87</v>
      </c>
      <c r="J117" t="s">
        <v>105</v>
      </c>
      <c r="K117" t="s">
        <v>98</v>
      </c>
      <c r="L117" t="s">
        <v>41</v>
      </c>
      <c r="M117" t="s">
        <v>64</v>
      </c>
      <c r="N117" t="s">
        <v>331</v>
      </c>
      <c r="O117" s="4">
        <v>1473.58</v>
      </c>
      <c r="P117" s="7" t="str">
        <f t="shared" si="10"/>
        <v>High</v>
      </c>
      <c r="Q117" s="4">
        <v>3436.52</v>
      </c>
      <c r="R117" s="4">
        <v>0.108</v>
      </c>
      <c r="S117" s="4">
        <v>8</v>
      </c>
      <c r="T117" s="4">
        <f t="shared" si="7"/>
        <v>6576.6803200000004</v>
      </c>
      <c r="U117">
        <f t="shared" si="8"/>
        <v>11788.64</v>
      </c>
      <c r="V117" s="4">
        <f t="shared" si="11"/>
        <v>-5211.959679999999</v>
      </c>
      <c r="W117" s="4">
        <f t="shared" si="12"/>
        <v>-0.79249095689662452</v>
      </c>
    </row>
    <row r="118" spans="1:23" x14ac:dyDescent="0.3">
      <c r="A118" t="s">
        <v>332</v>
      </c>
      <c r="B118" s="6">
        <v>45811</v>
      </c>
      <c r="C118" s="2">
        <v>45818</v>
      </c>
      <c r="D118" s="4">
        <f t="shared" si="13"/>
        <v>7</v>
      </c>
      <c r="E118" s="4" t="str">
        <f>TEXT(Data!B118,"MMM-YYYY")</f>
        <v>Dec-2024</v>
      </c>
      <c r="F118" s="4" t="str">
        <f t="shared" si="9"/>
        <v>Q2-2025</v>
      </c>
      <c r="G118" t="s">
        <v>52</v>
      </c>
      <c r="H118" t="s">
        <v>53</v>
      </c>
      <c r="I118" t="s">
        <v>54</v>
      </c>
      <c r="J118" t="s">
        <v>48</v>
      </c>
      <c r="K118" t="s">
        <v>55</v>
      </c>
      <c r="L118" t="s">
        <v>68</v>
      </c>
      <c r="M118" t="s">
        <v>30</v>
      </c>
      <c r="N118" t="s">
        <v>333</v>
      </c>
      <c r="O118" s="4">
        <v>75.180000000000007</v>
      </c>
      <c r="P118" s="7" t="str">
        <f t="shared" si="10"/>
        <v>Medium</v>
      </c>
      <c r="Q118" s="4">
        <v>53.45</v>
      </c>
      <c r="R118" s="4">
        <v>0.157</v>
      </c>
      <c r="S118" s="4">
        <v>17</v>
      </c>
      <c r="T118" s="4">
        <f t="shared" si="7"/>
        <v>23548.41258</v>
      </c>
      <c r="U118">
        <f t="shared" si="8"/>
        <v>1278.0600000000002</v>
      </c>
      <c r="V118" s="4">
        <f t="shared" si="11"/>
        <v>22270.352579999999</v>
      </c>
      <c r="W118" s="4">
        <f t="shared" si="12"/>
        <v>0.94572627791117114</v>
      </c>
    </row>
    <row r="119" spans="1:23" x14ac:dyDescent="0.3">
      <c r="A119" t="s">
        <v>334</v>
      </c>
      <c r="B119" s="6">
        <v>45653</v>
      </c>
      <c r="C119" s="2">
        <v>45659</v>
      </c>
      <c r="D119" s="4">
        <f t="shared" si="13"/>
        <v>6</v>
      </c>
      <c r="E119" s="4" t="str">
        <f>TEXT(Data!B119,"MMM-YYYY")</f>
        <v>Jun-2023</v>
      </c>
      <c r="F119" s="4" t="str">
        <f t="shared" si="9"/>
        <v>Q4-2024</v>
      </c>
      <c r="G119" t="s">
        <v>78</v>
      </c>
      <c r="H119" t="s">
        <v>79</v>
      </c>
      <c r="I119" t="s">
        <v>335</v>
      </c>
      <c r="J119" t="s">
        <v>27</v>
      </c>
      <c r="K119" t="s">
        <v>98</v>
      </c>
      <c r="L119" t="s">
        <v>84</v>
      </c>
      <c r="M119" t="s">
        <v>57</v>
      </c>
      <c r="N119" t="s">
        <v>336</v>
      </c>
      <c r="O119" s="4">
        <v>1391.99</v>
      </c>
      <c r="P119" s="7" t="str">
        <f t="shared" si="10"/>
        <v>High</v>
      </c>
      <c r="Q119" s="4">
        <v>3469.7</v>
      </c>
      <c r="R119" s="4">
        <v>0.184</v>
      </c>
      <c r="S119" s="4">
        <v>23</v>
      </c>
      <c r="T119" s="4">
        <f t="shared" si="7"/>
        <v>27535.846560000005</v>
      </c>
      <c r="U119">
        <f t="shared" si="8"/>
        <v>32015.77</v>
      </c>
      <c r="V119" s="4">
        <f t="shared" si="11"/>
        <v>-4479.923439999995</v>
      </c>
      <c r="W119" s="4">
        <f t="shared" si="12"/>
        <v>-0.16269423314218215</v>
      </c>
    </row>
    <row r="120" spans="1:23" x14ac:dyDescent="0.3">
      <c r="A120" t="s">
        <v>337</v>
      </c>
      <c r="B120" s="6">
        <v>45086</v>
      </c>
      <c r="C120" s="2">
        <v>45096</v>
      </c>
      <c r="D120" s="4">
        <f t="shared" si="13"/>
        <v>10</v>
      </c>
      <c r="E120" s="4" t="str">
        <f>TEXT(Data!B120,"MMM-YYYY")</f>
        <v>Jul-2025</v>
      </c>
      <c r="F120" s="4" t="str">
        <f t="shared" si="9"/>
        <v>Q2-2023</v>
      </c>
      <c r="G120" t="s">
        <v>45</v>
      </c>
      <c r="H120" t="s">
        <v>116</v>
      </c>
      <c r="I120" t="s">
        <v>338</v>
      </c>
      <c r="J120" t="s">
        <v>105</v>
      </c>
      <c r="K120" t="s">
        <v>20</v>
      </c>
      <c r="L120" t="s">
        <v>84</v>
      </c>
      <c r="M120" t="s">
        <v>64</v>
      </c>
      <c r="N120" t="s">
        <v>339</v>
      </c>
      <c r="O120" s="4">
        <v>339.61</v>
      </c>
      <c r="P120" s="7" t="str">
        <f t="shared" si="10"/>
        <v>High</v>
      </c>
      <c r="Q120" s="4">
        <v>621.02</v>
      </c>
      <c r="R120" s="4">
        <v>7.0999999999999994E-2</v>
      </c>
      <c r="S120" s="4">
        <v>10</v>
      </c>
      <c r="T120" s="4">
        <f t="shared" si="7"/>
        <v>9278.4804000000004</v>
      </c>
      <c r="U120">
        <f t="shared" si="8"/>
        <v>3396.1000000000004</v>
      </c>
      <c r="V120" s="4">
        <f t="shared" si="11"/>
        <v>5882.3804</v>
      </c>
      <c r="W120" s="4">
        <f t="shared" si="12"/>
        <v>0.63398101266668616</v>
      </c>
    </row>
    <row r="121" spans="1:23" x14ac:dyDescent="0.3">
      <c r="A121" t="s">
        <v>340</v>
      </c>
      <c r="B121" s="6">
        <v>45847</v>
      </c>
      <c r="C121" s="2">
        <v>45856</v>
      </c>
      <c r="D121" s="4">
        <f t="shared" si="13"/>
        <v>9</v>
      </c>
      <c r="E121" s="4" t="str">
        <f>TEXT(Data!B121,"MMM-YYYY")</f>
        <v>Jun-2025</v>
      </c>
      <c r="F121" s="4" t="str">
        <f t="shared" si="9"/>
        <v>Q3-2025</v>
      </c>
      <c r="G121" t="s">
        <v>52</v>
      </c>
      <c r="H121" t="s">
        <v>53</v>
      </c>
      <c r="I121" t="s">
        <v>179</v>
      </c>
      <c r="J121" t="s">
        <v>27</v>
      </c>
      <c r="K121" t="s">
        <v>55</v>
      </c>
      <c r="L121" t="s">
        <v>34</v>
      </c>
      <c r="M121" t="s">
        <v>57</v>
      </c>
      <c r="N121" t="s">
        <v>341</v>
      </c>
      <c r="O121" s="4">
        <v>57.96</v>
      </c>
      <c r="P121" s="7" t="str">
        <f t="shared" si="10"/>
        <v>Medium</v>
      </c>
      <c r="Q121" s="4">
        <v>88.51</v>
      </c>
      <c r="R121" s="4">
        <v>4.2999999999999997E-2</v>
      </c>
      <c r="S121" s="4">
        <v>7</v>
      </c>
      <c r="T121" s="4">
        <f t="shared" si="7"/>
        <v>4225.1932799999995</v>
      </c>
      <c r="U121">
        <f t="shared" si="8"/>
        <v>405.72</v>
      </c>
      <c r="V121" s="4">
        <f t="shared" si="11"/>
        <v>3819.4732799999992</v>
      </c>
      <c r="W121" s="4">
        <f t="shared" si="12"/>
        <v>0.90397599041907017</v>
      </c>
    </row>
    <row r="122" spans="1:23" x14ac:dyDescent="0.3">
      <c r="A122" t="s">
        <v>342</v>
      </c>
      <c r="B122" s="6">
        <v>45827</v>
      </c>
      <c r="C122" s="2">
        <v>45850</v>
      </c>
      <c r="D122" s="4">
        <f t="shared" si="13"/>
        <v>23</v>
      </c>
      <c r="E122" s="4" t="str">
        <f>TEXT(Data!B122,"MMM-YYYY")</f>
        <v>Nov-2023</v>
      </c>
      <c r="F122" s="4" t="str">
        <f t="shared" si="9"/>
        <v>Q2-2025</v>
      </c>
      <c r="G122" t="s">
        <v>78</v>
      </c>
      <c r="H122" t="s">
        <v>108</v>
      </c>
      <c r="I122" t="s">
        <v>1364</v>
      </c>
      <c r="J122" t="s">
        <v>39</v>
      </c>
      <c r="K122" t="s">
        <v>98</v>
      </c>
      <c r="L122" t="s">
        <v>1364</v>
      </c>
      <c r="M122" t="s">
        <v>35</v>
      </c>
      <c r="N122" t="s">
        <v>343</v>
      </c>
      <c r="O122" s="4">
        <v>801.24</v>
      </c>
      <c r="P122" s="7" t="str">
        <f t="shared" si="10"/>
        <v>High</v>
      </c>
      <c r="Q122" s="4">
        <v>1959.09</v>
      </c>
      <c r="R122" s="4">
        <v>0.123</v>
      </c>
      <c r="S122" s="4">
        <v>23</v>
      </c>
      <c r="T122" s="4">
        <f t="shared" si="7"/>
        <v>14696.792309999999</v>
      </c>
      <c r="U122">
        <f t="shared" si="8"/>
        <v>18428.52</v>
      </c>
      <c r="V122" s="4">
        <f t="shared" si="11"/>
        <v>-3731.7276900000015</v>
      </c>
      <c r="W122" s="4">
        <f t="shared" si="12"/>
        <v>-0.25391443325091134</v>
      </c>
    </row>
    <row r="123" spans="1:23" x14ac:dyDescent="0.3">
      <c r="A123" t="s">
        <v>344</v>
      </c>
      <c r="B123" s="6">
        <v>45249</v>
      </c>
      <c r="C123" s="2">
        <v>45273</v>
      </c>
      <c r="D123" s="4">
        <f t="shared" si="13"/>
        <v>24</v>
      </c>
      <c r="E123" s="4" t="str">
        <f>TEXT(Data!B123,"MMM-YYYY")</f>
        <v>Dec-2023</v>
      </c>
      <c r="F123" s="4" t="str">
        <f t="shared" si="9"/>
        <v>Q4-2023</v>
      </c>
      <c r="G123" t="s">
        <v>78</v>
      </c>
      <c r="H123" t="s">
        <v>90</v>
      </c>
      <c r="I123" t="s">
        <v>138</v>
      </c>
      <c r="J123" t="s">
        <v>39</v>
      </c>
      <c r="K123" t="s">
        <v>98</v>
      </c>
      <c r="L123" t="s">
        <v>92</v>
      </c>
      <c r="M123" t="s">
        <v>64</v>
      </c>
      <c r="N123" t="s">
        <v>345</v>
      </c>
      <c r="O123" s="4">
        <v>1297.42</v>
      </c>
      <c r="P123" s="7" t="str">
        <f t="shared" si="10"/>
        <v>High</v>
      </c>
      <c r="Q123" s="4">
        <v>2742.97</v>
      </c>
      <c r="R123" s="4">
        <v>6.9000000000000006E-2</v>
      </c>
      <c r="S123" s="4">
        <v>9</v>
      </c>
      <c r="T123" s="4">
        <f t="shared" si="7"/>
        <v>7972.7022900000002</v>
      </c>
      <c r="U123">
        <f t="shared" si="8"/>
        <v>11676.78</v>
      </c>
      <c r="V123" s="4">
        <f t="shared" si="11"/>
        <v>-3704.0777100000005</v>
      </c>
      <c r="W123" s="4">
        <f t="shared" si="12"/>
        <v>-0.46459501123551927</v>
      </c>
    </row>
    <row r="124" spans="1:23" x14ac:dyDescent="0.3">
      <c r="A124" t="s">
        <v>346</v>
      </c>
      <c r="B124" s="6">
        <v>45289</v>
      </c>
      <c r="C124" s="2">
        <v>45311</v>
      </c>
      <c r="D124" s="4">
        <f t="shared" si="13"/>
        <v>22</v>
      </c>
      <c r="E124" s="4" t="str">
        <f>TEXT(Data!B124,"MMM-YYYY")</f>
        <v>Nov-2024</v>
      </c>
      <c r="F124" s="4" t="str">
        <f t="shared" si="9"/>
        <v>Q4-2023</v>
      </c>
      <c r="G124" t="s">
        <v>16</v>
      </c>
      <c r="H124" t="s">
        <v>17</v>
      </c>
      <c r="I124" t="s">
        <v>18</v>
      </c>
      <c r="J124" t="s">
        <v>19</v>
      </c>
      <c r="K124" t="s">
        <v>98</v>
      </c>
      <c r="L124" t="s">
        <v>49</v>
      </c>
      <c r="M124" t="s">
        <v>42</v>
      </c>
      <c r="N124" t="s">
        <v>347</v>
      </c>
      <c r="O124" s="4">
        <v>1395.49</v>
      </c>
      <c r="P124" s="7" t="str">
        <f t="shared" si="10"/>
        <v>High</v>
      </c>
      <c r="Q124" s="4">
        <v>1679.42</v>
      </c>
      <c r="R124" s="4">
        <v>0.20300000000000001</v>
      </c>
      <c r="S124" s="4">
        <v>12</v>
      </c>
      <c r="T124" s="4">
        <f t="shared" si="7"/>
        <v>7009.2643199999993</v>
      </c>
      <c r="U124">
        <f t="shared" si="8"/>
        <v>16745.88</v>
      </c>
      <c r="V124" s="4">
        <f t="shared" si="11"/>
        <v>-9736.6156800000026</v>
      </c>
      <c r="W124" s="4">
        <f t="shared" si="12"/>
        <v>-1.3891066502111884</v>
      </c>
    </row>
    <row r="125" spans="1:23" x14ac:dyDescent="0.3">
      <c r="A125" t="s">
        <v>348</v>
      </c>
      <c r="B125" s="6">
        <v>45598</v>
      </c>
      <c r="C125" s="2">
        <v>45625</v>
      </c>
      <c r="D125" s="4">
        <f t="shared" si="13"/>
        <v>27</v>
      </c>
      <c r="E125" s="4" t="str">
        <f>TEXT(Data!B125,"MMM-YYYY")</f>
        <v>Aug-2023</v>
      </c>
      <c r="F125" s="4" t="str">
        <f t="shared" si="9"/>
        <v>Q4-2024</v>
      </c>
      <c r="G125" t="s">
        <v>52</v>
      </c>
      <c r="H125" t="s">
        <v>73</v>
      </c>
      <c r="I125" t="s">
        <v>87</v>
      </c>
      <c r="J125" t="s">
        <v>62</v>
      </c>
      <c r="K125" t="s">
        <v>98</v>
      </c>
      <c r="L125" t="s">
        <v>34</v>
      </c>
      <c r="M125" t="s">
        <v>35</v>
      </c>
      <c r="N125" t="s">
        <v>349</v>
      </c>
      <c r="O125" s="4">
        <v>1363.51</v>
      </c>
      <c r="P125" s="7" t="str">
        <f t="shared" si="10"/>
        <v>High</v>
      </c>
      <c r="Q125" s="4">
        <v>1433.9</v>
      </c>
      <c r="R125" s="4">
        <v>5.7000000000000002E-2</v>
      </c>
      <c r="S125" s="4">
        <v>8</v>
      </c>
      <c r="T125" s="4">
        <f t="shared" si="7"/>
        <v>18192.506879999997</v>
      </c>
      <c r="U125">
        <f t="shared" si="8"/>
        <v>10908.08</v>
      </c>
      <c r="V125" s="4">
        <f t="shared" si="11"/>
        <v>7284.4268799999973</v>
      </c>
      <c r="W125" s="4">
        <f t="shared" si="12"/>
        <v>0.4004080871343883</v>
      </c>
    </row>
    <row r="126" spans="1:23" x14ac:dyDescent="0.3">
      <c r="A126" t="s">
        <v>350</v>
      </c>
      <c r="B126" s="6">
        <v>45159</v>
      </c>
      <c r="C126" s="2">
        <v>45173</v>
      </c>
      <c r="D126" s="4">
        <f t="shared" si="13"/>
        <v>14</v>
      </c>
      <c r="E126" s="4" t="str">
        <f>TEXT(Data!B126,"MMM-YYYY")</f>
        <v>Aug-2023</v>
      </c>
      <c r="F126" s="4" t="str">
        <f t="shared" si="9"/>
        <v>Q3-2023</v>
      </c>
      <c r="G126" t="s">
        <v>52</v>
      </c>
      <c r="H126" t="s">
        <v>53</v>
      </c>
      <c r="I126" t="s">
        <v>144</v>
      </c>
      <c r="J126" t="s">
        <v>27</v>
      </c>
      <c r="K126" t="s">
        <v>55</v>
      </c>
      <c r="L126" t="s">
        <v>84</v>
      </c>
      <c r="M126" t="s">
        <v>22</v>
      </c>
      <c r="N126" t="s">
        <v>351</v>
      </c>
      <c r="O126" s="4">
        <v>178.19</v>
      </c>
      <c r="P126" s="7" t="str">
        <f t="shared" si="10"/>
        <v>High</v>
      </c>
      <c r="Q126" s="4">
        <v>284.43</v>
      </c>
      <c r="R126" s="4">
        <v>8.8999999999999996E-2</v>
      </c>
      <c r="S126" s="4">
        <v>8</v>
      </c>
      <c r="T126" s="4">
        <f t="shared" si="7"/>
        <v>4141.6975199999997</v>
      </c>
      <c r="U126">
        <f t="shared" si="8"/>
        <v>1425.52</v>
      </c>
      <c r="V126" s="4">
        <f t="shared" si="11"/>
        <v>2716.1775199999997</v>
      </c>
      <c r="W126" s="4">
        <f t="shared" si="12"/>
        <v>0.65581262438498888</v>
      </c>
    </row>
    <row r="127" spans="1:23" x14ac:dyDescent="0.3">
      <c r="A127" t="s">
        <v>352</v>
      </c>
      <c r="B127" s="6">
        <v>45150</v>
      </c>
      <c r="C127" s="2">
        <v>45175</v>
      </c>
      <c r="D127" s="4">
        <f t="shared" si="13"/>
        <v>25</v>
      </c>
      <c r="E127" s="4" t="str">
        <f>TEXT(Data!B127,"MMM-YYYY")</f>
        <v>Jun-2024</v>
      </c>
      <c r="F127" s="4" t="str">
        <f t="shared" si="9"/>
        <v>Q3-2023</v>
      </c>
      <c r="G127" t="s">
        <v>45</v>
      </c>
      <c r="H127" t="s">
        <v>116</v>
      </c>
      <c r="I127" t="s">
        <v>162</v>
      </c>
      <c r="J127" t="s">
        <v>62</v>
      </c>
      <c r="K127" t="s">
        <v>20</v>
      </c>
      <c r="L127" t="s">
        <v>56</v>
      </c>
      <c r="M127" t="s">
        <v>22</v>
      </c>
      <c r="N127" t="s">
        <v>353</v>
      </c>
      <c r="O127" s="4">
        <v>950.77</v>
      </c>
      <c r="P127" s="7" t="str">
        <f t="shared" si="10"/>
        <v>High</v>
      </c>
      <c r="Q127" s="4">
        <v>694.78</v>
      </c>
      <c r="R127" s="4">
        <v>8.4000000000000005E-2</v>
      </c>
      <c r="S127" s="4">
        <v>14</v>
      </c>
      <c r="T127" s="4">
        <f t="shared" si="7"/>
        <v>16093.478800000001</v>
      </c>
      <c r="U127">
        <f t="shared" si="8"/>
        <v>13310.779999999999</v>
      </c>
      <c r="V127" s="4">
        <f t="shared" si="11"/>
        <v>2782.6988000000019</v>
      </c>
      <c r="W127" s="4">
        <f t="shared" si="12"/>
        <v>0.17290847023081185</v>
      </c>
    </row>
    <row r="128" spans="1:23" x14ac:dyDescent="0.3">
      <c r="A128" t="s">
        <v>354</v>
      </c>
      <c r="B128" s="6">
        <v>45450</v>
      </c>
      <c r="C128" s="2">
        <v>45469</v>
      </c>
      <c r="D128" s="4">
        <f t="shared" si="13"/>
        <v>19</v>
      </c>
      <c r="E128" s="4" t="str">
        <f>TEXT(Data!B128,"MMM-YYYY")</f>
        <v>Aug-2025</v>
      </c>
      <c r="F128" s="4" t="str">
        <f t="shared" si="9"/>
        <v>Q2-2024</v>
      </c>
      <c r="G128" t="s">
        <v>78</v>
      </c>
      <c r="H128" t="s">
        <v>79</v>
      </c>
      <c r="I128" t="s">
        <v>80</v>
      </c>
      <c r="J128" t="s">
        <v>39</v>
      </c>
      <c r="K128" t="s">
        <v>40</v>
      </c>
      <c r="L128" t="s">
        <v>110</v>
      </c>
      <c r="M128" t="s">
        <v>22</v>
      </c>
      <c r="N128" t="s">
        <v>355</v>
      </c>
      <c r="O128" s="4">
        <v>1064.32</v>
      </c>
      <c r="P128" s="7" t="str">
        <f t="shared" si="10"/>
        <v>High</v>
      </c>
      <c r="Q128" s="4">
        <v>1848.39</v>
      </c>
      <c r="R128" s="4">
        <v>7.2999999999999995E-2</v>
      </c>
      <c r="S128" s="4">
        <v>38</v>
      </c>
      <c r="T128" s="4">
        <f t="shared" si="7"/>
        <v>29785.344300000001</v>
      </c>
      <c r="U128">
        <f t="shared" si="8"/>
        <v>40444.159999999996</v>
      </c>
      <c r="V128" s="4">
        <f t="shared" si="11"/>
        <v>-10658.815699999996</v>
      </c>
      <c r="W128" s="4">
        <f t="shared" si="12"/>
        <v>-0.35785437269563458</v>
      </c>
    </row>
    <row r="129" spans="1:23" x14ac:dyDescent="0.3">
      <c r="A129" t="s">
        <v>356</v>
      </c>
      <c r="B129" s="6">
        <v>45874</v>
      </c>
      <c r="C129" s="2">
        <v>45883</v>
      </c>
      <c r="D129" s="4">
        <f t="shared" si="13"/>
        <v>9</v>
      </c>
      <c r="E129" s="4" t="str">
        <f>TEXT(Data!B129,"MMM-YYYY")</f>
        <v>May-2024</v>
      </c>
      <c r="F129" s="4" t="str">
        <f t="shared" si="9"/>
        <v>Q3-2025</v>
      </c>
      <c r="G129" t="s">
        <v>78</v>
      </c>
      <c r="H129" t="s">
        <v>108</v>
      </c>
      <c r="I129" t="s">
        <v>152</v>
      </c>
      <c r="J129" t="s">
        <v>39</v>
      </c>
      <c r="K129" t="s">
        <v>98</v>
      </c>
      <c r="L129" t="s">
        <v>63</v>
      </c>
      <c r="M129" t="s">
        <v>22</v>
      </c>
      <c r="N129" t="s">
        <v>357</v>
      </c>
      <c r="O129" s="4">
        <v>41.76</v>
      </c>
      <c r="P129" s="7" t="str">
        <f t="shared" si="10"/>
        <v>Low</v>
      </c>
      <c r="Q129" s="4">
        <v>45.19</v>
      </c>
      <c r="R129" s="4">
        <v>0.17899999999999999</v>
      </c>
      <c r="S129" s="4">
        <v>23</v>
      </c>
      <c r="T129" s="4">
        <f t="shared" si="7"/>
        <v>40507.245110000003</v>
      </c>
      <c r="U129">
        <f t="shared" si="8"/>
        <v>960.4799999999999</v>
      </c>
      <c r="V129" s="4">
        <f t="shared" si="11"/>
        <v>39546.76511</v>
      </c>
      <c r="W129" s="4">
        <f t="shared" si="12"/>
        <v>0.97628868619942533</v>
      </c>
    </row>
    <row r="130" spans="1:23" x14ac:dyDescent="0.3">
      <c r="A130" t="s">
        <v>358</v>
      </c>
      <c r="B130" s="6">
        <v>45442</v>
      </c>
      <c r="C130" s="2">
        <v>45456</v>
      </c>
      <c r="D130" s="4">
        <f t="shared" si="13"/>
        <v>14</v>
      </c>
      <c r="E130" s="4" t="str">
        <f>TEXT(Data!B130,"MMM-YYYY")</f>
        <v>Jan-2023</v>
      </c>
      <c r="F130" s="4" t="str">
        <f t="shared" si="9"/>
        <v>Q2-2024</v>
      </c>
      <c r="G130" t="s">
        <v>52</v>
      </c>
      <c r="H130" t="s">
        <v>122</v>
      </c>
      <c r="I130" t="s">
        <v>167</v>
      </c>
      <c r="J130" t="s">
        <v>62</v>
      </c>
      <c r="K130" t="s">
        <v>20</v>
      </c>
      <c r="L130" t="s">
        <v>84</v>
      </c>
      <c r="M130" t="s">
        <v>42</v>
      </c>
      <c r="N130" t="s">
        <v>359</v>
      </c>
      <c r="O130" s="4">
        <v>157.78</v>
      </c>
      <c r="P130" s="7" t="str">
        <f t="shared" si="10"/>
        <v>High</v>
      </c>
      <c r="Q130" s="4">
        <v>361.1</v>
      </c>
      <c r="R130" s="4">
        <v>0.187</v>
      </c>
      <c r="S130" s="4">
        <v>9</v>
      </c>
      <c r="T130" s="4">
        <f t="shared" ref="T130:T193" si="14">(Q156*S130)*(1-R130)</f>
        <v>9877.5109800000009</v>
      </c>
      <c r="U130">
        <f t="shared" ref="U130:U193" si="15">(O130*S130)</f>
        <v>1420.02</v>
      </c>
      <c r="V130" s="4">
        <f t="shared" si="11"/>
        <v>8457.4909800000005</v>
      </c>
      <c r="W130" s="4">
        <f t="shared" si="12"/>
        <v>0.85623706185948478</v>
      </c>
    </row>
    <row r="131" spans="1:23" x14ac:dyDescent="0.3">
      <c r="A131" t="s">
        <v>360</v>
      </c>
      <c r="B131" s="6">
        <v>44948</v>
      </c>
      <c r="C131" s="2">
        <v>44956</v>
      </c>
      <c r="D131" s="4">
        <f t="shared" si="13"/>
        <v>8</v>
      </c>
      <c r="E131" s="4" t="str">
        <f>TEXT(Data!B131,"MMM-YYYY")</f>
        <v>Feb-2025</v>
      </c>
      <c r="F131" s="4" t="str">
        <f t="shared" ref="F131:F194" si="16">"Q"&amp;ROUNDUP(MONTH(B131)/3,0)&amp;"-"&amp;YEAR(B131)</f>
        <v>Q1-2023</v>
      </c>
      <c r="G131" t="s">
        <v>52</v>
      </c>
      <c r="H131" t="s">
        <v>122</v>
      </c>
      <c r="I131" t="s">
        <v>167</v>
      </c>
      <c r="J131" t="s">
        <v>62</v>
      </c>
      <c r="K131" t="s">
        <v>28</v>
      </c>
      <c r="L131" t="s">
        <v>75</v>
      </c>
      <c r="M131" t="s">
        <v>35</v>
      </c>
      <c r="N131" t="s">
        <v>361</v>
      </c>
      <c r="O131" s="4">
        <v>413.52</v>
      </c>
      <c r="P131" s="7" t="str">
        <f t="shared" ref="P131:P194" si="17">IF(Q131&lt;50, "Low", IF(Q131&lt;200, "Medium", "High"))</f>
        <v>High</v>
      </c>
      <c r="Q131" s="4">
        <v>1004.34</v>
      </c>
      <c r="R131" s="4">
        <v>0.111</v>
      </c>
      <c r="S131" s="4">
        <v>18</v>
      </c>
      <c r="T131" s="4">
        <f t="shared" si="14"/>
        <v>8440.7349599999998</v>
      </c>
      <c r="U131">
        <f t="shared" si="15"/>
        <v>7443.36</v>
      </c>
      <c r="V131" s="4">
        <f t="shared" ref="V131:V194" si="18">(T131-U131)</f>
        <v>997.3749600000001</v>
      </c>
      <c r="W131" s="4">
        <f t="shared" ref="W131:W194" si="19">IF(T131=0, 0, V131/T131)</f>
        <v>0.11816209900281008</v>
      </c>
    </row>
    <row r="132" spans="1:23" x14ac:dyDescent="0.3">
      <c r="A132" t="s">
        <v>362</v>
      </c>
      <c r="B132" s="6">
        <v>45700</v>
      </c>
      <c r="C132" s="2">
        <v>45716</v>
      </c>
      <c r="D132" s="4">
        <f t="shared" ref="D132:D195" si="20">DATEDIF(B132,C132, "MD")</f>
        <v>16</v>
      </c>
      <c r="E132" s="4" t="str">
        <f>TEXT(Data!B132,"MMM-YYYY")</f>
        <v>Mar-2025</v>
      </c>
      <c r="F132" s="4" t="str">
        <f t="shared" si="16"/>
        <v>Q1-2025</v>
      </c>
      <c r="G132" t="s">
        <v>52</v>
      </c>
      <c r="H132" t="s">
        <v>73</v>
      </c>
      <c r="I132" t="s">
        <v>74</v>
      </c>
      <c r="J132" t="s">
        <v>39</v>
      </c>
      <c r="K132" t="s">
        <v>98</v>
      </c>
      <c r="L132" t="s">
        <v>56</v>
      </c>
      <c r="M132" t="s">
        <v>64</v>
      </c>
      <c r="N132" t="s">
        <v>363</v>
      </c>
      <c r="O132" s="4">
        <v>414.95</v>
      </c>
      <c r="P132" s="7" t="str">
        <f t="shared" si="17"/>
        <v>High</v>
      </c>
      <c r="Q132" s="4">
        <v>1027.73</v>
      </c>
      <c r="R132" s="4">
        <v>6.3E-2</v>
      </c>
      <c r="S132" s="4">
        <v>8</v>
      </c>
      <c r="T132" s="4">
        <f t="shared" si="14"/>
        <v>10997.906320000002</v>
      </c>
      <c r="U132">
        <f t="shared" si="15"/>
        <v>3319.6</v>
      </c>
      <c r="V132" s="4">
        <f t="shared" si="18"/>
        <v>7678.3063200000015</v>
      </c>
      <c r="W132" s="4">
        <f t="shared" si="19"/>
        <v>0.69816073137818835</v>
      </c>
    </row>
    <row r="133" spans="1:23" x14ac:dyDescent="0.3">
      <c r="A133" t="s">
        <v>364</v>
      </c>
      <c r="B133" s="6">
        <v>45719</v>
      </c>
      <c r="C133" s="2">
        <v>45740</v>
      </c>
      <c r="D133" s="4">
        <f t="shared" si="20"/>
        <v>21</v>
      </c>
      <c r="E133" s="4" t="str">
        <f>TEXT(Data!B133,"MMM-YYYY")</f>
        <v>Jan-2023</v>
      </c>
      <c r="F133" s="4" t="str">
        <f t="shared" si="16"/>
        <v>Q1-2025</v>
      </c>
      <c r="G133" t="s">
        <v>16</v>
      </c>
      <c r="H133" t="s">
        <v>25</v>
      </c>
      <c r="I133" t="s">
        <v>67</v>
      </c>
      <c r="J133" t="s">
        <v>105</v>
      </c>
      <c r="K133" t="s">
        <v>98</v>
      </c>
      <c r="L133" t="s">
        <v>92</v>
      </c>
      <c r="M133" t="s">
        <v>81</v>
      </c>
      <c r="N133" t="s">
        <v>365</v>
      </c>
      <c r="O133" s="4">
        <v>555.95000000000005</v>
      </c>
      <c r="P133" s="7" t="str">
        <f t="shared" si="17"/>
        <v>High</v>
      </c>
      <c r="Q133" s="4">
        <v>468.09</v>
      </c>
      <c r="R133" s="4">
        <v>0.14199999999999999</v>
      </c>
      <c r="S133" s="4">
        <v>11</v>
      </c>
      <c r="T133" s="4">
        <f t="shared" si="14"/>
        <v>15583.45932</v>
      </c>
      <c r="U133">
        <f t="shared" si="15"/>
        <v>6115.4500000000007</v>
      </c>
      <c r="V133" s="4">
        <f t="shared" si="18"/>
        <v>9468.0093199999992</v>
      </c>
      <c r="W133" s="4">
        <f t="shared" si="19"/>
        <v>0.60756787858063332</v>
      </c>
    </row>
    <row r="134" spans="1:23" x14ac:dyDescent="0.3">
      <c r="A134" t="s">
        <v>366</v>
      </c>
      <c r="B134" s="6">
        <v>44953</v>
      </c>
      <c r="C134" s="2">
        <v>44957</v>
      </c>
      <c r="D134" s="4">
        <f t="shared" si="20"/>
        <v>4</v>
      </c>
      <c r="E134" s="4" t="str">
        <f>TEXT(Data!B134,"MMM-YYYY")</f>
        <v>Jan-2025</v>
      </c>
      <c r="F134" s="4" t="str">
        <f t="shared" si="16"/>
        <v>Q1-2023</v>
      </c>
      <c r="G134" t="s">
        <v>78</v>
      </c>
      <c r="H134" t="s">
        <v>108</v>
      </c>
      <c r="I134" t="s">
        <v>228</v>
      </c>
      <c r="J134" t="s">
        <v>105</v>
      </c>
      <c r="K134" t="s">
        <v>28</v>
      </c>
      <c r="L134" t="s">
        <v>126</v>
      </c>
      <c r="M134" t="s">
        <v>57</v>
      </c>
      <c r="N134" t="s">
        <v>367</v>
      </c>
      <c r="O134" s="4">
        <v>941.2</v>
      </c>
      <c r="P134" s="7" t="str">
        <f t="shared" si="17"/>
        <v>High</v>
      </c>
      <c r="Q134" s="4">
        <v>668.02</v>
      </c>
      <c r="R134" s="4">
        <v>0.22</v>
      </c>
      <c r="S134" s="4">
        <v>16</v>
      </c>
      <c r="T134" s="4">
        <f t="shared" si="14"/>
        <v>24737.606400000001</v>
      </c>
      <c r="U134">
        <f t="shared" si="15"/>
        <v>15059.2</v>
      </c>
      <c r="V134" s="4">
        <f t="shared" si="18"/>
        <v>9678.4063999999998</v>
      </c>
      <c r="W134" s="4">
        <f t="shared" si="19"/>
        <v>0.3912426385763822</v>
      </c>
    </row>
    <row r="135" spans="1:23" x14ac:dyDescent="0.3">
      <c r="A135" t="s">
        <v>368</v>
      </c>
      <c r="B135" s="6">
        <v>45666</v>
      </c>
      <c r="C135" s="2">
        <v>45672</v>
      </c>
      <c r="D135" s="4">
        <f t="shared" si="20"/>
        <v>6</v>
      </c>
      <c r="E135" s="4" t="str">
        <f>TEXT(Data!B135,"MMM-YYYY")</f>
        <v>Dec-2024</v>
      </c>
      <c r="F135" s="4" t="str">
        <f t="shared" si="16"/>
        <v>Q1-2025</v>
      </c>
      <c r="G135" t="s">
        <v>45</v>
      </c>
      <c r="H135" t="s">
        <v>116</v>
      </c>
      <c r="I135" t="s">
        <v>338</v>
      </c>
      <c r="J135" t="s">
        <v>27</v>
      </c>
      <c r="K135" t="s">
        <v>28</v>
      </c>
      <c r="L135" t="s">
        <v>21</v>
      </c>
      <c r="M135" t="s">
        <v>42</v>
      </c>
      <c r="N135" t="s">
        <v>369</v>
      </c>
      <c r="O135" s="4">
        <v>304.77999999999997</v>
      </c>
      <c r="P135" s="7" t="str">
        <f t="shared" si="17"/>
        <v>High</v>
      </c>
      <c r="Q135" s="4">
        <v>537.27</v>
      </c>
      <c r="R135" s="4">
        <v>0.187</v>
      </c>
      <c r="S135" s="4">
        <v>8</v>
      </c>
      <c r="T135" s="4">
        <f t="shared" si="14"/>
        <v>16599.638879999999</v>
      </c>
      <c r="U135">
        <f t="shared" si="15"/>
        <v>2438.2399999999998</v>
      </c>
      <c r="V135" s="4">
        <f t="shared" si="18"/>
        <v>14161.398879999999</v>
      </c>
      <c r="W135" s="4">
        <f t="shared" si="19"/>
        <v>0.85311487691833454</v>
      </c>
    </row>
    <row r="136" spans="1:23" x14ac:dyDescent="0.3">
      <c r="A136" t="s">
        <v>370</v>
      </c>
      <c r="B136" s="6">
        <v>45647</v>
      </c>
      <c r="C136" s="2">
        <v>45652</v>
      </c>
      <c r="D136" s="4">
        <f t="shared" si="20"/>
        <v>5</v>
      </c>
      <c r="E136" s="4" t="str">
        <f>TEXT(Data!B136,"MMM-YYYY")</f>
        <v>Apr-2023</v>
      </c>
      <c r="F136" s="4" t="str">
        <f t="shared" si="16"/>
        <v>Q4-2024</v>
      </c>
      <c r="G136" t="s">
        <v>52</v>
      </c>
      <c r="H136" t="s">
        <v>122</v>
      </c>
      <c r="I136" t="s">
        <v>167</v>
      </c>
      <c r="J136" t="s">
        <v>48</v>
      </c>
      <c r="K136" t="s">
        <v>40</v>
      </c>
      <c r="L136" t="s">
        <v>110</v>
      </c>
      <c r="M136" t="s">
        <v>30</v>
      </c>
      <c r="N136" t="s">
        <v>371</v>
      </c>
      <c r="O136" s="4">
        <v>699.57</v>
      </c>
      <c r="P136" s="7" t="str">
        <f t="shared" si="17"/>
        <v>High</v>
      </c>
      <c r="Q136" s="4">
        <v>572.71</v>
      </c>
      <c r="R136" s="4">
        <v>0.192</v>
      </c>
      <c r="S136" s="4">
        <v>26</v>
      </c>
      <c r="T136" s="4">
        <f t="shared" si="14"/>
        <v>10987.39408</v>
      </c>
      <c r="U136">
        <f t="shared" si="15"/>
        <v>18188.82</v>
      </c>
      <c r="V136" s="4">
        <f t="shared" si="18"/>
        <v>-7201.4259199999997</v>
      </c>
      <c r="W136" s="4">
        <f t="shared" si="19"/>
        <v>-0.65542619729172391</v>
      </c>
    </row>
    <row r="137" spans="1:23" x14ac:dyDescent="0.3">
      <c r="A137" t="s">
        <v>372</v>
      </c>
      <c r="B137" s="6">
        <v>45028</v>
      </c>
      <c r="C137" s="2">
        <v>45033</v>
      </c>
      <c r="D137" s="4">
        <f t="shared" si="20"/>
        <v>5</v>
      </c>
      <c r="E137" s="4" t="str">
        <f>TEXT(Data!B137,"MMM-YYYY")</f>
        <v>Dec-2024</v>
      </c>
      <c r="F137" s="4" t="str">
        <f t="shared" si="16"/>
        <v>Q2-2023</v>
      </c>
      <c r="G137" t="s">
        <v>78</v>
      </c>
      <c r="H137" t="s">
        <v>90</v>
      </c>
      <c r="I137" t="s">
        <v>138</v>
      </c>
      <c r="J137" t="s">
        <v>105</v>
      </c>
      <c r="K137" t="s">
        <v>98</v>
      </c>
      <c r="L137" t="s">
        <v>63</v>
      </c>
      <c r="M137" t="s">
        <v>64</v>
      </c>
      <c r="N137" t="s">
        <v>373</v>
      </c>
      <c r="O137" s="4">
        <v>1087.81</v>
      </c>
      <c r="P137" s="7" t="str">
        <f t="shared" si="17"/>
        <v>High</v>
      </c>
      <c r="Q137" s="4">
        <v>2323.87</v>
      </c>
      <c r="R137" s="4">
        <v>9.4E-2</v>
      </c>
      <c r="S137" s="4">
        <v>13</v>
      </c>
      <c r="T137" s="4">
        <f t="shared" si="14"/>
        <v>14342.18838</v>
      </c>
      <c r="U137">
        <f t="shared" si="15"/>
        <v>14141.529999999999</v>
      </c>
      <c r="V137" s="4">
        <f t="shared" si="18"/>
        <v>200.65838000000076</v>
      </c>
      <c r="W137" s="4">
        <f t="shared" si="19"/>
        <v>1.399077844213902E-2</v>
      </c>
    </row>
    <row r="138" spans="1:23" x14ac:dyDescent="0.3">
      <c r="A138" t="s">
        <v>374</v>
      </c>
      <c r="B138" s="6">
        <v>45640</v>
      </c>
      <c r="C138" s="2">
        <v>45669</v>
      </c>
      <c r="D138" s="4">
        <f t="shared" si="20"/>
        <v>29</v>
      </c>
      <c r="E138" s="4" t="str">
        <f>TEXT(Data!B138,"MMM-YYYY")</f>
        <v>Mar-2023</v>
      </c>
      <c r="F138" s="4" t="str">
        <f t="shared" si="16"/>
        <v>Q4-2024</v>
      </c>
      <c r="G138" t="s">
        <v>45</v>
      </c>
      <c r="H138" t="s">
        <v>116</v>
      </c>
      <c r="I138" t="s">
        <v>117</v>
      </c>
      <c r="J138" t="s">
        <v>27</v>
      </c>
      <c r="K138" t="s">
        <v>28</v>
      </c>
      <c r="L138" t="s">
        <v>29</v>
      </c>
      <c r="M138" t="s">
        <v>22</v>
      </c>
      <c r="N138" t="s">
        <v>375</v>
      </c>
      <c r="O138" s="4">
        <v>1412.15</v>
      </c>
      <c r="P138" s="7" t="str">
        <f t="shared" si="17"/>
        <v>High</v>
      </c>
      <c r="Q138" s="4">
        <v>1631.04</v>
      </c>
      <c r="R138" s="4">
        <v>8.9999999999999993E-3</v>
      </c>
      <c r="S138" s="4">
        <v>6</v>
      </c>
      <c r="T138" s="4">
        <f t="shared" si="14"/>
        <v>7989.2834400000002</v>
      </c>
      <c r="U138">
        <f t="shared" si="15"/>
        <v>8472.9000000000015</v>
      </c>
      <c r="V138" s="4">
        <f t="shared" si="18"/>
        <v>-483.6165600000013</v>
      </c>
      <c r="W138" s="4">
        <f t="shared" si="19"/>
        <v>-6.0533158403002073E-2</v>
      </c>
    </row>
    <row r="139" spans="1:23" x14ac:dyDescent="0.3">
      <c r="A139" t="s">
        <v>376</v>
      </c>
      <c r="B139" s="6">
        <v>45016</v>
      </c>
      <c r="C139" s="2">
        <v>45028</v>
      </c>
      <c r="D139" s="4">
        <f t="shared" si="20"/>
        <v>12</v>
      </c>
      <c r="E139" s="4" t="str">
        <f>TEXT(Data!B139,"MMM-YYYY")</f>
        <v>Nov-2024</v>
      </c>
      <c r="F139" s="4" t="str">
        <f t="shared" si="16"/>
        <v>Q1-2023</v>
      </c>
      <c r="G139" t="s">
        <v>16</v>
      </c>
      <c r="H139" t="s">
        <v>17</v>
      </c>
      <c r="I139" t="s">
        <v>113</v>
      </c>
      <c r="J139" t="s">
        <v>62</v>
      </c>
      <c r="K139" t="s">
        <v>28</v>
      </c>
      <c r="L139" t="s">
        <v>21</v>
      </c>
      <c r="M139" t="s">
        <v>42</v>
      </c>
      <c r="N139" t="s">
        <v>377</v>
      </c>
      <c r="O139" s="4">
        <v>304.22000000000003</v>
      </c>
      <c r="P139" s="7" t="str">
        <f t="shared" si="17"/>
        <v>High</v>
      </c>
      <c r="Q139" s="4">
        <v>393.31</v>
      </c>
      <c r="R139" s="4">
        <v>0.26500000000000001</v>
      </c>
      <c r="S139" s="4">
        <v>15</v>
      </c>
      <c r="T139" s="4">
        <f t="shared" si="14"/>
        <v>3326.2424999999998</v>
      </c>
      <c r="U139">
        <f t="shared" si="15"/>
        <v>4563.3</v>
      </c>
      <c r="V139" s="4">
        <f t="shared" si="18"/>
        <v>-1237.0575000000003</v>
      </c>
      <c r="W139" s="4">
        <f t="shared" si="19"/>
        <v>-0.3719083921271526</v>
      </c>
    </row>
    <row r="140" spans="1:23" x14ac:dyDescent="0.3">
      <c r="A140" t="s">
        <v>378</v>
      </c>
      <c r="B140" s="6">
        <v>45616</v>
      </c>
      <c r="C140" s="2">
        <v>45641</v>
      </c>
      <c r="D140" s="4">
        <f t="shared" si="20"/>
        <v>25</v>
      </c>
      <c r="E140" s="4" t="str">
        <f>TEXT(Data!B140,"MMM-YYYY")</f>
        <v>Feb-2024</v>
      </c>
      <c r="F140" s="4" t="str">
        <f t="shared" si="16"/>
        <v>Q4-2024</v>
      </c>
      <c r="G140" t="s">
        <v>78</v>
      </c>
      <c r="H140" t="s">
        <v>90</v>
      </c>
      <c r="I140" t="s">
        <v>217</v>
      </c>
      <c r="J140" t="s">
        <v>19</v>
      </c>
      <c r="K140" t="s">
        <v>28</v>
      </c>
      <c r="L140" t="s">
        <v>41</v>
      </c>
      <c r="M140" t="s">
        <v>30</v>
      </c>
      <c r="N140" t="s">
        <v>379</v>
      </c>
      <c r="O140" s="4">
        <v>1203.58</v>
      </c>
      <c r="P140" s="7" t="str">
        <f t="shared" si="17"/>
        <v>High</v>
      </c>
      <c r="Q140" s="4">
        <v>1856.16</v>
      </c>
      <c r="R140" s="4">
        <v>0.129</v>
      </c>
      <c r="S140" s="4">
        <v>22</v>
      </c>
      <c r="T140" s="4">
        <f t="shared" si="14"/>
        <v>28967.387020000002</v>
      </c>
      <c r="U140">
        <f t="shared" si="15"/>
        <v>26478.76</v>
      </c>
      <c r="V140" s="4">
        <f t="shared" si="18"/>
        <v>2488.6270200000035</v>
      </c>
      <c r="W140" s="4">
        <f t="shared" si="19"/>
        <v>8.591133947572753E-2</v>
      </c>
    </row>
    <row r="141" spans="1:23" x14ac:dyDescent="0.3">
      <c r="A141" t="s">
        <v>380</v>
      </c>
      <c r="B141" s="6">
        <v>45336</v>
      </c>
      <c r="C141" s="2">
        <v>45336</v>
      </c>
      <c r="D141" s="4">
        <f t="shared" si="20"/>
        <v>0</v>
      </c>
      <c r="E141" s="4" t="str">
        <f>TEXT(Data!B141,"MMM-YYYY")</f>
        <v>May-2023</v>
      </c>
      <c r="F141" s="4" t="str">
        <f t="shared" si="16"/>
        <v>Q1-2024</v>
      </c>
      <c r="G141" t="s">
        <v>45</v>
      </c>
      <c r="H141" t="s">
        <v>116</v>
      </c>
      <c r="I141" t="s">
        <v>338</v>
      </c>
      <c r="J141" t="s">
        <v>19</v>
      </c>
      <c r="K141" t="s">
        <v>55</v>
      </c>
      <c r="L141" t="s">
        <v>49</v>
      </c>
      <c r="M141" t="s">
        <v>81</v>
      </c>
      <c r="N141" t="s">
        <v>381</v>
      </c>
      <c r="O141" s="4">
        <v>65.930000000000007</v>
      </c>
      <c r="P141" s="7" t="str">
        <f t="shared" si="17"/>
        <v>Medium</v>
      </c>
      <c r="Q141" s="4">
        <v>84.9</v>
      </c>
      <c r="R141" s="4">
        <v>0.25900000000000001</v>
      </c>
      <c r="S141" s="4">
        <v>23</v>
      </c>
      <c r="T141" s="4">
        <f t="shared" si="14"/>
        <v>35027.455319999994</v>
      </c>
      <c r="U141">
        <f t="shared" si="15"/>
        <v>1516.39</v>
      </c>
      <c r="V141" s="4">
        <f t="shared" si="18"/>
        <v>33511.065319999994</v>
      </c>
      <c r="W141" s="4">
        <f t="shared" si="19"/>
        <v>0.95670853088964847</v>
      </c>
    </row>
    <row r="142" spans="1:23" x14ac:dyDescent="0.3">
      <c r="A142" t="s">
        <v>382</v>
      </c>
      <c r="B142" s="6">
        <v>45048</v>
      </c>
      <c r="C142" s="2">
        <v>45064</v>
      </c>
      <c r="D142" s="4">
        <f t="shared" si="20"/>
        <v>16</v>
      </c>
      <c r="E142" s="4" t="str">
        <f>TEXT(Data!B142,"MMM-YYYY")</f>
        <v>Dec-2024</v>
      </c>
      <c r="F142" s="4" t="str">
        <f t="shared" si="16"/>
        <v>Q2-2023</v>
      </c>
      <c r="G142" t="s">
        <v>45</v>
      </c>
      <c r="H142" t="s">
        <v>60</v>
      </c>
      <c r="I142" t="s">
        <v>141</v>
      </c>
      <c r="J142" t="s">
        <v>62</v>
      </c>
      <c r="K142" t="s">
        <v>40</v>
      </c>
      <c r="L142" t="s">
        <v>95</v>
      </c>
      <c r="M142" t="s">
        <v>64</v>
      </c>
      <c r="N142" t="s">
        <v>383</v>
      </c>
      <c r="O142" s="4">
        <v>1463.92</v>
      </c>
      <c r="P142" s="7" t="str">
        <f t="shared" si="17"/>
        <v>High</v>
      </c>
      <c r="Q142" s="4">
        <v>2252.2399999999998</v>
      </c>
      <c r="R142" s="4">
        <v>0.11799999999999999</v>
      </c>
      <c r="S142" s="4">
        <v>44</v>
      </c>
      <c r="T142" s="4">
        <f t="shared" si="14"/>
        <v>15179.749199999998</v>
      </c>
      <c r="U142">
        <f t="shared" si="15"/>
        <v>64412.480000000003</v>
      </c>
      <c r="V142" s="4">
        <f t="shared" si="18"/>
        <v>-49232.730800000005</v>
      </c>
      <c r="W142" s="4">
        <f t="shared" si="19"/>
        <v>-3.2433164837795876</v>
      </c>
    </row>
    <row r="143" spans="1:23" x14ac:dyDescent="0.3">
      <c r="A143" t="s">
        <v>384</v>
      </c>
      <c r="B143" s="6">
        <v>45649</v>
      </c>
      <c r="C143" s="2">
        <v>45668</v>
      </c>
      <c r="D143" s="4">
        <f t="shared" si="20"/>
        <v>19</v>
      </c>
      <c r="E143" s="4" t="str">
        <f>TEXT(Data!B143,"MMM-YYYY")</f>
        <v>Jul-2023</v>
      </c>
      <c r="F143" s="4" t="str">
        <f t="shared" si="16"/>
        <v>Q4-2024</v>
      </c>
      <c r="G143" t="s">
        <v>78</v>
      </c>
      <c r="H143" t="s">
        <v>79</v>
      </c>
      <c r="I143" t="s">
        <v>80</v>
      </c>
      <c r="J143" t="s">
        <v>27</v>
      </c>
      <c r="K143" t="s">
        <v>20</v>
      </c>
      <c r="L143" t="s">
        <v>95</v>
      </c>
      <c r="M143" t="s">
        <v>42</v>
      </c>
      <c r="N143" t="s">
        <v>385</v>
      </c>
      <c r="O143" s="4">
        <v>501.81</v>
      </c>
      <c r="P143" s="7" t="str">
        <f t="shared" si="17"/>
        <v>High</v>
      </c>
      <c r="Q143" s="4">
        <v>921.62</v>
      </c>
      <c r="R143" s="4">
        <v>0.01</v>
      </c>
      <c r="S143" s="4">
        <v>9</v>
      </c>
      <c r="T143" s="4">
        <f t="shared" si="14"/>
        <v>16474.322700000001</v>
      </c>
      <c r="U143">
        <f t="shared" si="15"/>
        <v>4516.29</v>
      </c>
      <c r="V143" s="4">
        <f t="shared" si="18"/>
        <v>11958.0327</v>
      </c>
      <c r="W143" s="4">
        <f t="shared" si="19"/>
        <v>0.72585883606614066</v>
      </c>
    </row>
    <row r="144" spans="1:23" x14ac:dyDescent="0.3">
      <c r="A144" t="s">
        <v>386</v>
      </c>
      <c r="B144" s="6">
        <v>45133</v>
      </c>
      <c r="C144" s="2">
        <v>45163</v>
      </c>
      <c r="D144" s="4">
        <f t="shared" si="20"/>
        <v>30</v>
      </c>
      <c r="E144" s="4" t="str">
        <f>TEXT(Data!B144,"MMM-YYYY")</f>
        <v>Jun-2024</v>
      </c>
      <c r="F144" s="4" t="str">
        <f t="shared" si="16"/>
        <v>Q3-2023</v>
      </c>
      <c r="G144" t="s">
        <v>52</v>
      </c>
      <c r="H144" t="s">
        <v>122</v>
      </c>
      <c r="I144" t="s">
        <v>387</v>
      </c>
      <c r="J144" t="s">
        <v>48</v>
      </c>
      <c r="K144" t="s">
        <v>20</v>
      </c>
      <c r="L144" t="s">
        <v>110</v>
      </c>
      <c r="M144" t="s">
        <v>81</v>
      </c>
      <c r="N144" t="s">
        <v>388</v>
      </c>
      <c r="O144" s="4">
        <v>1261.48</v>
      </c>
      <c r="P144" s="7" t="str">
        <f t="shared" si="17"/>
        <v>High</v>
      </c>
      <c r="Q144" s="4">
        <v>1643.18</v>
      </c>
      <c r="R144" s="4">
        <v>0.151</v>
      </c>
      <c r="S144" s="4">
        <v>23</v>
      </c>
      <c r="T144" s="4">
        <f t="shared" si="14"/>
        <v>27251.100119999996</v>
      </c>
      <c r="U144">
        <f t="shared" si="15"/>
        <v>29014.04</v>
      </c>
      <c r="V144" s="4">
        <f t="shared" si="18"/>
        <v>-1762.9398800000054</v>
      </c>
      <c r="W144" s="4">
        <f t="shared" si="19"/>
        <v>-6.4692429745475011E-2</v>
      </c>
    </row>
    <row r="145" spans="1:23" x14ac:dyDescent="0.3">
      <c r="A145" t="s">
        <v>389</v>
      </c>
      <c r="B145" s="6">
        <v>45458</v>
      </c>
      <c r="C145" s="2">
        <v>45479</v>
      </c>
      <c r="D145" s="4">
        <f t="shared" si="20"/>
        <v>21</v>
      </c>
      <c r="E145" s="4" t="str">
        <f>TEXT(Data!B145,"MMM-YYYY")</f>
        <v>Jul-2023</v>
      </c>
      <c r="F145" s="4" t="str">
        <f t="shared" si="16"/>
        <v>Q2-2024</v>
      </c>
      <c r="G145" t="s">
        <v>52</v>
      </c>
      <c r="H145" t="s">
        <v>53</v>
      </c>
      <c r="I145" t="s">
        <v>54</v>
      </c>
      <c r="J145" t="s">
        <v>105</v>
      </c>
      <c r="K145" t="s">
        <v>55</v>
      </c>
      <c r="L145" t="s">
        <v>49</v>
      </c>
      <c r="M145" t="s">
        <v>30</v>
      </c>
      <c r="N145" t="s">
        <v>390</v>
      </c>
      <c r="O145" s="4">
        <v>817.23</v>
      </c>
      <c r="P145" s="7" t="str">
        <f t="shared" si="17"/>
        <v>High</v>
      </c>
      <c r="Q145" s="4">
        <v>1467.17</v>
      </c>
      <c r="R145" s="4">
        <v>0.245</v>
      </c>
      <c r="S145" s="4">
        <v>9</v>
      </c>
      <c r="T145" s="4">
        <f t="shared" si="14"/>
        <v>3655.9817999999996</v>
      </c>
      <c r="U145">
        <f t="shared" si="15"/>
        <v>7355.07</v>
      </c>
      <c r="V145" s="4">
        <f t="shared" si="18"/>
        <v>-3699.0882000000001</v>
      </c>
      <c r="W145" s="4">
        <f t="shared" si="19"/>
        <v>-1.0117906495048745</v>
      </c>
    </row>
    <row r="146" spans="1:23" x14ac:dyDescent="0.3">
      <c r="A146" t="s">
        <v>391</v>
      </c>
      <c r="B146" s="6">
        <v>45112</v>
      </c>
      <c r="C146" s="2">
        <v>45121</v>
      </c>
      <c r="D146" s="4">
        <f t="shared" si="20"/>
        <v>9</v>
      </c>
      <c r="E146" s="4" t="str">
        <f>TEXT(Data!B146,"MMM-YYYY")</f>
        <v>Nov-2023</v>
      </c>
      <c r="F146" s="4" t="str">
        <f t="shared" si="16"/>
        <v>Q3-2023</v>
      </c>
      <c r="G146" t="s">
        <v>52</v>
      </c>
      <c r="H146" t="s">
        <v>73</v>
      </c>
      <c r="I146" t="s">
        <v>87</v>
      </c>
      <c r="J146" t="s">
        <v>105</v>
      </c>
      <c r="K146" t="s">
        <v>98</v>
      </c>
      <c r="L146" t="s">
        <v>56</v>
      </c>
      <c r="M146" t="s">
        <v>35</v>
      </c>
      <c r="N146" t="s">
        <v>392</v>
      </c>
      <c r="O146" s="4">
        <v>578.85</v>
      </c>
      <c r="P146" s="7" t="str">
        <f t="shared" si="17"/>
        <v>High</v>
      </c>
      <c r="Q146" s="4">
        <v>998.76</v>
      </c>
      <c r="R146" s="4">
        <v>8.2000000000000003E-2</v>
      </c>
      <c r="S146" s="4">
        <v>28</v>
      </c>
      <c r="T146" s="4">
        <f t="shared" si="14"/>
        <v>31331.119680000003</v>
      </c>
      <c r="U146">
        <f t="shared" si="15"/>
        <v>16207.800000000001</v>
      </c>
      <c r="V146" s="4">
        <f t="shared" si="18"/>
        <v>15123.319680000002</v>
      </c>
      <c r="W146" s="4">
        <f t="shared" si="19"/>
        <v>0.4826932402819254</v>
      </c>
    </row>
    <row r="147" spans="1:23" x14ac:dyDescent="0.3">
      <c r="A147" t="s">
        <v>393</v>
      </c>
      <c r="B147" s="6">
        <v>45260</v>
      </c>
      <c r="C147" s="2">
        <v>45259</v>
      </c>
      <c r="D147" s="4">
        <f>DATEDIF(C147,B147, "MD")</f>
        <v>1</v>
      </c>
      <c r="E147" s="4" t="str">
        <f>TEXT(Data!B147,"MMM-YYYY")</f>
        <v>Sep-2025</v>
      </c>
      <c r="F147" s="4" t="str">
        <f t="shared" si="16"/>
        <v>Q4-2023</v>
      </c>
      <c r="G147" t="s">
        <v>16</v>
      </c>
      <c r="H147" t="s">
        <v>148</v>
      </c>
      <c r="I147" t="s">
        <v>172</v>
      </c>
      <c r="J147" t="s">
        <v>62</v>
      </c>
      <c r="K147" t="s">
        <v>40</v>
      </c>
      <c r="L147" t="s">
        <v>63</v>
      </c>
      <c r="M147" t="s">
        <v>57</v>
      </c>
      <c r="N147" t="s">
        <v>394</v>
      </c>
      <c r="O147" s="4">
        <v>275.56</v>
      </c>
      <c r="P147" s="7" t="str">
        <f t="shared" si="17"/>
        <v>High</v>
      </c>
      <c r="Q147" s="4">
        <v>630.72</v>
      </c>
      <c r="R147" s="4">
        <v>0.107</v>
      </c>
      <c r="S147" s="4">
        <v>23</v>
      </c>
      <c r="T147" s="4">
        <f t="shared" si="14"/>
        <v>42353.882679999995</v>
      </c>
      <c r="U147">
        <f t="shared" si="15"/>
        <v>6337.88</v>
      </c>
      <c r="V147" s="4">
        <f t="shared" si="18"/>
        <v>36016.002679999998</v>
      </c>
      <c r="W147" s="4">
        <f t="shared" si="19"/>
        <v>0.85035893762361436</v>
      </c>
    </row>
    <row r="148" spans="1:23" x14ac:dyDescent="0.3">
      <c r="A148" t="s">
        <v>395</v>
      </c>
      <c r="B148" s="6">
        <v>45911</v>
      </c>
      <c r="C148" s="2">
        <v>45928</v>
      </c>
      <c r="D148" s="4">
        <f t="shared" si="20"/>
        <v>17</v>
      </c>
      <c r="E148" s="4" t="str">
        <f>TEXT(Data!B148,"MMM-YYYY")</f>
        <v>Apr-2024</v>
      </c>
      <c r="F148" s="4" t="str">
        <f t="shared" si="16"/>
        <v>Q3-2025</v>
      </c>
      <c r="G148" t="s">
        <v>16</v>
      </c>
      <c r="H148" t="s">
        <v>17</v>
      </c>
      <c r="I148" t="s">
        <v>33</v>
      </c>
      <c r="J148" t="s">
        <v>39</v>
      </c>
      <c r="K148" t="s">
        <v>55</v>
      </c>
      <c r="L148" t="s">
        <v>29</v>
      </c>
      <c r="M148" t="s">
        <v>57</v>
      </c>
      <c r="N148" t="s">
        <v>396</v>
      </c>
      <c r="O148" s="4">
        <v>891.46</v>
      </c>
      <c r="P148" s="7" t="str">
        <f t="shared" si="17"/>
        <v>High</v>
      </c>
      <c r="Q148" s="4">
        <v>728.61</v>
      </c>
      <c r="R148" s="4">
        <v>0.185</v>
      </c>
      <c r="S148" s="4">
        <v>6</v>
      </c>
      <c r="T148" s="4">
        <f t="shared" si="14"/>
        <v>49.780199999999994</v>
      </c>
      <c r="U148">
        <f t="shared" si="15"/>
        <v>5348.76</v>
      </c>
      <c r="V148" s="4">
        <f t="shared" si="18"/>
        <v>-5298.9798000000001</v>
      </c>
      <c r="W148" s="4">
        <f t="shared" si="19"/>
        <v>-106.44753938312824</v>
      </c>
    </row>
    <row r="149" spans="1:23" x14ac:dyDescent="0.3">
      <c r="A149" t="s">
        <v>397</v>
      </c>
      <c r="B149" s="6">
        <v>45386</v>
      </c>
      <c r="C149" s="2">
        <v>45406</v>
      </c>
      <c r="D149" s="4">
        <f t="shared" si="20"/>
        <v>20</v>
      </c>
      <c r="E149" s="4" t="str">
        <f>TEXT(Data!B149,"MMM-YYYY")</f>
        <v>Sep-2023</v>
      </c>
      <c r="F149" s="4" t="str">
        <f t="shared" si="16"/>
        <v>Q2-2024</v>
      </c>
      <c r="G149" t="s">
        <v>78</v>
      </c>
      <c r="H149" t="s">
        <v>79</v>
      </c>
      <c r="I149" t="s">
        <v>335</v>
      </c>
      <c r="J149" t="s">
        <v>39</v>
      </c>
      <c r="K149" t="s">
        <v>98</v>
      </c>
      <c r="L149" t="s">
        <v>68</v>
      </c>
      <c r="M149" t="s">
        <v>81</v>
      </c>
      <c r="N149" t="s">
        <v>398</v>
      </c>
      <c r="O149" s="4">
        <v>683.42</v>
      </c>
      <c r="P149" s="7" t="str">
        <f t="shared" si="17"/>
        <v>High</v>
      </c>
      <c r="Q149" s="4">
        <v>951.51</v>
      </c>
      <c r="R149" s="4">
        <v>0</v>
      </c>
      <c r="S149" s="4">
        <v>14</v>
      </c>
      <c r="T149" s="4">
        <f t="shared" si="14"/>
        <v>31944.079999999998</v>
      </c>
      <c r="U149">
        <f t="shared" si="15"/>
        <v>9567.8799999999992</v>
      </c>
      <c r="V149" s="4">
        <f t="shared" si="18"/>
        <v>22376.199999999997</v>
      </c>
      <c r="W149" s="4">
        <f t="shared" si="19"/>
        <v>0.7004803393930894</v>
      </c>
    </row>
    <row r="150" spans="1:23" x14ac:dyDescent="0.3">
      <c r="A150" t="s">
        <v>399</v>
      </c>
      <c r="B150" s="6">
        <v>45183</v>
      </c>
      <c r="C150" s="2">
        <v>45185</v>
      </c>
      <c r="D150" s="4">
        <f t="shared" si="20"/>
        <v>2</v>
      </c>
      <c r="E150" s="4" t="str">
        <f>TEXT(Data!B150,"MMM-YYYY")</f>
        <v>Sep-2024</v>
      </c>
      <c r="F150" s="4" t="str">
        <f t="shared" si="16"/>
        <v>Q3-2023</v>
      </c>
      <c r="G150" t="s">
        <v>78</v>
      </c>
      <c r="H150" t="s">
        <v>90</v>
      </c>
      <c r="I150" t="s">
        <v>138</v>
      </c>
      <c r="J150" t="s">
        <v>39</v>
      </c>
      <c r="K150" t="s">
        <v>98</v>
      </c>
      <c r="L150" t="s">
        <v>56</v>
      </c>
      <c r="M150" t="s">
        <v>30</v>
      </c>
      <c r="N150" t="s">
        <v>400</v>
      </c>
      <c r="O150" s="4">
        <v>376.83</v>
      </c>
      <c r="P150" s="7" t="str">
        <f t="shared" si="17"/>
        <v>High</v>
      </c>
      <c r="Q150" s="4">
        <v>732.88</v>
      </c>
      <c r="R150" s="4">
        <v>0.188</v>
      </c>
      <c r="S150" s="4">
        <v>25</v>
      </c>
      <c r="T150" s="4">
        <f t="shared" si="14"/>
        <v>5066.2710000000006</v>
      </c>
      <c r="U150">
        <f t="shared" si="15"/>
        <v>9420.75</v>
      </c>
      <c r="V150" s="4">
        <f t="shared" si="18"/>
        <v>-4354.4789999999994</v>
      </c>
      <c r="W150" s="4">
        <f t="shared" si="19"/>
        <v>-0.85950376519534755</v>
      </c>
    </row>
    <row r="151" spans="1:23" x14ac:dyDescent="0.3">
      <c r="A151" t="s">
        <v>401</v>
      </c>
      <c r="B151" s="6">
        <v>45558</v>
      </c>
      <c r="C151" s="2">
        <v>45583</v>
      </c>
      <c r="D151" s="4">
        <f t="shared" si="20"/>
        <v>25</v>
      </c>
      <c r="E151" s="4" t="str">
        <f>TEXT(Data!B151,"MMM-YYYY")</f>
        <v>Apr-2025</v>
      </c>
      <c r="F151" s="4" t="str">
        <f t="shared" si="16"/>
        <v>Q3-2024</v>
      </c>
      <c r="G151" t="s">
        <v>52</v>
      </c>
      <c r="H151" t="s">
        <v>53</v>
      </c>
      <c r="I151" t="s">
        <v>179</v>
      </c>
      <c r="J151" t="s">
        <v>62</v>
      </c>
      <c r="K151" t="s">
        <v>28</v>
      </c>
      <c r="L151" t="s">
        <v>126</v>
      </c>
      <c r="M151" t="s">
        <v>42</v>
      </c>
      <c r="N151" t="s">
        <v>402</v>
      </c>
      <c r="O151" s="4">
        <v>1297</v>
      </c>
      <c r="P151" s="7" t="str">
        <f t="shared" si="17"/>
        <v>High</v>
      </c>
      <c r="Q151" s="4">
        <v>2411.52</v>
      </c>
      <c r="R151" s="4">
        <v>2.1000000000000001E-2</v>
      </c>
      <c r="S151" s="4">
        <v>18</v>
      </c>
      <c r="T151" s="4">
        <f t="shared" si="14"/>
        <v>57712.049999999996</v>
      </c>
      <c r="U151">
        <f t="shared" si="15"/>
        <v>23346</v>
      </c>
      <c r="V151" s="4">
        <f t="shared" si="18"/>
        <v>34366.049999999996</v>
      </c>
      <c r="W151" s="4">
        <f t="shared" si="19"/>
        <v>0.59547442865051581</v>
      </c>
    </row>
    <row r="152" spans="1:23" x14ac:dyDescent="0.3">
      <c r="A152" t="s">
        <v>403</v>
      </c>
      <c r="B152" s="6">
        <v>45763</v>
      </c>
      <c r="C152" s="2">
        <v>45793</v>
      </c>
      <c r="D152" s="4">
        <f t="shared" si="20"/>
        <v>0</v>
      </c>
      <c r="E152" s="4" t="str">
        <f>TEXT(Data!B152,"MMM-YYYY")</f>
        <v>Jul-2023</v>
      </c>
      <c r="F152" s="4" t="str">
        <f t="shared" si="16"/>
        <v>Q2-2025</v>
      </c>
      <c r="G152" t="s">
        <v>52</v>
      </c>
      <c r="H152" t="s">
        <v>53</v>
      </c>
      <c r="I152" t="s">
        <v>144</v>
      </c>
      <c r="J152" t="s">
        <v>105</v>
      </c>
      <c r="K152" t="s">
        <v>55</v>
      </c>
      <c r="L152" t="s">
        <v>95</v>
      </c>
      <c r="M152" t="s">
        <v>30</v>
      </c>
      <c r="N152" t="s">
        <v>404</v>
      </c>
      <c r="O152" s="4">
        <v>763.32</v>
      </c>
      <c r="P152" s="7" t="str">
        <f t="shared" si="17"/>
        <v>High</v>
      </c>
      <c r="Q152" s="4">
        <v>568.29</v>
      </c>
      <c r="R152" s="4">
        <v>0.13100000000000001</v>
      </c>
      <c r="S152" s="4">
        <v>16</v>
      </c>
      <c r="T152" s="4">
        <f t="shared" si="14"/>
        <v>26608.919040000001</v>
      </c>
      <c r="U152">
        <f t="shared" si="15"/>
        <v>12213.12</v>
      </c>
      <c r="V152" s="4">
        <f t="shared" si="18"/>
        <v>14395.79904</v>
      </c>
      <c r="W152" s="4">
        <f t="shared" si="19"/>
        <v>0.54101404940048248</v>
      </c>
    </row>
    <row r="153" spans="1:23" x14ac:dyDescent="0.3">
      <c r="A153" t="s">
        <v>405</v>
      </c>
      <c r="B153" s="6">
        <v>45110</v>
      </c>
      <c r="C153" s="2">
        <v>45130</v>
      </c>
      <c r="D153" s="4">
        <f t="shared" si="20"/>
        <v>20</v>
      </c>
      <c r="E153" s="4" t="str">
        <f>TEXT(Data!B153,"MMM-YYYY")</f>
        <v>Dec-2023</v>
      </c>
      <c r="F153" s="4" t="str">
        <f t="shared" si="16"/>
        <v>Q3-2023</v>
      </c>
      <c r="G153" t="s">
        <v>16</v>
      </c>
      <c r="H153" t="s">
        <v>148</v>
      </c>
      <c r="I153" t="s">
        <v>149</v>
      </c>
      <c r="J153" t="s">
        <v>62</v>
      </c>
      <c r="K153" t="s">
        <v>55</v>
      </c>
      <c r="L153" t="s">
        <v>84</v>
      </c>
      <c r="M153" t="s">
        <v>57</v>
      </c>
      <c r="N153" t="s">
        <v>406</v>
      </c>
      <c r="O153" s="4">
        <v>1001.96</v>
      </c>
      <c r="P153" s="7" t="str">
        <f t="shared" si="17"/>
        <v>High</v>
      </c>
      <c r="Q153" s="4">
        <v>1254.95</v>
      </c>
      <c r="R153" s="4">
        <v>4.4999999999999998E-2</v>
      </c>
      <c r="S153" s="4">
        <v>18</v>
      </c>
      <c r="T153" s="4">
        <f t="shared" si="14"/>
        <v>517.24709999999993</v>
      </c>
      <c r="U153">
        <f t="shared" si="15"/>
        <v>18035.28</v>
      </c>
      <c r="V153" s="4">
        <f t="shared" si="18"/>
        <v>-17518.032899999998</v>
      </c>
      <c r="W153" s="4">
        <f t="shared" si="19"/>
        <v>-33.867822361884677</v>
      </c>
    </row>
    <row r="154" spans="1:23" x14ac:dyDescent="0.3">
      <c r="A154" t="s">
        <v>407</v>
      </c>
      <c r="B154" s="6">
        <v>45267</v>
      </c>
      <c r="C154" s="2">
        <v>45265</v>
      </c>
      <c r="D154" s="4">
        <f>DATEDIF(C154,B154, "MD")</f>
        <v>2</v>
      </c>
      <c r="E154" s="4" t="str">
        <f>TEXT(Data!B154,"MMM-YYYY")</f>
        <v>Feb-2024</v>
      </c>
      <c r="F154" s="4" t="str">
        <f t="shared" si="16"/>
        <v>Q4-2023</v>
      </c>
      <c r="G154" t="s">
        <v>45</v>
      </c>
      <c r="H154" t="s">
        <v>46</v>
      </c>
      <c r="I154" t="s">
        <v>214</v>
      </c>
      <c r="J154" t="s">
        <v>39</v>
      </c>
      <c r="K154" t="s">
        <v>40</v>
      </c>
      <c r="L154" t="s">
        <v>92</v>
      </c>
      <c r="M154" t="s">
        <v>30</v>
      </c>
      <c r="N154" t="s">
        <v>408</v>
      </c>
      <c r="O154" s="4">
        <v>1097.5899999999999</v>
      </c>
      <c r="P154" s="7" t="str">
        <f t="shared" si="17"/>
        <v>High</v>
      </c>
      <c r="Q154" s="4">
        <v>845.55</v>
      </c>
      <c r="R154" s="4">
        <v>0.184</v>
      </c>
      <c r="S154" s="4">
        <v>6</v>
      </c>
      <c r="T154" s="4">
        <f t="shared" si="14"/>
        <v>2454.4137600000004</v>
      </c>
      <c r="U154">
        <f t="shared" si="15"/>
        <v>6585.5399999999991</v>
      </c>
      <c r="V154" s="4">
        <f t="shared" si="18"/>
        <v>-4131.1262399999987</v>
      </c>
      <c r="W154" s="4">
        <f t="shared" si="19"/>
        <v>-1.6831417372757875</v>
      </c>
    </row>
    <row r="155" spans="1:23" x14ac:dyDescent="0.3">
      <c r="A155" t="s">
        <v>409</v>
      </c>
      <c r="B155" s="6">
        <v>45340</v>
      </c>
      <c r="C155" s="2">
        <v>45355</v>
      </c>
      <c r="D155" s="4">
        <f t="shared" si="20"/>
        <v>15</v>
      </c>
      <c r="E155" s="4" t="str">
        <f>TEXT(Data!B155,"MMM-YYYY")</f>
        <v>Oct-2023</v>
      </c>
      <c r="F155" s="4" t="str">
        <f t="shared" si="16"/>
        <v>Q1-2024</v>
      </c>
      <c r="G155" t="s">
        <v>16</v>
      </c>
      <c r="H155" t="s">
        <v>17</v>
      </c>
      <c r="I155" t="s">
        <v>18</v>
      </c>
      <c r="J155" t="s">
        <v>27</v>
      </c>
      <c r="K155" t="s">
        <v>98</v>
      </c>
      <c r="L155" t="s">
        <v>95</v>
      </c>
      <c r="M155" t="s">
        <v>30</v>
      </c>
      <c r="N155" t="s">
        <v>410</v>
      </c>
      <c r="O155" s="4">
        <v>928.68</v>
      </c>
      <c r="P155" s="7" t="str">
        <f t="shared" si="17"/>
        <v>High</v>
      </c>
      <c r="Q155" s="4">
        <v>2145.17</v>
      </c>
      <c r="R155" s="4">
        <v>0.13600000000000001</v>
      </c>
      <c r="S155" s="4">
        <v>16</v>
      </c>
      <c r="T155" s="4">
        <f t="shared" si="14"/>
        <v>5684.1523200000001</v>
      </c>
      <c r="U155">
        <f t="shared" si="15"/>
        <v>14858.88</v>
      </c>
      <c r="V155" s="4">
        <f t="shared" si="18"/>
        <v>-9174.72768</v>
      </c>
      <c r="W155" s="4">
        <f t="shared" si="19"/>
        <v>-1.6140889904934848</v>
      </c>
    </row>
    <row r="156" spans="1:23" x14ac:dyDescent="0.3">
      <c r="A156" t="s">
        <v>411</v>
      </c>
      <c r="B156" s="6">
        <v>45230</v>
      </c>
      <c r="C156" s="2">
        <v>45232</v>
      </c>
      <c r="D156" s="4">
        <f t="shared" si="20"/>
        <v>2</v>
      </c>
      <c r="E156" s="4" t="str">
        <f>TEXT(Data!B156,"MMM-YYYY")</f>
        <v>Aug-2024</v>
      </c>
      <c r="F156" s="4" t="str">
        <f t="shared" si="16"/>
        <v>Q4-2023</v>
      </c>
      <c r="G156" t="s">
        <v>16</v>
      </c>
      <c r="H156" t="s">
        <v>17</v>
      </c>
      <c r="I156" t="s">
        <v>18</v>
      </c>
      <c r="J156" t="s">
        <v>27</v>
      </c>
      <c r="K156" t="s">
        <v>20</v>
      </c>
      <c r="L156" t="s">
        <v>68</v>
      </c>
      <c r="M156" t="s">
        <v>81</v>
      </c>
      <c r="N156" t="s">
        <v>412</v>
      </c>
      <c r="O156" s="4">
        <v>867.89</v>
      </c>
      <c r="P156" s="7" t="str">
        <f t="shared" si="17"/>
        <v>High</v>
      </c>
      <c r="Q156" s="4">
        <v>1349.94</v>
      </c>
      <c r="R156" s="4">
        <v>0.184</v>
      </c>
      <c r="S156" s="4">
        <v>10</v>
      </c>
      <c r="T156" s="4">
        <f t="shared" si="14"/>
        <v>48.307200000000009</v>
      </c>
      <c r="U156">
        <f t="shared" si="15"/>
        <v>8678.9</v>
      </c>
      <c r="V156" s="4">
        <f t="shared" si="18"/>
        <v>-8630.5928000000004</v>
      </c>
      <c r="W156" s="4">
        <f t="shared" si="19"/>
        <v>-178.66058889772123</v>
      </c>
    </row>
    <row r="157" spans="1:23" x14ac:dyDescent="0.3">
      <c r="A157" t="s">
        <v>413</v>
      </c>
      <c r="B157" s="6">
        <v>45511</v>
      </c>
      <c r="C157" s="2">
        <v>45521</v>
      </c>
      <c r="D157" s="4">
        <f t="shared" si="20"/>
        <v>10</v>
      </c>
      <c r="E157" s="4" t="str">
        <f>TEXT(Data!B157,"MMM-YYYY")</f>
        <v>Feb-2024</v>
      </c>
      <c r="F157" s="4" t="str">
        <f t="shared" si="16"/>
        <v>Q3-2024</v>
      </c>
      <c r="G157" t="s">
        <v>45</v>
      </c>
      <c r="H157" t="s">
        <v>46</v>
      </c>
      <c r="I157" t="s">
        <v>47</v>
      </c>
      <c r="J157" t="s">
        <v>48</v>
      </c>
      <c r="K157" t="s">
        <v>28</v>
      </c>
      <c r="L157" t="s">
        <v>95</v>
      </c>
      <c r="M157" t="s">
        <v>35</v>
      </c>
      <c r="N157" t="s">
        <v>414</v>
      </c>
      <c r="O157" s="4">
        <v>436.58</v>
      </c>
      <c r="P157" s="7" t="str">
        <f t="shared" si="17"/>
        <v>High</v>
      </c>
      <c r="Q157" s="4">
        <v>527.48</v>
      </c>
      <c r="R157" s="4">
        <v>0.111</v>
      </c>
      <c r="S157" s="4">
        <v>19</v>
      </c>
      <c r="T157" s="4">
        <f t="shared" si="14"/>
        <v>37272.187330000001</v>
      </c>
      <c r="U157">
        <f t="shared" si="15"/>
        <v>8295.02</v>
      </c>
      <c r="V157" s="4">
        <f t="shared" si="18"/>
        <v>28977.16733</v>
      </c>
      <c r="W157" s="4">
        <f t="shared" si="19"/>
        <v>0.77744745897101064</v>
      </c>
    </row>
    <row r="158" spans="1:23" x14ac:dyDescent="0.3">
      <c r="A158" t="s">
        <v>415</v>
      </c>
      <c r="B158" s="6">
        <v>45323</v>
      </c>
      <c r="C158" s="2">
        <v>45343</v>
      </c>
      <c r="D158" s="4">
        <f t="shared" si="20"/>
        <v>20</v>
      </c>
      <c r="E158" s="4" t="str">
        <f>TEXT(Data!B158,"MMM-YYYY")</f>
        <v>Aug-2024</v>
      </c>
      <c r="F158" s="4" t="str">
        <f t="shared" si="16"/>
        <v>Q1-2024</v>
      </c>
      <c r="G158" t="s">
        <v>78</v>
      </c>
      <c r="H158" t="s">
        <v>90</v>
      </c>
      <c r="I158" t="s">
        <v>217</v>
      </c>
      <c r="J158" t="s">
        <v>62</v>
      </c>
      <c r="K158" t="s">
        <v>40</v>
      </c>
      <c r="L158" t="s">
        <v>75</v>
      </c>
      <c r="M158" t="s">
        <v>35</v>
      </c>
      <c r="N158" t="s">
        <v>416</v>
      </c>
      <c r="O158" s="4">
        <v>656.2</v>
      </c>
      <c r="P158" s="7" t="str">
        <f t="shared" si="17"/>
        <v>High</v>
      </c>
      <c r="Q158" s="4">
        <v>1467.17</v>
      </c>
      <c r="R158" s="4">
        <v>1.7999999999999999E-2</v>
      </c>
      <c r="S158" s="4">
        <v>5</v>
      </c>
      <c r="T158" s="4">
        <f t="shared" si="14"/>
        <v>9391.848</v>
      </c>
      <c r="U158">
        <f t="shared" si="15"/>
        <v>3281</v>
      </c>
      <c r="V158" s="4">
        <f t="shared" si="18"/>
        <v>6110.848</v>
      </c>
      <c r="W158" s="4">
        <f t="shared" si="19"/>
        <v>0.65065448248310664</v>
      </c>
    </row>
    <row r="159" spans="1:23" x14ac:dyDescent="0.3">
      <c r="A159" t="s">
        <v>417</v>
      </c>
      <c r="B159" s="6">
        <v>45531</v>
      </c>
      <c r="C159" s="2">
        <v>45553</v>
      </c>
      <c r="D159" s="4">
        <f t="shared" si="20"/>
        <v>22</v>
      </c>
      <c r="E159" s="4" t="str">
        <f>TEXT(Data!B159,"MMM-YYYY")</f>
        <v>Feb-2025</v>
      </c>
      <c r="F159" s="4" t="str">
        <f t="shared" si="16"/>
        <v>Q3-2024</v>
      </c>
      <c r="G159" t="s">
        <v>45</v>
      </c>
      <c r="H159" t="s">
        <v>60</v>
      </c>
      <c r="I159" t="s">
        <v>141</v>
      </c>
      <c r="J159" t="s">
        <v>48</v>
      </c>
      <c r="K159" t="s">
        <v>98</v>
      </c>
      <c r="L159" t="s">
        <v>56</v>
      </c>
      <c r="M159" t="s">
        <v>22</v>
      </c>
      <c r="N159" t="s">
        <v>418</v>
      </c>
      <c r="O159" s="4">
        <v>896.75</v>
      </c>
      <c r="P159" s="7" t="str">
        <f t="shared" si="17"/>
        <v>High</v>
      </c>
      <c r="Q159" s="4">
        <v>1651.14</v>
      </c>
      <c r="R159" s="4">
        <v>2.5000000000000001E-2</v>
      </c>
      <c r="S159" s="4">
        <v>15</v>
      </c>
      <c r="T159" s="4">
        <f t="shared" si="14"/>
        <v>20216.283749999999</v>
      </c>
      <c r="U159">
        <f t="shared" si="15"/>
        <v>13451.25</v>
      </c>
      <c r="V159" s="4">
        <f t="shared" si="18"/>
        <v>6765.0337499999987</v>
      </c>
      <c r="W159" s="4">
        <f t="shared" si="19"/>
        <v>0.3346329045267778</v>
      </c>
    </row>
    <row r="160" spans="1:23" x14ac:dyDescent="0.3">
      <c r="A160" t="s">
        <v>419</v>
      </c>
      <c r="B160" s="6">
        <v>45703</v>
      </c>
      <c r="C160" s="2">
        <v>45703</v>
      </c>
      <c r="D160" s="4">
        <f t="shared" si="20"/>
        <v>0</v>
      </c>
      <c r="E160" s="4" t="str">
        <f>TEXT(Data!B160,"MMM-YYYY")</f>
        <v>Aug-2025</v>
      </c>
      <c r="F160" s="4" t="str">
        <f t="shared" si="16"/>
        <v>Q1-2025</v>
      </c>
      <c r="G160" t="s">
        <v>78</v>
      </c>
      <c r="H160" t="s">
        <v>79</v>
      </c>
      <c r="I160" t="s">
        <v>335</v>
      </c>
      <c r="J160" t="s">
        <v>62</v>
      </c>
      <c r="K160" t="s">
        <v>40</v>
      </c>
      <c r="L160" t="s">
        <v>49</v>
      </c>
      <c r="M160" t="s">
        <v>81</v>
      </c>
      <c r="N160" t="s">
        <v>420</v>
      </c>
      <c r="O160" s="4">
        <v>815.83</v>
      </c>
      <c r="P160" s="7" t="str">
        <f t="shared" si="17"/>
        <v>High</v>
      </c>
      <c r="Q160" s="4">
        <v>1982.18</v>
      </c>
      <c r="R160" s="4">
        <v>0.127</v>
      </c>
      <c r="S160" s="4">
        <v>6</v>
      </c>
      <c r="T160" s="4">
        <f t="shared" si="14"/>
        <v>7100.6851799999995</v>
      </c>
      <c r="U160">
        <f t="shared" si="15"/>
        <v>4894.9800000000005</v>
      </c>
      <c r="V160" s="4">
        <f t="shared" si="18"/>
        <v>2205.705179999999</v>
      </c>
      <c r="W160" s="4">
        <f t="shared" si="19"/>
        <v>0.31063272403804826</v>
      </c>
    </row>
    <row r="161" spans="1:23" x14ac:dyDescent="0.3">
      <c r="A161" t="s">
        <v>421</v>
      </c>
      <c r="B161" s="6">
        <v>45870</v>
      </c>
      <c r="C161" s="2">
        <v>45890</v>
      </c>
      <c r="D161" s="4">
        <f t="shared" si="20"/>
        <v>20</v>
      </c>
      <c r="E161" s="4" t="str">
        <f>TEXT(Data!B161,"MMM-YYYY")</f>
        <v>Feb-2023</v>
      </c>
      <c r="F161" s="4" t="str">
        <f t="shared" si="16"/>
        <v>Q3-2025</v>
      </c>
      <c r="G161" t="s">
        <v>45</v>
      </c>
      <c r="H161" t="s">
        <v>116</v>
      </c>
      <c r="I161" t="s">
        <v>162</v>
      </c>
      <c r="J161" t="s">
        <v>19</v>
      </c>
      <c r="K161" t="s">
        <v>98</v>
      </c>
      <c r="L161" t="s">
        <v>34</v>
      </c>
      <c r="M161" t="s">
        <v>42</v>
      </c>
      <c r="N161" t="s">
        <v>422</v>
      </c>
      <c r="O161" s="4">
        <v>1220.4100000000001</v>
      </c>
      <c r="P161" s="7" t="str">
        <f t="shared" si="17"/>
        <v>High</v>
      </c>
      <c r="Q161" s="4">
        <v>2552.2199999999998</v>
      </c>
      <c r="R161" s="4">
        <v>0.18099999999999999</v>
      </c>
      <c r="S161" s="4">
        <v>14</v>
      </c>
      <c r="T161" s="4">
        <f t="shared" si="14"/>
        <v>10180.661399999999</v>
      </c>
      <c r="U161">
        <f t="shared" si="15"/>
        <v>17085.740000000002</v>
      </c>
      <c r="V161" s="4">
        <f t="shared" si="18"/>
        <v>-6905.0786000000026</v>
      </c>
      <c r="W161" s="4">
        <f t="shared" si="19"/>
        <v>-0.6782544206803699</v>
      </c>
    </row>
    <row r="162" spans="1:23" x14ac:dyDescent="0.3">
      <c r="A162" t="s">
        <v>423</v>
      </c>
      <c r="B162" s="6">
        <v>44977</v>
      </c>
      <c r="C162" s="2">
        <v>44989</v>
      </c>
      <c r="D162" s="4">
        <f t="shared" si="20"/>
        <v>12</v>
      </c>
      <c r="E162" s="4" t="str">
        <f>TEXT(Data!B162,"MMM-YYYY")</f>
        <v>Oct-2024</v>
      </c>
      <c r="F162" s="4" t="str">
        <f t="shared" si="16"/>
        <v>Q1-2023</v>
      </c>
      <c r="G162" t="s">
        <v>45</v>
      </c>
      <c r="H162" t="s">
        <v>60</v>
      </c>
      <c r="I162" t="s">
        <v>141</v>
      </c>
      <c r="J162" t="s">
        <v>48</v>
      </c>
      <c r="K162" t="s">
        <v>55</v>
      </c>
      <c r="L162" t="s">
        <v>110</v>
      </c>
      <c r="M162" t="s">
        <v>64</v>
      </c>
      <c r="N162" t="s">
        <v>424</v>
      </c>
      <c r="O162" s="4">
        <v>299.75</v>
      </c>
      <c r="P162" s="7" t="str">
        <f t="shared" si="17"/>
        <v>High</v>
      </c>
      <c r="Q162" s="4">
        <v>523.01</v>
      </c>
      <c r="R162" s="4">
        <v>0.157</v>
      </c>
      <c r="S162" s="4">
        <v>50</v>
      </c>
      <c r="T162" s="4">
        <f t="shared" si="14"/>
        <v>43022.083500000001</v>
      </c>
      <c r="U162">
        <f t="shared" si="15"/>
        <v>14987.5</v>
      </c>
      <c r="V162" s="4">
        <f t="shared" si="18"/>
        <v>28034.583500000001</v>
      </c>
      <c r="W162" s="4">
        <f t="shared" si="19"/>
        <v>0.65163239943969709</v>
      </c>
    </row>
    <row r="163" spans="1:23" x14ac:dyDescent="0.3">
      <c r="A163" t="s">
        <v>425</v>
      </c>
      <c r="B163" s="6">
        <v>45595</v>
      </c>
      <c r="C163" s="2">
        <v>45620</v>
      </c>
      <c r="D163" s="4">
        <f t="shared" si="20"/>
        <v>25</v>
      </c>
      <c r="E163" s="4" t="str">
        <f>TEXT(Data!B163,"MMM-YYYY")</f>
        <v>Apr-2024</v>
      </c>
      <c r="F163" s="4" t="str">
        <f t="shared" si="16"/>
        <v>Q4-2024</v>
      </c>
      <c r="G163" t="s">
        <v>45</v>
      </c>
      <c r="H163" t="s">
        <v>116</v>
      </c>
      <c r="I163" t="s">
        <v>117</v>
      </c>
      <c r="J163" t="s">
        <v>62</v>
      </c>
      <c r="K163" t="s">
        <v>28</v>
      </c>
      <c r="L163" t="s">
        <v>63</v>
      </c>
      <c r="M163" t="s">
        <v>22</v>
      </c>
      <c r="N163" t="s">
        <v>426</v>
      </c>
      <c r="O163" s="4">
        <v>811.05</v>
      </c>
      <c r="P163" s="7" t="str">
        <f t="shared" si="17"/>
        <v>High</v>
      </c>
      <c r="Q163" s="4">
        <v>1217.71</v>
      </c>
      <c r="R163" s="4">
        <v>7.1999999999999995E-2</v>
      </c>
      <c r="S163" s="4">
        <v>5</v>
      </c>
      <c r="T163" s="4">
        <f t="shared" si="14"/>
        <v>6475.2592000000004</v>
      </c>
      <c r="U163">
        <f t="shared" si="15"/>
        <v>4055.25</v>
      </c>
      <c r="V163" s="4">
        <f t="shared" si="18"/>
        <v>2420.0092000000004</v>
      </c>
      <c r="W163" s="4">
        <f t="shared" si="19"/>
        <v>0.37373163378540897</v>
      </c>
    </row>
    <row r="164" spans="1:23" x14ac:dyDescent="0.3">
      <c r="A164" t="s">
        <v>427</v>
      </c>
      <c r="B164" s="6">
        <v>45385</v>
      </c>
      <c r="C164" s="2">
        <v>45389</v>
      </c>
      <c r="D164" s="4">
        <f t="shared" si="20"/>
        <v>4</v>
      </c>
      <c r="E164" s="4" t="str">
        <f>TEXT(Data!B164,"MMM-YYYY")</f>
        <v>Mar-2023</v>
      </c>
      <c r="F164" s="4" t="str">
        <f t="shared" si="16"/>
        <v>Q2-2024</v>
      </c>
      <c r="G164" t="s">
        <v>52</v>
      </c>
      <c r="H164" t="s">
        <v>73</v>
      </c>
      <c r="I164" t="s">
        <v>87</v>
      </c>
      <c r="J164" t="s">
        <v>39</v>
      </c>
      <c r="K164" t="s">
        <v>98</v>
      </c>
      <c r="L164" t="s">
        <v>126</v>
      </c>
      <c r="M164" t="s">
        <v>42</v>
      </c>
      <c r="N164" t="s">
        <v>428</v>
      </c>
      <c r="O164" s="4">
        <v>1023.27</v>
      </c>
      <c r="P164" s="7" t="str">
        <f t="shared" si="17"/>
        <v>High</v>
      </c>
      <c r="Q164" s="4">
        <v>1343.64</v>
      </c>
      <c r="R164" s="4">
        <v>0.13300000000000001</v>
      </c>
      <c r="S164" s="4">
        <v>7</v>
      </c>
      <c r="T164" s="4">
        <f t="shared" si="14"/>
        <v>13797.385980000001</v>
      </c>
      <c r="U164">
        <f t="shared" si="15"/>
        <v>7162.8899999999994</v>
      </c>
      <c r="V164" s="4">
        <f t="shared" si="18"/>
        <v>6634.4959800000015</v>
      </c>
      <c r="W164" s="4">
        <f t="shared" si="19"/>
        <v>0.48085166201895302</v>
      </c>
    </row>
    <row r="165" spans="1:23" x14ac:dyDescent="0.3">
      <c r="A165" t="s">
        <v>429</v>
      </c>
      <c r="B165" s="6">
        <v>45010</v>
      </c>
      <c r="C165" s="2">
        <v>45011</v>
      </c>
      <c r="D165" s="4">
        <f t="shared" si="20"/>
        <v>1</v>
      </c>
      <c r="E165" s="4" t="str">
        <f>TEXT(Data!B165,"MMM-YYYY")</f>
        <v>Jun-2024</v>
      </c>
      <c r="F165" s="4" t="str">
        <f t="shared" si="16"/>
        <v>Q1-2023</v>
      </c>
      <c r="G165" t="s">
        <v>45</v>
      </c>
      <c r="H165" t="s">
        <v>46</v>
      </c>
      <c r="I165" t="s">
        <v>47</v>
      </c>
      <c r="J165" t="s">
        <v>62</v>
      </c>
      <c r="K165" t="s">
        <v>55</v>
      </c>
      <c r="L165" t="s">
        <v>34</v>
      </c>
      <c r="M165" t="s">
        <v>64</v>
      </c>
      <c r="N165" t="s">
        <v>430</v>
      </c>
      <c r="O165" s="4">
        <v>135.12</v>
      </c>
      <c r="P165" s="7" t="str">
        <f t="shared" si="17"/>
        <v>High</v>
      </c>
      <c r="Q165" s="4">
        <v>301.7</v>
      </c>
      <c r="R165" s="4">
        <v>0.14000000000000001</v>
      </c>
      <c r="S165" s="4">
        <v>47</v>
      </c>
      <c r="T165" s="4">
        <f t="shared" si="14"/>
        <v>50207.703000000001</v>
      </c>
      <c r="U165">
        <f t="shared" si="15"/>
        <v>6350.64</v>
      </c>
      <c r="V165" s="4">
        <f t="shared" si="18"/>
        <v>43857.063000000002</v>
      </c>
      <c r="W165" s="4">
        <f t="shared" si="19"/>
        <v>0.87351263609888707</v>
      </c>
    </row>
    <row r="166" spans="1:23" x14ac:dyDescent="0.3">
      <c r="A166" t="s">
        <v>431</v>
      </c>
      <c r="B166" s="6">
        <v>45447</v>
      </c>
      <c r="C166" s="2">
        <v>45459</v>
      </c>
      <c r="D166" s="4">
        <f t="shared" si="20"/>
        <v>12</v>
      </c>
      <c r="E166" s="4" t="str">
        <f>TEXT(Data!B166,"MMM-YYYY")</f>
        <v>Feb-2023</v>
      </c>
      <c r="F166" s="4" t="str">
        <f t="shared" si="16"/>
        <v>Q2-2024</v>
      </c>
      <c r="G166" t="s">
        <v>45</v>
      </c>
      <c r="H166" t="s">
        <v>116</v>
      </c>
      <c r="I166" t="s">
        <v>162</v>
      </c>
      <c r="J166" t="s">
        <v>19</v>
      </c>
      <c r="K166" t="s">
        <v>20</v>
      </c>
      <c r="L166" t="s">
        <v>29</v>
      </c>
      <c r="M166" t="s">
        <v>30</v>
      </c>
      <c r="N166" t="s">
        <v>432</v>
      </c>
      <c r="O166" s="4">
        <v>918.42</v>
      </c>
      <c r="P166" s="7" t="str">
        <f t="shared" si="17"/>
        <v>High</v>
      </c>
      <c r="Q166" s="4">
        <v>1511.71</v>
      </c>
      <c r="R166" s="4">
        <v>0.02</v>
      </c>
      <c r="S166" s="4">
        <v>8</v>
      </c>
      <c r="T166" s="4">
        <f t="shared" si="14"/>
        <v>10272.6736</v>
      </c>
      <c r="U166">
        <f t="shared" si="15"/>
        <v>7347.36</v>
      </c>
      <c r="V166" s="4">
        <f t="shared" si="18"/>
        <v>2925.3136000000004</v>
      </c>
      <c r="W166" s="4">
        <f t="shared" si="19"/>
        <v>0.28476652855007489</v>
      </c>
    </row>
    <row r="167" spans="1:23" x14ac:dyDescent="0.3">
      <c r="A167" t="s">
        <v>433</v>
      </c>
      <c r="B167" s="6">
        <v>44976</v>
      </c>
      <c r="C167" s="2">
        <v>44997</v>
      </c>
      <c r="D167" s="4">
        <f t="shared" si="20"/>
        <v>21</v>
      </c>
      <c r="E167" s="4" t="str">
        <f>TEXT(Data!B167,"MMM-YYYY")</f>
        <v>Apr-2023</v>
      </c>
      <c r="F167" s="4" t="str">
        <f t="shared" si="16"/>
        <v>Q1-2023</v>
      </c>
      <c r="G167" t="s">
        <v>78</v>
      </c>
      <c r="H167" t="s">
        <v>79</v>
      </c>
      <c r="I167" t="s">
        <v>80</v>
      </c>
      <c r="J167" t="s">
        <v>62</v>
      </c>
      <c r="K167" t="s">
        <v>98</v>
      </c>
      <c r="L167" t="s">
        <v>49</v>
      </c>
      <c r="M167" t="s">
        <v>64</v>
      </c>
      <c r="N167" t="s">
        <v>434</v>
      </c>
      <c r="O167" s="4">
        <v>1234.81</v>
      </c>
      <c r="P167" s="7" t="str">
        <f t="shared" si="17"/>
        <v>High</v>
      </c>
      <c r="Q167" s="4">
        <v>2055.2399999999998</v>
      </c>
      <c r="R167" s="4">
        <v>5.2999999999999999E-2</v>
      </c>
      <c r="S167" s="4">
        <v>44</v>
      </c>
      <c r="T167" s="4">
        <f t="shared" si="14"/>
        <v>40303.373</v>
      </c>
      <c r="U167">
        <f t="shared" si="15"/>
        <v>54331.64</v>
      </c>
      <c r="V167" s="4">
        <f t="shared" si="18"/>
        <v>-14028.267</v>
      </c>
      <c r="W167" s="4">
        <f t="shared" si="19"/>
        <v>-0.34806682309195314</v>
      </c>
    </row>
    <row r="168" spans="1:23" x14ac:dyDescent="0.3">
      <c r="A168" t="s">
        <v>435</v>
      </c>
      <c r="B168" s="6">
        <v>45034</v>
      </c>
      <c r="C168" s="2">
        <v>45064</v>
      </c>
      <c r="D168" s="4">
        <f t="shared" si="20"/>
        <v>0</v>
      </c>
      <c r="E168" s="4" t="str">
        <f>TEXT(Data!B168,"MMM-YYYY")</f>
        <v>May-2024</v>
      </c>
      <c r="F168" s="4" t="str">
        <f t="shared" si="16"/>
        <v>Q2-2023</v>
      </c>
      <c r="G168" t="s">
        <v>45</v>
      </c>
      <c r="H168" t="s">
        <v>116</v>
      </c>
      <c r="I168" t="s">
        <v>117</v>
      </c>
      <c r="J168" t="s">
        <v>39</v>
      </c>
      <c r="K168" t="s">
        <v>20</v>
      </c>
      <c r="L168" t="s">
        <v>92</v>
      </c>
      <c r="M168" t="s">
        <v>57</v>
      </c>
      <c r="N168" t="s">
        <v>436</v>
      </c>
      <c r="O168" s="4">
        <v>329.03</v>
      </c>
      <c r="P168" s="7" t="str">
        <f t="shared" si="17"/>
        <v>High</v>
      </c>
      <c r="Q168" s="4">
        <v>391.15</v>
      </c>
      <c r="R168" s="4">
        <v>0.19700000000000001</v>
      </c>
      <c r="S168" s="4">
        <v>46</v>
      </c>
      <c r="T168" s="4">
        <f t="shared" si="14"/>
        <v>32735.194359999998</v>
      </c>
      <c r="U168">
        <f t="shared" si="15"/>
        <v>15135.38</v>
      </c>
      <c r="V168" s="4">
        <f t="shared" si="18"/>
        <v>17599.814359999997</v>
      </c>
      <c r="W168" s="4">
        <f t="shared" si="19"/>
        <v>0.53764196926552166</v>
      </c>
    </row>
    <row r="169" spans="1:23" x14ac:dyDescent="0.3">
      <c r="A169" t="s">
        <v>437</v>
      </c>
      <c r="B169" s="6">
        <v>45435</v>
      </c>
      <c r="C169" s="2">
        <v>45457</v>
      </c>
      <c r="D169" s="4">
        <f t="shared" si="20"/>
        <v>22</v>
      </c>
      <c r="E169" s="4" t="str">
        <f>TEXT(Data!B169,"MMM-YYYY")</f>
        <v>Oct-2023</v>
      </c>
      <c r="F169" s="4" t="str">
        <f t="shared" si="16"/>
        <v>Q2-2024</v>
      </c>
      <c r="G169" t="s">
        <v>78</v>
      </c>
      <c r="H169" t="s">
        <v>90</v>
      </c>
      <c r="I169" t="s">
        <v>91</v>
      </c>
      <c r="J169" t="s">
        <v>62</v>
      </c>
      <c r="K169" t="s">
        <v>28</v>
      </c>
      <c r="L169" t="s">
        <v>126</v>
      </c>
      <c r="M169" t="s">
        <v>64</v>
      </c>
      <c r="N169" t="s">
        <v>438</v>
      </c>
      <c r="O169" s="4">
        <v>1481.74</v>
      </c>
      <c r="P169" s="7" t="str">
        <f t="shared" si="17"/>
        <v>High</v>
      </c>
      <c r="Q169" s="4">
        <v>1848.97</v>
      </c>
      <c r="R169" s="4">
        <v>0.254</v>
      </c>
      <c r="S169" s="4">
        <v>9</v>
      </c>
      <c r="T169" s="4">
        <f t="shared" si="14"/>
        <v>5308.1555399999997</v>
      </c>
      <c r="U169">
        <f t="shared" si="15"/>
        <v>13335.66</v>
      </c>
      <c r="V169" s="4">
        <f t="shared" si="18"/>
        <v>-8027.5044600000001</v>
      </c>
      <c r="W169" s="4">
        <f t="shared" si="19"/>
        <v>-1.5122963898680333</v>
      </c>
    </row>
    <row r="170" spans="1:23" x14ac:dyDescent="0.3">
      <c r="A170" t="s">
        <v>439</v>
      </c>
      <c r="B170" s="6">
        <v>45206</v>
      </c>
      <c r="C170" s="2">
        <v>45222</v>
      </c>
      <c r="D170" s="4">
        <f t="shared" si="20"/>
        <v>16</v>
      </c>
      <c r="E170" s="4" t="str">
        <f>TEXT(Data!B170,"MMM-YYYY")</f>
        <v>Oct-2024</v>
      </c>
      <c r="F170" s="4" t="str">
        <f t="shared" si="16"/>
        <v>Q4-2023</v>
      </c>
      <c r="G170" t="s">
        <v>45</v>
      </c>
      <c r="H170" t="s">
        <v>60</v>
      </c>
      <c r="I170" t="s">
        <v>281</v>
      </c>
      <c r="J170" t="s">
        <v>48</v>
      </c>
      <c r="K170" t="s">
        <v>20</v>
      </c>
      <c r="L170" t="s">
        <v>41</v>
      </c>
      <c r="M170" t="s">
        <v>64</v>
      </c>
      <c r="N170" t="s">
        <v>440</v>
      </c>
      <c r="O170" s="4">
        <v>906.81</v>
      </c>
      <c r="P170" s="7" t="str">
        <f t="shared" si="17"/>
        <v>High</v>
      </c>
      <c r="Q170" s="4">
        <v>1395.56</v>
      </c>
      <c r="R170" s="4">
        <v>0.185</v>
      </c>
      <c r="S170" s="4">
        <v>6</v>
      </c>
      <c r="T170" s="4">
        <f t="shared" si="14"/>
        <v>1766.9036999999998</v>
      </c>
      <c r="U170">
        <f t="shared" si="15"/>
        <v>5440.86</v>
      </c>
      <c r="V170" s="4">
        <f t="shared" si="18"/>
        <v>-3673.9562999999998</v>
      </c>
      <c r="W170" s="4">
        <f t="shared" si="19"/>
        <v>-2.079318923832691</v>
      </c>
    </row>
    <row r="171" spans="1:23" x14ac:dyDescent="0.3">
      <c r="A171" t="s">
        <v>441</v>
      </c>
      <c r="B171" s="6">
        <v>45574</v>
      </c>
      <c r="C171" s="2">
        <v>45604</v>
      </c>
      <c r="D171" s="4">
        <f t="shared" si="20"/>
        <v>30</v>
      </c>
      <c r="E171" s="4" t="str">
        <f>TEXT(Data!B171,"MMM-YYYY")</f>
        <v>Jul-2024</v>
      </c>
      <c r="F171" s="4" t="str">
        <f t="shared" si="16"/>
        <v>Q4-2024</v>
      </c>
      <c r="G171" t="s">
        <v>78</v>
      </c>
      <c r="H171" t="s">
        <v>108</v>
      </c>
      <c r="I171" t="s">
        <v>228</v>
      </c>
      <c r="J171" t="s">
        <v>62</v>
      </c>
      <c r="K171" t="s">
        <v>55</v>
      </c>
      <c r="L171" t="s">
        <v>29</v>
      </c>
      <c r="M171" t="s">
        <v>22</v>
      </c>
      <c r="N171" t="s">
        <v>442</v>
      </c>
      <c r="O171" s="4">
        <v>343.85</v>
      </c>
      <c r="P171" s="7" t="str">
        <f t="shared" si="17"/>
        <v>High</v>
      </c>
      <c r="Q171" s="4">
        <v>538.04</v>
      </c>
      <c r="R171" s="4">
        <v>0.13900000000000001</v>
      </c>
      <c r="S171" s="4">
        <v>5</v>
      </c>
      <c r="T171" s="4">
        <f t="shared" si="14"/>
        <v>8403.5321999999996</v>
      </c>
      <c r="U171">
        <f t="shared" si="15"/>
        <v>1719.25</v>
      </c>
      <c r="V171" s="4">
        <f t="shared" si="18"/>
        <v>6684.2821999999996</v>
      </c>
      <c r="W171" s="4">
        <f t="shared" si="19"/>
        <v>0.79541340961363838</v>
      </c>
    </row>
    <row r="172" spans="1:23" x14ac:dyDescent="0.3">
      <c r="A172" t="s">
        <v>443</v>
      </c>
      <c r="B172" s="6">
        <v>45488</v>
      </c>
      <c r="C172" s="2">
        <v>45488</v>
      </c>
      <c r="D172" s="4">
        <f t="shared" si="20"/>
        <v>0</v>
      </c>
      <c r="E172" s="4" t="str">
        <f>TEXT(Data!B172,"MMM-YYYY")</f>
        <v>Sep-2023</v>
      </c>
      <c r="F172" s="4" t="str">
        <f t="shared" si="16"/>
        <v>Q3-2024</v>
      </c>
      <c r="G172" t="s">
        <v>45</v>
      </c>
      <c r="H172" t="s">
        <v>46</v>
      </c>
      <c r="I172" t="s">
        <v>214</v>
      </c>
      <c r="J172" t="s">
        <v>62</v>
      </c>
      <c r="K172" t="s">
        <v>40</v>
      </c>
      <c r="L172" t="s">
        <v>41</v>
      </c>
      <c r="M172" t="s">
        <v>81</v>
      </c>
      <c r="N172" t="s">
        <v>444</v>
      </c>
      <c r="O172" s="4">
        <v>801.77</v>
      </c>
      <c r="P172" s="7" t="str">
        <f t="shared" si="17"/>
        <v>High</v>
      </c>
      <c r="Q172" s="4">
        <v>1218.92</v>
      </c>
      <c r="R172" s="4">
        <v>0.254</v>
      </c>
      <c r="S172" s="4">
        <v>16</v>
      </c>
      <c r="T172" s="4">
        <f t="shared" si="14"/>
        <v>18676.97536</v>
      </c>
      <c r="U172">
        <f t="shared" si="15"/>
        <v>12828.32</v>
      </c>
      <c r="V172" s="4">
        <f t="shared" si="18"/>
        <v>5848.6553600000007</v>
      </c>
      <c r="W172" s="4">
        <f t="shared" si="19"/>
        <v>0.31314788648947495</v>
      </c>
    </row>
    <row r="173" spans="1:23" x14ac:dyDescent="0.3">
      <c r="A173" t="s">
        <v>445</v>
      </c>
      <c r="B173" s="6">
        <v>45190</v>
      </c>
      <c r="C173" s="2">
        <v>45209</v>
      </c>
      <c r="D173" s="4">
        <f t="shared" si="20"/>
        <v>19</v>
      </c>
      <c r="E173" s="4" t="str">
        <f>TEXT(Data!B173,"MMM-YYYY")</f>
        <v>Feb-2023</v>
      </c>
      <c r="F173" s="4" t="str">
        <f t="shared" si="16"/>
        <v>Q3-2023</v>
      </c>
      <c r="G173" t="s">
        <v>45</v>
      </c>
      <c r="H173" t="s">
        <v>46</v>
      </c>
      <c r="I173" t="s">
        <v>214</v>
      </c>
      <c r="J173" t="s">
        <v>27</v>
      </c>
      <c r="K173" t="s">
        <v>28</v>
      </c>
      <c r="L173" t="s">
        <v>145</v>
      </c>
      <c r="M173" t="s">
        <v>22</v>
      </c>
      <c r="N173" t="s">
        <v>446</v>
      </c>
      <c r="O173" s="4">
        <v>845.63</v>
      </c>
      <c r="P173" s="7" t="str">
        <f t="shared" si="17"/>
        <v>High</v>
      </c>
      <c r="Q173" s="4">
        <v>2062.12</v>
      </c>
      <c r="R173" s="4">
        <v>0.13400000000000001</v>
      </c>
      <c r="S173" s="4">
        <v>5</v>
      </c>
      <c r="T173" s="4">
        <f t="shared" si="14"/>
        <v>3691.4982</v>
      </c>
      <c r="U173">
        <f t="shared" si="15"/>
        <v>4228.1499999999996</v>
      </c>
      <c r="V173" s="4">
        <f t="shared" si="18"/>
        <v>-536.65179999999964</v>
      </c>
      <c r="W173" s="4">
        <f t="shared" si="19"/>
        <v>-0.1453750674996942</v>
      </c>
    </row>
    <row r="174" spans="1:23" x14ac:dyDescent="0.3">
      <c r="A174" t="s">
        <v>447</v>
      </c>
      <c r="B174" s="6">
        <v>44981</v>
      </c>
      <c r="C174" s="2">
        <v>44994</v>
      </c>
      <c r="D174" s="4">
        <f t="shared" si="20"/>
        <v>13</v>
      </c>
      <c r="E174" s="4" t="str">
        <f>TEXT(Data!B174,"MMM-YYYY")</f>
        <v>May-2025</v>
      </c>
      <c r="F174" s="4" t="str">
        <f t="shared" si="16"/>
        <v>Q1-2023</v>
      </c>
      <c r="G174" t="s">
        <v>52</v>
      </c>
      <c r="H174" t="s">
        <v>122</v>
      </c>
      <c r="I174" t="s">
        <v>387</v>
      </c>
      <c r="J174" t="s">
        <v>105</v>
      </c>
      <c r="K174" t="s">
        <v>28</v>
      </c>
      <c r="L174" t="s">
        <v>110</v>
      </c>
      <c r="M174" t="s">
        <v>22</v>
      </c>
      <c r="N174" t="s">
        <v>448</v>
      </c>
      <c r="O174" s="4">
        <v>6.85</v>
      </c>
      <c r="P174" s="7" t="str">
        <f t="shared" si="17"/>
        <v>Low</v>
      </c>
      <c r="Q174" s="4">
        <v>10.18</v>
      </c>
      <c r="R174" s="4">
        <v>4.7E-2</v>
      </c>
      <c r="S174" s="4">
        <v>10</v>
      </c>
      <c r="T174" s="4">
        <f t="shared" si="14"/>
        <v>13964.213699999998</v>
      </c>
      <c r="U174">
        <f t="shared" si="15"/>
        <v>68.5</v>
      </c>
      <c r="V174" s="4">
        <f t="shared" si="18"/>
        <v>13895.713699999998</v>
      </c>
      <c r="W174" s="4">
        <f t="shared" si="19"/>
        <v>0.99509460385871928</v>
      </c>
    </row>
    <row r="175" spans="1:23" x14ac:dyDescent="0.3">
      <c r="A175" t="s">
        <v>449</v>
      </c>
      <c r="B175" s="6">
        <v>45798</v>
      </c>
      <c r="C175" s="2">
        <v>45796</v>
      </c>
      <c r="D175" s="4">
        <f>DATEDIF(C175,B175, "MD")</f>
        <v>2</v>
      </c>
      <c r="E175" s="4" t="str">
        <f>TEXT(Data!B175,"MMM-YYYY")</f>
        <v>May-2024</v>
      </c>
      <c r="F175" s="4" t="str">
        <f t="shared" si="16"/>
        <v>Q2-2025</v>
      </c>
      <c r="G175" t="s">
        <v>16</v>
      </c>
      <c r="H175" t="s">
        <v>148</v>
      </c>
      <c r="I175" t="s">
        <v>149</v>
      </c>
      <c r="J175" t="s">
        <v>39</v>
      </c>
      <c r="K175" t="s">
        <v>55</v>
      </c>
      <c r="L175" t="s">
        <v>68</v>
      </c>
      <c r="M175" t="s">
        <v>57</v>
      </c>
      <c r="N175" t="s">
        <v>450</v>
      </c>
      <c r="O175" s="4">
        <v>1263.8399999999999</v>
      </c>
      <c r="P175" s="7" t="str">
        <f t="shared" si="17"/>
        <v>High</v>
      </c>
      <c r="Q175" s="4">
        <v>2281.7199999999998</v>
      </c>
      <c r="R175" s="4">
        <v>7.8E-2</v>
      </c>
      <c r="S175" s="4">
        <v>15</v>
      </c>
      <c r="T175" s="4">
        <f t="shared" si="14"/>
        <v>36583.530899999998</v>
      </c>
      <c r="U175">
        <f t="shared" si="15"/>
        <v>18957.599999999999</v>
      </c>
      <c r="V175" s="4">
        <f t="shared" si="18"/>
        <v>17625.930899999999</v>
      </c>
      <c r="W175" s="4">
        <f t="shared" si="19"/>
        <v>0.48179960945213191</v>
      </c>
    </row>
    <row r="176" spans="1:23" x14ac:dyDescent="0.3">
      <c r="A176" t="s">
        <v>451</v>
      </c>
      <c r="B176" s="6">
        <v>45435</v>
      </c>
      <c r="C176" s="2">
        <v>45446</v>
      </c>
      <c r="D176" s="4">
        <f t="shared" si="20"/>
        <v>11</v>
      </c>
      <c r="E176" s="4" t="str">
        <f>TEXT(Data!B176,"MMM-YYYY")</f>
        <v>Apr-2025</v>
      </c>
      <c r="F176" s="4" t="str">
        <f t="shared" si="16"/>
        <v>Q2-2024</v>
      </c>
      <c r="G176" t="s">
        <v>16</v>
      </c>
      <c r="H176" t="s">
        <v>148</v>
      </c>
      <c r="I176" t="s">
        <v>149</v>
      </c>
      <c r="J176" t="s">
        <v>62</v>
      </c>
      <c r="K176" t="s">
        <v>55</v>
      </c>
      <c r="L176" t="s">
        <v>84</v>
      </c>
      <c r="M176" t="s">
        <v>30</v>
      </c>
      <c r="N176" t="s">
        <v>452</v>
      </c>
      <c r="O176" s="4">
        <v>180.89</v>
      </c>
      <c r="P176" s="7" t="str">
        <f t="shared" si="17"/>
        <v>High</v>
      </c>
      <c r="Q176" s="4">
        <v>249.57</v>
      </c>
      <c r="R176" s="4">
        <v>2.1999999999999999E-2</v>
      </c>
      <c r="S176" s="4">
        <v>8</v>
      </c>
      <c r="T176" s="4">
        <f t="shared" si="14"/>
        <v>6897.4036800000003</v>
      </c>
      <c r="U176">
        <f t="shared" si="15"/>
        <v>1447.12</v>
      </c>
      <c r="V176" s="4">
        <f t="shared" si="18"/>
        <v>5450.2836800000005</v>
      </c>
      <c r="W176" s="4">
        <f t="shared" si="19"/>
        <v>0.79019351815000627</v>
      </c>
    </row>
    <row r="177" spans="1:23" x14ac:dyDescent="0.3">
      <c r="A177" t="s">
        <v>453</v>
      </c>
      <c r="B177" s="6">
        <v>45761</v>
      </c>
      <c r="C177" s="2">
        <v>45781</v>
      </c>
      <c r="D177" s="4">
        <f t="shared" si="20"/>
        <v>20</v>
      </c>
      <c r="E177" s="4" t="str">
        <f>TEXT(Data!B177,"MMM-YYYY")</f>
        <v>Aug-2023</v>
      </c>
      <c r="F177" s="4" t="str">
        <f t="shared" si="16"/>
        <v>Q2-2025</v>
      </c>
      <c r="G177" t="s">
        <v>78</v>
      </c>
      <c r="H177" t="s">
        <v>108</v>
      </c>
      <c r="I177" t="s">
        <v>109</v>
      </c>
      <c r="J177" t="s">
        <v>105</v>
      </c>
      <c r="K177" t="s">
        <v>40</v>
      </c>
      <c r="L177" t="s">
        <v>95</v>
      </c>
      <c r="M177" t="s">
        <v>64</v>
      </c>
      <c r="N177" t="s">
        <v>454</v>
      </c>
      <c r="O177" s="4">
        <v>1413.87</v>
      </c>
      <c r="P177" s="7" t="str">
        <f t="shared" si="17"/>
        <v>High</v>
      </c>
      <c r="Q177" s="4">
        <v>3275</v>
      </c>
      <c r="R177" s="4">
        <v>0.255</v>
      </c>
      <c r="S177" s="4">
        <v>38</v>
      </c>
      <c r="T177" s="4">
        <f t="shared" si="14"/>
        <v>17694.882399999999</v>
      </c>
      <c r="U177">
        <f t="shared" si="15"/>
        <v>53727.06</v>
      </c>
      <c r="V177" s="4">
        <f t="shared" si="18"/>
        <v>-36032.177599999995</v>
      </c>
      <c r="W177" s="4">
        <f t="shared" si="19"/>
        <v>-2.0363050053387188</v>
      </c>
    </row>
    <row r="178" spans="1:23" x14ac:dyDescent="0.3">
      <c r="A178" t="s">
        <v>455</v>
      </c>
      <c r="B178" s="6">
        <v>45165</v>
      </c>
      <c r="C178" s="2">
        <v>45180</v>
      </c>
      <c r="D178" s="4">
        <f t="shared" si="20"/>
        <v>15</v>
      </c>
      <c r="E178" s="4" t="str">
        <f>TEXT(Data!B178,"MMM-YYYY")</f>
        <v>Feb-2024</v>
      </c>
      <c r="F178" s="4" t="str">
        <f t="shared" si="16"/>
        <v>Q3-2023</v>
      </c>
      <c r="G178" t="s">
        <v>78</v>
      </c>
      <c r="H178" t="s">
        <v>108</v>
      </c>
      <c r="I178" t="s">
        <v>152</v>
      </c>
      <c r="J178" t="s">
        <v>48</v>
      </c>
      <c r="K178" t="s">
        <v>40</v>
      </c>
      <c r="L178" t="s">
        <v>126</v>
      </c>
      <c r="M178" t="s">
        <v>30</v>
      </c>
      <c r="N178" t="s">
        <v>456</v>
      </c>
      <c r="O178" s="4">
        <v>943.79</v>
      </c>
      <c r="P178" s="7" t="str">
        <f t="shared" si="17"/>
        <v>High</v>
      </c>
      <c r="Q178" s="4">
        <v>1913.76</v>
      </c>
      <c r="R178" s="4">
        <v>9.0999999999999998E-2</v>
      </c>
      <c r="S178" s="4">
        <v>9</v>
      </c>
      <c r="T178" s="4">
        <f t="shared" si="14"/>
        <v>7960.4402400000008</v>
      </c>
      <c r="U178">
        <f t="shared" si="15"/>
        <v>8494.11</v>
      </c>
      <c r="V178" s="4">
        <f t="shared" si="18"/>
        <v>-533.66975999999977</v>
      </c>
      <c r="W178" s="4">
        <f t="shared" si="19"/>
        <v>-6.7040231935715122E-2</v>
      </c>
    </row>
    <row r="179" spans="1:23" x14ac:dyDescent="0.3">
      <c r="A179" t="s">
        <v>457</v>
      </c>
      <c r="B179" s="6">
        <v>45325</v>
      </c>
      <c r="C179" s="2">
        <v>45343</v>
      </c>
      <c r="D179" s="4">
        <f t="shared" si="20"/>
        <v>18</v>
      </c>
      <c r="E179" s="4" t="str">
        <f>TEXT(Data!B179,"MMM-YYYY")</f>
        <v>Apr-2023</v>
      </c>
      <c r="F179" s="4" t="str">
        <f t="shared" si="16"/>
        <v>Q1-2024</v>
      </c>
      <c r="G179" t="s">
        <v>78</v>
      </c>
      <c r="H179" t="s">
        <v>79</v>
      </c>
      <c r="I179" t="s">
        <v>335</v>
      </c>
      <c r="J179" t="s">
        <v>19</v>
      </c>
      <c r="K179" t="s">
        <v>20</v>
      </c>
      <c r="L179" t="s">
        <v>92</v>
      </c>
      <c r="M179" t="s">
        <v>22</v>
      </c>
      <c r="N179" t="s">
        <v>458</v>
      </c>
      <c r="O179" s="4">
        <v>39.229999999999997</v>
      </c>
      <c r="P179" s="7" t="str">
        <f t="shared" si="17"/>
        <v>Low</v>
      </c>
      <c r="Q179" s="4">
        <v>30.09</v>
      </c>
      <c r="R179" s="4">
        <v>0.17699999999999999</v>
      </c>
      <c r="S179" s="4">
        <v>13</v>
      </c>
      <c r="T179" s="4">
        <f t="shared" si="14"/>
        <v>16533.592659999998</v>
      </c>
      <c r="U179">
        <f t="shared" si="15"/>
        <v>509.98999999999995</v>
      </c>
      <c r="V179" s="4">
        <f t="shared" si="18"/>
        <v>16023.602659999999</v>
      </c>
      <c r="W179" s="4">
        <f t="shared" si="19"/>
        <v>0.96915431446222655</v>
      </c>
    </row>
    <row r="180" spans="1:23" x14ac:dyDescent="0.3">
      <c r="A180" t="s">
        <v>459</v>
      </c>
      <c r="B180" s="6">
        <v>45021</v>
      </c>
      <c r="C180" s="2">
        <v>45032</v>
      </c>
      <c r="D180" s="4">
        <f t="shared" si="20"/>
        <v>11</v>
      </c>
      <c r="E180" s="4" t="str">
        <f>TEXT(Data!B180,"MMM-YYYY")</f>
        <v>Aug-2025</v>
      </c>
      <c r="F180" s="4" t="str">
        <f t="shared" si="16"/>
        <v>Q2-2023</v>
      </c>
      <c r="G180" t="s">
        <v>52</v>
      </c>
      <c r="H180" t="s">
        <v>53</v>
      </c>
      <c r="I180" t="s">
        <v>179</v>
      </c>
      <c r="J180" t="s">
        <v>39</v>
      </c>
      <c r="K180" t="s">
        <v>28</v>
      </c>
      <c r="L180" t="s">
        <v>68</v>
      </c>
      <c r="M180" t="s">
        <v>64</v>
      </c>
      <c r="N180" t="s">
        <v>460</v>
      </c>
      <c r="O180" s="4">
        <v>213.1</v>
      </c>
      <c r="P180" s="7" t="str">
        <f t="shared" si="17"/>
        <v>High</v>
      </c>
      <c r="Q180" s="4">
        <v>501.31</v>
      </c>
      <c r="R180" s="4">
        <v>5.6000000000000001E-2</v>
      </c>
      <c r="S180" s="4">
        <v>15</v>
      </c>
      <c r="T180" s="4">
        <f t="shared" si="14"/>
        <v>31908.427200000002</v>
      </c>
      <c r="U180">
        <f t="shared" si="15"/>
        <v>3196.5</v>
      </c>
      <c r="V180" s="4">
        <f t="shared" si="18"/>
        <v>28711.927200000002</v>
      </c>
      <c r="W180" s="4">
        <f t="shared" si="19"/>
        <v>0.89982270263700115</v>
      </c>
    </row>
    <row r="181" spans="1:23" x14ac:dyDescent="0.3">
      <c r="A181" t="s">
        <v>461</v>
      </c>
      <c r="B181" s="6">
        <v>45890</v>
      </c>
      <c r="C181" s="2">
        <v>45912</v>
      </c>
      <c r="D181" s="4">
        <f t="shared" si="20"/>
        <v>22</v>
      </c>
      <c r="E181" s="4" t="str">
        <f>TEXT(Data!B181,"MMM-YYYY")</f>
        <v>Sep-2025</v>
      </c>
      <c r="F181" s="4" t="str">
        <f t="shared" si="16"/>
        <v>Q3-2025</v>
      </c>
      <c r="G181" t="s">
        <v>45</v>
      </c>
      <c r="H181" t="s">
        <v>116</v>
      </c>
      <c r="I181" t="s">
        <v>117</v>
      </c>
      <c r="J181" t="s">
        <v>27</v>
      </c>
      <c r="K181" t="s">
        <v>20</v>
      </c>
      <c r="L181" t="s">
        <v>56</v>
      </c>
      <c r="M181" t="s">
        <v>30</v>
      </c>
      <c r="N181" t="s">
        <v>462</v>
      </c>
      <c r="O181" s="4">
        <v>352.66</v>
      </c>
      <c r="P181" s="7" t="str">
        <f t="shared" si="17"/>
        <v>High</v>
      </c>
      <c r="Q181" s="4">
        <v>411.18</v>
      </c>
      <c r="R181" s="4">
        <v>0.17299999999999999</v>
      </c>
      <c r="S181" s="4">
        <v>13</v>
      </c>
      <c r="T181" s="4">
        <f t="shared" si="14"/>
        <v>26302.966559999997</v>
      </c>
      <c r="U181">
        <f t="shared" si="15"/>
        <v>4584.58</v>
      </c>
      <c r="V181" s="4">
        <f t="shared" si="18"/>
        <v>21718.386559999999</v>
      </c>
      <c r="W181" s="4">
        <f t="shared" si="19"/>
        <v>0.82570102921501043</v>
      </c>
    </row>
    <row r="182" spans="1:23" x14ac:dyDescent="0.3">
      <c r="A182" t="s">
        <v>463</v>
      </c>
      <c r="B182" s="6">
        <v>45915</v>
      </c>
      <c r="C182" s="2">
        <v>45918</v>
      </c>
      <c r="D182" s="4">
        <f t="shared" si="20"/>
        <v>3</v>
      </c>
      <c r="E182" s="4" t="str">
        <f>TEXT(Data!B182,"MMM-YYYY")</f>
        <v>Oct-2024</v>
      </c>
      <c r="F182" s="4" t="str">
        <f t="shared" si="16"/>
        <v>Q3-2025</v>
      </c>
      <c r="G182" t="s">
        <v>52</v>
      </c>
      <c r="H182" t="s">
        <v>73</v>
      </c>
      <c r="I182" t="s">
        <v>225</v>
      </c>
      <c r="J182" t="s">
        <v>39</v>
      </c>
      <c r="K182" t="s">
        <v>98</v>
      </c>
      <c r="L182" t="s">
        <v>49</v>
      </c>
      <c r="M182" t="s">
        <v>81</v>
      </c>
      <c r="N182" t="s">
        <v>464</v>
      </c>
      <c r="O182" s="4">
        <v>5.5</v>
      </c>
      <c r="P182" s="7" t="str">
        <f t="shared" si="17"/>
        <v>Low</v>
      </c>
      <c r="Q182" s="4">
        <v>5.92</v>
      </c>
      <c r="R182" s="4">
        <v>0.21199999999999999</v>
      </c>
      <c r="S182" s="4">
        <v>4</v>
      </c>
      <c r="T182" s="4">
        <f t="shared" si="14"/>
        <v>593.52160000000003</v>
      </c>
      <c r="U182">
        <f t="shared" si="15"/>
        <v>22</v>
      </c>
      <c r="V182" s="4">
        <f t="shared" si="18"/>
        <v>571.52160000000003</v>
      </c>
      <c r="W182" s="4">
        <f t="shared" si="19"/>
        <v>0.96293310976382329</v>
      </c>
    </row>
    <row r="183" spans="1:23" x14ac:dyDescent="0.3">
      <c r="A183" t="s">
        <v>465</v>
      </c>
      <c r="B183" s="6">
        <v>45568</v>
      </c>
      <c r="C183" s="2">
        <v>45576</v>
      </c>
      <c r="D183" s="4">
        <f t="shared" si="20"/>
        <v>8</v>
      </c>
      <c r="E183" s="4" t="str">
        <f>TEXT(Data!B183,"MMM-YYYY")</f>
        <v>Feb-2025</v>
      </c>
      <c r="F183" s="4" t="str">
        <f t="shared" si="16"/>
        <v>Q4-2024</v>
      </c>
      <c r="G183" t="s">
        <v>45</v>
      </c>
      <c r="H183" t="s">
        <v>116</v>
      </c>
      <c r="I183" t="s">
        <v>338</v>
      </c>
      <c r="J183" t="s">
        <v>105</v>
      </c>
      <c r="K183" t="s">
        <v>98</v>
      </c>
      <c r="L183" t="s">
        <v>56</v>
      </c>
      <c r="M183" t="s">
        <v>42</v>
      </c>
      <c r="N183" t="s">
        <v>466</v>
      </c>
      <c r="O183" s="4">
        <v>1132.6099999999999</v>
      </c>
      <c r="P183" s="7" t="str">
        <f t="shared" si="17"/>
        <v>High</v>
      </c>
      <c r="Q183" s="4">
        <v>2206.63</v>
      </c>
      <c r="R183" s="4">
        <v>6.3E-2</v>
      </c>
      <c r="S183" s="4">
        <v>20</v>
      </c>
      <c r="T183" s="4">
        <f t="shared" si="14"/>
        <v>48027.621600000006</v>
      </c>
      <c r="U183">
        <f t="shared" si="15"/>
        <v>22652.199999999997</v>
      </c>
      <c r="V183" s="4">
        <f t="shared" si="18"/>
        <v>25375.421600000009</v>
      </c>
      <c r="W183" s="4">
        <f t="shared" si="19"/>
        <v>0.52835057732694402</v>
      </c>
    </row>
    <row r="184" spans="1:23" x14ac:dyDescent="0.3">
      <c r="A184" t="s">
        <v>467</v>
      </c>
      <c r="B184" s="6">
        <v>45690</v>
      </c>
      <c r="C184" s="2">
        <v>45720</v>
      </c>
      <c r="D184" s="4">
        <f t="shared" si="20"/>
        <v>2</v>
      </c>
      <c r="E184" s="4" t="str">
        <f>TEXT(Data!B184,"MMM-YYYY")</f>
        <v>Aug-2023</v>
      </c>
      <c r="F184" s="4" t="str">
        <f t="shared" si="16"/>
        <v>Q1-2025</v>
      </c>
      <c r="G184" t="s">
        <v>45</v>
      </c>
      <c r="H184" t="s">
        <v>46</v>
      </c>
      <c r="I184" t="s">
        <v>47</v>
      </c>
      <c r="J184" t="s">
        <v>27</v>
      </c>
      <c r="K184" t="s">
        <v>55</v>
      </c>
      <c r="L184" t="s">
        <v>49</v>
      </c>
      <c r="M184" t="s">
        <v>81</v>
      </c>
      <c r="N184" t="s">
        <v>468</v>
      </c>
      <c r="O184" s="4">
        <v>766.59</v>
      </c>
      <c r="P184" s="7" t="str">
        <f t="shared" si="17"/>
        <v>High</v>
      </c>
      <c r="Q184" s="4">
        <v>1912.8</v>
      </c>
      <c r="R184" s="4">
        <v>0.19600000000000001</v>
      </c>
      <c r="S184" s="4">
        <v>5</v>
      </c>
      <c r="T184" s="4">
        <f t="shared" si="14"/>
        <v>7256.5421999999999</v>
      </c>
      <c r="U184">
        <f t="shared" si="15"/>
        <v>3832.9500000000003</v>
      </c>
      <c r="V184" s="4">
        <f t="shared" si="18"/>
        <v>3423.5921999999996</v>
      </c>
      <c r="W184" s="4">
        <f t="shared" si="19"/>
        <v>0.47179388001078526</v>
      </c>
    </row>
    <row r="185" spans="1:23" x14ac:dyDescent="0.3">
      <c r="A185" t="s">
        <v>469</v>
      </c>
      <c r="B185" s="6">
        <v>45157</v>
      </c>
      <c r="C185" s="2">
        <v>45161</v>
      </c>
      <c r="D185" s="4">
        <f t="shared" si="20"/>
        <v>4</v>
      </c>
      <c r="E185" s="4" t="str">
        <f>TEXT(Data!B185,"MMM-YYYY")</f>
        <v>Oct-2024</v>
      </c>
      <c r="F185" s="4" t="str">
        <f t="shared" si="16"/>
        <v>Q3-2023</v>
      </c>
      <c r="G185" t="s">
        <v>16</v>
      </c>
      <c r="H185" t="s">
        <v>25</v>
      </c>
      <c r="I185" t="s">
        <v>67</v>
      </c>
      <c r="J185" t="s">
        <v>62</v>
      </c>
      <c r="K185" t="s">
        <v>28</v>
      </c>
      <c r="L185" t="s">
        <v>29</v>
      </c>
      <c r="M185" t="s">
        <v>64</v>
      </c>
      <c r="N185" t="s">
        <v>470</v>
      </c>
      <c r="O185" s="4">
        <v>790.63</v>
      </c>
      <c r="P185" s="7" t="str">
        <f t="shared" si="17"/>
        <v>High</v>
      </c>
      <c r="Q185" s="4">
        <v>1382.31</v>
      </c>
      <c r="R185" s="4">
        <v>0.10100000000000001</v>
      </c>
      <c r="S185" s="4">
        <v>7</v>
      </c>
      <c r="T185" s="4">
        <f t="shared" si="14"/>
        <v>12999.63889</v>
      </c>
      <c r="U185">
        <f t="shared" si="15"/>
        <v>5534.41</v>
      </c>
      <c r="V185" s="4">
        <f t="shared" si="18"/>
        <v>7465.2288900000003</v>
      </c>
      <c r="W185" s="4">
        <f t="shared" si="19"/>
        <v>0.57426432789164961</v>
      </c>
    </row>
    <row r="186" spans="1:23" x14ac:dyDescent="0.3">
      <c r="A186" t="s">
        <v>471</v>
      </c>
      <c r="B186" s="6">
        <v>45587</v>
      </c>
      <c r="C186" s="2">
        <v>45594</v>
      </c>
      <c r="D186" s="4">
        <f t="shared" si="20"/>
        <v>7</v>
      </c>
      <c r="E186" s="4" t="str">
        <f>TEXT(Data!B186,"MMM-YYYY")</f>
        <v>Jun-2023</v>
      </c>
      <c r="F186" s="4" t="str">
        <f t="shared" si="16"/>
        <v>Q4-2024</v>
      </c>
      <c r="G186" t="s">
        <v>16</v>
      </c>
      <c r="H186" t="s">
        <v>25</v>
      </c>
      <c r="I186" t="s">
        <v>26</v>
      </c>
      <c r="J186" t="s">
        <v>105</v>
      </c>
      <c r="K186" t="s">
        <v>55</v>
      </c>
      <c r="L186" t="s">
        <v>110</v>
      </c>
      <c r="M186" t="s">
        <v>64</v>
      </c>
      <c r="N186" t="s">
        <v>472</v>
      </c>
      <c r="O186" s="4">
        <v>1023.06</v>
      </c>
      <c r="P186" s="7" t="str">
        <f t="shared" si="17"/>
        <v>High</v>
      </c>
      <c r="Q186" s="4">
        <v>1355.61</v>
      </c>
      <c r="R186" s="4">
        <v>0.153</v>
      </c>
      <c r="S186" s="4">
        <v>23</v>
      </c>
      <c r="T186" s="4">
        <f t="shared" si="14"/>
        <v>46101.981310000003</v>
      </c>
      <c r="U186">
        <f t="shared" si="15"/>
        <v>23530.379999999997</v>
      </c>
      <c r="V186" s="4">
        <f t="shared" si="18"/>
        <v>22571.601310000005</v>
      </c>
      <c r="W186" s="4">
        <f t="shared" si="19"/>
        <v>0.4896015457171683</v>
      </c>
    </row>
    <row r="187" spans="1:23" x14ac:dyDescent="0.3">
      <c r="A187" t="s">
        <v>473</v>
      </c>
      <c r="B187" s="6">
        <v>45099</v>
      </c>
      <c r="C187" s="2">
        <v>45128</v>
      </c>
      <c r="D187" s="4">
        <f t="shared" si="20"/>
        <v>29</v>
      </c>
      <c r="E187" s="4" t="str">
        <f>TEXT(Data!B187,"MMM-YYYY")</f>
        <v>Jan-2025</v>
      </c>
      <c r="F187" s="4" t="str">
        <f t="shared" si="16"/>
        <v>Q2-2023</v>
      </c>
      <c r="G187" t="s">
        <v>78</v>
      </c>
      <c r="H187" t="s">
        <v>90</v>
      </c>
      <c r="I187" t="s">
        <v>138</v>
      </c>
      <c r="J187" t="s">
        <v>19</v>
      </c>
      <c r="K187" t="s">
        <v>20</v>
      </c>
      <c r="L187" t="s">
        <v>29</v>
      </c>
      <c r="M187" t="s">
        <v>81</v>
      </c>
      <c r="N187" t="s">
        <v>474</v>
      </c>
      <c r="O187" s="4">
        <v>734.34</v>
      </c>
      <c r="P187" s="7" t="str">
        <f t="shared" si="17"/>
        <v>High</v>
      </c>
      <c r="Q187" s="4">
        <v>887.9</v>
      </c>
      <c r="R187" s="4">
        <v>2.5000000000000001E-2</v>
      </c>
      <c r="S187" s="4">
        <v>12</v>
      </c>
      <c r="T187" s="4">
        <f t="shared" si="14"/>
        <v>1541.5919999999999</v>
      </c>
      <c r="U187">
        <f t="shared" si="15"/>
        <v>8812.08</v>
      </c>
      <c r="V187" s="4">
        <f t="shared" si="18"/>
        <v>-7270.4880000000003</v>
      </c>
      <c r="W187" s="4">
        <f t="shared" si="19"/>
        <v>-4.7162206342534221</v>
      </c>
    </row>
    <row r="188" spans="1:23" x14ac:dyDescent="0.3">
      <c r="A188" t="s">
        <v>475</v>
      </c>
      <c r="B188" s="6">
        <v>45670</v>
      </c>
      <c r="C188" s="2">
        <v>45696</v>
      </c>
      <c r="D188" s="4">
        <f t="shared" si="20"/>
        <v>26</v>
      </c>
      <c r="E188" s="4" t="str">
        <f>TEXT(Data!B188,"MMM-YYYY")</f>
        <v>Jan-2023</v>
      </c>
      <c r="F188" s="4" t="str">
        <f t="shared" si="16"/>
        <v>Q1-2025</v>
      </c>
      <c r="G188" t="s">
        <v>78</v>
      </c>
      <c r="H188" t="s">
        <v>90</v>
      </c>
      <c r="I188" t="s">
        <v>217</v>
      </c>
      <c r="J188" t="s">
        <v>39</v>
      </c>
      <c r="K188" t="s">
        <v>1364</v>
      </c>
      <c r="L188" t="s">
        <v>63</v>
      </c>
      <c r="M188" t="s">
        <v>64</v>
      </c>
      <c r="N188" t="s">
        <v>476</v>
      </c>
      <c r="O188" s="4">
        <v>594.74</v>
      </c>
      <c r="P188" s="7" t="str">
        <f t="shared" si="17"/>
        <v>High</v>
      </c>
      <c r="Q188" s="4">
        <v>1020.69</v>
      </c>
      <c r="R188" s="4">
        <v>0.21099999999999999</v>
      </c>
      <c r="S188" s="4">
        <v>6</v>
      </c>
      <c r="T188" s="4">
        <f t="shared" si="14"/>
        <v>6319.9846800000005</v>
      </c>
      <c r="U188">
        <f t="shared" si="15"/>
        <v>3568.44</v>
      </c>
      <c r="V188" s="4">
        <f t="shared" si="18"/>
        <v>2751.5446800000004</v>
      </c>
      <c r="W188" s="4">
        <f t="shared" si="19"/>
        <v>0.43537204903477711</v>
      </c>
    </row>
    <row r="189" spans="1:23" x14ac:dyDescent="0.3">
      <c r="A189" t="s">
        <v>360</v>
      </c>
      <c r="B189" s="6">
        <v>44955</v>
      </c>
      <c r="C189" s="2">
        <v>44985</v>
      </c>
      <c r="D189" s="4">
        <f t="shared" si="20"/>
        <v>30</v>
      </c>
      <c r="E189" s="4" t="str">
        <f>TEXT(Data!B189,"MMM-YYYY")</f>
        <v>Jul-2023</v>
      </c>
      <c r="F189" s="4" t="str">
        <f t="shared" si="16"/>
        <v>Q1-2023</v>
      </c>
      <c r="G189" t="s">
        <v>45</v>
      </c>
      <c r="H189" t="s">
        <v>60</v>
      </c>
      <c r="I189" t="s">
        <v>61</v>
      </c>
      <c r="J189" t="s">
        <v>39</v>
      </c>
      <c r="K189" t="s">
        <v>20</v>
      </c>
      <c r="L189" t="s">
        <v>56</v>
      </c>
      <c r="M189" t="s">
        <v>81</v>
      </c>
      <c r="N189" t="s">
        <v>477</v>
      </c>
      <c r="O189" s="4">
        <v>1262.0999999999999</v>
      </c>
      <c r="P189" s="7" t="str">
        <f t="shared" si="17"/>
        <v>High</v>
      </c>
      <c r="Q189" s="4">
        <v>1395.53</v>
      </c>
      <c r="R189" s="4">
        <v>0.23300000000000001</v>
      </c>
      <c r="S189" s="4">
        <v>25</v>
      </c>
      <c r="T189" s="4">
        <f t="shared" si="14"/>
        <v>51608.553749999999</v>
      </c>
      <c r="U189">
        <f t="shared" si="15"/>
        <v>31552.499999999996</v>
      </c>
      <c r="V189" s="4">
        <f t="shared" si="18"/>
        <v>20056.053750000003</v>
      </c>
      <c r="W189" s="4">
        <f t="shared" si="19"/>
        <v>0.38861879073679723</v>
      </c>
    </row>
    <row r="190" spans="1:23" x14ac:dyDescent="0.3">
      <c r="A190" t="s">
        <v>478</v>
      </c>
      <c r="B190" s="6">
        <v>45126</v>
      </c>
      <c r="C190" s="2">
        <v>45138</v>
      </c>
      <c r="D190" s="4">
        <f t="shared" si="20"/>
        <v>12</v>
      </c>
      <c r="E190" s="4" t="str">
        <f>TEXT(Data!B190,"MMM-YYYY")</f>
        <v>May-2024</v>
      </c>
      <c r="F190" s="4" t="str">
        <f t="shared" si="16"/>
        <v>Q3-2023</v>
      </c>
      <c r="G190" t="s">
        <v>52</v>
      </c>
      <c r="H190" t="s">
        <v>73</v>
      </c>
      <c r="I190" t="s">
        <v>225</v>
      </c>
      <c r="J190" t="s">
        <v>19</v>
      </c>
      <c r="K190" t="s">
        <v>20</v>
      </c>
      <c r="L190" t="s">
        <v>21</v>
      </c>
      <c r="M190" t="s">
        <v>64</v>
      </c>
      <c r="N190" t="s">
        <v>479</v>
      </c>
      <c r="O190" s="4">
        <v>1334.64</v>
      </c>
      <c r="P190" s="7" t="str">
        <f t="shared" si="17"/>
        <v>High</v>
      </c>
      <c r="Q190" s="4">
        <v>2273.42</v>
      </c>
      <c r="R190" s="4">
        <v>0.11799999999999999</v>
      </c>
      <c r="S190" s="4">
        <v>14</v>
      </c>
      <c r="T190" s="4">
        <f t="shared" si="14"/>
        <v>9587.7280800000008</v>
      </c>
      <c r="U190">
        <f t="shared" si="15"/>
        <v>18684.960000000003</v>
      </c>
      <c r="V190" s="4">
        <f t="shared" si="18"/>
        <v>-9097.231920000002</v>
      </c>
      <c r="W190" s="4">
        <f t="shared" si="19"/>
        <v>-0.94884125249409468</v>
      </c>
    </row>
    <row r="191" spans="1:23" x14ac:dyDescent="0.3">
      <c r="A191" t="s">
        <v>480</v>
      </c>
      <c r="B191" s="6">
        <v>45431</v>
      </c>
      <c r="C191" s="2">
        <v>45451</v>
      </c>
      <c r="D191" s="4">
        <f t="shared" si="20"/>
        <v>20</v>
      </c>
      <c r="E191" s="4" t="str">
        <f>TEXT(Data!B191,"MMM-YYYY")</f>
        <v>Feb-2024</v>
      </c>
      <c r="F191" s="4" t="str">
        <f t="shared" si="16"/>
        <v>Q2-2024</v>
      </c>
      <c r="G191" t="s">
        <v>52</v>
      </c>
      <c r="H191" t="s">
        <v>73</v>
      </c>
      <c r="I191" t="s">
        <v>87</v>
      </c>
      <c r="J191" t="s">
        <v>62</v>
      </c>
      <c r="K191" t="s">
        <v>20</v>
      </c>
      <c r="L191" t="s">
        <v>63</v>
      </c>
      <c r="M191" t="s">
        <v>64</v>
      </c>
      <c r="N191" t="s">
        <v>481</v>
      </c>
      <c r="O191" s="4">
        <v>1075.9000000000001</v>
      </c>
      <c r="P191" s="7" t="str">
        <f t="shared" si="17"/>
        <v>High</v>
      </c>
      <c r="Q191" s="4">
        <v>1242.1500000000001</v>
      </c>
      <c r="R191" s="4">
        <v>1.2E-2</v>
      </c>
      <c r="S191" s="4">
        <v>7</v>
      </c>
      <c r="T191" s="4">
        <f t="shared" si="14"/>
        <v>2200.4637200000002</v>
      </c>
      <c r="U191">
        <f t="shared" si="15"/>
        <v>7531.3000000000011</v>
      </c>
      <c r="V191" s="4">
        <f t="shared" si="18"/>
        <v>-5330.8362800000014</v>
      </c>
      <c r="W191" s="4">
        <f t="shared" si="19"/>
        <v>-2.4225967606500691</v>
      </c>
    </row>
    <row r="192" spans="1:23" x14ac:dyDescent="0.3">
      <c r="A192" t="s">
        <v>482</v>
      </c>
      <c r="B192" s="6">
        <v>45325</v>
      </c>
      <c r="C192" s="2">
        <v>45341</v>
      </c>
      <c r="D192" s="4">
        <f t="shared" si="20"/>
        <v>16</v>
      </c>
      <c r="E192" s="4" t="str">
        <f>TEXT(Data!B192,"MMM-YYYY")</f>
        <v>Aug-2023</v>
      </c>
      <c r="F192" s="4" t="str">
        <f t="shared" si="16"/>
        <v>Q1-2024</v>
      </c>
      <c r="G192" t="s">
        <v>45</v>
      </c>
      <c r="H192" t="s">
        <v>116</v>
      </c>
      <c r="I192" t="s">
        <v>117</v>
      </c>
      <c r="J192" t="s">
        <v>62</v>
      </c>
      <c r="K192" t="s">
        <v>28</v>
      </c>
      <c r="L192" t="s">
        <v>92</v>
      </c>
      <c r="M192" t="s">
        <v>57</v>
      </c>
      <c r="N192" t="s">
        <v>483</v>
      </c>
      <c r="O192" s="4">
        <v>993.75</v>
      </c>
      <c r="P192" s="7" t="str">
        <f t="shared" si="17"/>
        <v>High</v>
      </c>
      <c r="Q192" s="4">
        <v>1310.29</v>
      </c>
      <c r="R192" s="4">
        <v>0.215</v>
      </c>
      <c r="S192" s="4">
        <v>19</v>
      </c>
      <c r="T192" s="4">
        <f t="shared" si="14"/>
        <v>18590.205150000002</v>
      </c>
      <c r="U192">
        <f t="shared" si="15"/>
        <v>18881.25</v>
      </c>
      <c r="V192" s="4">
        <f t="shared" si="18"/>
        <v>-291.04484999999841</v>
      </c>
      <c r="W192" s="4">
        <f t="shared" si="19"/>
        <v>-1.5655817009636301E-2</v>
      </c>
    </row>
    <row r="193" spans="1:23" x14ac:dyDescent="0.3">
      <c r="A193" t="s">
        <v>484</v>
      </c>
      <c r="B193" s="6">
        <v>45146</v>
      </c>
      <c r="C193" s="2">
        <v>45160</v>
      </c>
      <c r="D193" s="4">
        <f t="shared" si="20"/>
        <v>14</v>
      </c>
      <c r="E193" s="4" t="str">
        <f>TEXT(Data!B193,"MMM-YYYY")</f>
        <v>Aug-2024</v>
      </c>
      <c r="F193" s="4" t="str">
        <f t="shared" si="16"/>
        <v>Q3-2023</v>
      </c>
      <c r="G193" t="s">
        <v>78</v>
      </c>
      <c r="H193" t="s">
        <v>108</v>
      </c>
      <c r="I193" t="s">
        <v>109</v>
      </c>
      <c r="J193" t="s">
        <v>39</v>
      </c>
      <c r="K193" t="s">
        <v>98</v>
      </c>
      <c r="L193" t="s">
        <v>126</v>
      </c>
      <c r="M193" t="s">
        <v>64</v>
      </c>
      <c r="N193" t="s">
        <v>485</v>
      </c>
      <c r="O193" s="4">
        <v>446.69</v>
      </c>
      <c r="P193" s="7" t="str">
        <f t="shared" si="17"/>
        <v>High</v>
      </c>
      <c r="Q193" s="4">
        <v>967.25</v>
      </c>
      <c r="R193" s="4">
        <v>9.4E-2</v>
      </c>
      <c r="S193" s="4">
        <v>10</v>
      </c>
      <c r="T193" s="4">
        <f t="shared" si="14"/>
        <v>3143.4576000000002</v>
      </c>
      <c r="U193">
        <f t="shared" si="15"/>
        <v>4466.8999999999996</v>
      </c>
      <c r="V193" s="4">
        <f t="shared" si="18"/>
        <v>-1323.4423999999995</v>
      </c>
      <c r="W193" s="4">
        <f t="shared" si="19"/>
        <v>-0.42101487228585471</v>
      </c>
    </row>
    <row r="194" spans="1:23" x14ac:dyDescent="0.3">
      <c r="A194" t="s">
        <v>486</v>
      </c>
      <c r="B194" s="6">
        <v>45516</v>
      </c>
      <c r="C194" s="2">
        <v>45538</v>
      </c>
      <c r="D194" s="4">
        <f t="shared" si="20"/>
        <v>22</v>
      </c>
      <c r="E194" s="4" t="str">
        <f>TEXT(Data!B194,"MMM-YYYY")</f>
        <v>Oct-2023</v>
      </c>
      <c r="F194" s="4" t="str">
        <f t="shared" si="16"/>
        <v>Q3-2024</v>
      </c>
      <c r="G194" t="s">
        <v>52</v>
      </c>
      <c r="H194" t="s">
        <v>122</v>
      </c>
      <c r="I194" t="s">
        <v>326</v>
      </c>
      <c r="J194" t="s">
        <v>48</v>
      </c>
      <c r="K194" t="s">
        <v>55</v>
      </c>
      <c r="L194" t="s">
        <v>34</v>
      </c>
      <c r="M194" t="s">
        <v>57</v>
      </c>
      <c r="N194" t="s">
        <v>487</v>
      </c>
      <c r="O194" s="4">
        <v>797.8</v>
      </c>
      <c r="P194" s="7" t="str">
        <f t="shared" si="17"/>
        <v>High</v>
      </c>
      <c r="Q194" s="4">
        <v>886.22</v>
      </c>
      <c r="R194" s="4">
        <v>0.23599999999999999</v>
      </c>
      <c r="S194" s="4">
        <v>36</v>
      </c>
      <c r="T194" s="4">
        <f t="shared" ref="T194:T257" si="21">(Q220*S194)*(1-R194)</f>
        <v>13882.919040000001</v>
      </c>
      <c r="U194">
        <f t="shared" ref="U194:U257" si="22">(O194*S194)</f>
        <v>28720.799999999999</v>
      </c>
      <c r="V194" s="4">
        <f t="shared" si="18"/>
        <v>-14837.880959999999</v>
      </c>
      <c r="W194" s="4">
        <f t="shared" si="19"/>
        <v>-1.06878682482038</v>
      </c>
    </row>
    <row r="195" spans="1:23" x14ac:dyDescent="0.3">
      <c r="A195" t="s">
        <v>488</v>
      </c>
      <c r="B195" s="6">
        <v>45214</v>
      </c>
      <c r="C195" s="2">
        <v>45243</v>
      </c>
      <c r="D195" s="4">
        <f t="shared" si="20"/>
        <v>29</v>
      </c>
      <c r="E195" s="4" t="str">
        <f>TEXT(Data!B195,"MMM-YYYY")</f>
        <v>May-2023</v>
      </c>
      <c r="F195" s="4" t="str">
        <f t="shared" ref="F195:F258" si="23">"Q"&amp;ROUNDUP(MONTH(B195)/3,0)&amp;"-"&amp;YEAR(B195)</f>
        <v>Q4-2023</v>
      </c>
      <c r="G195" t="s">
        <v>45</v>
      </c>
      <c r="H195" t="s">
        <v>116</v>
      </c>
      <c r="I195" t="s">
        <v>117</v>
      </c>
      <c r="J195" t="s">
        <v>39</v>
      </c>
      <c r="K195" t="s">
        <v>55</v>
      </c>
      <c r="L195" t="s">
        <v>29</v>
      </c>
      <c r="M195" t="s">
        <v>30</v>
      </c>
      <c r="N195" t="s">
        <v>489</v>
      </c>
      <c r="O195" s="4">
        <v>986.44</v>
      </c>
      <c r="P195" s="7" t="str">
        <f t="shared" ref="P195:P258" si="24">IF(Q195&lt;50, "Low", IF(Q195&lt;200, "Medium", "High"))</f>
        <v>High</v>
      </c>
      <c r="Q195" s="4">
        <v>790.61</v>
      </c>
      <c r="R195" s="4">
        <v>7.1999999999999995E-2</v>
      </c>
      <c r="S195" s="4">
        <v>6</v>
      </c>
      <c r="T195" s="4">
        <f t="shared" si="21"/>
        <v>5219.7772800000002</v>
      </c>
      <c r="U195">
        <f t="shared" si="22"/>
        <v>5918.64</v>
      </c>
      <c r="V195" s="4">
        <f t="shared" ref="V195:V258" si="25">(T195-U195)</f>
        <v>-698.86272000000008</v>
      </c>
      <c r="W195" s="4">
        <f t="shared" ref="W195:W258" si="26">IF(T195=0, 0, V195/T195)</f>
        <v>-0.13388745965804888</v>
      </c>
    </row>
    <row r="196" spans="1:23" x14ac:dyDescent="0.3">
      <c r="A196" t="s">
        <v>490</v>
      </c>
      <c r="B196" s="6">
        <v>45050</v>
      </c>
      <c r="C196" s="2">
        <v>45072</v>
      </c>
      <c r="D196" s="4">
        <f t="shared" ref="D196:D259" si="27">DATEDIF(B196,C196, "MD")</f>
        <v>22</v>
      </c>
      <c r="E196" s="4" t="str">
        <f>TEXT(Data!B196,"MMM-YYYY")</f>
        <v>Sep-2024</v>
      </c>
      <c r="F196" s="4" t="str">
        <f t="shared" si="23"/>
        <v>Q2-2023</v>
      </c>
      <c r="G196" t="s">
        <v>52</v>
      </c>
      <c r="H196" t="s">
        <v>122</v>
      </c>
      <c r="I196" t="s">
        <v>167</v>
      </c>
      <c r="J196" t="s">
        <v>105</v>
      </c>
      <c r="K196" t="s">
        <v>28</v>
      </c>
      <c r="L196" t="s">
        <v>29</v>
      </c>
      <c r="M196" t="s">
        <v>35</v>
      </c>
      <c r="N196" t="s">
        <v>491</v>
      </c>
      <c r="O196" s="4">
        <v>249.71</v>
      </c>
      <c r="P196" s="7" t="str">
        <f t="shared" si="24"/>
        <v>High</v>
      </c>
      <c r="Q196" s="4">
        <v>361.33</v>
      </c>
      <c r="R196" s="4">
        <v>9.4E-2</v>
      </c>
      <c r="S196" s="4">
        <v>12</v>
      </c>
      <c r="T196" s="4">
        <f t="shared" si="21"/>
        <v>14139.90576</v>
      </c>
      <c r="U196">
        <f t="shared" si="22"/>
        <v>2996.52</v>
      </c>
      <c r="V196" s="4">
        <f t="shared" si="25"/>
        <v>11143.385759999999</v>
      </c>
      <c r="W196" s="4">
        <f t="shared" si="26"/>
        <v>0.7880806243789279</v>
      </c>
    </row>
    <row r="197" spans="1:23" x14ac:dyDescent="0.3">
      <c r="A197" t="s">
        <v>492</v>
      </c>
      <c r="B197" s="6">
        <v>45557</v>
      </c>
      <c r="C197" s="2">
        <v>45566</v>
      </c>
      <c r="D197" s="4">
        <f t="shared" si="27"/>
        <v>9</v>
      </c>
      <c r="E197" s="4" t="str">
        <f>TEXT(Data!B197,"MMM-YYYY")</f>
        <v>Oct-2024</v>
      </c>
      <c r="F197" s="4" t="str">
        <f t="shared" si="23"/>
        <v>Q3-2024</v>
      </c>
      <c r="G197" t="s">
        <v>52</v>
      </c>
      <c r="H197" t="s">
        <v>73</v>
      </c>
      <c r="I197" t="s">
        <v>74</v>
      </c>
      <c r="J197" t="s">
        <v>39</v>
      </c>
      <c r="K197" t="s">
        <v>28</v>
      </c>
      <c r="L197" t="s">
        <v>95</v>
      </c>
      <c r="M197" t="s">
        <v>64</v>
      </c>
      <c r="N197" t="s">
        <v>493</v>
      </c>
      <c r="O197" s="4">
        <v>1378.8</v>
      </c>
      <c r="P197" s="7" t="str">
        <f t="shared" si="24"/>
        <v>High</v>
      </c>
      <c r="Q197" s="4">
        <v>1952.04</v>
      </c>
      <c r="R197" s="4">
        <v>0.159</v>
      </c>
      <c r="S197" s="4">
        <v>19</v>
      </c>
      <c r="T197" s="4">
        <f t="shared" si="21"/>
        <v>3645.6088500000001</v>
      </c>
      <c r="U197">
        <f t="shared" si="22"/>
        <v>26197.200000000001</v>
      </c>
      <c r="V197" s="4">
        <f t="shared" si="25"/>
        <v>-22551.59115</v>
      </c>
      <c r="W197" s="4">
        <f t="shared" si="26"/>
        <v>-6.1859601723317077</v>
      </c>
    </row>
    <row r="198" spans="1:23" x14ac:dyDescent="0.3">
      <c r="A198" t="s">
        <v>494</v>
      </c>
      <c r="B198" s="6">
        <v>45588</v>
      </c>
      <c r="C198" s="2">
        <v>45610</v>
      </c>
      <c r="D198" s="4">
        <f t="shared" si="27"/>
        <v>22</v>
      </c>
      <c r="E198" s="4" t="str">
        <f>TEXT(Data!B198,"MMM-YYYY")</f>
        <v>Feb-2024</v>
      </c>
      <c r="F198" s="4" t="str">
        <f t="shared" si="23"/>
        <v>Q4-2024</v>
      </c>
      <c r="G198" t="s">
        <v>45</v>
      </c>
      <c r="H198" t="s">
        <v>46</v>
      </c>
      <c r="I198" t="s">
        <v>47</v>
      </c>
      <c r="J198" t="s">
        <v>39</v>
      </c>
      <c r="K198" t="s">
        <v>98</v>
      </c>
      <c r="L198" t="s">
        <v>56</v>
      </c>
      <c r="M198" t="s">
        <v>42</v>
      </c>
      <c r="N198" t="s">
        <v>495</v>
      </c>
      <c r="O198" s="4">
        <v>1406.4</v>
      </c>
      <c r="P198" s="7" t="str">
        <f t="shared" si="24"/>
        <v>High</v>
      </c>
      <c r="Q198" s="4">
        <v>1564.76</v>
      </c>
      <c r="R198" s="4">
        <v>0.185</v>
      </c>
      <c r="S198" s="4">
        <v>17</v>
      </c>
      <c r="T198" s="4">
        <f t="shared" si="21"/>
        <v>6879.2846</v>
      </c>
      <c r="U198">
        <f t="shared" si="22"/>
        <v>23908.800000000003</v>
      </c>
      <c r="V198" s="4">
        <f t="shared" si="25"/>
        <v>-17029.515400000004</v>
      </c>
      <c r="W198" s="4">
        <f t="shared" si="26"/>
        <v>-2.4754776681284567</v>
      </c>
    </row>
    <row r="199" spans="1:23" x14ac:dyDescent="0.3">
      <c r="A199" t="s">
        <v>496</v>
      </c>
      <c r="B199" s="6">
        <v>45333</v>
      </c>
      <c r="C199" s="2">
        <v>45354</v>
      </c>
      <c r="D199" s="4">
        <f t="shared" si="27"/>
        <v>21</v>
      </c>
      <c r="E199" s="4" t="str">
        <f>TEXT(Data!B199,"MMM-YYYY")</f>
        <v>Jan-2023</v>
      </c>
      <c r="F199" s="4" t="str">
        <f t="shared" si="23"/>
        <v>Q1-2024</v>
      </c>
      <c r="G199" t="s">
        <v>16</v>
      </c>
      <c r="H199" t="s">
        <v>17</v>
      </c>
      <c r="I199" t="s">
        <v>18</v>
      </c>
      <c r="J199" t="s">
        <v>105</v>
      </c>
      <c r="K199" t="s">
        <v>28</v>
      </c>
      <c r="L199" t="s">
        <v>56</v>
      </c>
      <c r="M199" t="s">
        <v>42</v>
      </c>
      <c r="N199" t="s">
        <v>497</v>
      </c>
      <c r="O199" s="4">
        <v>516.86</v>
      </c>
      <c r="P199" s="7" t="str">
        <f t="shared" si="24"/>
        <v>High</v>
      </c>
      <c r="Q199" s="4">
        <v>852.54</v>
      </c>
      <c r="R199" s="4">
        <v>5.0999999999999997E-2</v>
      </c>
      <c r="S199" s="4">
        <v>14</v>
      </c>
      <c r="T199" s="4">
        <f t="shared" si="21"/>
        <v>39076.783199999991</v>
      </c>
      <c r="U199">
        <f t="shared" si="22"/>
        <v>7236.04</v>
      </c>
      <c r="V199" s="4">
        <f t="shared" si="25"/>
        <v>31840.74319999999</v>
      </c>
      <c r="W199" s="4">
        <f t="shared" si="26"/>
        <v>0.81482508519278518</v>
      </c>
    </row>
    <row r="200" spans="1:23" x14ac:dyDescent="0.3">
      <c r="A200" t="s">
        <v>498</v>
      </c>
      <c r="B200" s="6">
        <v>44956</v>
      </c>
      <c r="C200" s="2">
        <v>44978</v>
      </c>
      <c r="D200" s="4">
        <f t="shared" si="27"/>
        <v>22</v>
      </c>
      <c r="E200" s="4" t="str">
        <f>TEXT(Data!B200,"MMM-YYYY")</f>
        <v>Apr-2023</v>
      </c>
      <c r="F200" s="4" t="str">
        <f t="shared" si="23"/>
        <v>Q1-2023</v>
      </c>
      <c r="G200" t="s">
        <v>78</v>
      </c>
      <c r="H200" t="s">
        <v>79</v>
      </c>
      <c r="I200" t="s">
        <v>159</v>
      </c>
      <c r="J200" t="s">
        <v>62</v>
      </c>
      <c r="K200" t="s">
        <v>40</v>
      </c>
      <c r="L200" t="s">
        <v>41</v>
      </c>
      <c r="M200" t="s">
        <v>35</v>
      </c>
      <c r="N200" t="s">
        <v>499</v>
      </c>
      <c r="O200" s="4">
        <v>1142.8800000000001</v>
      </c>
      <c r="P200" s="7" t="str">
        <f t="shared" si="24"/>
        <v>High</v>
      </c>
      <c r="Q200" s="4">
        <v>1465.29</v>
      </c>
      <c r="R200" s="4">
        <v>0.186</v>
      </c>
      <c r="S200" s="4">
        <v>7</v>
      </c>
      <c r="T200" s="4">
        <f t="shared" si="21"/>
        <v>6200.5636000000013</v>
      </c>
      <c r="U200">
        <f t="shared" si="22"/>
        <v>8000.1600000000008</v>
      </c>
      <c r="V200" s="4">
        <f t="shared" si="25"/>
        <v>-1799.5963999999994</v>
      </c>
      <c r="W200" s="4">
        <f t="shared" si="26"/>
        <v>-0.29023110092766391</v>
      </c>
    </row>
    <row r="201" spans="1:23" x14ac:dyDescent="0.3">
      <c r="A201" t="s">
        <v>500</v>
      </c>
      <c r="B201" s="6">
        <v>45030</v>
      </c>
      <c r="C201" s="2">
        <v>45059</v>
      </c>
      <c r="D201" s="4">
        <f t="shared" si="27"/>
        <v>29</v>
      </c>
      <c r="E201" s="4" t="str">
        <f>TEXT(Data!B201,"MMM-YYYY")</f>
        <v>Jan-2023</v>
      </c>
      <c r="F201" s="4" t="str">
        <f t="shared" si="23"/>
        <v>Q2-2023</v>
      </c>
      <c r="G201" t="s">
        <v>78</v>
      </c>
      <c r="H201" t="s">
        <v>79</v>
      </c>
      <c r="I201" t="s">
        <v>335</v>
      </c>
      <c r="J201" t="s">
        <v>48</v>
      </c>
      <c r="K201" t="s">
        <v>98</v>
      </c>
      <c r="L201" t="s">
        <v>29</v>
      </c>
      <c r="M201" t="s">
        <v>30</v>
      </c>
      <c r="N201" t="s">
        <v>501</v>
      </c>
      <c r="O201" s="4">
        <v>1320.33</v>
      </c>
      <c r="P201" s="7" t="str">
        <f t="shared" si="24"/>
        <v>High</v>
      </c>
      <c r="Q201" s="4">
        <v>2645.23</v>
      </c>
      <c r="R201" s="4">
        <v>0.155</v>
      </c>
      <c r="S201" s="4">
        <v>25</v>
      </c>
      <c r="T201" s="4">
        <f t="shared" si="21"/>
        <v>53428.293749999997</v>
      </c>
      <c r="U201">
        <f t="shared" si="22"/>
        <v>33008.25</v>
      </c>
      <c r="V201" s="4">
        <f t="shared" si="25"/>
        <v>20420.043749999997</v>
      </c>
      <c r="W201" s="4">
        <f t="shared" si="26"/>
        <v>0.38219531856189959</v>
      </c>
    </row>
    <row r="202" spans="1:23" x14ac:dyDescent="0.3">
      <c r="A202" t="s">
        <v>502</v>
      </c>
      <c r="B202" s="6">
        <v>44939</v>
      </c>
      <c r="C202" s="2">
        <v>44945</v>
      </c>
      <c r="D202" s="4">
        <f t="shared" si="27"/>
        <v>6</v>
      </c>
      <c r="E202" s="4" t="str">
        <f>TEXT(Data!B202,"MMM-YYYY")</f>
        <v>Jan-2024</v>
      </c>
      <c r="F202" s="4" t="str">
        <f t="shared" si="23"/>
        <v>Q1-2023</v>
      </c>
      <c r="G202" t="s">
        <v>52</v>
      </c>
      <c r="H202" t="s">
        <v>122</v>
      </c>
      <c r="I202" t="s">
        <v>123</v>
      </c>
      <c r="J202" t="s">
        <v>19</v>
      </c>
      <c r="K202" t="s">
        <v>98</v>
      </c>
      <c r="L202" t="s">
        <v>92</v>
      </c>
      <c r="M202" t="s">
        <v>42</v>
      </c>
      <c r="N202" t="s">
        <v>503</v>
      </c>
      <c r="O202" s="4">
        <v>833.57</v>
      </c>
      <c r="P202" s="7" t="str">
        <f t="shared" si="24"/>
        <v>High</v>
      </c>
      <c r="Q202" s="4">
        <v>881.57</v>
      </c>
      <c r="R202" s="4">
        <v>5.7000000000000002E-2</v>
      </c>
      <c r="S202" s="4">
        <v>18</v>
      </c>
      <c r="T202" s="4">
        <f t="shared" si="21"/>
        <v>45796.021740000004</v>
      </c>
      <c r="U202">
        <f t="shared" si="22"/>
        <v>15004.26</v>
      </c>
      <c r="V202" s="4">
        <f t="shared" si="25"/>
        <v>30791.761740000002</v>
      </c>
      <c r="W202" s="4">
        <f t="shared" si="26"/>
        <v>0.67236761120464961</v>
      </c>
    </row>
    <row r="203" spans="1:23" x14ac:dyDescent="0.3">
      <c r="A203" t="s">
        <v>504</v>
      </c>
      <c r="B203" s="6">
        <v>45303</v>
      </c>
      <c r="C203" s="2">
        <v>45320</v>
      </c>
      <c r="D203" s="4">
        <f t="shared" si="27"/>
        <v>17</v>
      </c>
      <c r="E203" s="4" t="str">
        <f>TEXT(Data!B203,"MMM-YYYY")</f>
        <v>Aug-2023</v>
      </c>
      <c r="F203" s="4" t="str">
        <f t="shared" si="23"/>
        <v>Q1-2024</v>
      </c>
      <c r="G203" t="s">
        <v>52</v>
      </c>
      <c r="H203" t="s">
        <v>122</v>
      </c>
      <c r="I203" t="s">
        <v>123</v>
      </c>
      <c r="J203" t="s">
        <v>27</v>
      </c>
      <c r="K203" t="s">
        <v>55</v>
      </c>
      <c r="L203" t="s">
        <v>75</v>
      </c>
      <c r="M203" t="s">
        <v>30</v>
      </c>
      <c r="N203" t="s">
        <v>505</v>
      </c>
      <c r="O203" s="4">
        <v>493.76</v>
      </c>
      <c r="P203" s="7" t="str">
        <f t="shared" si="24"/>
        <v>High</v>
      </c>
      <c r="Q203" s="4">
        <v>625.04</v>
      </c>
      <c r="R203" s="4">
        <v>0.25800000000000001</v>
      </c>
      <c r="S203" s="4">
        <v>10</v>
      </c>
      <c r="T203" s="4">
        <f t="shared" si="21"/>
        <v>11002.004999999999</v>
      </c>
      <c r="U203">
        <f t="shared" si="22"/>
        <v>4937.6000000000004</v>
      </c>
      <c r="V203" s="4">
        <f t="shared" si="25"/>
        <v>6064.4049999999988</v>
      </c>
      <c r="W203" s="4">
        <f t="shared" si="26"/>
        <v>0.55120907507313432</v>
      </c>
    </row>
    <row r="204" spans="1:23" x14ac:dyDescent="0.3">
      <c r="A204" t="s">
        <v>506</v>
      </c>
      <c r="B204" s="6">
        <v>45153</v>
      </c>
      <c r="C204" s="2">
        <v>45176</v>
      </c>
      <c r="D204" s="4">
        <f t="shared" si="27"/>
        <v>23</v>
      </c>
      <c r="E204" s="4" t="str">
        <f>TEXT(Data!B204,"MMM-YYYY")</f>
        <v>Jan-2023</v>
      </c>
      <c r="F204" s="4" t="str">
        <f t="shared" si="23"/>
        <v>Q3-2023</v>
      </c>
      <c r="G204" t="s">
        <v>52</v>
      </c>
      <c r="H204" t="s">
        <v>122</v>
      </c>
      <c r="I204" t="s">
        <v>387</v>
      </c>
      <c r="J204" t="s">
        <v>105</v>
      </c>
      <c r="K204" t="s">
        <v>28</v>
      </c>
      <c r="L204" t="s">
        <v>95</v>
      </c>
      <c r="M204" t="s">
        <v>42</v>
      </c>
      <c r="N204" t="s">
        <v>507</v>
      </c>
      <c r="O204" s="4">
        <v>590.33000000000004</v>
      </c>
      <c r="P204" s="7" t="str">
        <f t="shared" si="24"/>
        <v>High</v>
      </c>
      <c r="Q204" s="4">
        <v>973.04</v>
      </c>
      <c r="R204" s="4">
        <v>0</v>
      </c>
      <c r="S204" s="4">
        <v>26</v>
      </c>
      <c r="T204" s="4">
        <f t="shared" si="21"/>
        <v>37877.06</v>
      </c>
      <c r="U204">
        <f t="shared" si="22"/>
        <v>15348.580000000002</v>
      </c>
      <c r="V204" s="4">
        <f t="shared" si="25"/>
        <v>22528.479999999996</v>
      </c>
      <c r="W204" s="4">
        <f t="shared" si="26"/>
        <v>0.59477900343902079</v>
      </c>
    </row>
    <row r="205" spans="1:23" x14ac:dyDescent="0.3">
      <c r="A205" t="s">
        <v>508</v>
      </c>
      <c r="B205" s="6">
        <v>44946</v>
      </c>
      <c r="C205" s="2">
        <v>44960</v>
      </c>
      <c r="D205" s="4">
        <f t="shared" si="27"/>
        <v>14</v>
      </c>
      <c r="E205" s="4" t="str">
        <f>TEXT(Data!B205,"MMM-YYYY")</f>
        <v>Feb-2025</v>
      </c>
      <c r="F205" s="4" t="str">
        <f t="shared" si="23"/>
        <v>Q1-2023</v>
      </c>
      <c r="G205" t="s">
        <v>16</v>
      </c>
      <c r="H205" t="s">
        <v>17</v>
      </c>
      <c r="I205" t="s">
        <v>18</v>
      </c>
      <c r="J205" t="s">
        <v>19</v>
      </c>
      <c r="K205" t="s">
        <v>20</v>
      </c>
      <c r="L205" t="s">
        <v>110</v>
      </c>
      <c r="M205" t="s">
        <v>35</v>
      </c>
      <c r="N205" t="s">
        <v>509</v>
      </c>
      <c r="O205" s="4">
        <v>884.36</v>
      </c>
      <c r="P205" s="7" t="str">
        <f t="shared" si="24"/>
        <v>High</v>
      </c>
      <c r="Q205" s="4">
        <v>1545.34</v>
      </c>
      <c r="R205" s="4">
        <v>0.24299999999999999</v>
      </c>
      <c r="S205" s="4">
        <v>41</v>
      </c>
      <c r="T205" s="4">
        <f t="shared" si="21"/>
        <v>28497.86303</v>
      </c>
      <c r="U205">
        <f t="shared" si="22"/>
        <v>36258.76</v>
      </c>
      <c r="V205" s="4">
        <f t="shared" si="25"/>
        <v>-7760.8969700000016</v>
      </c>
      <c r="W205" s="4">
        <f t="shared" si="26"/>
        <v>-0.27233259426610423</v>
      </c>
    </row>
    <row r="206" spans="1:23" x14ac:dyDescent="0.3">
      <c r="A206" t="s">
        <v>510</v>
      </c>
      <c r="B206" s="6">
        <v>45692</v>
      </c>
      <c r="C206" s="2">
        <v>45713</v>
      </c>
      <c r="D206" s="4">
        <f t="shared" si="27"/>
        <v>21</v>
      </c>
      <c r="E206" s="4" t="str">
        <f>TEXT(Data!B206,"MMM-YYYY")</f>
        <v>Apr-2023</v>
      </c>
      <c r="F206" s="4" t="str">
        <f t="shared" si="23"/>
        <v>Q1-2025</v>
      </c>
      <c r="G206" t="s">
        <v>78</v>
      </c>
      <c r="H206" t="s">
        <v>108</v>
      </c>
      <c r="I206" t="s">
        <v>109</v>
      </c>
      <c r="J206" t="s">
        <v>19</v>
      </c>
      <c r="K206" t="s">
        <v>40</v>
      </c>
      <c r="L206" t="s">
        <v>145</v>
      </c>
      <c r="M206" t="s">
        <v>64</v>
      </c>
      <c r="N206" t="s">
        <v>511</v>
      </c>
      <c r="O206" s="4">
        <v>1016.32</v>
      </c>
      <c r="P206" s="7" t="str">
        <f t="shared" si="24"/>
        <v>High</v>
      </c>
      <c r="Q206" s="4">
        <v>2253.42</v>
      </c>
      <c r="R206" s="4">
        <v>5.5E-2</v>
      </c>
      <c r="S206" s="4">
        <v>12</v>
      </c>
      <c r="T206" s="4">
        <f t="shared" si="21"/>
        <v>554.97959999999989</v>
      </c>
      <c r="U206">
        <f t="shared" si="22"/>
        <v>12195.84</v>
      </c>
      <c r="V206" s="4">
        <f t="shared" si="25"/>
        <v>-11640.8604</v>
      </c>
      <c r="W206" s="4">
        <f t="shared" si="26"/>
        <v>-20.97529422703105</v>
      </c>
    </row>
    <row r="207" spans="1:23" x14ac:dyDescent="0.3">
      <c r="A207" t="s">
        <v>512</v>
      </c>
      <c r="B207" s="6">
        <v>45035</v>
      </c>
      <c r="C207" s="2">
        <v>45044</v>
      </c>
      <c r="D207" s="4">
        <f t="shared" si="27"/>
        <v>9</v>
      </c>
      <c r="E207" s="4" t="str">
        <f>TEXT(Data!B207,"MMM-YYYY")</f>
        <v>Jul-2023</v>
      </c>
      <c r="F207" s="4" t="str">
        <f t="shared" si="23"/>
        <v>Q2-2023</v>
      </c>
      <c r="G207" t="s">
        <v>78</v>
      </c>
      <c r="H207" t="s">
        <v>79</v>
      </c>
      <c r="I207" t="s">
        <v>80</v>
      </c>
      <c r="J207" t="s">
        <v>27</v>
      </c>
      <c r="K207" t="s">
        <v>28</v>
      </c>
      <c r="L207" t="s">
        <v>63</v>
      </c>
      <c r="M207" t="s">
        <v>64</v>
      </c>
      <c r="N207" t="s">
        <v>513</v>
      </c>
      <c r="O207" s="4">
        <v>1178.42</v>
      </c>
      <c r="P207" s="7" t="str">
        <f t="shared" si="24"/>
        <v>High</v>
      </c>
      <c r="Q207" s="4">
        <v>2446.56</v>
      </c>
      <c r="R207" s="4">
        <v>2.9000000000000001E-2</v>
      </c>
      <c r="S207" s="4">
        <v>11</v>
      </c>
      <c r="T207" s="4">
        <f t="shared" si="21"/>
        <v>9957.7894899999992</v>
      </c>
      <c r="U207">
        <f t="shared" si="22"/>
        <v>12962.62</v>
      </c>
      <c r="V207" s="4">
        <f t="shared" si="25"/>
        <v>-3004.8305100000016</v>
      </c>
      <c r="W207" s="4">
        <f t="shared" si="26"/>
        <v>-0.30175678176542792</v>
      </c>
    </row>
    <row r="208" spans="1:23" x14ac:dyDescent="0.3">
      <c r="A208" t="s">
        <v>514</v>
      </c>
      <c r="B208" s="6">
        <v>45109</v>
      </c>
      <c r="C208" s="2">
        <v>45139</v>
      </c>
      <c r="D208" s="4">
        <f t="shared" si="27"/>
        <v>30</v>
      </c>
      <c r="E208" s="4" t="str">
        <f>TEXT(Data!B208,"MMM-YYYY")</f>
        <v>Jan-2025</v>
      </c>
      <c r="F208" s="4" t="str">
        <f t="shared" si="23"/>
        <v>Q3-2023</v>
      </c>
      <c r="G208" t="s">
        <v>78</v>
      </c>
      <c r="H208" t="s">
        <v>108</v>
      </c>
      <c r="I208" t="s">
        <v>109</v>
      </c>
      <c r="J208" t="s">
        <v>62</v>
      </c>
      <c r="K208" t="s">
        <v>20</v>
      </c>
      <c r="L208" t="s">
        <v>56</v>
      </c>
      <c r="M208" t="s">
        <v>22</v>
      </c>
      <c r="N208" t="s">
        <v>515</v>
      </c>
      <c r="O208" s="4">
        <v>137.46</v>
      </c>
      <c r="P208" s="7" t="str">
        <f t="shared" si="24"/>
        <v>Medium</v>
      </c>
      <c r="Q208" s="4">
        <v>188.3</v>
      </c>
      <c r="R208" s="4">
        <v>3.7999999999999999E-2</v>
      </c>
      <c r="S208" s="4">
        <v>37</v>
      </c>
      <c r="T208" s="4">
        <f t="shared" si="21"/>
        <v>11596.169260000001</v>
      </c>
      <c r="U208">
        <f t="shared" si="22"/>
        <v>5086.0200000000004</v>
      </c>
      <c r="V208" s="4">
        <f t="shared" si="25"/>
        <v>6510.1492600000001</v>
      </c>
      <c r="W208" s="4">
        <f t="shared" si="26"/>
        <v>0.56140516010370822</v>
      </c>
    </row>
    <row r="209" spans="1:23" x14ac:dyDescent="0.3">
      <c r="A209" t="s">
        <v>516</v>
      </c>
      <c r="B209" s="6">
        <v>45678</v>
      </c>
      <c r="C209" s="2">
        <v>45702</v>
      </c>
      <c r="D209" s="4">
        <f t="shared" si="27"/>
        <v>24</v>
      </c>
      <c r="E209" s="4" t="str">
        <f>TEXT(Data!B209,"MMM-YYYY")</f>
        <v>Sep-2024</v>
      </c>
      <c r="F209" s="4" t="str">
        <f t="shared" si="23"/>
        <v>Q1-2025</v>
      </c>
      <c r="G209" t="s">
        <v>16</v>
      </c>
      <c r="H209" t="s">
        <v>17</v>
      </c>
      <c r="I209" t="s">
        <v>33</v>
      </c>
      <c r="J209" t="s">
        <v>62</v>
      </c>
      <c r="K209" t="s">
        <v>20</v>
      </c>
      <c r="L209" t="s">
        <v>29</v>
      </c>
      <c r="M209" t="s">
        <v>81</v>
      </c>
      <c r="N209" t="s">
        <v>517</v>
      </c>
      <c r="O209" s="4">
        <v>1030.44</v>
      </c>
      <c r="P209" s="7" t="str">
        <f t="shared" si="24"/>
        <v>High</v>
      </c>
      <c r="Q209" s="4">
        <v>2562.84</v>
      </c>
      <c r="R209" s="4">
        <v>0.14799999999999999</v>
      </c>
      <c r="S209" s="4">
        <v>13</v>
      </c>
      <c r="T209" s="4">
        <f t="shared" si="21"/>
        <v>4496.5237200000001</v>
      </c>
      <c r="U209">
        <f t="shared" si="22"/>
        <v>13395.720000000001</v>
      </c>
      <c r="V209" s="4">
        <f t="shared" si="25"/>
        <v>-8899.1962800000001</v>
      </c>
      <c r="W209" s="4">
        <f t="shared" si="26"/>
        <v>-1.9791280629561541</v>
      </c>
    </row>
    <row r="210" spans="1:23" x14ac:dyDescent="0.3">
      <c r="A210" t="s">
        <v>518</v>
      </c>
      <c r="B210" s="6">
        <v>45545</v>
      </c>
      <c r="C210" s="2">
        <v>45572</v>
      </c>
      <c r="D210" s="4">
        <f t="shared" si="27"/>
        <v>27</v>
      </c>
      <c r="E210" s="4" t="str">
        <f>TEXT(Data!B210,"MMM-YYYY")</f>
        <v>Jul-2025</v>
      </c>
      <c r="F210" s="4" t="str">
        <f t="shared" si="23"/>
        <v>Q3-2024</v>
      </c>
      <c r="G210" t="s">
        <v>16</v>
      </c>
      <c r="H210" t="s">
        <v>17</v>
      </c>
      <c r="I210" t="s">
        <v>18</v>
      </c>
      <c r="J210" t="s">
        <v>48</v>
      </c>
      <c r="K210" t="s">
        <v>20</v>
      </c>
      <c r="L210" t="s">
        <v>49</v>
      </c>
      <c r="M210" t="s">
        <v>30</v>
      </c>
      <c r="N210" t="s">
        <v>519</v>
      </c>
      <c r="O210" s="4">
        <v>1248.3900000000001</v>
      </c>
      <c r="P210" s="7" t="str">
        <f t="shared" si="24"/>
        <v>High</v>
      </c>
      <c r="Q210" s="4">
        <v>1805.11</v>
      </c>
      <c r="R210" s="4">
        <v>0.20300000000000001</v>
      </c>
      <c r="S210" s="4">
        <v>11</v>
      </c>
      <c r="T210" s="4">
        <f t="shared" si="21"/>
        <v>13931.376689999999</v>
      </c>
      <c r="U210">
        <f t="shared" si="22"/>
        <v>13732.29</v>
      </c>
      <c r="V210" s="4">
        <f t="shared" si="25"/>
        <v>199.08668999999827</v>
      </c>
      <c r="W210" s="4">
        <f t="shared" si="26"/>
        <v>1.4290525224467122E-2</v>
      </c>
    </row>
    <row r="211" spans="1:23" x14ac:dyDescent="0.3">
      <c r="A211" t="s">
        <v>520</v>
      </c>
      <c r="B211" s="6">
        <v>45859</v>
      </c>
      <c r="C211" s="2">
        <v>45876</v>
      </c>
      <c r="D211" s="4">
        <f t="shared" si="27"/>
        <v>17</v>
      </c>
      <c r="E211" s="4" t="str">
        <f>TEXT(Data!B211,"MMM-YYYY")</f>
        <v>Oct-2024</v>
      </c>
      <c r="F211" s="4" t="str">
        <f t="shared" si="23"/>
        <v>Q3-2025</v>
      </c>
      <c r="G211" t="s">
        <v>16</v>
      </c>
      <c r="H211" t="s">
        <v>25</v>
      </c>
      <c r="I211" t="s">
        <v>38</v>
      </c>
      <c r="J211" t="s">
        <v>105</v>
      </c>
      <c r="K211" t="s">
        <v>98</v>
      </c>
      <c r="L211" t="s">
        <v>110</v>
      </c>
      <c r="M211" t="s">
        <v>81</v>
      </c>
      <c r="N211" t="s">
        <v>521</v>
      </c>
      <c r="O211" s="4">
        <v>1204.95</v>
      </c>
      <c r="P211" s="7" t="str">
        <f t="shared" si="24"/>
        <v>High</v>
      </c>
      <c r="Q211" s="4">
        <v>2065.73</v>
      </c>
      <c r="R211" s="4">
        <v>0.13600000000000001</v>
      </c>
      <c r="S211" s="4">
        <v>10</v>
      </c>
      <c r="T211" s="4">
        <f t="shared" si="21"/>
        <v>12379.392</v>
      </c>
      <c r="U211">
        <f t="shared" si="22"/>
        <v>12049.5</v>
      </c>
      <c r="V211" s="4">
        <f t="shared" si="25"/>
        <v>329.89199999999983</v>
      </c>
      <c r="W211" s="4">
        <f t="shared" si="26"/>
        <v>2.6648481605558643E-2</v>
      </c>
    </row>
    <row r="212" spans="1:23" x14ac:dyDescent="0.3">
      <c r="A212" t="s">
        <v>522</v>
      </c>
      <c r="B212" s="6">
        <v>45567</v>
      </c>
      <c r="C212" s="2">
        <v>45588</v>
      </c>
      <c r="D212" s="4">
        <f t="shared" si="27"/>
        <v>21</v>
      </c>
      <c r="E212" s="4" t="str">
        <f>TEXT(Data!B212,"MMM-YYYY")</f>
        <v>Jul-2025</v>
      </c>
      <c r="F212" s="4" t="str">
        <f t="shared" si="23"/>
        <v>Q4-2024</v>
      </c>
      <c r="G212" t="s">
        <v>16</v>
      </c>
      <c r="H212" t="s">
        <v>148</v>
      </c>
      <c r="I212" t="s">
        <v>172</v>
      </c>
      <c r="J212" t="s">
        <v>19</v>
      </c>
      <c r="K212" t="s">
        <v>40</v>
      </c>
      <c r="L212" t="s">
        <v>75</v>
      </c>
      <c r="M212" t="s">
        <v>22</v>
      </c>
      <c r="N212" t="s">
        <v>523</v>
      </c>
      <c r="O212" s="4">
        <v>1095.6099999999999</v>
      </c>
      <c r="P212" s="7" t="str">
        <f t="shared" si="24"/>
        <v>High</v>
      </c>
      <c r="Q212" s="4">
        <v>2366.5100000000002</v>
      </c>
      <c r="R212" s="4">
        <v>0.152</v>
      </c>
      <c r="S212" s="4">
        <v>9</v>
      </c>
      <c r="T212" s="4">
        <f t="shared" si="21"/>
        <v>13476.28032</v>
      </c>
      <c r="U212">
        <f t="shared" si="22"/>
        <v>9860.49</v>
      </c>
      <c r="V212" s="4">
        <f t="shared" si="25"/>
        <v>3615.7903200000001</v>
      </c>
      <c r="W212" s="4">
        <f t="shared" si="26"/>
        <v>0.26830774027710341</v>
      </c>
    </row>
    <row r="213" spans="1:23" x14ac:dyDescent="0.3">
      <c r="A213" t="s">
        <v>524</v>
      </c>
      <c r="B213" s="6">
        <v>45852</v>
      </c>
      <c r="C213" s="2">
        <v>45873</v>
      </c>
      <c r="D213" s="4">
        <f t="shared" si="27"/>
        <v>21</v>
      </c>
      <c r="E213" s="4" t="str">
        <f>TEXT(Data!B213,"MMM-YYYY")</f>
        <v>Sep-2024</v>
      </c>
      <c r="F213" s="4" t="str">
        <f t="shared" si="23"/>
        <v>Q3-2025</v>
      </c>
      <c r="G213" t="s">
        <v>52</v>
      </c>
      <c r="H213" t="s">
        <v>53</v>
      </c>
      <c r="I213" t="s">
        <v>144</v>
      </c>
      <c r="J213" t="s">
        <v>48</v>
      </c>
      <c r="K213" t="s">
        <v>28</v>
      </c>
      <c r="L213" t="s">
        <v>92</v>
      </c>
      <c r="M213" t="s">
        <v>64</v>
      </c>
      <c r="N213" t="s">
        <v>525</v>
      </c>
      <c r="O213" s="4">
        <v>90.3</v>
      </c>
      <c r="P213" s="7" t="str">
        <f t="shared" si="24"/>
        <v>Medium</v>
      </c>
      <c r="Q213" s="4">
        <v>131.76</v>
      </c>
      <c r="R213" s="4">
        <v>0.10199999999999999</v>
      </c>
      <c r="S213" s="4">
        <v>15</v>
      </c>
      <c r="T213" s="4">
        <f t="shared" si="21"/>
        <v>37144.063799999996</v>
      </c>
      <c r="U213">
        <f t="shared" si="22"/>
        <v>1354.5</v>
      </c>
      <c r="V213" s="4">
        <f t="shared" si="25"/>
        <v>35789.563799999996</v>
      </c>
      <c r="W213" s="4">
        <f t="shared" si="26"/>
        <v>0.96353387697982573</v>
      </c>
    </row>
    <row r="214" spans="1:23" x14ac:dyDescent="0.3">
      <c r="A214" t="s">
        <v>526</v>
      </c>
      <c r="B214" s="6">
        <v>45544</v>
      </c>
      <c r="C214" s="2">
        <v>45566</v>
      </c>
      <c r="D214" s="4">
        <f t="shared" si="27"/>
        <v>22</v>
      </c>
      <c r="E214" s="4" t="str">
        <f>TEXT(Data!B214,"MMM-YYYY")</f>
        <v>Jan-2025</v>
      </c>
      <c r="F214" s="4" t="str">
        <f t="shared" si="23"/>
        <v>Q3-2024</v>
      </c>
      <c r="G214" t="s">
        <v>45</v>
      </c>
      <c r="H214" t="s">
        <v>116</v>
      </c>
      <c r="I214" t="s">
        <v>117</v>
      </c>
      <c r="J214" t="s">
        <v>48</v>
      </c>
      <c r="K214" t="s">
        <v>98</v>
      </c>
      <c r="L214" t="s">
        <v>49</v>
      </c>
      <c r="M214" t="s">
        <v>30</v>
      </c>
      <c r="N214" t="s">
        <v>527</v>
      </c>
      <c r="O214" s="4">
        <v>1166.18</v>
      </c>
      <c r="P214" s="7" t="str">
        <f t="shared" si="24"/>
        <v>High</v>
      </c>
      <c r="Q214" s="4">
        <v>1335.02</v>
      </c>
      <c r="R214" s="4">
        <v>0.128</v>
      </c>
      <c r="S214" s="4">
        <v>6</v>
      </c>
      <c r="T214" s="4">
        <f t="shared" si="21"/>
        <v>4571.46</v>
      </c>
      <c r="U214">
        <f t="shared" si="22"/>
        <v>6997.08</v>
      </c>
      <c r="V214" s="4">
        <f t="shared" si="25"/>
        <v>-2425.62</v>
      </c>
      <c r="W214" s="4">
        <f t="shared" si="26"/>
        <v>-0.53060072712000106</v>
      </c>
    </row>
    <row r="215" spans="1:23" x14ac:dyDescent="0.3">
      <c r="A215" t="s">
        <v>528</v>
      </c>
      <c r="B215" s="6">
        <v>45686</v>
      </c>
      <c r="C215" s="2">
        <v>45694</v>
      </c>
      <c r="D215" s="4">
        <f t="shared" si="27"/>
        <v>8</v>
      </c>
      <c r="E215" s="4" t="str">
        <f>TEXT(Data!B215,"MMM-YYYY")</f>
        <v>Nov-2023</v>
      </c>
      <c r="F215" s="4" t="str">
        <f t="shared" si="23"/>
        <v>Q1-2025</v>
      </c>
      <c r="G215" t="s">
        <v>16</v>
      </c>
      <c r="H215" t="s">
        <v>17</v>
      </c>
      <c r="I215" t="s">
        <v>18</v>
      </c>
      <c r="J215" t="s">
        <v>27</v>
      </c>
      <c r="K215" t="s">
        <v>20</v>
      </c>
      <c r="L215" t="s">
        <v>56</v>
      </c>
      <c r="M215" t="s">
        <v>42</v>
      </c>
      <c r="N215" t="s">
        <v>529</v>
      </c>
      <c r="O215" s="4">
        <v>1445.27</v>
      </c>
      <c r="P215" s="7" t="str">
        <f t="shared" si="24"/>
        <v>High</v>
      </c>
      <c r="Q215" s="4">
        <v>2691.45</v>
      </c>
      <c r="R215" s="4">
        <v>0</v>
      </c>
      <c r="S215" s="4">
        <v>9</v>
      </c>
      <c r="T215" s="4">
        <f t="shared" si="21"/>
        <v>2326.6799999999998</v>
      </c>
      <c r="U215">
        <f t="shared" si="22"/>
        <v>13007.43</v>
      </c>
      <c r="V215" s="4">
        <f t="shared" si="25"/>
        <v>-10680.75</v>
      </c>
      <c r="W215" s="4">
        <f t="shared" si="26"/>
        <v>-4.5905539223270928</v>
      </c>
    </row>
    <row r="216" spans="1:23" x14ac:dyDescent="0.3">
      <c r="A216" t="s">
        <v>530</v>
      </c>
      <c r="B216" s="6">
        <v>45240</v>
      </c>
      <c r="C216" s="2">
        <v>45258</v>
      </c>
      <c r="D216" s="4">
        <f t="shared" si="27"/>
        <v>18</v>
      </c>
      <c r="E216" s="4" t="str">
        <f>TEXT(Data!B216,"MMM-YYYY")</f>
        <v>Feb-2024</v>
      </c>
      <c r="F216" s="4" t="str">
        <f t="shared" si="23"/>
        <v>Q4-2023</v>
      </c>
      <c r="G216" t="s">
        <v>52</v>
      </c>
      <c r="H216" t="s">
        <v>73</v>
      </c>
      <c r="I216" t="s">
        <v>87</v>
      </c>
      <c r="J216" t="s">
        <v>27</v>
      </c>
      <c r="K216" t="s">
        <v>40</v>
      </c>
      <c r="L216" t="s">
        <v>49</v>
      </c>
      <c r="M216" t="s">
        <v>81</v>
      </c>
      <c r="N216" t="s">
        <v>531</v>
      </c>
      <c r="O216" s="4">
        <v>388.51</v>
      </c>
      <c r="P216" s="7" t="str">
        <f t="shared" si="24"/>
        <v>High</v>
      </c>
      <c r="Q216" s="4">
        <v>776.46</v>
      </c>
      <c r="R216" s="4">
        <v>0.157</v>
      </c>
      <c r="S216" s="4">
        <v>12</v>
      </c>
      <c r="T216" s="4">
        <f t="shared" si="21"/>
        <v>6137.98416</v>
      </c>
      <c r="U216">
        <f t="shared" si="22"/>
        <v>4662.12</v>
      </c>
      <c r="V216" s="4">
        <f t="shared" si="25"/>
        <v>1475.8641600000001</v>
      </c>
      <c r="W216" s="4">
        <f t="shared" si="26"/>
        <v>0.24044769773403912</v>
      </c>
    </row>
    <row r="217" spans="1:23" x14ac:dyDescent="0.3">
      <c r="A217" t="s">
        <v>532</v>
      </c>
      <c r="B217" s="6">
        <v>45351</v>
      </c>
      <c r="C217" s="2">
        <v>45381</v>
      </c>
      <c r="D217" s="4">
        <f t="shared" si="27"/>
        <v>1</v>
      </c>
      <c r="E217" s="4" t="str">
        <f>TEXT(Data!B217,"MMM-YYYY")</f>
        <v>Dec-2023</v>
      </c>
      <c r="F217" s="4" t="str">
        <f t="shared" si="23"/>
        <v>Q1-2024</v>
      </c>
      <c r="G217" t="s">
        <v>45</v>
      </c>
      <c r="H217" t="s">
        <v>46</v>
      </c>
      <c r="I217" t="s">
        <v>231</v>
      </c>
      <c r="J217" t="s">
        <v>62</v>
      </c>
      <c r="K217" t="s">
        <v>98</v>
      </c>
      <c r="L217" t="s">
        <v>34</v>
      </c>
      <c r="M217" t="s">
        <v>35</v>
      </c>
      <c r="N217" t="s">
        <v>533</v>
      </c>
      <c r="O217" s="4">
        <v>231.11</v>
      </c>
      <c r="P217" s="7" t="str">
        <f t="shared" si="24"/>
        <v>High</v>
      </c>
      <c r="Q217" s="4">
        <v>318.17</v>
      </c>
      <c r="R217" s="4">
        <v>0.20100000000000001</v>
      </c>
      <c r="S217" s="4">
        <v>60</v>
      </c>
      <c r="T217" s="4">
        <f t="shared" si="21"/>
        <v>64128.8586</v>
      </c>
      <c r="U217">
        <f t="shared" si="22"/>
        <v>13866.6</v>
      </c>
      <c r="V217" s="4">
        <f t="shared" si="25"/>
        <v>50262.258600000001</v>
      </c>
      <c r="W217" s="4">
        <f t="shared" si="26"/>
        <v>0.7837697363913475</v>
      </c>
    </row>
    <row r="218" spans="1:23" x14ac:dyDescent="0.3">
      <c r="A218" t="s">
        <v>534</v>
      </c>
      <c r="B218" s="6">
        <v>45280</v>
      </c>
      <c r="C218" s="2">
        <v>45305</v>
      </c>
      <c r="D218" s="4">
        <f t="shared" si="27"/>
        <v>25</v>
      </c>
      <c r="E218" s="4" t="str">
        <f>TEXT(Data!B218,"MMM-YYYY")</f>
        <v>Jan-2023</v>
      </c>
      <c r="F218" s="4" t="str">
        <f t="shared" si="23"/>
        <v>Q4-2023</v>
      </c>
      <c r="G218" t="s">
        <v>45</v>
      </c>
      <c r="H218" t="s">
        <v>60</v>
      </c>
      <c r="I218" t="s">
        <v>220</v>
      </c>
      <c r="J218" t="s">
        <v>39</v>
      </c>
      <c r="K218" t="s">
        <v>40</v>
      </c>
      <c r="L218" t="s">
        <v>49</v>
      </c>
      <c r="M218" t="s">
        <v>64</v>
      </c>
      <c r="N218" t="s">
        <v>535</v>
      </c>
      <c r="O218" s="4">
        <v>1085.6099999999999</v>
      </c>
      <c r="P218" s="7" t="str">
        <f t="shared" si="24"/>
        <v>High</v>
      </c>
      <c r="Q218" s="4">
        <v>1246.4100000000001</v>
      </c>
      <c r="R218" s="4">
        <v>0.113</v>
      </c>
      <c r="S218" s="4">
        <v>7</v>
      </c>
      <c r="T218" s="4">
        <f t="shared" si="21"/>
        <v>11133.23372</v>
      </c>
      <c r="U218">
        <f t="shared" si="22"/>
        <v>7599.2699999999995</v>
      </c>
      <c r="V218" s="4">
        <f t="shared" si="25"/>
        <v>3533.9637200000006</v>
      </c>
      <c r="W218" s="4">
        <f t="shared" si="26"/>
        <v>0.31742473111397151</v>
      </c>
    </row>
    <row r="219" spans="1:23" x14ac:dyDescent="0.3">
      <c r="A219" t="s">
        <v>536</v>
      </c>
      <c r="B219" s="6">
        <v>44948</v>
      </c>
      <c r="C219" s="2">
        <v>44947</v>
      </c>
      <c r="D219" s="4">
        <f>DATEDIF(C219,B219, "MD")</f>
        <v>1</v>
      </c>
      <c r="E219" s="4" t="str">
        <f>TEXT(Data!B219,"MMM-YYYY")</f>
        <v>Oct-2024</v>
      </c>
      <c r="F219" s="4" t="str">
        <f t="shared" si="23"/>
        <v>Q1-2023</v>
      </c>
      <c r="G219" t="s">
        <v>78</v>
      </c>
      <c r="H219" t="s">
        <v>79</v>
      </c>
      <c r="I219" t="s">
        <v>159</v>
      </c>
      <c r="J219" t="s">
        <v>19</v>
      </c>
      <c r="K219" t="s">
        <v>98</v>
      </c>
      <c r="L219" t="s">
        <v>84</v>
      </c>
      <c r="M219" t="s">
        <v>64</v>
      </c>
      <c r="N219" t="s">
        <v>537</v>
      </c>
      <c r="O219" s="4">
        <v>150.86000000000001</v>
      </c>
      <c r="P219" s="7" t="str">
        <f t="shared" si="24"/>
        <v>High</v>
      </c>
      <c r="Q219" s="4">
        <v>346.96</v>
      </c>
      <c r="R219" s="4">
        <v>0.19600000000000001</v>
      </c>
      <c r="S219" s="4">
        <v>8</v>
      </c>
      <c r="T219" s="4">
        <f t="shared" si="21"/>
        <v>789.46368000000007</v>
      </c>
      <c r="U219">
        <f t="shared" si="22"/>
        <v>1206.8800000000001</v>
      </c>
      <c r="V219" s="4">
        <f t="shared" si="25"/>
        <v>-417.41632000000004</v>
      </c>
      <c r="W219" s="4">
        <f t="shared" si="26"/>
        <v>-0.52873403878440617</v>
      </c>
    </row>
    <row r="220" spans="1:23" x14ac:dyDescent="0.3">
      <c r="A220" t="s">
        <v>538</v>
      </c>
      <c r="B220" s="6">
        <v>45576</v>
      </c>
      <c r="C220" s="2">
        <v>45605</v>
      </c>
      <c r="D220" s="4">
        <f t="shared" si="27"/>
        <v>29</v>
      </c>
      <c r="E220" s="4" t="str">
        <f>TEXT(Data!B220,"MMM-YYYY")</f>
        <v>Sep-2024</v>
      </c>
      <c r="F220" s="4" t="str">
        <f t="shared" si="23"/>
        <v>Q4-2024</v>
      </c>
      <c r="G220" t="s">
        <v>45</v>
      </c>
      <c r="H220" t="s">
        <v>116</v>
      </c>
      <c r="I220" t="s">
        <v>162</v>
      </c>
      <c r="J220" t="s">
        <v>39</v>
      </c>
      <c r="K220" t="s">
        <v>28</v>
      </c>
      <c r="L220" t="s">
        <v>84</v>
      </c>
      <c r="M220" t="s">
        <v>30</v>
      </c>
      <c r="N220" t="s">
        <v>539</v>
      </c>
      <c r="O220" s="4">
        <v>391.64</v>
      </c>
      <c r="P220" s="7" t="str">
        <f t="shared" si="24"/>
        <v>High</v>
      </c>
      <c r="Q220" s="4">
        <v>504.76</v>
      </c>
      <c r="R220" s="4">
        <v>4.0000000000000001E-3</v>
      </c>
      <c r="S220" s="4">
        <v>13</v>
      </c>
      <c r="T220" s="4">
        <f t="shared" si="21"/>
        <v>12014.83764</v>
      </c>
      <c r="U220">
        <f t="shared" si="22"/>
        <v>5091.32</v>
      </c>
      <c r="V220" s="4">
        <f t="shared" si="25"/>
        <v>6923.51764</v>
      </c>
      <c r="W220" s="4">
        <f t="shared" si="26"/>
        <v>0.57624729084562143</v>
      </c>
    </row>
    <row r="221" spans="1:23" x14ac:dyDescent="0.3">
      <c r="A221" t="s">
        <v>540</v>
      </c>
      <c r="B221" s="6">
        <v>45554</v>
      </c>
      <c r="C221" s="2">
        <v>45579</v>
      </c>
      <c r="D221" s="4">
        <f t="shared" si="27"/>
        <v>25</v>
      </c>
      <c r="E221" s="4" t="str">
        <f>TEXT(Data!B221,"MMM-YYYY")</f>
        <v>Aug-2025</v>
      </c>
      <c r="F221" s="4" t="str">
        <f t="shared" si="23"/>
        <v>Q3-2024</v>
      </c>
      <c r="G221" t="s">
        <v>52</v>
      </c>
      <c r="H221" t="s">
        <v>73</v>
      </c>
      <c r="I221" t="s">
        <v>225</v>
      </c>
      <c r="J221" t="s">
        <v>62</v>
      </c>
      <c r="K221" t="s">
        <v>20</v>
      </c>
      <c r="L221" t="s">
        <v>95</v>
      </c>
      <c r="M221" t="s">
        <v>30</v>
      </c>
      <c r="N221" t="s">
        <v>541</v>
      </c>
      <c r="O221" s="4">
        <v>386.96</v>
      </c>
      <c r="P221" s="7" t="str">
        <f t="shared" si="24"/>
        <v>High</v>
      </c>
      <c r="Q221" s="4">
        <v>937.46</v>
      </c>
      <c r="R221" s="4">
        <v>0.26600000000000001</v>
      </c>
      <c r="S221" s="4">
        <v>41</v>
      </c>
      <c r="T221" s="4">
        <f t="shared" si="21"/>
        <v>4570.6767199999995</v>
      </c>
      <c r="U221">
        <f t="shared" si="22"/>
        <v>15865.359999999999</v>
      </c>
      <c r="V221" s="4">
        <f t="shared" si="25"/>
        <v>-11294.683279999999</v>
      </c>
      <c r="W221" s="4">
        <f t="shared" si="26"/>
        <v>-2.4711183861631763</v>
      </c>
    </row>
    <row r="222" spans="1:23" x14ac:dyDescent="0.3">
      <c r="A222" t="s">
        <v>542</v>
      </c>
      <c r="B222" s="6">
        <v>45894</v>
      </c>
      <c r="C222" s="2">
        <v>45924</v>
      </c>
      <c r="D222" s="4">
        <f t="shared" si="27"/>
        <v>30</v>
      </c>
      <c r="E222" s="4" t="str">
        <f>TEXT(Data!B222,"MMM-YYYY")</f>
        <v>Sep-2023</v>
      </c>
      <c r="F222" s="4" t="str">
        <f t="shared" si="23"/>
        <v>Q3-2025</v>
      </c>
      <c r="G222" t="s">
        <v>16</v>
      </c>
      <c r="H222" t="s">
        <v>17</v>
      </c>
      <c r="I222" t="s">
        <v>33</v>
      </c>
      <c r="J222" t="s">
        <v>48</v>
      </c>
      <c r="K222" t="s">
        <v>98</v>
      </c>
      <c r="L222" t="s">
        <v>56</v>
      </c>
      <c r="M222" t="s">
        <v>22</v>
      </c>
      <c r="N222" t="s">
        <v>543</v>
      </c>
      <c r="O222" s="4">
        <v>589.14</v>
      </c>
      <c r="P222" s="7" t="str">
        <f t="shared" si="24"/>
        <v>High</v>
      </c>
      <c r="Q222" s="4">
        <v>1300.58</v>
      </c>
      <c r="R222" s="4">
        <v>5.5E-2</v>
      </c>
      <c r="S222" s="4">
        <v>11</v>
      </c>
      <c r="T222" s="4">
        <f t="shared" si="21"/>
        <v>22977.108</v>
      </c>
      <c r="U222">
        <f t="shared" si="22"/>
        <v>6480.54</v>
      </c>
      <c r="V222" s="4">
        <f t="shared" si="25"/>
        <v>16496.567999999999</v>
      </c>
      <c r="W222" s="4">
        <f t="shared" si="26"/>
        <v>0.71795667235406646</v>
      </c>
    </row>
    <row r="223" spans="1:23" x14ac:dyDescent="0.3">
      <c r="A223" t="s">
        <v>544</v>
      </c>
      <c r="B223" s="6">
        <v>45194</v>
      </c>
      <c r="C223" s="2">
        <v>45201</v>
      </c>
      <c r="D223" s="4">
        <f t="shared" si="27"/>
        <v>7</v>
      </c>
      <c r="E223" s="4" t="str">
        <f>TEXT(Data!B223,"MMM-YYYY")</f>
        <v>Aug-2023</v>
      </c>
      <c r="F223" s="4" t="str">
        <f t="shared" si="23"/>
        <v>Q3-2023</v>
      </c>
      <c r="G223" t="s">
        <v>52</v>
      </c>
      <c r="H223" t="s">
        <v>122</v>
      </c>
      <c r="I223" t="s">
        <v>387</v>
      </c>
      <c r="J223" t="s">
        <v>27</v>
      </c>
      <c r="K223" t="s">
        <v>40</v>
      </c>
      <c r="L223" t="s">
        <v>34</v>
      </c>
      <c r="M223" t="s">
        <v>81</v>
      </c>
      <c r="N223" t="s">
        <v>545</v>
      </c>
      <c r="O223" s="4">
        <v>145.58000000000001</v>
      </c>
      <c r="P223" s="7" t="str">
        <f t="shared" si="24"/>
        <v>High</v>
      </c>
      <c r="Q223" s="4">
        <v>228.15</v>
      </c>
      <c r="R223" s="4">
        <v>0.20399999999999999</v>
      </c>
      <c r="S223" s="4">
        <v>5</v>
      </c>
      <c r="T223" s="4">
        <f t="shared" si="21"/>
        <v>158.16520000000003</v>
      </c>
      <c r="U223">
        <f t="shared" si="22"/>
        <v>727.90000000000009</v>
      </c>
      <c r="V223" s="4">
        <f t="shared" si="25"/>
        <v>-569.73480000000006</v>
      </c>
      <c r="W223" s="4">
        <f t="shared" si="26"/>
        <v>-3.602150156924532</v>
      </c>
    </row>
    <row r="224" spans="1:23" x14ac:dyDescent="0.3">
      <c r="A224" t="s">
        <v>546</v>
      </c>
      <c r="B224" s="6">
        <v>45164</v>
      </c>
      <c r="C224" s="2">
        <v>45179</v>
      </c>
      <c r="D224" s="4">
        <f t="shared" si="27"/>
        <v>15</v>
      </c>
      <c r="E224" s="4" t="str">
        <f>TEXT(Data!B224,"MMM-YYYY")</f>
        <v>Jul-2025</v>
      </c>
      <c r="F224" s="4" t="str">
        <f t="shared" si="23"/>
        <v>Q3-2023</v>
      </c>
      <c r="G224" t="s">
        <v>16</v>
      </c>
      <c r="H224" t="s">
        <v>148</v>
      </c>
      <c r="I224" t="s">
        <v>258</v>
      </c>
      <c r="J224" t="s">
        <v>39</v>
      </c>
      <c r="K224" t="s">
        <v>98</v>
      </c>
      <c r="L224" t="s">
        <v>126</v>
      </c>
      <c r="M224" t="s">
        <v>22</v>
      </c>
      <c r="N224" t="s">
        <v>547</v>
      </c>
      <c r="O224" s="4">
        <v>241.14</v>
      </c>
      <c r="P224" s="7" t="str">
        <f t="shared" si="24"/>
        <v>High</v>
      </c>
      <c r="Q224" s="4">
        <v>496.52</v>
      </c>
      <c r="R224" s="4">
        <v>9.2999999999999999E-2</v>
      </c>
      <c r="S224" s="4">
        <v>10</v>
      </c>
      <c r="T224" s="4">
        <f t="shared" si="21"/>
        <v>9151.630000000001</v>
      </c>
      <c r="U224">
        <f t="shared" si="22"/>
        <v>2411.3999999999996</v>
      </c>
      <c r="V224" s="4">
        <f t="shared" si="25"/>
        <v>6740.2300000000014</v>
      </c>
      <c r="W224" s="4">
        <f t="shared" si="26"/>
        <v>0.73650595576962796</v>
      </c>
    </row>
    <row r="225" spans="1:23" x14ac:dyDescent="0.3">
      <c r="A225" t="s">
        <v>548</v>
      </c>
      <c r="B225" s="6">
        <v>45854</v>
      </c>
      <c r="C225" s="2">
        <v>45855</v>
      </c>
      <c r="D225" s="4">
        <f t="shared" si="27"/>
        <v>1</v>
      </c>
      <c r="E225" s="4" t="str">
        <f>TEXT(Data!B225,"MMM-YYYY")</f>
        <v>Apr-2023</v>
      </c>
      <c r="F225" s="4" t="str">
        <f t="shared" si="23"/>
        <v>Q3-2025</v>
      </c>
      <c r="G225" t="s">
        <v>16</v>
      </c>
      <c r="H225" t="s">
        <v>148</v>
      </c>
      <c r="I225" t="s">
        <v>172</v>
      </c>
      <c r="J225" t="s">
        <v>62</v>
      </c>
      <c r="K225" t="s">
        <v>55</v>
      </c>
      <c r="L225" t="s">
        <v>56</v>
      </c>
      <c r="M225" t="s">
        <v>35</v>
      </c>
      <c r="N225" t="s">
        <v>549</v>
      </c>
      <c r="O225" s="4">
        <v>1198.9000000000001</v>
      </c>
      <c r="P225" s="7" t="str">
        <f t="shared" si="24"/>
        <v>High</v>
      </c>
      <c r="Q225" s="4">
        <v>2941.2</v>
      </c>
      <c r="R225" s="4">
        <v>5.0999999999999997E-2</v>
      </c>
      <c r="S225" s="4">
        <v>24</v>
      </c>
      <c r="T225" s="4">
        <f t="shared" si="21"/>
        <v>37663.304640000002</v>
      </c>
      <c r="U225">
        <f t="shared" si="22"/>
        <v>28773.600000000002</v>
      </c>
      <c r="V225" s="4">
        <f t="shared" si="25"/>
        <v>8889.7046399999999</v>
      </c>
      <c r="W225" s="4">
        <f t="shared" si="26"/>
        <v>0.23603092519286697</v>
      </c>
    </row>
    <row r="226" spans="1:23" x14ac:dyDescent="0.3">
      <c r="A226" t="s">
        <v>550</v>
      </c>
      <c r="B226" s="6">
        <v>45035</v>
      </c>
      <c r="C226" s="2">
        <v>45053</v>
      </c>
      <c r="D226" s="4">
        <f t="shared" si="27"/>
        <v>18</v>
      </c>
      <c r="E226" s="4" t="str">
        <f>TEXT(Data!B226,"MMM-YYYY")</f>
        <v>Dec-2023</v>
      </c>
      <c r="F226" s="4" t="str">
        <f t="shared" si="23"/>
        <v>Q2-2023</v>
      </c>
      <c r="G226" t="s">
        <v>78</v>
      </c>
      <c r="H226" t="s">
        <v>108</v>
      </c>
      <c r="I226" t="s">
        <v>109</v>
      </c>
      <c r="J226" t="s">
        <v>105</v>
      </c>
      <c r="K226" t="s">
        <v>20</v>
      </c>
      <c r="L226" t="s">
        <v>126</v>
      </c>
      <c r="M226" t="s">
        <v>57</v>
      </c>
      <c r="N226" t="s">
        <v>551</v>
      </c>
      <c r="O226" s="4">
        <v>1089.1500000000001</v>
      </c>
      <c r="P226" s="7" t="str">
        <f t="shared" si="24"/>
        <v>High</v>
      </c>
      <c r="Q226" s="4">
        <v>1088.2</v>
      </c>
      <c r="R226" s="4">
        <v>5.0999999999999997E-2</v>
      </c>
      <c r="S226" s="4">
        <v>15</v>
      </c>
      <c r="T226" s="4">
        <f t="shared" si="21"/>
        <v>14458.4895</v>
      </c>
      <c r="U226">
        <f t="shared" si="22"/>
        <v>16337.250000000002</v>
      </c>
      <c r="V226" s="4">
        <f t="shared" si="25"/>
        <v>-1878.7605000000021</v>
      </c>
      <c r="W226" s="4">
        <f t="shared" si="26"/>
        <v>-0.12994168581718044</v>
      </c>
    </row>
    <row r="227" spans="1:23" x14ac:dyDescent="0.3">
      <c r="A227" t="s">
        <v>552</v>
      </c>
      <c r="B227" s="6">
        <v>45279</v>
      </c>
      <c r="C227" s="2">
        <v>45280</v>
      </c>
      <c r="D227" s="4">
        <f t="shared" si="27"/>
        <v>1</v>
      </c>
      <c r="E227" s="4" t="str">
        <f>TEXT(Data!B227,"MMM-YYYY")</f>
        <v>Jul-2023</v>
      </c>
      <c r="F227" s="4" t="str">
        <f t="shared" si="23"/>
        <v>Q4-2023</v>
      </c>
      <c r="G227" t="s">
        <v>52</v>
      </c>
      <c r="H227" t="s">
        <v>73</v>
      </c>
      <c r="I227" t="s">
        <v>225</v>
      </c>
      <c r="J227" t="s">
        <v>48</v>
      </c>
      <c r="K227" t="s">
        <v>55</v>
      </c>
      <c r="L227" t="s">
        <v>29</v>
      </c>
      <c r="M227" t="s">
        <v>42</v>
      </c>
      <c r="N227" t="s">
        <v>553</v>
      </c>
      <c r="O227" s="4">
        <v>1080.43</v>
      </c>
      <c r="P227" s="7" t="str">
        <f t="shared" si="24"/>
        <v>High</v>
      </c>
      <c r="Q227" s="4">
        <v>2529.15</v>
      </c>
      <c r="R227" s="4">
        <v>0.14699999999999999</v>
      </c>
      <c r="S227" s="4">
        <v>10</v>
      </c>
      <c r="T227" s="4">
        <f t="shared" si="21"/>
        <v>7783.1984999999995</v>
      </c>
      <c r="U227">
        <f t="shared" si="22"/>
        <v>10804.300000000001</v>
      </c>
      <c r="V227" s="4">
        <f t="shared" si="25"/>
        <v>-3021.1015000000016</v>
      </c>
      <c r="W227" s="4">
        <f t="shared" si="26"/>
        <v>-0.38815680982567796</v>
      </c>
    </row>
    <row r="228" spans="1:23" x14ac:dyDescent="0.3">
      <c r="A228" t="s">
        <v>554</v>
      </c>
      <c r="B228" s="6">
        <v>45137</v>
      </c>
      <c r="C228" s="2">
        <v>45145</v>
      </c>
      <c r="D228" s="4">
        <f t="shared" si="27"/>
        <v>8</v>
      </c>
      <c r="E228" s="4" t="str">
        <f>TEXT(Data!B228,"MMM-YYYY")</f>
        <v>Oct-2023</v>
      </c>
      <c r="F228" s="4" t="str">
        <f t="shared" si="23"/>
        <v>Q3-2023</v>
      </c>
      <c r="G228" t="s">
        <v>45</v>
      </c>
      <c r="H228" t="s">
        <v>46</v>
      </c>
      <c r="I228" t="s">
        <v>231</v>
      </c>
      <c r="J228" t="s">
        <v>27</v>
      </c>
      <c r="K228" t="s">
        <v>40</v>
      </c>
      <c r="L228" t="s">
        <v>75</v>
      </c>
      <c r="M228" t="s">
        <v>35</v>
      </c>
      <c r="N228" t="s">
        <v>555</v>
      </c>
      <c r="O228" s="4">
        <v>1352.44</v>
      </c>
      <c r="P228" s="7" t="str">
        <f t="shared" si="24"/>
        <v>High</v>
      </c>
      <c r="Q228" s="4">
        <v>2698.01</v>
      </c>
      <c r="R228" s="4">
        <v>0.13100000000000001</v>
      </c>
      <c r="S228" s="4">
        <v>13</v>
      </c>
      <c r="T228" s="4">
        <f t="shared" si="21"/>
        <v>9209.201430000001</v>
      </c>
      <c r="U228">
        <f t="shared" si="22"/>
        <v>17581.72</v>
      </c>
      <c r="V228" s="4">
        <f t="shared" si="25"/>
        <v>-8372.5185700000002</v>
      </c>
      <c r="W228" s="4">
        <f t="shared" si="26"/>
        <v>-0.90914707791335603</v>
      </c>
    </row>
    <row r="229" spans="1:23" x14ac:dyDescent="0.3">
      <c r="A229" t="s">
        <v>556</v>
      </c>
      <c r="B229" s="6">
        <v>45203</v>
      </c>
      <c r="C229" s="2">
        <v>45228</v>
      </c>
      <c r="D229" s="4">
        <f t="shared" si="27"/>
        <v>25</v>
      </c>
      <c r="E229" s="4" t="str">
        <f>TEXT(Data!B229,"MMM-YYYY")</f>
        <v>Aug-2025</v>
      </c>
      <c r="F229" s="4" t="str">
        <f t="shared" si="23"/>
        <v>Q4-2023</v>
      </c>
      <c r="G229" t="s">
        <v>52</v>
      </c>
      <c r="H229" t="s">
        <v>122</v>
      </c>
      <c r="I229" t="s">
        <v>167</v>
      </c>
      <c r="J229" t="s">
        <v>62</v>
      </c>
      <c r="K229" t="s">
        <v>55</v>
      </c>
      <c r="L229" t="s">
        <v>68</v>
      </c>
      <c r="M229" t="s">
        <v>81</v>
      </c>
      <c r="N229" t="s">
        <v>557</v>
      </c>
      <c r="O229" s="4">
        <v>1239.8399999999999</v>
      </c>
      <c r="P229" s="7" t="str">
        <f t="shared" si="24"/>
        <v>High</v>
      </c>
      <c r="Q229" s="4">
        <v>1482.75</v>
      </c>
      <c r="R229" s="4">
        <v>6.7000000000000004E-2</v>
      </c>
      <c r="S229" s="4">
        <v>4</v>
      </c>
      <c r="T229" s="4">
        <f t="shared" si="21"/>
        <v>6770.0719200000003</v>
      </c>
      <c r="U229">
        <f t="shared" si="22"/>
        <v>4959.3599999999997</v>
      </c>
      <c r="V229" s="4">
        <f t="shared" si="25"/>
        <v>1810.7119200000006</v>
      </c>
      <c r="W229" s="4">
        <f t="shared" si="26"/>
        <v>0.26745829902498297</v>
      </c>
    </row>
    <row r="230" spans="1:23" x14ac:dyDescent="0.3">
      <c r="A230" t="s">
        <v>558</v>
      </c>
      <c r="B230" s="6">
        <v>45879</v>
      </c>
      <c r="C230" s="2">
        <v>45899</v>
      </c>
      <c r="D230" s="4">
        <f t="shared" si="27"/>
        <v>20</v>
      </c>
      <c r="E230" s="4" t="str">
        <f>TEXT(Data!B230,"MMM-YYYY")</f>
        <v>Mar-2023</v>
      </c>
      <c r="F230" s="4" t="str">
        <f t="shared" si="23"/>
        <v>Q3-2025</v>
      </c>
      <c r="G230" t="s">
        <v>52</v>
      </c>
      <c r="H230" t="s">
        <v>122</v>
      </c>
      <c r="I230" t="s">
        <v>167</v>
      </c>
      <c r="J230" t="s">
        <v>19</v>
      </c>
      <c r="K230" t="s">
        <v>40</v>
      </c>
      <c r="L230" t="s">
        <v>95</v>
      </c>
      <c r="M230" t="s">
        <v>30</v>
      </c>
      <c r="N230" t="s">
        <v>559</v>
      </c>
      <c r="O230" s="4">
        <v>933.29</v>
      </c>
      <c r="P230" s="7" t="str">
        <f t="shared" si="24"/>
        <v>High</v>
      </c>
      <c r="Q230" s="4">
        <v>1456.81</v>
      </c>
      <c r="R230" s="4">
        <v>0.123</v>
      </c>
      <c r="S230" s="4">
        <v>13</v>
      </c>
      <c r="T230" s="4">
        <f t="shared" si="21"/>
        <v>8652.4469199999985</v>
      </c>
      <c r="U230">
        <f t="shared" si="22"/>
        <v>12132.77</v>
      </c>
      <c r="V230" s="4">
        <f t="shared" si="25"/>
        <v>-3480.3230800000019</v>
      </c>
      <c r="W230" s="4">
        <f t="shared" si="26"/>
        <v>-0.4022357042093247</v>
      </c>
    </row>
    <row r="231" spans="1:23" x14ac:dyDescent="0.3">
      <c r="A231" t="s">
        <v>560</v>
      </c>
      <c r="B231" s="6">
        <v>44992</v>
      </c>
      <c r="C231" s="2">
        <v>45017</v>
      </c>
      <c r="D231" s="4">
        <f t="shared" si="27"/>
        <v>25</v>
      </c>
      <c r="E231" s="4" t="str">
        <f>TEXT(Data!B231,"MMM-YYYY")</f>
        <v>May-2023</v>
      </c>
      <c r="F231" s="4" t="str">
        <f t="shared" si="23"/>
        <v>Q1-2023</v>
      </c>
      <c r="G231" t="s">
        <v>16</v>
      </c>
      <c r="H231" t="s">
        <v>17</v>
      </c>
      <c r="I231" t="s">
        <v>33</v>
      </c>
      <c r="J231" t="s">
        <v>48</v>
      </c>
      <c r="K231" t="s">
        <v>40</v>
      </c>
      <c r="L231" t="s">
        <v>145</v>
      </c>
      <c r="M231" t="s">
        <v>30</v>
      </c>
      <c r="N231" t="s">
        <v>561</v>
      </c>
      <c r="O231" s="4">
        <v>1024.0999999999999</v>
      </c>
      <c r="P231" s="7" t="str">
        <f t="shared" si="24"/>
        <v>High</v>
      </c>
      <c r="Q231" s="4">
        <v>918.19</v>
      </c>
      <c r="R231" s="4">
        <v>0.189</v>
      </c>
      <c r="S231" s="4">
        <v>10</v>
      </c>
      <c r="T231" s="4">
        <f t="shared" si="21"/>
        <v>13522.938400000001</v>
      </c>
      <c r="U231">
        <f t="shared" si="22"/>
        <v>10241</v>
      </c>
      <c r="V231" s="4">
        <f t="shared" si="25"/>
        <v>3281.9384000000009</v>
      </c>
      <c r="W231" s="4">
        <f t="shared" si="26"/>
        <v>0.24269417658517181</v>
      </c>
    </row>
    <row r="232" spans="1:23" x14ac:dyDescent="0.3">
      <c r="A232" t="s">
        <v>562</v>
      </c>
      <c r="B232" s="6">
        <v>45069</v>
      </c>
      <c r="C232" s="2">
        <v>45087</v>
      </c>
      <c r="D232" s="4">
        <f t="shared" si="27"/>
        <v>18</v>
      </c>
      <c r="E232" s="4" t="str">
        <f>TEXT(Data!B232,"MMM-YYYY")</f>
        <v>Apr-2025</v>
      </c>
      <c r="F232" s="4" t="str">
        <f t="shared" si="23"/>
        <v>Q2-2023</v>
      </c>
      <c r="G232" t="s">
        <v>45</v>
      </c>
      <c r="H232" t="s">
        <v>116</v>
      </c>
      <c r="I232" t="s">
        <v>162</v>
      </c>
      <c r="J232" t="s">
        <v>19</v>
      </c>
      <c r="K232" t="s">
        <v>55</v>
      </c>
      <c r="L232" t="s">
        <v>63</v>
      </c>
      <c r="M232" t="s">
        <v>22</v>
      </c>
      <c r="N232" t="s">
        <v>563</v>
      </c>
      <c r="O232" s="4">
        <v>54.62</v>
      </c>
      <c r="P232" s="7" t="str">
        <f t="shared" si="24"/>
        <v>Low</v>
      </c>
      <c r="Q232" s="4">
        <v>48.94</v>
      </c>
      <c r="R232" s="4">
        <v>0.14799999999999999</v>
      </c>
      <c r="S232" s="4">
        <v>16</v>
      </c>
      <c r="T232" s="4">
        <f t="shared" si="21"/>
        <v>34932.681600000004</v>
      </c>
      <c r="U232">
        <f t="shared" si="22"/>
        <v>873.92</v>
      </c>
      <c r="V232" s="4">
        <f t="shared" si="25"/>
        <v>34058.761600000005</v>
      </c>
      <c r="W232" s="4">
        <f t="shared" si="26"/>
        <v>0.9749827393726338</v>
      </c>
    </row>
    <row r="233" spans="1:23" x14ac:dyDescent="0.3">
      <c r="A233" t="s">
        <v>564</v>
      </c>
      <c r="B233" s="6">
        <v>45771</v>
      </c>
      <c r="C233" s="2">
        <v>45783</v>
      </c>
      <c r="D233" s="4">
        <f t="shared" si="27"/>
        <v>12</v>
      </c>
      <c r="E233" s="4" t="str">
        <f>TEXT(Data!B233,"MMM-YYYY")</f>
        <v>Sep-2024</v>
      </c>
      <c r="F233" s="4" t="str">
        <f t="shared" si="23"/>
        <v>Q2-2025</v>
      </c>
      <c r="G233" t="s">
        <v>52</v>
      </c>
      <c r="H233" t="s">
        <v>73</v>
      </c>
      <c r="I233" t="s">
        <v>87</v>
      </c>
      <c r="J233" t="s">
        <v>48</v>
      </c>
      <c r="K233" t="s">
        <v>28</v>
      </c>
      <c r="L233" t="s">
        <v>21</v>
      </c>
      <c r="M233" t="s">
        <v>42</v>
      </c>
      <c r="N233" t="s">
        <v>565</v>
      </c>
      <c r="O233" s="4">
        <v>394.13</v>
      </c>
      <c r="P233" s="7" t="str">
        <f t="shared" si="24"/>
        <v>High</v>
      </c>
      <c r="Q233" s="4">
        <v>932.29</v>
      </c>
      <c r="R233" s="4">
        <v>0.109</v>
      </c>
      <c r="S233" s="4">
        <v>7</v>
      </c>
      <c r="T233" s="4">
        <f t="shared" si="21"/>
        <v>4648.9350599999998</v>
      </c>
      <c r="U233">
        <f t="shared" si="22"/>
        <v>2758.91</v>
      </c>
      <c r="V233" s="4">
        <f t="shared" si="25"/>
        <v>1890.0250599999999</v>
      </c>
      <c r="W233" s="4">
        <f t="shared" si="26"/>
        <v>0.40655010999443819</v>
      </c>
    </row>
    <row r="234" spans="1:23" x14ac:dyDescent="0.3">
      <c r="A234" t="s">
        <v>566</v>
      </c>
      <c r="B234" s="6">
        <v>45538</v>
      </c>
      <c r="C234" s="2">
        <v>45543</v>
      </c>
      <c r="D234" s="4">
        <f t="shared" si="27"/>
        <v>5</v>
      </c>
      <c r="E234" s="4" t="str">
        <f>TEXT(Data!B234,"MMM-YYYY")</f>
        <v>Sep-2024</v>
      </c>
      <c r="F234" s="4" t="str">
        <f t="shared" si="23"/>
        <v>Q3-2024</v>
      </c>
      <c r="G234" t="s">
        <v>16</v>
      </c>
      <c r="H234" t="s">
        <v>25</v>
      </c>
      <c r="I234" t="s">
        <v>38</v>
      </c>
      <c r="J234" t="s">
        <v>62</v>
      </c>
      <c r="K234" t="s">
        <v>98</v>
      </c>
      <c r="L234" t="s">
        <v>95</v>
      </c>
      <c r="M234" t="s">
        <v>30</v>
      </c>
      <c r="N234" t="s">
        <v>567</v>
      </c>
      <c r="O234" s="4">
        <v>197.63</v>
      </c>
      <c r="P234" s="7" t="str">
        <f t="shared" si="24"/>
        <v>High</v>
      </c>
      <c r="Q234" s="4">
        <v>325.79000000000002</v>
      </c>
      <c r="R234" s="4">
        <v>0.11600000000000001</v>
      </c>
      <c r="S234" s="4">
        <v>10</v>
      </c>
      <c r="T234" s="4">
        <f t="shared" si="21"/>
        <v>6081.4780000000001</v>
      </c>
      <c r="U234">
        <f t="shared" si="22"/>
        <v>1976.3</v>
      </c>
      <c r="V234" s="4">
        <f t="shared" si="25"/>
        <v>4105.1779999999999</v>
      </c>
      <c r="W234" s="4">
        <f t="shared" si="26"/>
        <v>0.67502965561990025</v>
      </c>
    </row>
    <row r="235" spans="1:23" x14ac:dyDescent="0.3">
      <c r="A235" t="s">
        <v>568</v>
      </c>
      <c r="B235" s="6">
        <v>45540</v>
      </c>
      <c r="C235" s="2">
        <v>45560</v>
      </c>
      <c r="D235" s="4">
        <f t="shared" si="27"/>
        <v>20</v>
      </c>
      <c r="E235" s="4" t="str">
        <f>TEXT(Data!B235,"MMM-YYYY")</f>
        <v>Mar-2023</v>
      </c>
      <c r="F235" s="4" t="str">
        <f t="shared" si="23"/>
        <v>Q3-2024</v>
      </c>
      <c r="G235" t="s">
        <v>45</v>
      </c>
      <c r="H235" t="s">
        <v>46</v>
      </c>
      <c r="I235" t="s">
        <v>47</v>
      </c>
      <c r="J235" t="s">
        <v>105</v>
      </c>
      <c r="K235" t="s">
        <v>55</v>
      </c>
      <c r="L235" t="s">
        <v>145</v>
      </c>
      <c r="M235" t="s">
        <v>64</v>
      </c>
      <c r="N235" t="s">
        <v>569</v>
      </c>
      <c r="O235" s="4">
        <v>195.54</v>
      </c>
      <c r="P235" s="7" t="str">
        <f t="shared" si="24"/>
        <v>High</v>
      </c>
      <c r="Q235" s="4">
        <v>405.97</v>
      </c>
      <c r="R235" s="4">
        <v>0.187</v>
      </c>
      <c r="S235" s="4">
        <v>16</v>
      </c>
      <c r="T235" s="4">
        <f t="shared" si="21"/>
        <v>7155.3105599999999</v>
      </c>
      <c r="U235">
        <f t="shared" si="22"/>
        <v>3128.64</v>
      </c>
      <c r="V235" s="4">
        <f t="shared" si="25"/>
        <v>4026.67056</v>
      </c>
      <c r="W235" s="4">
        <f t="shared" si="26"/>
        <v>0.56275273116866642</v>
      </c>
    </row>
    <row r="236" spans="1:23" x14ac:dyDescent="0.3">
      <c r="A236" t="s">
        <v>570</v>
      </c>
      <c r="B236" s="6">
        <v>44999</v>
      </c>
      <c r="C236" s="2">
        <v>45015</v>
      </c>
      <c r="D236" s="4">
        <f t="shared" si="27"/>
        <v>16</v>
      </c>
      <c r="E236" s="4" t="str">
        <f>TEXT(Data!B236,"MMM-YYYY")</f>
        <v>Jan-2024</v>
      </c>
      <c r="F236" s="4" t="str">
        <f t="shared" si="23"/>
        <v>Q1-2023</v>
      </c>
      <c r="G236" t="s">
        <v>16</v>
      </c>
      <c r="H236" t="s">
        <v>148</v>
      </c>
      <c r="I236" t="s">
        <v>258</v>
      </c>
      <c r="J236" t="s">
        <v>48</v>
      </c>
      <c r="K236" t="s">
        <v>55</v>
      </c>
      <c r="L236" t="s">
        <v>95</v>
      </c>
      <c r="M236" t="s">
        <v>22</v>
      </c>
      <c r="N236" t="s">
        <v>571</v>
      </c>
      <c r="O236" s="4">
        <v>1309.77</v>
      </c>
      <c r="P236" s="7" t="str">
        <f t="shared" si="24"/>
        <v>High</v>
      </c>
      <c r="Q236" s="4">
        <v>1589.07</v>
      </c>
      <c r="R236" s="4">
        <v>0.10199999999999999</v>
      </c>
      <c r="S236" s="4">
        <v>10</v>
      </c>
      <c r="T236" s="4">
        <f t="shared" si="21"/>
        <v>18572.525799999999</v>
      </c>
      <c r="U236">
        <f t="shared" si="22"/>
        <v>13097.7</v>
      </c>
      <c r="V236" s="4">
        <f t="shared" si="25"/>
        <v>5474.8257999999987</v>
      </c>
      <c r="W236" s="4">
        <f t="shared" si="26"/>
        <v>0.29478089619883574</v>
      </c>
    </row>
    <row r="237" spans="1:23" x14ac:dyDescent="0.3">
      <c r="A237" t="s">
        <v>572</v>
      </c>
      <c r="B237" s="6">
        <v>45302</v>
      </c>
      <c r="C237" s="2">
        <v>45324</v>
      </c>
      <c r="D237" s="4">
        <f t="shared" si="27"/>
        <v>22</v>
      </c>
      <c r="E237" s="4" t="str">
        <f>TEXT(Data!B237,"MMM-YYYY")</f>
        <v>Sep-2024</v>
      </c>
      <c r="F237" s="4" t="str">
        <f t="shared" si="23"/>
        <v>Q1-2024</v>
      </c>
      <c r="G237" t="s">
        <v>45</v>
      </c>
      <c r="H237" t="s">
        <v>46</v>
      </c>
      <c r="I237" t="s">
        <v>231</v>
      </c>
      <c r="J237" t="s">
        <v>62</v>
      </c>
      <c r="K237" t="s">
        <v>28</v>
      </c>
      <c r="L237" t="s">
        <v>1364</v>
      </c>
      <c r="M237" t="s">
        <v>30</v>
      </c>
      <c r="N237" t="s">
        <v>573</v>
      </c>
      <c r="O237" s="4">
        <v>1237.68</v>
      </c>
      <c r="P237" s="7" t="str">
        <f t="shared" si="24"/>
        <v>High</v>
      </c>
      <c r="Q237" s="4">
        <v>1432.8</v>
      </c>
      <c r="R237" s="4">
        <v>6.8000000000000005E-2</v>
      </c>
      <c r="S237" s="4">
        <v>13</v>
      </c>
      <c r="T237" s="4">
        <f t="shared" si="21"/>
        <v>31218.691400000003</v>
      </c>
      <c r="U237">
        <f t="shared" si="22"/>
        <v>16089.84</v>
      </c>
      <c r="V237" s="4">
        <f t="shared" si="25"/>
        <v>15128.851400000003</v>
      </c>
      <c r="W237" s="4">
        <f t="shared" si="26"/>
        <v>0.48460876230065175</v>
      </c>
    </row>
    <row r="238" spans="1:23" x14ac:dyDescent="0.3">
      <c r="A238" t="s">
        <v>574</v>
      </c>
      <c r="B238" s="6">
        <v>45548</v>
      </c>
      <c r="C238" s="2">
        <v>45567</v>
      </c>
      <c r="D238" s="4">
        <f t="shared" si="27"/>
        <v>19</v>
      </c>
      <c r="E238" s="4" t="str">
        <f>TEXT(Data!B238,"MMM-YYYY")</f>
        <v>Jul-2025</v>
      </c>
      <c r="F238" s="4" t="str">
        <f t="shared" si="23"/>
        <v>Q3-2024</v>
      </c>
      <c r="G238" t="s">
        <v>16</v>
      </c>
      <c r="H238" t="s">
        <v>17</v>
      </c>
      <c r="I238" t="s">
        <v>113</v>
      </c>
      <c r="J238" t="s">
        <v>62</v>
      </c>
      <c r="K238" t="s">
        <v>20</v>
      </c>
      <c r="L238" t="s">
        <v>110</v>
      </c>
      <c r="M238" t="s">
        <v>42</v>
      </c>
      <c r="N238" t="s">
        <v>575</v>
      </c>
      <c r="O238" s="4">
        <v>1338.99</v>
      </c>
      <c r="P238" s="7" t="str">
        <f t="shared" si="24"/>
        <v>High</v>
      </c>
      <c r="Q238" s="4">
        <v>1765.76</v>
      </c>
      <c r="R238" s="4">
        <v>0.126</v>
      </c>
      <c r="S238" s="4">
        <v>24</v>
      </c>
      <c r="T238" s="4">
        <f t="shared" si="21"/>
        <v>21901.880639999999</v>
      </c>
      <c r="U238">
        <f t="shared" si="22"/>
        <v>32135.760000000002</v>
      </c>
      <c r="V238" s="4">
        <f t="shared" si="25"/>
        <v>-10233.879360000003</v>
      </c>
      <c r="W238" s="4">
        <f t="shared" si="26"/>
        <v>-0.46726030189889678</v>
      </c>
    </row>
    <row r="239" spans="1:23" x14ac:dyDescent="0.3">
      <c r="A239" t="s">
        <v>576</v>
      </c>
      <c r="B239" s="6">
        <v>45855</v>
      </c>
      <c r="C239" s="2">
        <v>45861</v>
      </c>
      <c r="D239" s="4">
        <f t="shared" si="27"/>
        <v>6</v>
      </c>
      <c r="E239" s="4" t="str">
        <f>TEXT(Data!B239,"MMM-YYYY")</f>
        <v>Nov-2023</v>
      </c>
      <c r="F239" s="4" t="str">
        <f t="shared" si="23"/>
        <v>Q3-2025</v>
      </c>
      <c r="G239" t="s">
        <v>52</v>
      </c>
      <c r="H239" t="s">
        <v>53</v>
      </c>
      <c r="I239" t="s">
        <v>179</v>
      </c>
      <c r="J239" t="s">
        <v>48</v>
      </c>
      <c r="K239" t="s">
        <v>28</v>
      </c>
      <c r="L239" t="s">
        <v>92</v>
      </c>
      <c r="M239" t="s">
        <v>22</v>
      </c>
      <c r="N239" t="s">
        <v>577</v>
      </c>
      <c r="O239" s="4">
        <v>1364.89</v>
      </c>
      <c r="P239" s="7" t="str">
        <f t="shared" si="24"/>
        <v>High</v>
      </c>
      <c r="Q239" s="4">
        <v>2757.54</v>
      </c>
      <c r="R239" s="4">
        <v>0.17199999999999999</v>
      </c>
      <c r="S239" s="4">
        <v>61</v>
      </c>
      <c r="T239" s="4">
        <f t="shared" si="21"/>
        <v>5002.3123200000009</v>
      </c>
      <c r="U239">
        <f t="shared" si="22"/>
        <v>83258.290000000008</v>
      </c>
      <c r="V239" s="4">
        <f t="shared" si="25"/>
        <v>-78255.977680000011</v>
      </c>
      <c r="W239" s="4">
        <f t="shared" si="26"/>
        <v>-15.643960767327698</v>
      </c>
    </row>
    <row r="240" spans="1:23" x14ac:dyDescent="0.3">
      <c r="A240" t="s">
        <v>578</v>
      </c>
      <c r="B240" s="6">
        <v>45258</v>
      </c>
      <c r="C240" s="2">
        <v>45267</v>
      </c>
      <c r="D240" s="4">
        <f t="shared" si="27"/>
        <v>9</v>
      </c>
      <c r="E240" s="4" t="str">
        <f>TEXT(Data!B240,"MMM-YYYY")</f>
        <v>Mar-2024</v>
      </c>
      <c r="F240" s="4" t="str">
        <f t="shared" si="23"/>
        <v>Q4-2023</v>
      </c>
      <c r="G240" t="s">
        <v>45</v>
      </c>
      <c r="H240" t="s">
        <v>60</v>
      </c>
      <c r="I240" t="s">
        <v>141</v>
      </c>
      <c r="J240" t="s">
        <v>105</v>
      </c>
      <c r="K240" t="s">
        <v>40</v>
      </c>
      <c r="L240" t="s">
        <v>49</v>
      </c>
      <c r="M240" t="s">
        <v>42</v>
      </c>
      <c r="N240" t="s">
        <v>579</v>
      </c>
      <c r="O240" s="4">
        <v>699.33</v>
      </c>
      <c r="P240" s="7" t="str">
        <f t="shared" si="24"/>
        <v>High</v>
      </c>
      <c r="Q240" s="4">
        <v>873.75</v>
      </c>
      <c r="R240" s="4">
        <v>0.23499999999999999</v>
      </c>
      <c r="S240" s="4">
        <v>10</v>
      </c>
      <c r="T240" s="4">
        <f t="shared" si="21"/>
        <v>15275.5965</v>
      </c>
      <c r="U240">
        <f t="shared" si="22"/>
        <v>6993.3</v>
      </c>
      <c r="V240" s="4">
        <f t="shared" si="25"/>
        <v>8282.2965000000004</v>
      </c>
      <c r="W240" s="4">
        <f t="shared" si="26"/>
        <v>0.5421913638527962</v>
      </c>
    </row>
    <row r="241" spans="1:23" x14ac:dyDescent="0.3">
      <c r="A241" t="s">
        <v>580</v>
      </c>
      <c r="B241" s="6">
        <v>45381</v>
      </c>
      <c r="C241" s="2">
        <v>45406</v>
      </c>
      <c r="D241" s="4">
        <f t="shared" si="27"/>
        <v>25</v>
      </c>
      <c r="E241" s="4" t="str">
        <f>TEXT(Data!B241,"MMM-YYYY")</f>
        <v>Sep-2023</v>
      </c>
      <c r="F241" s="4" t="str">
        <f t="shared" si="23"/>
        <v>Q1-2024</v>
      </c>
      <c r="G241" t="s">
        <v>52</v>
      </c>
      <c r="H241" t="s">
        <v>122</v>
      </c>
      <c r="I241" t="s">
        <v>326</v>
      </c>
      <c r="J241" t="s">
        <v>39</v>
      </c>
      <c r="K241" t="s">
        <v>28</v>
      </c>
      <c r="L241" t="s">
        <v>41</v>
      </c>
      <c r="M241" t="s">
        <v>57</v>
      </c>
      <c r="N241" t="s">
        <v>581</v>
      </c>
      <c r="O241" s="4">
        <v>160.82</v>
      </c>
      <c r="P241" s="7" t="str">
        <f t="shared" si="24"/>
        <v>High</v>
      </c>
      <c r="Q241" s="4">
        <v>258.52</v>
      </c>
      <c r="R241" s="4">
        <v>0.13</v>
      </c>
      <c r="S241" s="4">
        <v>17</v>
      </c>
      <c r="T241" s="4">
        <f t="shared" si="21"/>
        <v>13631.647199999999</v>
      </c>
      <c r="U241">
        <f t="shared" si="22"/>
        <v>2733.94</v>
      </c>
      <c r="V241" s="4">
        <f t="shared" si="25"/>
        <v>10897.707199999999</v>
      </c>
      <c r="W241" s="4">
        <f t="shared" si="26"/>
        <v>0.79944169916604058</v>
      </c>
    </row>
    <row r="242" spans="1:23" x14ac:dyDescent="0.3">
      <c r="A242" t="s">
        <v>582</v>
      </c>
      <c r="B242" s="6">
        <v>45188</v>
      </c>
      <c r="C242" s="2">
        <v>45207</v>
      </c>
      <c r="D242" s="4">
        <f t="shared" si="27"/>
        <v>19</v>
      </c>
      <c r="E242" s="4" t="str">
        <f>TEXT(Data!B242,"MMM-YYYY")</f>
        <v>May-2025</v>
      </c>
      <c r="F242" s="4" t="str">
        <f t="shared" si="23"/>
        <v>Q3-2023</v>
      </c>
      <c r="G242" t="s">
        <v>45</v>
      </c>
      <c r="H242" t="s">
        <v>60</v>
      </c>
      <c r="I242" t="s">
        <v>61</v>
      </c>
      <c r="J242" t="s">
        <v>27</v>
      </c>
      <c r="K242" t="s">
        <v>98</v>
      </c>
      <c r="L242" t="s">
        <v>29</v>
      </c>
      <c r="M242" t="s">
        <v>30</v>
      </c>
      <c r="N242" t="s">
        <v>583</v>
      </c>
      <c r="O242" s="4">
        <v>385.32</v>
      </c>
      <c r="P242" s="7" t="str">
        <f t="shared" si="24"/>
        <v>High</v>
      </c>
      <c r="Q242" s="4">
        <v>606.76</v>
      </c>
      <c r="R242" s="4">
        <v>8.5999999999999993E-2</v>
      </c>
      <c r="S242" s="4">
        <v>8</v>
      </c>
      <c r="T242" s="4">
        <f t="shared" si="21"/>
        <v>18307.712480000002</v>
      </c>
      <c r="U242">
        <f t="shared" si="22"/>
        <v>3082.56</v>
      </c>
      <c r="V242" s="4">
        <f t="shared" si="25"/>
        <v>15225.152480000002</v>
      </c>
      <c r="W242" s="4">
        <f t="shared" si="26"/>
        <v>0.8316250594732959</v>
      </c>
    </row>
    <row r="243" spans="1:23" x14ac:dyDescent="0.3">
      <c r="A243" t="s">
        <v>584</v>
      </c>
      <c r="B243" s="6">
        <v>45793</v>
      </c>
      <c r="C243" s="2">
        <v>45804</v>
      </c>
      <c r="D243" s="4">
        <f t="shared" si="27"/>
        <v>11</v>
      </c>
      <c r="E243" s="4" t="str">
        <f>TEXT(Data!B243,"MMM-YYYY")</f>
        <v>Aug-2025</v>
      </c>
      <c r="F243" s="4" t="str">
        <f t="shared" si="23"/>
        <v>Q2-2025</v>
      </c>
      <c r="G243" t="s">
        <v>45</v>
      </c>
      <c r="H243" t="s">
        <v>116</v>
      </c>
      <c r="I243" t="s">
        <v>338</v>
      </c>
      <c r="J243" t="s">
        <v>105</v>
      </c>
      <c r="K243" t="s">
        <v>28</v>
      </c>
      <c r="L243" t="s">
        <v>84</v>
      </c>
      <c r="M243" t="s">
        <v>42</v>
      </c>
      <c r="N243" t="s">
        <v>585</v>
      </c>
      <c r="O243" s="4">
        <v>918.12</v>
      </c>
      <c r="P243" s="7" t="str">
        <f t="shared" si="24"/>
        <v>High</v>
      </c>
      <c r="Q243" s="4">
        <v>1337.69</v>
      </c>
      <c r="R243" s="4">
        <v>9.5000000000000001E-2</v>
      </c>
      <c r="S243" s="4">
        <v>8</v>
      </c>
      <c r="T243" s="4">
        <f t="shared" si="21"/>
        <v>17830.4548</v>
      </c>
      <c r="U243">
        <f t="shared" si="22"/>
        <v>7344.96</v>
      </c>
      <c r="V243" s="4">
        <f t="shared" si="25"/>
        <v>10485.4948</v>
      </c>
      <c r="W243" s="4">
        <f t="shared" si="26"/>
        <v>0.58806659267042372</v>
      </c>
    </row>
    <row r="244" spans="1:23" x14ac:dyDescent="0.3">
      <c r="A244" t="s">
        <v>586</v>
      </c>
      <c r="B244" s="6">
        <v>45871</v>
      </c>
      <c r="C244" s="2">
        <v>45877</v>
      </c>
      <c r="D244" s="4">
        <f t="shared" si="27"/>
        <v>6</v>
      </c>
      <c r="E244" s="4" t="str">
        <f>TEXT(Data!B244,"MMM-YYYY")</f>
        <v>Dec-2024</v>
      </c>
      <c r="F244" s="4" t="str">
        <f t="shared" si="23"/>
        <v>Q3-2025</v>
      </c>
      <c r="G244" t="s">
        <v>45</v>
      </c>
      <c r="H244" t="s">
        <v>46</v>
      </c>
      <c r="I244" t="s">
        <v>47</v>
      </c>
      <c r="J244" t="s">
        <v>48</v>
      </c>
      <c r="K244" t="s">
        <v>98</v>
      </c>
      <c r="L244" t="s">
        <v>126</v>
      </c>
      <c r="M244" t="s">
        <v>57</v>
      </c>
      <c r="N244" t="s">
        <v>587</v>
      </c>
      <c r="O244" s="4">
        <v>1225.94</v>
      </c>
      <c r="P244" s="7" t="str">
        <f t="shared" si="24"/>
        <v>High</v>
      </c>
      <c r="Q244" s="4">
        <v>1793.08</v>
      </c>
      <c r="R244" s="4">
        <v>0.13600000000000001</v>
      </c>
      <c r="S244" s="4">
        <v>22</v>
      </c>
      <c r="T244" s="4">
        <f t="shared" si="21"/>
        <v>9431.7695999999996</v>
      </c>
      <c r="U244">
        <f t="shared" si="22"/>
        <v>26970.68</v>
      </c>
      <c r="V244" s="4">
        <f t="shared" si="25"/>
        <v>-17538.910400000001</v>
      </c>
      <c r="W244" s="4">
        <f t="shared" si="26"/>
        <v>-1.8595567050323198</v>
      </c>
    </row>
    <row r="245" spans="1:23" x14ac:dyDescent="0.3">
      <c r="A245" t="s">
        <v>588</v>
      </c>
      <c r="B245" s="6">
        <v>45630</v>
      </c>
      <c r="C245" s="2">
        <v>45638</v>
      </c>
      <c r="D245" s="4">
        <f t="shared" si="27"/>
        <v>8</v>
      </c>
      <c r="E245" s="4" t="str">
        <f>TEXT(Data!B245,"MMM-YYYY")</f>
        <v>Apr-2023</v>
      </c>
      <c r="F245" s="4" t="str">
        <f t="shared" si="23"/>
        <v>Q4-2024</v>
      </c>
      <c r="G245" t="s">
        <v>78</v>
      </c>
      <c r="H245" t="s">
        <v>79</v>
      </c>
      <c r="I245" t="s">
        <v>335</v>
      </c>
      <c r="J245" t="s">
        <v>105</v>
      </c>
      <c r="K245" t="s">
        <v>40</v>
      </c>
      <c r="L245" t="s">
        <v>56</v>
      </c>
      <c r="M245" t="s">
        <v>30</v>
      </c>
      <c r="N245" t="s">
        <v>589</v>
      </c>
      <c r="O245" s="4">
        <v>72.06</v>
      </c>
      <c r="P245" s="7" t="str">
        <f t="shared" si="24"/>
        <v>Medium</v>
      </c>
      <c r="Q245" s="4">
        <v>122.74</v>
      </c>
      <c r="R245" s="4">
        <v>0.23799999999999999</v>
      </c>
      <c r="S245" s="4">
        <v>8</v>
      </c>
      <c r="T245" s="4">
        <f t="shared" si="21"/>
        <v>5532.6686399999999</v>
      </c>
      <c r="U245">
        <f t="shared" si="22"/>
        <v>576.48</v>
      </c>
      <c r="V245" s="4">
        <f t="shared" si="25"/>
        <v>4956.1886400000003</v>
      </c>
      <c r="W245" s="4">
        <f t="shared" si="26"/>
        <v>0.89580435093615152</v>
      </c>
    </row>
    <row r="246" spans="1:23" x14ac:dyDescent="0.3">
      <c r="A246" t="s">
        <v>590</v>
      </c>
      <c r="B246" s="6">
        <v>45035</v>
      </c>
      <c r="C246" s="2">
        <v>45044</v>
      </c>
      <c r="D246" s="4">
        <f t="shared" si="27"/>
        <v>9</v>
      </c>
      <c r="E246" s="4" t="str">
        <f>TEXT(Data!B246,"MMM-YYYY")</f>
        <v>Mar-2024</v>
      </c>
      <c r="F246" s="4" t="str">
        <f t="shared" si="23"/>
        <v>Q2-2023</v>
      </c>
      <c r="G246" t="s">
        <v>52</v>
      </c>
      <c r="H246" t="s">
        <v>73</v>
      </c>
      <c r="I246" t="s">
        <v>225</v>
      </c>
      <c r="J246" t="s">
        <v>19</v>
      </c>
      <c r="K246" t="s">
        <v>55</v>
      </c>
      <c r="L246" t="s">
        <v>110</v>
      </c>
      <c r="M246" t="s">
        <v>42</v>
      </c>
      <c r="N246" t="s">
        <v>591</v>
      </c>
      <c r="O246" s="4">
        <v>1013.54</v>
      </c>
      <c r="P246" s="7" t="str">
        <f t="shared" si="24"/>
        <v>High</v>
      </c>
      <c r="Q246" s="4">
        <v>927.93</v>
      </c>
      <c r="R246" s="4">
        <v>0.17499999999999999</v>
      </c>
      <c r="S246" s="4">
        <v>16</v>
      </c>
      <c r="T246" s="4">
        <f t="shared" si="21"/>
        <v>4411.308</v>
      </c>
      <c r="U246">
        <f t="shared" si="22"/>
        <v>16216.64</v>
      </c>
      <c r="V246" s="4">
        <f t="shared" si="25"/>
        <v>-11805.331999999999</v>
      </c>
      <c r="W246" s="4">
        <f t="shared" si="26"/>
        <v>-2.6761522886182507</v>
      </c>
    </row>
    <row r="247" spans="1:23" x14ac:dyDescent="0.3">
      <c r="A247" t="s">
        <v>592</v>
      </c>
      <c r="B247" s="6">
        <v>45357</v>
      </c>
      <c r="C247" s="2">
        <v>45377</v>
      </c>
      <c r="D247" s="4">
        <f t="shared" si="27"/>
        <v>20</v>
      </c>
      <c r="E247" s="4" t="str">
        <f>TEXT(Data!B247,"MMM-YYYY")</f>
        <v>Feb-2024</v>
      </c>
      <c r="F247" s="4" t="str">
        <f t="shared" si="23"/>
        <v>Q1-2024</v>
      </c>
      <c r="G247" t="s">
        <v>16</v>
      </c>
      <c r="H247" t="s">
        <v>25</v>
      </c>
      <c r="I247" t="s">
        <v>26</v>
      </c>
      <c r="J247" t="s">
        <v>48</v>
      </c>
      <c r="K247" t="s">
        <v>40</v>
      </c>
      <c r="L247" t="s">
        <v>34</v>
      </c>
      <c r="M247" t="s">
        <v>42</v>
      </c>
      <c r="N247" t="s">
        <v>593</v>
      </c>
      <c r="O247" s="4">
        <v>65.64</v>
      </c>
      <c r="P247" s="7" t="str">
        <f t="shared" si="24"/>
        <v>Medium</v>
      </c>
      <c r="Q247" s="4">
        <v>151.88</v>
      </c>
      <c r="R247" s="4">
        <v>0.16700000000000001</v>
      </c>
      <c r="S247" s="4">
        <v>23</v>
      </c>
      <c r="T247" s="4">
        <f t="shared" si="21"/>
        <v>10322.677609999999</v>
      </c>
      <c r="U247">
        <f t="shared" si="22"/>
        <v>1509.72</v>
      </c>
      <c r="V247" s="4">
        <f t="shared" si="25"/>
        <v>8812.9576099999995</v>
      </c>
      <c r="W247" s="4">
        <f t="shared" si="26"/>
        <v>0.8537472488206479</v>
      </c>
    </row>
    <row r="248" spans="1:23" x14ac:dyDescent="0.3">
      <c r="A248" t="s">
        <v>594</v>
      </c>
      <c r="B248" s="6">
        <v>45338</v>
      </c>
      <c r="C248" s="2">
        <v>45355</v>
      </c>
      <c r="D248" s="4">
        <f t="shared" si="27"/>
        <v>17</v>
      </c>
      <c r="E248" s="4" t="str">
        <f>TEXT(Data!B248,"MMM-YYYY")</f>
        <v>Apr-2025</v>
      </c>
      <c r="F248" s="4" t="str">
        <f t="shared" si="23"/>
        <v>Q1-2024</v>
      </c>
      <c r="G248" t="s">
        <v>52</v>
      </c>
      <c r="H248" t="s">
        <v>53</v>
      </c>
      <c r="I248" t="s">
        <v>144</v>
      </c>
      <c r="J248" t="s">
        <v>39</v>
      </c>
      <c r="K248" t="s">
        <v>20</v>
      </c>
      <c r="L248" t="s">
        <v>145</v>
      </c>
      <c r="M248" t="s">
        <v>57</v>
      </c>
      <c r="N248" t="s">
        <v>595</v>
      </c>
      <c r="O248" s="4">
        <v>1350.98</v>
      </c>
      <c r="P248" s="7" t="str">
        <f t="shared" si="24"/>
        <v>High</v>
      </c>
      <c r="Q248" s="4">
        <v>2210.4</v>
      </c>
      <c r="R248" s="4">
        <v>0.26300000000000001</v>
      </c>
      <c r="S248" s="4">
        <v>6</v>
      </c>
      <c r="T248" s="4">
        <f t="shared" si="21"/>
        <v>6352.3798799999995</v>
      </c>
      <c r="U248">
        <f t="shared" si="22"/>
        <v>8105.88</v>
      </c>
      <c r="V248" s="4">
        <f t="shared" si="25"/>
        <v>-1753.5001200000006</v>
      </c>
      <c r="W248" s="4">
        <f t="shared" si="26"/>
        <v>-0.27603829637468102</v>
      </c>
    </row>
    <row r="249" spans="1:23" x14ac:dyDescent="0.3">
      <c r="A249" t="s">
        <v>596</v>
      </c>
      <c r="B249" s="6">
        <v>45769</v>
      </c>
      <c r="C249" s="2">
        <v>45779</v>
      </c>
      <c r="D249" s="4">
        <f t="shared" si="27"/>
        <v>10</v>
      </c>
      <c r="E249" s="4" t="str">
        <f>TEXT(Data!B249,"MMM-YYYY")</f>
        <v>Nov-2024</v>
      </c>
      <c r="F249" s="4" t="str">
        <f t="shared" si="23"/>
        <v>Q2-2025</v>
      </c>
      <c r="G249" t="s">
        <v>78</v>
      </c>
      <c r="H249" t="s">
        <v>79</v>
      </c>
      <c r="I249" t="s">
        <v>80</v>
      </c>
      <c r="J249" t="s">
        <v>19</v>
      </c>
      <c r="K249" t="s">
        <v>40</v>
      </c>
      <c r="L249" t="s">
        <v>21</v>
      </c>
      <c r="M249" t="s">
        <v>64</v>
      </c>
      <c r="N249" t="s">
        <v>597</v>
      </c>
      <c r="O249" s="4">
        <v>20.149999999999999</v>
      </c>
      <c r="P249" s="7" t="str">
        <f t="shared" si="24"/>
        <v>Low</v>
      </c>
      <c r="Q249" s="4">
        <v>39.74</v>
      </c>
      <c r="R249" s="4">
        <v>0.151</v>
      </c>
      <c r="S249" s="4">
        <v>18</v>
      </c>
      <c r="T249" s="4">
        <f t="shared" si="21"/>
        <v>26996.417099999999</v>
      </c>
      <c r="U249">
        <f t="shared" si="22"/>
        <v>362.7</v>
      </c>
      <c r="V249" s="4">
        <f t="shared" si="25"/>
        <v>26633.717099999998</v>
      </c>
      <c r="W249" s="4">
        <f t="shared" si="26"/>
        <v>0.98656488382675045</v>
      </c>
    </row>
    <row r="250" spans="1:23" x14ac:dyDescent="0.3">
      <c r="A250" t="s">
        <v>598</v>
      </c>
      <c r="B250" s="6">
        <v>45604</v>
      </c>
      <c r="C250" s="2">
        <v>45604</v>
      </c>
      <c r="D250" s="4">
        <f t="shared" si="27"/>
        <v>0</v>
      </c>
      <c r="E250" s="4" t="str">
        <f>TEXT(Data!B250,"MMM-YYYY")</f>
        <v>Sep-2025</v>
      </c>
      <c r="F250" s="4" t="str">
        <f t="shared" si="23"/>
        <v>Q4-2024</v>
      </c>
      <c r="G250" t="s">
        <v>16</v>
      </c>
      <c r="H250" t="s">
        <v>17</v>
      </c>
      <c r="I250" t="s">
        <v>135</v>
      </c>
      <c r="J250" t="s">
        <v>105</v>
      </c>
      <c r="K250" t="s">
        <v>40</v>
      </c>
      <c r="L250" t="s">
        <v>110</v>
      </c>
      <c r="M250" t="s">
        <v>35</v>
      </c>
      <c r="N250" t="s">
        <v>599</v>
      </c>
      <c r="O250" s="4">
        <v>803.28</v>
      </c>
      <c r="P250" s="7" t="str">
        <f t="shared" si="24"/>
        <v>High</v>
      </c>
      <c r="Q250" s="4">
        <v>1009</v>
      </c>
      <c r="R250" s="4">
        <v>0.11</v>
      </c>
      <c r="S250" s="4">
        <v>4</v>
      </c>
      <c r="T250" s="4">
        <f t="shared" si="21"/>
        <v>2237.6023999999998</v>
      </c>
      <c r="U250">
        <f t="shared" si="22"/>
        <v>3213.12</v>
      </c>
      <c r="V250" s="4">
        <f t="shared" si="25"/>
        <v>-975.51760000000013</v>
      </c>
      <c r="W250" s="4">
        <f t="shared" si="26"/>
        <v>-0.43596556743056775</v>
      </c>
    </row>
    <row r="251" spans="1:23" x14ac:dyDescent="0.3">
      <c r="A251" t="s">
        <v>600</v>
      </c>
      <c r="B251" s="6">
        <v>45912</v>
      </c>
      <c r="C251" s="2">
        <v>45930</v>
      </c>
      <c r="D251" s="4">
        <f t="shared" si="27"/>
        <v>18</v>
      </c>
      <c r="E251" s="4" t="str">
        <f>TEXT(Data!B251,"MMM-YYYY")</f>
        <v>Sep-2024</v>
      </c>
      <c r="F251" s="4" t="str">
        <f t="shared" si="23"/>
        <v>Q3-2025</v>
      </c>
      <c r="G251" t="s">
        <v>45</v>
      </c>
      <c r="H251" t="s">
        <v>46</v>
      </c>
      <c r="I251" t="s">
        <v>231</v>
      </c>
      <c r="J251" t="s">
        <v>39</v>
      </c>
      <c r="K251" t="s">
        <v>40</v>
      </c>
      <c r="L251" t="s">
        <v>84</v>
      </c>
      <c r="M251" t="s">
        <v>64</v>
      </c>
      <c r="N251" t="s">
        <v>601</v>
      </c>
      <c r="O251" s="4">
        <v>1212.99</v>
      </c>
      <c r="P251" s="7" t="str">
        <f t="shared" si="24"/>
        <v>High</v>
      </c>
      <c r="Q251" s="4">
        <v>1653.64</v>
      </c>
      <c r="R251" s="4">
        <v>0.107</v>
      </c>
      <c r="S251" s="4">
        <v>8</v>
      </c>
      <c r="T251" s="4">
        <f t="shared" si="21"/>
        <v>11792.958000000001</v>
      </c>
      <c r="U251">
        <f t="shared" si="22"/>
        <v>9703.92</v>
      </c>
      <c r="V251" s="4">
        <f t="shared" si="25"/>
        <v>2089.0380000000005</v>
      </c>
      <c r="W251" s="4">
        <f t="shared" si="26"/>
        <v>0.17714283388442495</v>
      </c>
    </row>
    <row r="252" spans="1:23" x14ac:dyDescent="0.3">
      <c r="A252" t="s">
        <v>602</v>
      </c>
      <c r="B252" s="6">
        <v>45537</v>
      </c>
      <c r="C252" s="2">
        <v>45543</v>
      </c>
      <c r="D252" s="4">
        <f t="shared" si="27"/>
        <v>6</v>
      </c>
      <c r="E252" s="4" t="str">
        <f>TEXT(Data!B252,"MMM-YYYY")</f>
        <v>Mar-2023</v>
      </c>
      <c r="F252" s="4" t="str">
        <f t="shared" si="23"/>
        <v>Q3-2024</v>
      </c>
      <c r="G252" t="s">
        <v>52</v>
      </c>
      <c r="H252" t="s">
        <v>122</v>
      </c>
      <c r="I252" t="s">
        <v>326</v>
      </c>
      <c r="J252" t="s">
        <v>48</v>
      </c>
      <c r="K252" t="s">
        <v>98</v>
      </c>
      <c r="L252" t="s">
        <v>92</v>
      </c>
      <c r="M252" t="s">
        <v>22</v>
      </c>
      <c r="N252" t="s">
        <v>603</v>
      </c>
      <c r="O252" s="4">
        <v>462.94</v>
      </c>
      <c r="P252" s="7" t="str">
        <f t="shared" si="24"/>
        <v>High</v>
      </c>
      <c r="Q252" s="4">
        <v>1015.7</v>
      </c>
      <c r="R252" s="4">
        <v>0.14299999999999999</v>
      </c>
      <c r="S252" s="4">
        <v>14</v>
      </c>
      <c r="T252" s="4">
        <f t="shared" si="21"/>
        <v>26961.185719999998</v>
      </c>
      <c r="U252">
        <f t="shared" si="22"/>
        <v>6481.16</v>
      </c>
      <c r="V252" s="4">
        <f t="shared" si="25"/>
        <v>20480.025719999998</v>
      </c>
      <c r="W252" s="4">
        <f t="shared" si="26"/>
        <v>0.75961146266678359</v>
      </c>
    </row>
    <row r="253" spans="1:23" x14ac:dyDescent="0.3">
      <c r="A253" t="s">
        <v>604</v>
      </c>
      <c r="B253" s="6">
        <v>44989</v>
      </c>
      <c r="C253" s="2">
        <v>45009</v>
      </c>
      <c r="D253" s="4">
        <f t="shared" si="27"/>
        <v>20</v>
      </c>
      <c r="E253" s="4" t="str">
        <f>TEXT(Data!B253,"MMM-YYYY")</f>
        <v>Mar-2024</v>
      </c>
      <c r="F253" s="4" t="str">
        <f t="shared" si="23"/>
        <v>Q1-2023</v>
      </c>
      <c r="G253" t="s">
        <v>52</v>
      </c>
      <c r="H253" t="s">
        <v>53</v>
      </c>
      <c r="I253" t="s">
        <v>144</v>
      </c>
      <c r="J253" t="s">
        <v>48</v>
      </c>
      <c r="K253" t="s">
        <v>55</v>
      </c>
      <c r="L253" t="s">
        <v>34</v>
      </c>
      <c r="M253" t="s">
        <v>57</v>
      </c>
      <c r="N253" t="s">
        <v>605</v>
      </c>
      <c r="O253" s="4">
        <v>481.71</v>
      </c>
      <c r="P253" s="7" t="str">
        <f t="shared" si="24"/>
        <v>High</v>
      </c>
      <c r="Q253" s="4">
        <v>912.45</v>
      </c>
      <c r="R253" s="4">
        <v>0.20300000000000001</v>
      </c>
      <c r="S253" s="4">
        <v>24</v>
      </c>
      <c r="T253" s="4">
        <f t="shared" si="21"/>
        <v>17084.938320000001</v>
      </c>
      <c r="U253">
        <f t="shared" si="22"/>
        <v>11561.039999999999</v>
      </c>
      <c r="V253" s="4">
        <f t="shared" si="25"/>
        <v>5523.8983200000021</v>
      </c>
      <c r="W253" s="4">
        <f t="shared" si="26"/>
        <v>0.3233197695266834</v>
      </c>
    </row>
    <row r="254" spans="1:23" x14ac:dyDescent="0.3">
      <c r="A254" t="s">
        <v>606</v>
      </c>
      <c r="B254" s="6">
        <v>45366</v>
      </c>
      <c r="C254" s="2">
        <v>45391</v>
      </c>
      <c r="D254" s="4">
        <f t="shared" si="27"/>
        <v>25</v>
      </c>
      <c r="E254" s="4" t="str">
        <f>TEXT(Data!B254,"MMM-YYYY")</f>
        <v>Jul-2024</v>
      </c>
      <c r="F254" s="4" t="str">
        <f t="shared" si="23"/>
        <v>Q1-2024</v>
      </c>
      <c r="G254" t="s">
        <v>52</v>
      </c>
      <c r="H254" t="s">
        <v>53</v>
      </c>
      <c r="I254" t="s">
        <v>179</v>
      </c>
      <c r="J254" t="s">
        <v>48</v>
      </c>
      <c r="K254" t="s">
        <v>28</v>
      </c>
      <c r="L254" t="s">
        <v>84</v>
      </c>
      <c r="M254" t="s">
        <v>64</v>
      </c>
      <c r="N254" t="s">
        <v>607</v>
      </c>
      <c r="O254" s="4">
        <v>648.64</v>
      </c>
      <c r="P254" s="7" t="str">
        <f t="shared" si="24"/>
        <v>High</v>
      </c>
      <c r="Q254" s="4">
        <v>815.19</v>
      </c>
      <c r="R254" s="4">
        <v>0.22500000000000001</v>
      </c>
      <c r="S254" s="4">
        <v>28</v>
      </c>
      <c r="T254" s="4">
        <f t="shared" si="21"/>
        <v>50537.130000000005</v>
      </c>
      <c r="U254">
        <f t="shared" si="22"/>
        <v>18161.919999999998</v>
      </c>
      <c r="V254" s="4">
        <f t="shared" si="25"/>
        <v>32375.210000000006</v>
      </c>
      <c r="W254" s="4">
        <f t="shared" si="26"/>
        <v>0.64062225140208795</v>
      </c>
    </row>
    <row r="255" spans="1:23" x14ac:dyDescent="0.3">
      <c r="A255" t="s">
        <v>608</v>
      </c>
      <c r="B255" s="6">
        <v>45502</v>
      </c>
      <c r="C255" s="2">
        <v>45504</v>
      </c>
      <c r="D255" s="4">
        <f t="shared" si="27"/>
        <v>2</v>
      </c>
      <c r="E255" s="4" t="str">
        <f>TEXT(Data!B255,"MMM-YYYY")</f>
        <v>Oct-2024</v>
      </c>
      <c r="F255" s="4" t="str">
        <f t="shared" si="23"/>
        <v>Q3-2024</v>
      </c>
      <c r="G255" t="s">
        <v>52</v>
      </c>
      <c r="H255" t="s">
        <v>122</v>
      </c>
      <c r="I255" t="s">
        <v>387</v>
      </c>
      <c r="J255" t="s">
        <v>27</v>
      </c>
      <c r="K255" t="s">
        <v>40</v>
      </c>
      <c r="L255" t="s">
        <v>34</v>
      </c>
      <c r="M255" t="s">
        <v>30</v>
      </c>
      <c r="N255" t="s">
        <v>609</v>
      </c>
      <c r="O255" s="4">
        <v>798.97</v>
      </c>
      <c r="P255" s="7" t="str">
        <f t="shared" si="24"/>
        <v>High</v>
      </c>
      <c r="Q255" s="4">
        <v>1814.06</v>
      </c>
      <c r="R255" s="4">
        <v>0.122</v>
      </c>
      <c r="S255" s="4">
        <v>16</v>
      </c>
      <c r="T255" s="4">
        <f t="shared" si="21"/>
        <v>29033.704000000002</v>
      </c>
      <c r="U255">
        <f t="shared" si="22"/>
        <v>12783.52</v>
      </c>
      <c r="V255" s="4">
        <f t="shared" si="25"/>
        <v>16250.184000000001</v>
      </c>
      <c r="W255" s="4">
        <f t="shared" si="26"/>
        <v>0.55970068441835741</v>
      </c>
    </row>
    <row r="256" spans="1:23" x14ac:dyDescent="0.3">
      <c r="A256" t="s">
        <v>610</v>
      </c>
      <c r="B256" s="6">
        <v>45592</v>
      </c>
      <c r="C256" s="2">
        <v>45616</v>
      </c>
      <c r="D256" s="4">
        <f t="shared" si="27"/>
        <v>24</v>
      </c>
      <c r="E256" s="4" t="str">
        <f>TEXT(Data!B256,"MMM-YYYY")</f>
        <v>Apr-2024</v>
      </c>
      <c r="F256" s="4" t="str">
        <f t="shared" si="23"/>
        <v>Q4-2024</v>
      </c>
      <c r="G256" t="s">
        <v>45</v>
      </c>
      <c r="H256" t="s">
        <v>46</v>
      </c>
      <c r="I256" t="s">
        <v>231</v>
      </c>
      <c r="J256" t="s">
        <v>39</v>
      </c>
      <c r="K256" t="s">
        <v>28</v>
      </c>
      <c r="L256" t="s">
        <v>92</v>
      </c>
      <c r="M256" t="s">
        <v>64</v>
      </c>
      <c r="N256" t="s">
        <v>611</v>
      </c>
      <c r="O256" s="4">
        <v>317.25</v>
      </c>
      <c r="P256" s="7" t="str">
        <f t="shared" si="24"/>
        <v>High</v>
      </c>
      <c r="Q256" s="4">
        <v>758.92</v>
      </c>
      <c r="R256" s="4">
        <v>5.2999999999999999E-2</v>
      </c>
      <c r="S256" s="4">
        <v>9</v>
      </c>
      <c r="T256" s="4">
        <f t="shared" si="21"/>
        <v>18599.828130000002</v>
      </c>
      <c r="U256">
        <f t="shared" si="22"/>
        <v>2855.25</v>
      </c>
      <c r="V256" s="4">
        <f t="shared" si="25"/>
        <v>15744.578130000002</v>
      </c>
      <c r="W256" s="4">
        <f t="shared" si="26"/>
        <v>0.84649051700672895</v>
      </c>
    </row>
    <row r="257" spans="1:23" x14ac:dyDescent="0.3">
      <c r="A257" t="s">
        <v>612</v>
      </c>
      <c r="B257" s="6">
        <v>45411</v>
      </c>
      <c r="C257" s="2">
        <v>45431</v>
      </c>
      <c r="D257" s="4">
        <f t="shared" si="27"/>
        <v>20</v>
      </c>
      <c r="E257" s="4" t="str">
        <f>TEXT(Data!B257,"MMM-YYYY")</f>
        <v>Oct-2023</v>
      </c>
      <c r="F257" s="4" t="str">
        <f t="shared" si="23"/>
        <v>Q2-2024</v>
      </c>
      <c r="G257" t="s">
        <v>78</v>
      </c>
      <c r="H257" t="s">
        <v>79</v>
      </c>
      <c r="I257" t="s">
        <v>335</v>
      </c>
      <c r="J257" t="s">
        <v>105</v>
      </c>
      <c r="K257" t="s">
        <v>40</v>
      </c>
      <c r="L257" t="s">
        <v>21</v>
      </c>
      <c r="M257" t="s">
        <v>57</v>
      </c>
      <c r="N257" t="s">
        <v>613</v>
      </c>
      <c r="O257" s="4">
        <v>668.97</v>
      </c>
      <c r="P257" s="7" t="str">
        <f t="shared" si="24"/>
        <v>High</v>
      </c>
      <c r="Q257" s="4">
        <v>1667.44</v>
      </c>
      <c r="R257" s="4">
        <v>3.4000000000000002E-2</v>
      </c>
      <c r="S257" s="4">
        <v>15</v>
      </c>
      <c r="T257" s="4">
        <f t="shared" si="21"/>
        <v>39508.723799999992</v>
      </c>
      <c r="U257">
        <f t="shared" si="22"/>
        <v>10034.550000000001</v>
      </c>
      <c r="V257" s="4">
        <f t="shared" si="25"/>
        <v>29474.17379999999</v>
      </c>
      <c r="W257" s="4">
        <f t="shared" si="26"/>
        <v>0.74601685311839905</v>
      </c>
    </row>
    <row r="258" spans="1:23" x14ac:dyDescent="0.3">
      <c r="A258" t="s">
        <v>614</v>
      </c>
      <c r="B258" s="6">
        <v>45204</v>
      </c>
      <c r="C258" s="2">
        <v>45205</v>
      </c>
      <c r="D258" s="4">
        <f t="shared" si="27"/>
        <v>1</v>
      </c>
      <c r="E258" s="4" t="str">
        <f>TEXT(Data!B258,"MMM-YYYY")</f>
        <v>Apr-2023</v>
      </c>
      <c r="F258" s="4" t="str">
        <f t="shared" si="23"/>
        <v>Q4-2023</v>
      </c>
      <c r="G258" t="s">
        <v>45</v>
      </c>
      <c r="H258" t="s">
        <v>60</v>
      </c>
      <c r="I258" t="s">
        <v>61</v>
      </c>
      <c r="J258" t="s">
        <v>39</v>
      </c>
      <c r="K258" t="s">
        <v>28</v>
      </c>
      <c r="L258" t="s">
        <v>34</v>
      </c>
      <c r="M258" t="s">
        <v>22</v>
      </c>
      <c r="N258" t="s">
        <v>615</v>
      </c>
      <c r="O258" s="4">
        <v>1470.26</v>
      </c>
      <c r="P258" s="7" t="str">
        <f t="shared" si="24"/>
        <v>High</v>
      </c>
      <c r="Q258" s="4">
        <v>2562.5500000000002</v>
      </c>
      <c r="R258" s="4">
        <v>0.17299999999999999</v>
      </c>
      <c r="S258" s="4">
        <v>9</v>
      </c>
      <c r="T258" s="4">
        <f t="shared" ref="T258:T321" si="28">(Q284*S258)*(1-R258)</f>
        <v>828.33146999999997</v>
      </c>
      <c r="U258">
        <f t="shared" ref="U258:U321" si="29">(O258*S258)</f>
        <v>13232.34</v>
      </c>
      <c r="V258" s="4">
        <f t="shared" si="25"/>
        <v>-12404.008530000001</v>
      </c>
      <c r="W258" s="4">
        <f t="shared" si="26"/>
        <v>-14.974691870634834</v>
      </c>
    </row>
    <row r="259" spans="1:23" x14ac:dyDescent="0.3">
      <c r="A259" t="s">
        <v>616</v>
      </c>
      <c r="B259" s="6">
        <v>45035</v>
      </c>
      <c r="C259" s="2">
        <v>45053</v>
      </c>
      <c r="D259" s="4">
        <f t="shared" si="27"/>
        <v>18</v>
      </c>
      <c r="E259" s="4" t="str">
        <f>TEXT(Data!B259,"MMM-YYYY")</f>
        <v>Jun-2025</v>
      </c>
      <c r="F259" s="4" t="str">
        <f t="shared" ref="F259:F322" si="30">"Q"&amp;ROUNDUP(MONTH(B259)/3,0)&amp;"-"&amp;YEAR(B259)</f>
        <v>Q2-2023</v>
      </c>
      <c r="G259" t="s">
        <v>78</v>
      </c>
      <c r="H259" t="s">
        <v>108</v>
      </c>
      <c r="I259" t="s">
        <v>152</v>
      </c>
      <c r="J259" t="s">
        <v>39</v>
      </c>
      <c r="K259" t="s">
        <v>98</v>
      </c>
      <c r="L259" t="s">
        <v>92</v>
      </c>
      <c r="M259" t="s">
        <v>35</v>
      </c>
      <c r="N259" t="s">
        <v>617</v>
      </c>
      <c r="O259" s="4">
        <v>516.96</v>
      </c>
      <c r="P259" s="7" t="str">
        <f t="shared" ref="P259:P322" si="31">IF(Q259&lt;50, "Low", IF(Q259&lt;200, "Medium", "High"))</f>
        <v>High</v>
      </c>
      <c r="Q259" s="4">
        <v>745.38</v>
      </c>
      <c r="R259" s="4">
        <v>0.19700000000000001</v>
      </c>
      <c r="S259" s="4">
        <v>4</v>
      </c>
      <c r="T259" s="4">
        <f t="shared" si="28"/>
        <v>3533.4890799999994</v>
      </c>
      <c r="U259">
        <f t="shared" si="29"/>
        <v>2067.84</v>
      </c>
      <c r="V259" s="4">
        <f t="shared" ref="V259:V322" si="32">(T259-U259)</f>
        <v>1465.6490799999992</v>
      </c>
      <c r="W259" s="4">
        <f t="shared" ref="W259:W322" si="33">IF(T259=0, 0, V259/T259)</f>
        <v>0.41478805985159561</v>
      </c>
    </row>
    <row r="260" spans="1:23" x14ac:dyDescent="0.3">
      <c r="A260" t="s">
        <v>618</v>
      </c>
      <c r="B260" s="6">
        <v>45835</v>
      </c>
      <c r="C260" s="2">
        <v>45843</v>
      </c>
      <c r="D260" s="4">
        <f t="shared" ref="D260:D322" si="34">DATEDIF(B260,C260, "MD")</f>
        <v>8</v>
      </c>
      <c r="E260" s="4" t="str">
        <f>TEXT(Data!B260,"MMM-YYYY")</f>
        <v>Oct-2023</v>
      </c>
      <c r="F260" s="4" t="str">
        <f t="shared" si="30"/>
        <v>Q2-2025</v>
      </c>
      <c r="G260" t="s">
        <v>78</v>
      </c>
      <c r="H260" t="s">
        <v>79</v>
      </c>
      <c r="I260" t="s">
        <v>159</v>
      </c>
      <c r="J260" t="s">
        <v>62</v>
      </c>
      <c r="K260" t="s">
        <v>98</v>
      </c>
      <c r="L260" t="s">
        <v>41</v>
      </c>
      <c r="M260" t="s">
        <v>64</v>
      </c>
      <c r="N260" t="s">
        <v>619</v>
      </c>
      <c r="O260" s="4">
        <v>314.93</v>
      </c>
      <c r="P260" s="7" t="str">
        <f t="shared" si="31"/>
        <v>High</v>
      </c>
      <c r="Q260" s="4">
        <v>687.95</v>
      </c>
      <c r="R260" s="4">
        <v>0.20499999999999999</v>
      </c>
      <c r="S260" s="4">
        <v>8</v>
      </c>
      <c r="T260" s="4">
        <f t="shared" si="28"/>
        <v>9725.3304000000007</v>
      </c>
      <c r="U260">
        <f t="shared" si="29"/>
        <v>2519.44</v>
      </c>
      <c r="V260" s="4">
        <f t="shared" si="32"/>
        <v>7205.8904000000002</v>
      </c>
      <c r="W260" s="4">
        <f t="shared" si="33"/>
        <v>0.74094042090333501</v>
      </c>
    </row>
    <row r="261" spans="1:23" x14ac:dyDescent="0.3">
      <c r="A261" t="s">
        <v>620</v>
      </c>
      <c r="B261" s="6">
        <v>45210</v>
      </c>
      <c r="C261" s="2">
        <v>45212</v>
      </c>
      <c r="D261" s="4">
        <f t="shared" si="34"/>
        <v>2</v>
      </c>
      <c r="E261" s="4" t="str">
        <f>TEXT(Data!B261,"MMM-YYYY")</f>
        <v>May-2023</v>
      </c>
      <c r="F261" s="4" t="str">
        <f t="shared" si="30"/>
        <v>Q4-2023</v>
      </c>
      <c r="G261" t="s">
        <v>52</v>
      </c>
      <c r="H261" t="s">
        <v>73</v>
      </c>
      <c r="I261" t="s">
        <v>87</v>
      </c>
      <c r="J261" t="s">
        <v>48</v>
      </c>
      <c r="K261" t="s">
        <v>55</v>
      </c>
      <c r="L261" t="s">
        <v>1364</v>
      </c>
      <c r="M261" t="s">
        <v>81</v>
      </c>
      <c r="N261" t="s">
        <v>621</v>
      </c>
      <c r="O261" s="4">
        <v>715.94</v>
      </c>
      <c r="P261" s="7" t="str">
        <f t="shared" si="31"/>
        <v>High</v>
      </c>
      <c r="Q261" s="4">
        <v>550.07000000000005</v>
      </c>
      <c r="R261" s="4">
        <v>0.14000000000000001</v>
      </c>
      <c r="S261" s="4">
        <v>16</v>
      </c>
      <c r="T261" s="4">
        <f t="shared" si="28"/>
        <v>10026.7744</v>
      </c>
      <c r="U261">
        <f t="shared" si="29"/>
        <v>11455.04</v>
      </c>
      <c r="V261" s="4">
        <f t="shared" si="32"/>
        <v>-1428.2656000000006</v>
      </c>
      <c r="W261" s="4">
        <f t="shared" si="33"/>
        <v>-0.14244517159975201</v>
      </c>
    </row>
    <row r="262" spans="1:23" x14ac:dyDescent="0.3">
      <c r="A262" t="s">
        <v>622</v>
      </c>
      <c r="B262" s="6">
        <v>45066</v>
      </c>
      <c r="C262" s="2">
        <v>45084</v>
      </c>
      <c r="D262" s="4">
        <f t="shared" si="34"/>
        <v>18</v>
      </c>
      <c r="E262" s="4" t="str">
        <f>TEXT(Data!B262,"MMM-YYYY")</f>
        <v>May-2023</v>
      </c>
      <c r="F262" s="4" t="str">
        <f t="shared" si="30"/>
        <v>Q2-2023</v>
      </c>
      <c r="G262" t="s">
        <v>16</v>
      </c>
      <c r="H262" t="s">
        <v>25</v>
      </c>
      <c r="I262" t="s">
        <v>26</v>
      </c>
      <c r="J262" t="s">
        <v>105</v>
      </c>
      <c r="K262" t="s">
        <v>55</v>
      </c>
      <c r="L262" t="s">
        <v>63</v>
      </c>
      <c r="M262" t="s">
        <v>22</v>
      </c>
      <c r="N262" t="s">
        <v>623</v>
      </c>
      <c r="O262" s="4">
        <v>1120.06</v>
      </c>
      <c r="P262" s="7" t="str">
        <f t="shared" si="31"/>
        <v>High</v>
      </c>
      <c r="Q262" s="4">
        <v>2068.21</v>
      </c>
      <c r="R262" s="4">
        <v>7.8E-2</v>
      </c>
      <c r="S262" s="4">
        <v>12</v>
      </c>
      <c r="T262" s="4">
        <f t="shared" si="28"/>
        <v>69.481920000000002</v>
      </c>
      <c r="U262">
        <f t="shared" si="29"/>
        <v>13440.72</v>
      </c>
      <c r="V262" s="4">
        <f t="shared" si="32"/>
        <v>-13371.238079999999</v>
      </c>
      <c r="W262" s="4">
        <f t="shared" si="33"/>
        <v>-192.44197742376721</v>
      </c>
    </row>
    <row r="263" spans="1:23" x14ac:dyDescent="0.3">
      <c r="A263" t="s">
        <v>624</v>
      </c>
      <c r="B263" s="6">
        <v>45073</v>
      </c>
      <c r="C263" s="2">
        <v>45096</v>
      </c>
      <c r="D263" s="4">
        <f t="shared" si="34"/>
        <v>23</v>
      </c>
      <c r="E263" s="4" t="str">
        <f>TEXT(Data!B263,"MMM-YYYY")</f>
        <v>Aug-2023</v>
      </c>
      <c r="F263" s="4" t="str">
        <f t="shared" si="30"/>
        <v>Q2-2023</v>
      </c>
      <c r="G263" t="s">
        <v>78</v>
      </c>
      <c r="H263" t="s">
        <v>79</v>
      </c>
      <c r="I263" t="s">
        <v>80</v>
      </c>
      <c r="J263" t="s">
        <v>27</v>
      </c>
      <c r="K263" t="s">
        <v>20</v>
      </c>
      <c r="L263" t="s">
        <v>68</v>
      </c>
      <c r="M263" t="s">
        <v>81</v>
      </c>
      <c r="N263" t="s">
        <v>625</v>
      </c>
      <c r="O263" s="4">
        <v>1471.58</v>
      </c>
      <c r="P263" s="7" t="str">
        <f t="shared" si="31"/>
        <v>High</v>
      </c>
      <c r="Q263" s="4">
        <v>2576.65</v>
      </c>
      <c r="R263" s="4">
        <v>4.0000000000000001E-3</v>
      </c>
      <c r="S263" s="4">
        <v>7</v>
      </c>
      <c r="T263" s="4">
        <f t="shared" si="28"/>
        <v>17916.436439999998</v>
      </c>
      <c r="U263">
        <f t="shared" si="29"/>
        <v>10301.06</v>
      </c>
      <c r="V263" s="4">
        <f t="shared" si="32"/>
        <v>7615.3764399999982</v>
      </c>
      <c r="W263" s="4">
        <f t="shared" si="33"/>
        <v>0.42504972824830334</v>
      </c>
    </row>
    <row r="264" spans="1:23" x14ac:dyDescent="0.3">
      <c r="A264" t="s">
        <v>626</v>
      </c>
      <c r="B264" s="6">
        <v>45142</v>
      </c>
      <c r="C264" s="2">
        <v>45162</v>
      </c>
      <c r="D264" s="4">
        <f t="shared" si="34"/>
        <v>20</v>
      </c>
      <c r="E264" s="4" t="str">
        <f>TEXT(Data!B264,"MMM-YYYY")</f>
        <v>Jun-2025</v>
      </c>
      <c r="F264" s="4" t="str">
        <f t="shared" si="30"/>
        <v>Q3-2023</v>
      </c>
      <c r="G264" t="s">
        <v>52</v>
      </c>
      <c r="H264" t="s">
        <v>73</v>
      </c>
      <c r="I264" t="s">
        <v>87</v>
      </c>
      <c r="J264" t="s">
        <v>39</v>
      </c>
      <c r="K264" t="s">
        <v>98</v>
      </c>
      <c r="L264" t="s">
        <v>1364</v>
      </c>
      <c r="M264" t="s">
        <v>35</v>
      </c>
      <c r="N264" t="s">
        <v>627</v>
      </c>
      <c r="O264" s="4">
        <v>582.88</v>
      </c>
      <c r="P264" s="7" t="str">
        <f t="shared" si="31"/>
        <v>High</v>
      </c>
      <c r="Q264" s="4">
        <v>1044.1400000000001</v>
      </c>
      <c r="R264" s="4">
        <v>0.216</v>
      </c>
      <c r="S264" s="4">
        <v>10</v>
      </c>
      <c r="T264" s="4">
        <f t="shared" si="28"/>
        <v>12481.436800000001</v>
      </c>
      <c r="U264">
        <f t="shared" si="29"/>
        <v>5828.8</v>
      </c>
      <c r="V264" s="4">
        <f t="shared" si="32"/>
        <v>6652.6368000000011</v>
      </c>
      <c r="W264" s="4">
        <f t="shared" si="33"/>
        <v>0.53300248253470306</v>
      </c>
    </row>
    <row r="265" spans="1:23" x14ac:dyDescent="0.3">
      <c r="A265" t="s">
        <v>628</v>
      </c>
      <c r="B265" s="6">
        <v>45829</v>
      </c>
      <c r="C265" s="2">
        <v>45835</v>
      </c>
      <c r="D265" s="4">
        <f t="shared" si="34"/>
        <v>6</v>
      </c>
      <c r="E265" s="4" t="str">
        <f>TEXT(Data!B265,"MMM-YYYY")</f>
        <v>Apr-2025</v>
      </c>
      <c r="F265" s="4" t="str">
        <f t="shared" si="30"/>
        <v>Q2-2025</v>
      </c>
      <c r="G265" t="s">
        <v>16</v>
      </c>
      <c r="H265" t="s">
        <v>148</v>
      </c>
      <c r="I265" t="s">
        <v>172</v>
      </c>
      <c r="J265" t="s">
        <v>105</v>
      </c>
      <c r="K265" t="s">
        <v>55</v>
      </c>
      <c r="L265" t="s">
        <v>126</v>
      </c>
      <c r="M265" t="s">
        <v>42</v>
      </c>
      <c r="N265" t="s">
        <v>629</v>
      </c>
      <c r="O265" s="4">
        <v>93.91</v>
      </c>
      <c r="P265" s="7" t="str">
        <f t="shared" si="31"/>
        <v>Medium</v>
      </c>
      <c r="Q265" s="4">
        <v>99.04</v>
      </c>
      <c r="R265" s="4">
        <v>5.7000000000000002E-2</v>
      </c>
      <c r="S265" s="4">
        <v>6</v>
      </c>
      <c r="T265" s="4">
        <f t="shared" si="28"/>
        <v>5632.3692599999995</v>
      </c>
      <c r="U265">
        <f t="shared" si="29"/>
        <v>563.46</v>
      </c>
      <c r="V265" s="4">
        <f t="shared" si="32"/>
        <v>5068.9092599999994</v>
      </c>
      <c r="W265" s="4">
        <f t="shared" si="33"/>
        <v>0.89996039428707486</v>
      </c>
    </row>
    <row r="266" spans="1:23" x14ac:dyDescent="0.3">
      <c r="A266" t="s">
        <v>630</v>
      </c>
      <c r="B266" s="6">
        <v>45763</v>
      </c>
      <c r="C266" s="2">
        <v>45773</v>
      </c>
      <c r="D266" s="4">
        <f t="shared" si="34"/>
        <v>10</v>
      </c>
      <c r="E266" s="4" t="str">
        <f>TEXT(Data!B266,"MMM-YYYY")</f>
        <v>Sep-2025</v>
      </c>
      <c r="F266" s="4" t="str">
        <f t="shared" si="30"/>
        <v>Q2-2025</v>
      </c>
      <c r="G266" t="s">
        <v>16</v>
      </c>
      <c r="H266" t="s">
        <v>25</v>
      </c>
      <c r="I266" t="s">
        <v>26</v>
      </c>
      <c r="J266" t="s">
        <v>105</v>
      </c>
      <c r="K266" t="s">
        <v>40</v>
      </c>
      <c r="L266" t="s">
        <v>84</v>
      </c>
      <c r="M266" t="s">
        <v>57</v>
      </c>
      <c r="N266" t="s">
        <v>631</v>
      </c>
      <c r="O266" s="4">
        <v>1457.44</v>
      </c>
      <c r="P266" s="7" t="str">
        <f t="shared" si="31"/>
        <v>High</v>
      </c>
      <c r="Q266" s="4">
        <v>1996.81</v>
      </c>
      <c r="R266" s="4">
        <v>0.126</v>
      </c>
      <c r="S266" s="4">
        <v>23</v>
      </c>
      <c r="T266" s="4">
        <f t="shared" si="28"/>
        <v>24932.711619999998</v>
      </c>
      <c r="U266">
        <f t="shared" si="29"/>
        <v>33521.120000000003</v>
      </c>
      <c r="V266" s="4">
        <f t="shared" si="32"/>
        <v>-8588.4083800000044</v>
      </c>
      <c r="W266" s="4">
        <f t="shared" si="33"/>
        <v>-0.3444634707566559</v>
      </c>
    </row>
    <row r="267" spans="1:23" x14ac:dyDescent="0.3">
      <c r="A267" t="s">
        <v>632</v>
      </c>
      <c r="B267" s="6">
        <v>45902</v>
      </c>
      <c r="C267" s="2">
        <v>45911</v>
      </c>
      <c r="D267" s="4">
        <f t="shared" si="34"/>
        <v>9</v>
      </c>
      <c r="E267" s="4" t="str">
        <f>TEXT(Data!B267,"MMM-YYYY")</f>
        <v>Oct-2024</v>
      </c>
      <c r="F267" s="4" t="str">
        <f t="shared" si="30"/>
        <v>Q3-2025</v>
      </c>
      <c r="G267" t="s">
        <v>52</v>
      </c>
      <c r="H267" t="s">
        <v>53</v>
      </c>
      <c r="I267" t="s">
        <v>54</v>
      </c>
      <c r="J267" t="s">
        <v>19</v>
      </c>
      <c r="K267" t="s">
        <v>55</v>
      </c>
      <c r="L267" t="s">
        <v>110</v>
      </c>
      <c r="M267" t="s">
        <v>30</v>
      </c>
      <c r="N267" t="s">
        <v>633</v>
      </c>
      <c r="O267" s="4">
        <v>1207.6300000000001</v>
      </c>
      <c r="P267" s="7" t="str">
        <f t="shared" si="31"/>
        <v>High</v>
      </c>
      <c r="Q267" s="4">
        <v>921.68</v>
      </c>
      <c r="R267" s="4">
        <v>0.19600000000000001</v>
      </c>
      <c r="S267" s="4">
        <v>17</v>
      </c>
      <c r="T267" s="4">
        <f t="shared" si="28"/>
        <v>1617.8811600000001</v>
      </c>
      <c r="U267">
        <f t="shared" si="29"/>
        <v>20529.710000000003</v>
      </c>
      <c r="V267" s="4">
        <f t="shared" si="32"/>
        <v>-18911.828840000002</v>
      </c>
      <c r="W267" s="4">
        <f t="shared" si="33"/>
        <v>-11.689257102171831</v>
      </c>
    </row>
    <row r="268" spans="1:23" x14ac:dyDescent="0.3">
      <c r="A268" t="s">
        <v>634</v>
      </c>
      <c r="B268" s="6">
        <v>45573</v>
      </c>
      <c r="C268" s="2">
        <v>45573</v>
      </c>
      <c r="D268" s="4">
        <f t="shared" si="34"/>
        <v>0</v>
      </c>
      <c r="E268" s="4" t="str">
        <f>TEXT(Data!B268,"MMM-YYYY")</f>
        <v>May-2023</v>
      </c>
      <c r="F268" s="4" t="str">
        <f t="shared" si="30"/>
        <v>Q4-2024</v>
      </c>
      <c r="G268" t="s">
        <v>78</v>
      </c>
      <c r="H268" t="s">
        <v>108</v>
      </c>
      <c r="I268" t="s">
        <v>152</v>
      </c>
      <c r="J268" t="s">
        <v>19</v>
      </c>
      <c r="K268" t="s">
        <v>28</v>
      </c>
      <c r="L268" t="s">
        <v>63</v>
      </c>
      <c r="M268" t="s">
        <v>64</v>
      </c>
      <c r="N268" t="s">
        <v>635</v>
      </c>
      <c r="O268" s="4">
        <v>1108.1099999999999</v>
      </c>
      <c r="P268" s="7" t="str">
        <f t="shared" si="31"/>
        <v>High</v>
      </c>
      <c r="Q268" s="4">
        <v>2503.79</v>
      </c>
      <c r="R268" s="4">
        <v>0.184</v>
      </c>
      <c r="S268" s="4">
        <v>19</v>
      </c>
      <c r="T268" s="4">
        <f t="shared" si="28"/>
        <v>32644.137120000007</v>
      </c>
      <c r="U268">
        <f t="shared" si="29"/>
        <v>21054.089999999997</v>
      </c>
      <c r="V268" s="4">
        <f t="shared" si="32"/>
        <v>11590.04712000001</v>
      </c>
      <c r="W268" s="4">
        <f t="shared" si="33"/>
        <v>0.35504222633898824</v>
      </c>
    </row>
    <row r="269" spans="1:23" x14ac:dyDescent="0.3">
      <c r="A269" t="s">
        <v>636</v>
      </c>
      <c r="B269" s="6">
        <v>45053</v>
      </c>
      <c r="C269" s="2">
        <v>45051</v>
      </c>
      <c r="D269" s="4">
        <f>DATEDIF(C269,B269, "MD")</f>
        <v>2</v>
      </c>
      <c r="E269" s="4" t="str">
        <f>TEXT(Data!B269,"MMM-YYYY")</f>
        <v>Dec-2023</v>
      </c>
      <c r="F269" s="4" t="str">
        <f t="shared" si="30"/>
        <v>Q2-2023</v>
      </c>
      <c r="G269" t="s">
        <v>16</v>
      </c>
      <c r="H269" t="s">
        <v>25</v>
      </c>
      <c r="I269" t="s">
        <v>26</v>
      </c>
      <c r="J269" t="s">
        <v>39</v>
      </c>
      <c r="K269" t="s">
        <v>40</v>
      </c>
      <c r="L269" t="s">
        <v>75</v>
      </c>
      <c r="M269" t="s">
        <v>22</v>
      </c>
      <c r="N269" t="s">
        <v>637</v>
      </c>
      <c r="O269" s="4">
        <v>1269.6500000000001</v>
      </c>
      <c r="P269" s="7" t="str">
        <f t="shared" si="31"/>
        <v>High</v>
      </c>
      <c r="Q269" s="4">
        <v>2462.77</v>
      </c>
      <c r="R269" s="4">
        <v>0.107</v>
      </c>
      <c r="S269" s="4">
        <v>8</v>
      </c>
      <c r="T269" s="4">
        <f t="shared" si="28"/>
        <v>3736.3119999999999</v>
      </c>
      <c r="U269">
        <f t="shared" si="29"/>
        <v>10157.200000000001</v>
      </c>
      <c r="V269" s="4">
        <f t="shared" si="32"/>
        <v>-6420.8880000000008</v>
      </c>
      <c r="W269" s="4">
        <f t="shared" si="33"/>
        <v>-1.7185095891349547</v>
      </c>
    </row>
    <row r="270" spans="1:23" x14ac:dyDescent="0.3">
      <c r="A270" t="s">
        <v>638</v>
      </c>
      <c r="B270" s="6">
        <v>45284</v>
      </c>
      <c r="C270" s="2">
        <v>45292</v>
      </c>
      <c r="D270" s="4">
        <f t="shared" si="34"/>
        <v>8</v>
      </c>
      <c r="E270" s="4" t="str">
        <f>TEXT(Data!B270,"MMM-YYYY")</f>
        <v>Jan-2024</v>
      </c>
      <c r="F270" s="4" t="str">
        <f t="shared" si="30"/>
        <v>Q4-2023</v>
      </c>
      <c r="G270" t="s">
        <v>52</v>
      </c>
      <c r="H270" t="s">
        <v>73</v>
      </c>
      <c r="I270" t="s">
        <v>74</v>
      </c>
      <c r="J270" t="s">
        <v>27</v>
      </c>
      <c r="K270" t="s">
        <v>98</v>
      </c>
      <c r="L270" t="s">
        <v>21</v>
      </c>
      <c r="M270" t="s">
        <v>42</v>
      </c>
      <c r="N270" t="s">
        <v>639</v>
      </c>
      <c r="O270" s="4">
        <v>526.49</v>
      </c>
      <c r="P270" s="7" t="str">
        <f t="shared" si="31"/>
        <v>High</v>
      </c>
      <c r="Q270" s="4">
        <v>496.2</v>
      </c>
      <c r="R270" s="4">
        <v>0</v>
      </c>
      <c r="S270" s="4">
        <v>14</v>
      </c>
      <c r="T270" s="4">
        <f t="shared" si="28"/>
        <v>15054.199999999999</v>
      </c>
      <c r="U270">
        <f t="shared" si="29"/>
        <v>7370.8600000000006</v>
      </c>
      <c r="V270" s="4">
        <f t="shared" si="32"/>
        <v>7683.3399999999983</v>
      </c>
      <c r="W270" s="4">
        <f t="shared" si="33"/>
        <v>0.51037849902352828</v>
      </c>
    </row>
    <row r="271" spans="1:23" x14ac:dyDescent="0.3">
      <c r="A271" t="s">
        <v>640</v>
      </c>
      <c r="B271" s="6">
        <v>45301</v>
      </c>
      <c r="C271" s="2">
        <v>45314</v>
      </c>
      <c r="D271" s="4">
        <f t="shared" si="34"/>
        <v>13</v>
      </c>
      <c r="E271" s="4" t="str">
        <f>TEXT(Data!B271,"MMM-YYYY")</f>
        <v>Aug-2023</v>
      </c>
      <c r="F271" s="4" t="str">
        <f t="shared" si="30"/>
        <v>Q1-2024</v>
      </c>
      <c r="G271" t="s">
        <v>78</v>
      </c>
      <c r="H271" t="s">
        <v>90</v>
      </c>
      <c r="I271" t="s">
        <v>91</v>
      </c>
      <c r="J271" t="s">
        <v>19</v>
      </c>
      <c r="K271" t="s">
        <v>98</v>
      </c>
      <c r="L271" t="s">
        <v>75</v>
      </c>
      <c r="M271" t="s">
        <v>30</v>
      </c>
      <c r="N271" t="s">
        <v>641</v>
      </c>
      <c r="O271" s="4">
        <v>720</v>
      </c>
      <c r="P271" s="7" t="str">
        <f t="shared" si="31"/>
        <v>High</v>
      </c>
      <c r="Q271" s="4">
        <v>907.59</v>
      </c>
      <c r="R271" s="4">
        <v>0.154</v>
      </c>
      <c r="S271" s="4">
        <v>10</v>
      </c>
      <c r="T271" s="4">
        <f t="shared" si="28"/>
        <v>27872.062200000004</v>
      </c>
      <c r="U271">
        <f t="shared" si="29"/>
        <v>7200</v>
      </c>
      <c r="V271" s="4">
        <f t="shared" si="32"/>
        <v>20672.062200000004</v>
      </c>
      <c r="W271" s="4">
        <f t="shared" si="33"/>
        <v>0.7416768106954067</v>
      </c>
    </row>
    <row r="272" spans="1:23" x14ac:dyDescent="0.3">
      <c r="A272" t="s">
        <v>642</v>
      </c>
      <c r="B272" s="6">
        <v>45141</v>
      </c>
      <c r="C272" s="2">
        <v>45152</v>
      </c>
      <c r="D272" s="4">
        <f t="shared" si="34"/>
        <v>11</v>
      </c>
      <c r="E272" s="4" t="str">
        <f>TEXT(Data!B272,"MMM-YYYY")</f>
        <v>Feb-2025</v>
      </c>
      <c r="F272" s="4" t="str">
        <f t="shared" si="30"/>
        <v>Q3-2023</v>
      </c>
      <c r="G272" t="s">
        <v>52</v>
      </c>
      <c r="H272" t="s">
        <v>73</v>
      </c>
      <c r="I272" t="s">
        <v>87</v>
      </c>
      <c r="J272" t="s">
        <v>19</v>
      </c>
      <c r="K272" t="s">
        <v>98</v>
      </c>
      <c r="L272" t="s">
        <v>29</v>
      </c>
      <c r="M272" t="s">
        <v>81</v>
      </c>
      <c r="N272" t="s">
        <v>643</v>
      </c>
      <c r="O272" s="4">
        <v>232.73</v>
      </c>
      <c r="P272" s="7" t="str">
        <f t="shared" si="31"/>
        <v>High</v>
      </c>
      <c r="Q272" s="4">
        <v>334.19</v>
      </c>
      <c r="R272" s="4">
        <v>0.13400000000000001</v>
      </c>
      <c r="S272" s="4">
        <v>25</v>
      </c>
      <c r="T272" s="4">
        <f t="shared" si="28"/>
        <v>10046.682500000001</v>
      </c>
      <c r="U272">
        <f t="shared" si="29"/>
        <v>5818.25</v>
      </c>
      <c r="V272" s="4">
        <f t="shared" si="32"/>
        <v>4228.4325000000008</v>
      </c>
      <c r="W272" s="4">
        <f t="shared" si="33"/>
        <v>0.42087848401698774</v>
      </c>
    </row>
    <row r="273" spans="1:23" x14ac:dyDescent="0.3">
      <c r="A273" t="s">
        <v>644</v>
      </c>
      <c r="B273" s="6">
        <v>45707</v>
      </c>
      <c r="C273" s="2">
        <v>45725</v>
      </c>
      <c r="D273" s="4">
        <f t="shared" si="34"/>
        <v>18</v>
      </c>
      <c r="E273" s="4" t="str">
        <f>TEXT(Data!B273,"MMM-YYYY")</f>
        <v>Mar-2024</v>
      </c>
      <c r="F273" s="4" t="str">
        <f t="shared" si="30"/>
        <v>Q1-2025</v>
      </c>
      <c r="G273" t="s">
        <v>45</v>
      </c>
      <c r="H273" t="s">
        <v>60</v>
      </c>
      <c r="I273" t="s">
        <v>141</v>
      </c>
      <c r="J273" t="s">
        <v>62</v>
      </c>
      <c r="K273" t="s">
        <v>98</v>
      </c>
      <c r="L273" t="s">
        <v>68</v>
      </c>
      <c r="M273" t="s">
        <v>64</v>
      </c>
      <c r="N273" t="s">
        <v>645</v>
      </c>
      <c r="O273" s="4">
        <v>325.87</v>
      </c>
      <c r="P273" s="7" t="str">
        <f t="shared" si="31"/>
        <v>High</v>
      </c>
      <c r="Q273" s="4">
        <v>538.79</v>
      </c>
      <c r="R273" s="4">
        <v>0.17399999999999999</v>
      </c>
      <c r="S273" s="4">
        <v>16</v>
      </c>
      <c r="T273" s="4">
        <f t="shared" si="28"/>
        <v>6753.7724800000005</v>
      </c>
      <c r="U273">
        <f t="shared" si="29"/>
        <v>5213.92</v>
      </c>
      <c r="V273" s="4">
        <f t="shared" si="32"/>
        <v>1539.8524800000005</v>
      </c>
      <c r="W273" s="4">
        <f t="shared" si="33"/>
        <v>0.22799886797489516</v>
      </c>
    </row>
    <row r="274" spans="1:23" x14ac:dyDescent="0.3">
      <c r="A274" t="s">
        <v>646</v>
      </c>
      <c r="B274" s="6">
        <v>45382</v>
      </c>
      <c r="C274" s="2">
        <v>45399</v>
      </c>
      <c r="D274" s="4">
        <f t="shared" si="34"/>
        <v>17</v>
      </c>
      <c r="E274" s="4" t="str">
        <f>TEXT(Data!B274,"MMM-YYYY")</f>
        <v>Jul-2023</v>
      </c>
      <c r="F274" s="4" t="str">
        <f t="shared" si="30"/>
        <v>Q1-2024</v>
      </c>
      <c r="G274" t="s">
        <v>78</v>
      </c>
      <c r="H274" t="s">
        <v>79</v>
      </c>
      <c r="I274" t="s">
        <v>335</v>
      </c>
      <c r="J274" t="s">
        <v>27</v>
      </c>
      <c r="K274" t="s">
        <v>98</v>
      </c>
      <c r="L274" t="s">
        <v>92</v>
      </c>
      <c r="M274" t="s">
        <v>64</v>
      </c>
      <c r="N274" t="s">
        <v>647</v>
      </c>
      <c r="O274" s="4">
        <v>1025.51</v>
      </c>
      <c r="P274" s="7" t="str">
        <f t="shared" si="31"/>
        <v>High</v>
      </c>
      <c r="Q274" s="4">
        <v>1436.54</v>
      </c>
      <c r="R274" s="4">
        <v>0.13900000000000001</v>
      </c>
      <c r="S274" s="4">
        <v>28</v>
      </c>
      <c r="T274" s="4">
        <f t="shared" si="28"/>
        <v>101.73576</v>
      </c>
      <c r="U274">
        <f t="shared" si="29"/>
        <v>28714.28</v>
      </c>
      <c r="V274" s="4">
        <f t="shared" si="32"/>
        <v>-28612.544239999999</v>
      </c>
      <c r="W274" s="4">
        <f t="shared" si="33"/>
        <v>-281.24372629643699</v>
      </c>
    </row>
    <row r="275" spans="1:23" x14ac:dyDescent="0.3">
      <c r="A275" t="s">
        <v>648</v>
      </c>
      <c r="B275" s="6">
        <v>45131</v>
      </c>
      <c r="C275" s="2">
        <v>45151</v>
      </c>
      <c r="D275" s="4">
        <f t="shared" si="34"/>
        <v>20</v>
      </c>
      <c r="E275" s="4" t="str">
        <f>TEXT(Data!B275,"MMM-YYYY")</f>
        <v>Mar-2024</v>
      </c>
      <c r="F275" s="4" t="str">
        <f t="shared" si="30"/>
        <v>Q3-2023</v>
      </c>
      <c r="G275" t="s">
        <v>52</v>
      </c>
      <c r="H275" t="s">
        <v>53</v>
      </c>
      <c r="I275" t="s">
        <v>144</v>
      </c>
      <c r="J275" t="s">
        <v>27</v>
      </c>
      <c r="K275" t="s">
        <v>98</v>
      </c>
      <c r="L275" t="s">
        <v>21</v>
      </c>
      <c r="M275" t="s">
        <v>64</v>
      </c>
      <c r="N275" t="s">
        <v>649</v>
      </c>
      <c r="O275" s="4">
        <v>1082.3800000000001</v>
      </c>
      <c r="P275" s="7" t="str">
        <f t="shared" si="31"/>
        <v>High</v>
      </c>
      <c r="Q275" s="4">
        <v>1766.55</v>
      </c>
      <c r="R275" s="4">
        <v>0.16400000000000001</v>
      </c>
      <c r="S275" s="4">
        <v>20</v>
      </c>
      <c r="T275" s="4">
        <f t="shared" si="28"/>
        <v>9651.4527999999991</v>
      </c>
      <c r="U275">
        <f t="shared" si="29"/>
        <v>21647.600000000002</v>
      </c>
      <c r="V275" s="4">
        <f t="shared" si="32"/>
        <v>-11996.147200000003</v>
      </c>
      <c r="W275" s="4">
        <f t="shared" si="33"/>
        <v>-1.242936938986015</v>
      </c>
    </row>
    <row r="276" spans="1:23" x14ac:dyDescent="0.3">
      <c r="A276" t="s">
        <v>650</v>
      </c>
      <c r="B276" s="6">
        <v>45367</v>
      </c>
      <c r="C276" s="2">
        <v>45395</v>
      </c>
      <c r="D276" s="4">
        <f t="shared" si="34"/>
        <v>28</v>
      </c>
      <c r="E276" s="4" t="str">
        <f>TEXT(Data!B276,"MMM-YYYY")</f>
        <v>Jan-2024</v>
      </c>
      <c r="F276" s="4" t="str">
        <f t="shared" si="30"/>
        <v>Q1-2024</v>
      </c>
      <c r="G276" t="s">
        <v>78</v>
      </c>
      <c r="H276" t="s">
        <v>90</v>
      </c>
      <c r="I276" t="s">
        <v>217</v>
      </c>
      <c r="J276" t="s">
        <v>62</v>
      </c>
      <c r="K276" t="s">
        <v>28</v>
      </c>
      <c r="L276" t="s">
        <v>95</v>
      </c>
      <c r="M276" t="s">
        <v>30</v>
      </c>
      <c r="N276" t="s">
        <v>651</v>
      </c>
      <c r="O276" s="4">
        <v>287.61</v>
      </c>
      <c r="P276" s="7" t="str">
        <f t="shared" si="31"/>
        <v>High</v>
      </c>
      <c r="Q276" s="4">
        <v>628.54</v>
      </c>
      <c r="R276" s="4">
        <v>0.13500000000000001</v>
      </c>
      <c r="S276" s="4">
        <v>21</v>
      </c>
      <c r="T276" s="4">
        <f t="shared" si="28"/>
        <v>25903.83495</v>
      </c>
      <c r="U276">
        <f t="shared" si="29"/>
        <v>6039.81</v>
      </c>
      <c r="V276" s="4">
        <f t="shared" si="32"/>
        <v>19864.024949999999</v>
      </c>
      <c r="W276" s="4">
        <f t="shared" si="33"/>
        <v>0.76683722654741504</v>
      </c>
    </row>
    <row r="277" spans="1:23" x14ac:dyDescent="0.3">
      <c r="A277" t="s">
        <v>652</v>
      </c>
      <c r="B277" s="6">
        <v>45316</v>
      </c>
      <c r="C277" s="2">
        <v>45318</v>
      </c>
      <c r="D277" s="4">
        <f t="shared" si="34"/>
        <v>2</v>
      </c>
      <c r="E277" s="4" t="str">
        <f>TEXT(Data!B277,"MMM-YYYY")</f>
        <v>Mar-2024</v>
      </c>
      <c r="F277" s="4" t="str">
        <f t="shared" si="30"/>
        <v>Q1-2024</v>
      </c>
      <c r="G277" t="s">
        <v>52</v>
      </c>
      <c r="H277" t="s">
        <v>73</v>
      </c>
      <c r="I277" t="s">
        <v>74</v>
      </c>
      <c r="J277" t="s">
        <v>39</v>
      </c>
      <c r="K277" t="s">
        <v>40</v>
      </c>
      <c r="L277" t="s">
        <v>126</v>
      </c>
      <c r="M277" t="s">
        <v>57</v>
      </c>
      <c r="N277" t="s">
        <v>653</v>
      </c>
      <c r="O277" s="4">
        <v>1410.97</v>
      </c>
      <c r="P277" s="7" t="str">
        <f t="shared" si="31"/>
        <v>High</v>
      </c>
      <c r="Q277" s="4">
        <v>1650.75</v>
      </c>
      <c r="R277" s="4">
        <v>0.13500000000000001</v>
      </c>
      <c r="S277" s="4">
        <v>6</v>
      </c>
      <c r="T277" s="4">
        <f t="shared" si="28"/>
        <v>7059.0227999999997</v>
      </c>
      <c r="U277">
        <f t="shared" si="29"/>
        <v>8465.82</v>
      </c>
      <c r="V277" s="4">
        <f t="shared" si="32"/>
        <v>-1406.7972</v>
      </c>
      <c r="W277" s="4">
        <f t="shared" si="33"/>
        <v>-0.19929064402511917</v>
      </c>
    </row>
    <row r="278" spans="1:23" x14ac:dyDescent="0.3">
      <c r="A278" t="s">
        <v>654</v>
      </c>
      <c r="B278" s="6">
        <v>45378</v>
      </c>
      <c r="C278" s="2">
        <v>45393</v>
      </c>
      <c r="D278" s="4">
        <f t="shared" si="34"/>
        <v>15</v>
      </c>
      <c r="E278" s="4" t="str">
        <f>TEXT(Data!B278,"MMM-YYYY")</f>
        <v>Jun-2025</v>
      </c>
      <c r="F278" s="4" t="str">
        <f t="shared" si="30"/>
        <v>Q1-2024</v>
      </c>
      <c r="G278" t="s">
        <v>52</v>
      </c>
      <c r="H278" t="s">
        <v>122</v>
      </c>
      <c r="I278" t="s">
        <v>167</v>
      </c>
      <c r="J278" t="s">
        <v>62</v>
      </c>
      <c r="K278" t="s">
        <v>98</v>
      </c>
      <c r="L278" t="s">
        <v>68</v>
      </c>
      <c r="M278" t="s">
        <v>35</v>
      </c>
      <c r="N278" t="s">
        <v>655</v>
      </c>
      <c r="O278" s="4">
        <v>1338.35</v>
      </c>
      <c r="P278" s="7" t="str">
        <f t="shared" si="31"/>
        <v>High</v>
      </c>
      <c r="Q278" s="4">
        <v>2247.14</v>
      </c>
      <c r="R278" s="4">
        <v>0.115</v>
      </c>
      <c r="S278" s="4">
        <v>40</v>
      </c>
      <c r="T278" s="4">
        <f t="shared" si="28"/>
        <v>73316.94</v>
      </c>
      <c r="U278">
        <f t="shared" si="29"/>
        <v>53534</v>
      </c>
      <c r="V278" s="4">
        <f t="shared" si="32"/>
        <v>19782.940000000002</v>
      </c>
      <c r="W278" s="4">
        <f t="shared" si="33"/>
        <v>0.26982768238827209</v>
      </c>
    </row>
    <row r="279" spans="1:23" x14ac:dyDescent="0.3">
      <c r="A279" t="s">
        <v>656</v>
      </c>
      <c r="B279" s="6">
        <v>45832</v>
      </c>
      <c r="C279" s="2">
        <v>45852</v>
      </c>
      <c r="D279" s="4">
        <f t="shared" si="34"/>
        <v>20</v>
      </c>
      <c r="E279" s="4" t="str">
        <f>TEXT(Data!B279,"MMM-YYYY")</f>
        <v>Jun-2024</v>
      </c>
      <c r="F279" s="4" t="str">
        <f t="shared" si="30"/>
        <v>Q2-2025</v>
      </c>
      <c r="G279" t="s">
        <v>78</v>
      </c>
      <c r="H279" t="s">
        <v>79</v>
      </c>
      <c r="I279" t="s">
        <v>80</v>
      </c>
      <c r="J279" t="s">
        <v>19</v>
      </c>
      <c r="K279" t="s">
        <v>98</v>
      </c>
      <c r="L279" t="s">
        <v>68</v>
      </c>
      <c r="M279" t="s">
        <v>81</v>
      </c>
      <c r="N279" t="s">
        <v>657</v>
      </c>
      <c r="O279" s="4">
        <v>385.08</v>
      </c>
      <c r="P279" s="7" t="str">
        <f t="shared" si="31"/>
        <v>High</v>
      </c>
      <c r="Q279" s="4">
        <v>893.19</v>
      </c>
      <c r="R279" s="4">
        <v>0.151</v>
      </c>
      <c r="S279" s="4">
        <v>8</v>
      </c>
      <c r="T279" s="4">
        <f t="shared" si="28"/>
        <v>6655.0732799999996</v>
      </c>
      <c r="U279">
        <f t="shared" si="29"/>
        <v>3080.64</v>
      </c>
      <c r="V279" s="4">
        <f t="shared" si="32"/>
        <v>3574.4332799999997</v>
      </c>
      <c r="W279" s="4">
        <f t="shared" si="33"/>
        <v>0.53709901147775185</v>
      </c>
    </row>
    <row r="280" spans="1:23" x14ac:dyDescent="0.3">
      <c r="A280" t="s">
        <v>658</v>
      </c>
      <c r="B280" s="6">
        <v>45459</v>
      </c>
      <c r="C280" s="2">
        <v>45476</v>
      </c>
      <c r="D280" s="4">
        <f t="shared" si="34"/>
        <v>17</v>
      </c>
      <c r="E280" s="4" t="str">
        <f>TEXT(Data!B280,"MMM-YYYY")</f>
        <v>Oct-2023</v>
      </c>
      <c r="F280" s="4" t="str">
        <f t="shared" si="30"/>
        <v>Q2-2024</v>
      </c>
      <c r="G280" t="s">
        <v>16</v>
      </c>
      <c r="H280" t="s">
        <v>148</v>
      </c>
      <c r="I280" t="s">
        <v>149</v>
      </c>
      <c r="J280" t="s">
        <v>105</v>
      </c>
      <c r="K280" t="s">
        <v>40</v>
      </c>
      <c r="L280" t="s">
        <v>84</v>
      </c>
      <c r="M280" t="s">
        <v>42</v>
      </c>
      <c r="N280" t="s">
        <v>659</v>
      </c>
      <c r="O280" s="4">
        <v>1173.83</v>
      </c>
      <c r="P280" s="7" t="str">
        <f t="shared" si="31"/>
        <v>High</v>
      </c>
      <c r="Q280" s="4">
        <v>2328.9</v>
      </c>
      <c r="R280" s="4">
        <v>0.12</v>
      </c>
      <c r="S280" s="4">
        <v>17</v>
      </c>
      <c r="T280" s="4">
        <f t="shared" si="28"/>
        <v>8039.3543999999993</v>
      </c>
      <c r="U280">
        <f t="shared" si="29"/>
        <v>19955.11</v>
      </c>
      <c r="V280" s="4">
        <f t="shared" si="32"/>
        <v>-11915.7556</v>
      </c>
      <c r="W280" s="4">
        <f t="shared" si="33"/>
        <v>-1.4821781709237749</v>
      </c>
    </row>
    <row r="281" spans="1:23" x14ac:dyDescent="0.3">
      <c r="A281" t="s">
        <v>660</v>
      </c>
      <c r="B281" s="6">
        <v>45229</v>
      </c>
      <c r="C281" s="2">
        <v>45244</v>
      </c>
      <c r="D281" s="4">
        <f t="shared" si="34"/>
        <v>15</v>
      </c>
      <c r="E281" s="4" t="str">
        <f>TEXT(Data!B281,"MMM-YYYY")</f>
        <v>Jun-2023</v>
      </c>
      <c r="F281" s="4" t="str">
        <f t="shared" si="30"/>
        <v>Q4-2023</v>
      </c>
      <c r="G281" t="s">
        <v>45</v>
      </c>
      <c r="H281" t="s">
        <v>60</v>
      </c>
      <c r="I281" t="s">
        <v>61</v>
      </c>
      <c r="J281" t="s">
        <v>19</v>
      </c>
      <c r="K281" t="s">
        <v>28</v>
      </c>
      <c r="L281" t="s">
        <v>84</v>
      </c>
      <c r="M281" t="s">
        <v>57</v>
      </c>
      <c r="N281" t="s">
        <v>661</v>
      </c>
      <c r="O281" s="4">
        <v>953.46</v>
      </c>
      <c r="P281" s="7" t="str">
        <f t="shared" si="31"/>
        <v>High</v>
      </c>
      <c r="Q281" s="4">
        <v>2066.75</v>
      </c>
      <c r="R281" s="4">
        <v>0.13800000000000001</v>
      </c>
      <c r="S281" s="4">
        <v>5</v>
      </c>
      <c r="T281" s="4">
        <f t="shared" si="28"/>
        <v>919.40919999999994</v>
      </c>
      <c r="U281">
        <f t="shared" si="29"/>
        <v>4767.3</v>
      </c>
      <c r="V281" s="4">
        <f t="shared" si="32"/>
        <v>-3847.8908000000001</v>
      </c>
      <c r="W281" s="4">
        <f t="shared" si="33"/>
        <v>-4.1851776118838062</v>
      </c>
    </row>
    <row r="282" spans="1:23" x14ac:dyDescent="0.3">
      <c r="A282" t="s">
        <v>662</v>
      </c>
      <c r="B282" s="6">
        <v>45092</v>
      </c>
      <c r="C282" s="2">
        <v>45100</v>
      </c>
      <c r="D282" s="4">
        <f t="shared" si="34"/>
        <v>8</v>
      </c>
      <c r="E282" s="4" t="str">
        <f>TEXT(Data!B282,"MMM-YYYY")</f>
        <v>Mar-2025</v>
      </c>
      <c r="F282" s="4" t="str">
        <f t="shared" si="30"/>
        <v>Q2-2023</v>
      </c>
      <c r="G282" t="s">
        <v>52</v>
      </c>
      <c r="H282" t="s">
        <v>122</v>
      </c>
      <c r="I282" t="s">
        <v>167</v>
      </c>
      <c r="J282" t="s">
        <v>48</v>
      </c>
      <c r="K282" t="s">
        <v>55</v>
      </c>
      <c r="L282" t="s">
        <v>68</v>
      </c>
      <c r="M282" t="s">
        <v>64</v>
      </c>
      <c r="N282" t="s">
        <v>663</v>
      </c>
      <c r="O282" s="4">
        <v>1097.0899999999999</v>
      </c>
      <c r="P282" s="7" t="str">
        <f t="shared" si="31"/>
        <v>High</v>
      </c>
      <c r="Q282" s="4">
        <v>2182.31</v>
      </c>
      <c r="R282" s="4">
        <v>0.112</v>
      </c>
      <c r="S282" s="4">
        <v>9</v>
      </c>
      <c r="T282" s="4">
        <f t="shared" si="28"/>
        <v>15941.402639999998</v>
      </c>
      <c r="U282">
        <f t="shared" si="29"/>
        <v>9873.81</v>
      </c>
      <c r="V282" s="4">
        <f t="shared" si="32"/>
        <v>6067.5926399999989</v>
      </c>
      <c r="W282" s="4">
        <f t="shared" si="33"/>
        <v>0.38061849242646062</v>
      </c>
    </row>
    <row r="283" spans="1:23" x14ac:dyDescent="0.3">
      <c r="A283" t="s">
        <v>664</v>
      </c>
      <c r="B283" s="6">
        <v>45730</v>
      </c>
      <c r="C283" s="2">
        <v>45745</v>
      </c>
      <c r="D283" s="4">
        <f t="shared" si="34"/>
        <v>15</v>
      </c>
      <c r="E283" s="4" t="str">
        <f>TEXT(Data!B283,"MMM-YYYY")</f>
        <v>Aug-2023</v>
      </c>
      <c r="F283" s="4" t="str">
        <f t="shared" si="30"/>
        <v>Q1-2025</v>
      </c>
      <c r="G283" t="s">
        <v>45</v>
      </c>
      <c r="H283" t="s">
        <v>46</v>
      </c>
      <c r="I283" t="s">
        <v>214</v>
      </c>
      <c r="J283" t="s">
        <v>39</v>
      </c>
      <c r="K283" t="s">
        <v>98</v>
      </c>
      <c r="L283" t="s">
        <v>92</v>
      </c>
      <c r="M283" t="s">
        <v>35</v>
      </c>
      <c r="N283" t="s">
        <v>665</v>
      </c>
      <c r="O283" s="4">
        <v>1106.96</v>
      </c>
      <c r="P283" s="7" t="str">
        <f t="shared" si="31"/>
        <v>High</v>
      </c>
      <c r="Q283" s="4">
        <v>2726.62</v>
      </c>
      <c r="R283" s="4">
        <v>0.317</v>
      </c>
      <c r="S283" s="4">
        <v>7</v>
      </c>
      <c r="T283" s="4">
        <f t="shared" si="28"/>
        <v>2643.1280400000001</v>
      </c>
      <c r="U283">
        <f t="shared" si="29"/>
        <v>7748.72</v>
      </c>
      <c r="V283" s="4">
        <f t="shared" si="32"/>
        <v>-5105.5919599999997</v>
      </c>
      <c r="W283" s="4">
        <f t="shared" si="33"/>
        <v>-1.9316476094741137</v>
      </c>
    </row>
    <row r="284" spans="1:23" x14ac:dyDescent="0.3">
      <c r="A284" t="s">
        <v>666</v>
      </c>
      <c r="B284" s="6">
        <v>45153</v>
      </c>
      <c r="C284" s="2">
        <v>45163</v>
      </c>
      <c r="D284" s="4">
        <f t="shared" si="34"/>
        <v>10</v>
      </c>
      <c r="E284" s="4" t="str">
        <f>TEXT(Data!B284,"MMM-YYYY")</f>
        <v>May-2025</v>
      </c>
      <c r="F284" s="4" t="str">
        <f t="shared" si="30"/>
        <v>Q3-2023</v>
      </c>
      <c r="G284" t="s">
        <v>16</v>
      </c>
      <c r="H284" t="s">
        <v>17</v>
      </c>
      <c r="I284" t="s">
        <v>33</v>
      </c>
      <c r="J284" t="s">
        <v>62</v>
      </c>
      <c r="K284" t="s">
        <v>20</v>
      </c>
      <c r="L284" t="s">
        <v>126</v>
      </c>
      <c r="M284" t="s">
        <v>42</v>
      </c>
      <c r="N284" t="s">
        <v>667</v>
      </c>
      <c r="O284" s="4">
        <v>91.85</v>
      </c>
      <c r="P284" s="7" t="str">
        <f t="shared" si="31"/>
        <v>Medium</v>
      </c>
      <c r="Q284" s="4">
        <v>111.29</v>
      </c>
      <c r="R284" s="4">
        <v>0</v>
      </c>
      <c r="S284" s="4">
        <v>6</v>
      </c>
      <c r="T284" s="4">
        <f t="shared" si="28"/>
        <v>1349.6999999999998</v>
      </c>
      <c r="U284">
        <f t="shared" si="29"/>
        <v>551.09999999999991</v>
      </c>
      <c r="V284" s="4">
        <f t="shared" si="32"/>
        <v>798.59999999999991</v>
      </c>
      <c r="W284" s="4">
        <f t="shared" si="33"/>
        <v>0.59168704156479224</v>
      </c>
    </row>
    <row r="285" spans="1:23" x14ac:dyDescent="0.3">
      <c r="A285" t="s">
        <v>668</v>
      </c>
      <c r="B285" s="6">
        <v>45794</v>
      </c>
      <c r="C285" s="2">
        <v>45805</v>
      </c>
      <c r="D285" s="4">
        <f t="shared" si="34"/>
        <v>11</v>
      </c>
      <c r="E285" s="4" t="str">
        <f>TEXT(Data!B285,"MMM-YYYY")</f>
        <v>Jan-2024</v>
      </c>
      <c r="F285" s="4" t="str">
        <f t="shared" si="30"/>
        <v>Q2-2025</v>
      </c>
      <c r="G285" t="s">
        <v>45</v>
      </c>
      <c r="H285" t="s">
        <v>60</v>
      </c>
      <c r="I285" t="s">
        <v>61</v>
      </c>
      <c r="J285" t="s">
        <v>19</v>
      </c>
      <c r="K285" t="s">
        <v>55</v>
      </c>
      <c r="L285" t="s">
        <v>56</v>
      </c>
      <c r="M285" t="s">
        <v>57</v>
      </c>
      <c r="N285" t="s">
        <v>669</v>
      </c>
      <c r="O285" s="4">
        <v>623.4</v>
      </c>
      <c r="P285" s="7" t="str">
        <f t="shared" si="31"/>
        <v>High</v>
      </c>
      <c r="Q285" s="4">
        <v>1100.0899999999999</v>
      </c>
      <c r="R285" s="4">
        <v>0.114</v>
      </c>
      <c r="S285" s="4">
        <v>12</v>
      </c>
      <c r="T285" s="4">
        <f t="shared" si="28"/>
        <v>8208.8608800000002</v>
      </c>
      <c r="U285">
        <f t="shared" si="29"/>
        <v>7480.7999999999993</v>
      </c>
      <c r="V285" s="4">
        <f t="shared" si="32"/>
        <v>728.06088000000091</v>
      </c>
      <c r="W285" s="4">
        <f t="shared" si="33"/>
        <v>8.8692071974790357E-2</v>
      </c>
    </row>
    <row r="286" spans="1:23" x14ac:dyDescent="0.3">
      <c r="A286" t="s">
        <v>670</v>
      </c>
      <c r="B286" s="6">
        <v>45304</v>
      </c>
      <c r="C286" s="2">
        <v>45327</v>
      </c>
      <c r="D286" s="4">
        <f t="shared" si="34"/>
        <v>23</v>
      </c>
      <c r="E286" s="4" t="str">
        <f>TEXT(Data!B286,"MMM-YYYY")</f>
        <v>Jun-2023</v>
      </c>
      <c r="F286" s="4" t="str">
        <f t="shared" si="30"/>
        <v>Q1-2024</v>
      </c>
      <c r="G286" t="s">
        <v>78</v>
      </c>
      <c r="H286" t="s">
        <v>79</v>
      </c>
      <c r="I286" t="s">
        <v>335</v>
      </c>
      <c r="J286" t="s">
        <v>27</v>
      </c>
      <c r="K286" t="s">
        <v>98</v>
      </c>
      <c r="L286" t="s">
        <v>56</v>
      </c>
      <c r="M286" t="s">
        <v>57</v>
      </c>
      <c r="N286" t="s">
        <v>671</v>
      </c>
      <c r="O286" s="4">
        <v>1017.93</v>
      </c>
      <c r="P286" s="7" t="str">
        <f t="shared" si="31"/>
        <v>High</v>
      </c>
      <c r="Q286" s="4">
        <v>1529.14</v>
      </c>
      <c r="R286" s="4">
        <v>0.155</v>
      </c>
      <c r="S286" s="4">
        <v>12</v>
      </c>
      <c r="T286" s="4">
        <f t="shared" si="28"/>
        <v>31932.989400000002</v>
      </c>
      <c r="U286">
        <f t="shared" si="29"/>
        <v>12215.16</v>
      </c>
      <c r="V286" s="4">
        <f t="shared" si="32"/>
        <v>19717.829400000002</v>
      </c>
      <c r="W286" s="4">
        <f t="shared" si="33"/>
        <v>0.61747521201381794</v>
      </c>
    </row>
    <row r="287" spans="1:23" x14ac:dyDescent="0.3">
      <c r="A287" t="s">
        <v>672</v>
      </c>
      <c r="B287" s="6">
        <v>45101</v>
      </c>
      <c r="C287" s="2">
        <v>45128</v>
      </c>
      <c r="D287" s="4">
        <f t="shared" si="34"/>
        <v>27</v>
      </c>
      <c r="E287" s="4" t="str">
        <f>TEXT(Data!B287,"MMM-YYYY")</f>
        <v>Apr-2025</v>
      </c>
      <c r="F287" s="4" t="str">
        <f t="shared" si="30"/>
        <v>Q2-2023</v>
      </c>
      <c r="G287" t="s">
        <v>45</v>
      </c>
      <c r="H287" t="s">
        <v>46</v>
      </c>
      <c r="I287" t="s">
        <v>231</v>
      </c>
      <c r="J287" t="s">
        <v>48</v>
      </c>
      <c r="K287" t="s">
        <v>40</v>
      </c>
      <c r="L287" t="s">
        <v>29</v>
      </c>
      <c r="M287" t="s">
        <v>42</v>
      </c>
      <c r="N287" t="s">
        <v>673</v>
      </c>
      <c r="O287" s="4">
        <v>554.76</v>
      </c>
      <c r="P287" s="7" t="str">
        <f t="shared" si="31"/>
        <v>High</v>
      </c>
      <c r="Q287" s="4">
        <v>728.69</v>
      </c>
      <c r="R287" s="4">
        <v>0.22</v>
      </c>
      <c r="S287" s="4">
        <v>7</v>
      </c>
      <c r="T287" s="4">
        <f t="shared" si="28"/>
        <v>314.11380000000003</v>
      </c>
      <c r="U287">
        <f t="shared" si="29"/>
        <v>3883.3199999999997</v>
      </c>
      <c r="V287" s="4">
        <f t="shared" si="32"/>
        <v>-3569.2061999999996</v>
      </c>
      <c r="W287" s="4">
        <f t="shared" si="33"/>
        <v>-11.362780622818862</v>
      </c>
    </row>
    <row r="288" spans="1:23" x14ac:dyDescent="0.3">
      <c r="A288" t="s">
        <v>674</v>
      </c>
      <c r="B288" s="6">
        <v>45751</v>
      </c>
      <c r="C288" s="2">
        <v>45760</v>
      </c>
      <c r="D288" s="4">
        <f t="shared" si="34"/>
        <v>9</v>
      </c>
      <c r="E288" s="4" t="str">
        <f>TEXT(Data!B288,"MMM-YYYY")</f>
        <v>Sep-2024</v>
      </c>
      <c r="F288" s="4" t="str">
        <f t="shared" si="30"/>
        <v>Q2-2025</v>
      </c>
      <c r="G288" t="s">
        <v>78</v>
      </c>
      <c r="H288" t="s">
        <v>79</v>
      </c>
      <c r="I288" t="s">
        <v>159</v>
      </c>
      <c r="J288" t="s">
        <v>48</v>
      </c>
      <c r="K288" t="s">
        <v>40</v>
      </c>
      <c r="L288" t="s">
        <v>84</v>
      </c>
      <c r="M288" t="s">
        <v>42</v>
      </c>
      <c r="N288" t="s">
        <v>675</v>
      </c>
      <c r="O288" s="4">
        <v>7.02</v>
      </c>
      <c r="P288" s="7" t="str">
        <f t="shared" si="31"/>
        <v>Low</v>
      </c>
      <c r="Q288" s="4">
        <v>6.28</v>
      </c>
      <c r="R288" s="4">
        <v>0.13400000000000001</v>
      </c>
      <c r="S288" s="4">
        <v>14</v>
      </c>
      <c r="T288" s="4">
        <f t="shared" si="28"/>
        <v>9999.9964400000008</v>
      </c>
      <c r="U288">
        <f t="shared" si="29"/>
        <v>98.28</v>
      </c>
      <c r="V288" s="4">
        <f t="shared" si="32"/>
        <v>9901.7164400000001</v>
      </c>
      <c r="W288" s="4">
        <f t="shared" si="33"/>
        <v>0.99017199650123067</v>
      </c>
    </row>
    <row r="289" spans="1:23" x14ac:dyDescent="0.3">
      <c r="A289" t="s">
        <v>676</v>
      </c>
      <c r="B289" s="6">
        <v>45542</v>
      </c>
      <c r="C289" s="2">
        <v>45542</v>
      </c>
      <c r="D289" s="4">
        <f t="shared" si="34"/>
        <v>0</v>
      </c>
      <c r="E289" s="4" t="str">
        <f>TEXT(Data!B289,"MMM-YYYY")</f>
        <v>Jan-2024</v>
      </c>
      <c r="F289" s="4" t="str">
        <f t="shared" si="30"/>
        <v>Q3-2024</v>
      </c>
      <c r="G289" t="s">
        <v>45</v>
      </c>
      <c r="H289" t="s">
        <v>60</v>
      </c>
      <c r="I289" t="s">
        <v>220</v>
      </c>
      <c r="J289" t="s">
        <v>27</v>
      </c>
      <c r="K289" t="s">
        <v>55</v>
      </c>
      <c r="L289" t="s">
        <v>56</v>
      </c>
      <c r="M289" t="s">
        <v>35</v>
      </c>
      <c r="N289" t="s">
        <v>677</v>
      </c>
      <c r="O289" s="4">
        <v>1066.6500000000001</v>
      </c>
      <c r="P289" s="7" t="str">
        <f t="shared" si="31"/>
        <v>High</v>
      </c>
      <c r="Q289" s="4">
        <v>2569.77</v>
      </c>
      <c r="R289" s="4">
        <v>0.13400000000000001</v>
      </c>
      <c r="S289" s="4">
        <v>9</v>
      </c>
      <c r="T289" s="4">
        <f t="shared" si="28"/>
        <v>11640.572819999999</v>
      </c>
      <c r="U289">
        <f t="shared" si="29"/>
        <v>9599.85</v>
      </c>
      <c r="V289" s="4">
        <f t="shared" si="32"/>
        <v>2040.722819999999</v>
      </c>
      <c r="W289" s="4">
        <f t="shared" si="33"/>
        <v>0.17531120259767416</v>
      </c>
    </row>
    <row r="290" spans="1:23" x14ac:dyDescent="0.3">
      <c r="A290" t="s">
        <v>678</v>
      </c>
      <c r="B290" s="6">
        <v>45319</v>
      </c>
      <c r="C290" s="2">
        <v>45321</v>
      </c>
      <c r="D290" s="4">
        <f t="shared" si="34"/>
        <v>2</v>
      </c>
      <c r="E290" s="4" t="str">
        <f>TEXT(Data!B290,"MMM-YYYY")</f>
        <v>Jul-2023</v>
      </c>
      <c r="F290" s="4" t="str">
        <f t="shared" si="30"/>
        <v>Q1-2024</v>
      </c>
      <c r="G290" t="s">
        <v>16</v>
      </c>
      <c r="H290" t="s">
        <v>148</v>
      </c>
      <c r="I290" t="s">
        <v>258</v>
      </c>
      <c r="J290" t="s">
        <v>48</v>
      </c>
      <c r="K290" t="s">
        <v>98</v>
      </c>
      <c r="L290" t="s">
        <v>84</v>
      </c>
      <c r="M290" t="s">
        <v>81</v>
      </c>
      <c r="N290" t="s">
        <v>679</v>
      </c>
      <c r="O290" s="4">
        <v>798.45</v>
      </c>
      <c r="P290" s="7" t="str">
        <f t="shared" si="31"/>
        <v>High</v>
      </c>
      <c r="Q290" s="4">
        <v>1592.02</v>
      </c>
      <c r="R290" s="4">
        <v>6.6000000000000003E-2</v>
      </c>
      <c r="S290" s="4">
        <v>18</v>
      </c>
      <c r="T290" s="4">
        <f t="shared" si="28"/>
        <v>12473.159039999999</v>
      </c>
      <c r="U290">
        <f t="shared" si="29"/>
        <v>14372.1</v>
      </c>
      <c r="V290" s="4">
        <f t="shared" si="32"/>
        <v>-1898.9409600000017</v>
      </c>
      <c r="W290" s="4">
        <f t="shared" si="33"/>
        <v>-0.15224218290733843</v>
      </c>
    </row>
    <row r="291" spans="1:23" x14ac:dyDescent="0.3">
      <c r="A291" t="s">
        <v>680</v>
      </c>
      <c r="B291" s="6">
        <v>45125</v>
      </c>
      <c r="C291" s="2">
        <v>45148</v>
      </c>
      <c r="D291" s="4">
        <f t="shared" si="34"/>
        <v>23</v>
      </c>
      <c r="E291" s="4" t="str">
        <f>TEXT(Data!B291,"MMM-YYYY")</f>
        <v>Aug-2025</v>
      </c>
      <c r="F291" s="4" t="str">
        <f t="shared" si="30"/>
        <v>Q3-2023</v>
      </c>
      <c r="G291" t="s">
        <v>16</v>
      </c>
      <c r="H291" t="s">
        <v>148</v>
      </c>
      <c r="I291" t="s">
        <v>149</v>
      </c>
      <c r="J291" t="s">
        <v>62</v>
      </c>
      <c r="K291" t="s">
        <v>20</v>
      </c>
      <c r="L291" t="s">
        <v>49</v>
      </c>
      <c r="M291" t="s">
        <v>22</v>
      </c>
      <c r="N291" t="s">
        <v>681</v>
      </c>
      <c r="O291" s="4">
        <v>1271.56</v>
      </c>
      <c r="P291" s="7" t="str">
        <f t="shared" si="31"/>
        <v>High</v>
      </c>
      <c r="Q291" s="4">
        <v>995.47</v>
      </c>
      <c r="R291" s="4">
        <v>0.192</v>
      </c>
      <c r="S291" s="4">
        <v>13</v>
      </c>
      <c r="T291" s="4">
        <f t="shared" si="28"/>
        <v>7796.3839200000002</v>
      </c>
      <c r="U291">
        <f t="shared" si="29"/>
        <v>16530.28</v>
      </c>
      <c r="V291" s="4">
        <f t="shared" si="32"/>
        <v>-8733.8960799999986</v>
      </c>
      <c r="W291" s="4">
        <f t="shared" si="33"/>
        <v>-1.1202496143878966</v>
      </c>
    </row>
    <row r="292" spans="1:23" x14ac:dyDescent="0.3">
      <c r="A292" t="s">
        <v>682</v>
      </c>
      <c r="B292" s="6">
        <v>45897</v>
      </c>
      <c r="C292" s="2">
        <v>45895</v>
      </c>
      <c r="D292" s="4">
        <f>DATEDIF(C292,B292, "MD")</f>
        <v>2</v>
      </c>
      <c r="E292" s="4" t="str">
        <f>TEXT(Data!B292,"MMM-YYYY")</f>
        <v>Mar-2025</v>
      </c>
      <c r="F292" s="4" t="str">
        <f t="shared" si="30"/>
        <v>Q3-2025</v>
      </c>
      <c r="G292" t="s">
        <v>16</v>
      </c>
      <c r="H292" t="s">
        <v>25</v>
      </c>
      <c r="I292" t="s">
        <v>26</v>
      </c>
      <c r="J292" t="s">
        <v>62</v>
      </c>
      <c r="K292" t="s">
        <v>20</v>
      </c>
      <c r="L292" t="s">
        <v>75</v>
      </c>
      <c r="M292" t="s">
        <v>81</v>
      </c>
      <c r="N292" t="s">
        <v>683</v>
      </c>
      <c r="O292" s="4">
        <v>521.05999999999995</v>
      </c>
      <c r="P292" s="7" t="str">
        <f t="shared" si="31"/>
        <v>High</v>
      </c>
      <c r="Q292" s="4">
        <v>1240.31</v>
      </c>
      <c r="R292" s="4">
        <v>0.14599999999999999</v>
      </c>
      <c r="S292" s="4">
        <v>18</v>
      </c>
      <c r="T292" s="4">
        <f t="shared" si="28"/>
        <v>7371.4888800000008</v>
      </c>
      <c r="U292">
        <f t="shared" si="29"/>
        <v>9379.0799999999981</v>
      </c>
      <c r="V292" s="4">
        <f t="shared" si="32"/>
        <v>-2007.5911199999973</v>
      </c>
      <c r="W292" s="4">
        <f t="shared" si="33"/>
        <v>-0.27234540439271437</v>
      </c>
    </row>
    <row r="293" spans="1:23" x14ac:dyDescent="0.3">
      <c r="A293" t="s">
        <v>684</v>
      </c>
      <c r="B293" s="6">
        <v>45746</v>
      </c>
      <c r="C293" s="2">
        <v>45754</v>
      </c>
      <c r="D293" s="4">
        <f t="shared" si="34"/>
        <v>8</v>
      </c>
      <c r="E293" s="4" t="str">
        <f>TEXT(Data!B293,"MMM-YYYY")</f>
        <v>Oct-2023</v>
      </c>
      <c r="F293" s="4" t="str">
        <f t="shared" si="30"/>
        <v>Q1-2025</v>
      </c>
      <c r="G293" t="s">
        <v>52</v>
      </c>
      <c r="H293" t="s">
        <v>73</v>
      </c>
      <c r="I293" t="s">
        <v>74</v>
      </c>
      <c r="J293" t="s">
        <v>39</v>
      </c>
      <c r="K293" t="s">
        <v>98</v>
      </c>
      <c r="L293" t="s">
        <v>49</v>
      </c>
      <c r="M293" t="s">
        <v>30</v>
      </c>
      <c r="N293" t="s">
        <v>685</v>
      </c>
      <c r="O293" s="4">
        <v>71.62</v>
      </c>
      <c r="P293" s="7" t="str">
        <f t="shared" si="31"/>
        <v>Medium</v>
      </c>
      <c r="Q293" s="4">
        <v>118.37</v>
      </c>
      <c r="R293" s="4">
        <v>0.156</v>
      </c>
      <c r="S293" s="4">
        <v>11</v>
      </c>
      <c r="T293" s="4">
        <f t="shared" si="28"/>
        <v>10911.020999999999</v>
      </c>
      <c r="U293">
        <f t="shared" si="29"/>
        <v>787.82</v>
      </c>
      <c r="V293" s="4">
        <f t="shared" si="32"/>
        <v>10123.200999999999</v>
      </c>
      <c r="W293" s="4">
        <f t="shared" si="33"/>
        <v>0.92779594136973986</v>
      </c>
    </row>
    <row r="294" spans="1:23" x14ac:dyDescent="0.3">
      <c r="A294" t="s">
        <v>686</v>
      </c>
      <c r="B294" s="6">
        <v>45220</v>
      </c>
      <c r="C294" s="2">
        <v>45239</v>
      </c>
      <c r="D294" s="4">
        <f t="shared" si="34"/>
        <v>19</v>
      </c>
      <c r="E294" s="4" t="str">
        <f>TEXT(Data!B294,"MMM-YYYY")</f>
        <v>Aug-2023</v>
      </c>
      <c r="F294" s="4" t="str">
        <f t="shared" si="30"/>
        <v>Q4-2023</v>
      </c>
      <c r="G294" t="s">
        <v>78</v>
      </c>
      <c r="H294" t="s">
        <v>108</v>
      </c>
      <c r="I294" t="s">
        <v>152</v>
      </c>
      <c r="J294" t="s">
        <v>39</v>
      </c>
      <c r="K294" t="s">
        <v>98</v>
      </c>
      <c r="L294" t="s">
        <v>75</v>
      </c>
      <c r="M294" t="s">
        <v>81</v>
      </c>
      <c r="N294" t="s">
        <v>687</v>
      </c>
      <c r="O294" s="4">
        <v>1142.48</v>
      </c>
      <c r="P294" s="7" t="str">
        <f t="shared" si="31"/>
        <v>High</v>
      </c>
      <c r="Q294" s="4">
        <v>2105.5300000000002</v>
      </c>
      <c r="R294" s="4">
        <v>0.20699999999999999</v>
      </c>
      <c r="S294" s="4">
        <v>14</v>
      </c>
      <c r="T294" s="4">
        <f t="shared" si="28"/>
        <v>2525.1498999999999</v>
      </c>
      <c r="U294">
        <f t="shared" si="29"/>
        <v>15994.720000000001</v>
      </c>
      <c r="V294" s="4">
        <f t="shared" si="32"/>
        <v>-13469.570100000001</v>
      </c>
      <c r="W294" s="4">
        <f t="shared" si="33"/>
        <v>-5.3341665379944381</v>
      </c>
    </row>
    <row r="295" spans="1:23" x14ac:dyDescent="0.3">
      <c r="A295" t="s">
        <v>688</v>
      </c>
      <c r="B295" s="6">
        <v>45161</v>
      </c>
      <c r="C295" s="2">
        <v>45191</v>
      </c>
      <c r="D295" s="4">
        <f t="shared" si="34"/>
        <v>30</v>
      </c>
      <c r="E295" s="4" t="str">
        <f>TEXT(Data!B295,"MMM-YYYY")</f>
        <v>Apr-2025</v>
      </c>
      <c r="F295" s="4" t="str">
        <f t="shared" si="30"/>
        <v>Q3-2023</v>
      </c>
      <c r="G295" t="s">
        <v>78</v>
      </c>
      <c r="H295" t="s">
        <v>108</v>
      </c>
      <c r="I295" t="s">
        <v>152</v>
      </c>
      <c r="J295" t="s">
        <v>48</v>
      </c>
      <c r="K295" t="s">
        <v>55</v>
      </c>
      <c r="L295" t="s">
        <v>68</v>
      </c>
      <c r="M295" t="s">
        <v>81</v>
      </c>
      <c r="N295" t="s">
        <v>689</v>
      </c>
      <c r="O295" s="4">
        <v>209.81</v>
      </c>
      <c r="P295" s="7" t="str">
        <f t="shared" si="31"/>
        <v>High</v>
      </c>
      <c r="Q295" s="4">
        <v>523</v>
      </c>
      <c r="R295" s="4">
        <v>5.8999999999999997E-2</v>
      </c>
      <c r="S295" s="4">
        <v>15</v>
      </c>
      <c r="T295" s="4">
        <f t="shared" si="28"/>
        <v>16636.221300000001</v>
      </c>
      <c r="U295">
        <f t="shared" si="29"/>
        <v>3147.15</v>
      </c>
      <c r="V295" s="4">
        <f t="shared" si="32"/>
        <v>13489.071300000001</v>
      </c>
      <c r="W295" s="4">
        <f t="shared" si="33"/>
        <v>0.81082543065233215</v>
      </c>
    </row>
    <row r="296" spans="1:23" x14ac:dyDescent="0.3">
      <c r="A296" t="s">
        <v>690</v>
      </c>
      <c r="B296" s="6">
        <v>45758</v>
      </c>
      <c r="C296" s="2">
        <v>45781</v>
      </c>
      <c r="D296" s="4">
        <f t="shared" si="34"/>
        <v>23</v>
      </c>
      <c r="E296" s="4" t="str">
        <f>TEXT(Data!B296,"MMM-YYYY")</f>
        <v>Jun-2025</v>
      </c>
      <c r="F296" s="4" t="str">
        <f t="shared" si="30"/>
        <v>Q2-2025</v>
      </c>
      <c r="G296" t="s">
        <v>45</v>
      </c>
      <c r="H296" t="s">
        <v>46</v>
      </c>
      <c r="I296" t="s">
        <v>47</v>
      </c>
      <c r="J296" t="s">
        <v>62</v>
      </c>
      <c r="K296" t="s">
        <v>28</v>
      </c>
      <c r="L296" t="s">
        <v>110</v>
      </c>
      <c r="M296" t="s">
        <v>22</v>
      </c>
      <c r="N296" t="s">
        <v>691</v>
      </c>
      <c r="O296" s="4">
        <v>786.2</v>
      </c>
      <c r="P296" s="7" t="str">
        <f t="shared" si="31"/>
        <v>High</v>
      </c>
      <c r="Q296" s="4">
        <v>1075.3</v>
      </c>
      <c r="R296" s="4">
        <v>0.08</v>
      </c>
      <c r="S296" s="4">
        <v>9</v>
      </c>
      <c r="T296" s="4">
        <f t="shared" si="28"/>
        <v>20054.987999999998</v>
      </c>
      <c r="U296">
        <f t="shared" si="29"/>
        <v>7075.8</v>
      </c>
      <c r="V296" s="4">
        <f t="shared" si="32"/>
        <v>12979.187999999998</v>
      </c>
      <c r="W296" s="4">
        <f t="shared" si="33"/>
        <v>0.64718004318925548</v>
      </c>
    </row>
    <row r="297" spans="1:23" x14ac:dyDescent="0.3">
      <c r="A297" t="s">
        <v>692</v>
      </c>
      <c r="B297" s="6">
        <v>45809</v>
      </c>
      <c r="C297" s="2">
        <v>45835</v>
      </c>
      <c r="D297" s="4">
        <f t="shared" si="34"/>
        <v>26</v>
      </c>
      <c r="E297" s="4" t="str">
        <f>TEXT(Data!B297,"MMM-YYYY")</f>
        <v>Mar-2024</v>
      </c>
      <c r="F297" s="4" t="str">
        <f t="shared" si="30"/>
        <v>Q2-2025</v>
      </c>
      <c r="G297" t="s">
        <v>78</v>
      </c>
      <c r="H297" t="s">
        <v>79</v>
      </c>
      <c r="I297" t="s">
        <v>159</v>
      </c>
      <c r="J297" t="s">
        <v>48</v>
      </c>
      <c r="K297" t="s">
        <v>55</v>
      </c>
      <c r="L297" t="s">
        <v>63</v>
      </c>
      <c r="M297" t="s">
        <v>57</v>
      </c>
      <c r="N297" t="s">
        <v>693</v>
      </c>
      <c r="O297" s="4">
        <v>1362.31</v>
      </c>
      <c r="P297" s="7" t="str">
        <f t="shared" si="31"/>
        <v>High</v>
      </c>
      <c r="Q297" s="4">
        <v>3294.57</v>
      </c>
      <c r="R297" s="4">
        <v>0.113</v>
      </c>
      <c r="S297" s="4">
        <v>7</v>
      </c>
      <c r="T297" s="4">
        <f t="shared" si="28"/>
        <v>2693.96092</v>
      </c>
      <c r="U297">
        <f t="shared" si="29"/>
        <v>9536.17</v>
      </c>
      <c r="V297" s="4">
        <f t="shared" si="32"/>
        <v>-6842.2090800000005</v>
      </c>
      <c r="W297" s="4">
        <f t="shared" si="33"/>
        <v>-2.5398323447097373</v>
      </c>
    </row>
    <row r="298" spans="1:23" x14ac:dyDescent="0.3">
      <c r="A298" t="s">
        <v>694</v>
      </c>
      <c r="B298" s="6">
        <v>45353</v>
      </c>
      <c r="C298" s="2">
        <v>45367</v>
      </c>
      <c r="D298" s="4">
        <f t="shared" si="34"/>
        <v>14</v>
      </c>
      <c r="E298" s="4" t="str">
        <f>TEXT(Data!B298,"MMM-YYYY")</f>
        <v>Jun-2023</v>
      </c>
      <c r="F298" s="4" t="str">
        <f t="shared" si="30"/>
        <v>Q1-2024</v>
      </c>
      <c r="G298" t="s">
        <v>52</v>
      </c>
      <c r="H298" t="s">
        <v>53</v>
      </c>
      <c r="I298" t="s">
        <v>179</v>
      </c>
      <c r="J298" t="s">
        <v>39</v>
      </c>
      <c r="K298" t="s">
        <v>98</v>
      </c>
      <c r="L298" t="s">
        <v>68</v>
      </c>
      <c r="M298" t="s">
        <v>30</v>
      </c>
      <c r="N298" t="s">
        <v>695</v>
      </c>
      <c r="O298" s="4">
        <v>248.24</v>
      </c>
      <c r="P298" s="7" t="str">
        <f t="shared" si="31"/>
        <v>High</v>
      </c>
      <c r="Q298" s="4">
        <v>464.05</v>
      </c>
      <c r="R298" s="4">
        <v>0.16900000000000001</v>
      </c>
      <c r="S298" s="4">
        <v>11</v>
      </c>
      <c r="T298" s="4">
        <f t="shared" si="28"/>
        <v>28786.197329999999</v>
      </c>
      <c r="U298">
        <f t="shared" si="29"/>
        <v>2730.6400000000003</v>
      </c>
      <c r="V298" s="4">
        <f t="shared" si="32"/>
        <v>26055.55733</v>
      </c>
      <c r="W298" s="4">
        <f t="shared" si="33"/>
        <v>0.90514064887777934</v>
      </c>
    </row>
    <row r="299" spans="1:23" x14ac:dyDescent="0.3">
      <c r="A299" t="s">
        <v>696</v>
      </c>
      <c r="B299" s="6">
        <v>45097</v>
      </c>
      <c r="C299" s="2">
        <v>45115</v>
      </c>
      <c r="D299" s="4">
        <f t="shared" si="34"/>
        <v>18</v>
      </c>
      <c r="E299" s="4" t="str">
        <f>TEXT(Data!B299,"MMM-YYYY")</f>
        <v>Mar-2024</v>
      </c>
      <c r="F299" s="4" t="str">
        <f t="shared" si="30"/>
        <v>Q2-2023</v>
      </c>
      <c r="G299" t="s">
        <v>52</v>
      </c>
      <c r="H299" t="s">
        <v>122</v>
      </c>
      <c r="I299" t="s">
        <v>326</v>
      </c>
      <c r="J299" t="s">
        <v>39</v>
      </c>
      <c r="K299" t="s">
        <v>98</v>
      </c>
      <c r="L299" t="s">
        <v>84</v>
      </c>
      <c r="M299" t="s">
        <v>64</v>
      </c>
      <c r="N299" t="s">
        <v>697</v>
      </c>
      <c r="O299" s="4">
        <v>337</v>
      </c>
      <c r="P299" s="7" t="str">
        <f t="shared" si="31"/>
        <v>High</v>
      </c>
      <c r="Q299" s="4">
        <v>511.03</v>
      </c>
      <c r="R299" s="4">
        <v>0.108</v>
      </c>
      <c r="S299" s="4">
        <v>7</v>
      </c>
      <c r="T299" s="4">
        <f t="shared" si="28"/>
        <v>409.91860000000008</v>
      </c>
      <c r="U299">
        <f t="shared" si="29"/>
        <v>2359</v>
      </c>
      <c r="V299" s="4">
        <f t="shared" si="32"/>
        <v>-1949.0814</v>
      </c>
      <c r="W299" s="4">
        <f t="shared" si="33"/>
        <v>-4.7548010751402829</v>
      </c>
    </row>
    <row r="300" spans="1:23" x14ac:dyDescent="0.3">
      <c r="A300" t="s">
        <v>698</v>
      </c>
      <c r="B300" s="6">
        <v>45377</v>
      </c>
      <c r="C300" s="2">
        <v>45387</v>
      </c>
      <c r="D300" s="4">
        <f t="shared" si="34"/>
        <v>10</v>
      </c>
      <c r="E300" s="4" t="str">
        <f>TEXT(Data!B300,"MMM-YYYY")</f>
        <v>Jan-2025</v>
      </c>
      <c r="F300" s="4" t="str">
        <f t="shared" si="30"/>
        <v>Q1-2024</v>
      </c>
      <c r="G300" t="s">
        <v>52</v>
      </c>
      <c r="H300" t="s">
        <v>122</v>
      </c>
      <c r="I300" t="s">
        <v>326</v>
      </c>
      <c r="J300" t="s">
        <v>48</v>
      </c>
      <c r="K300" t="s">
        <v>98</v>
      </c>
      <c r="L300" t="s">
        <v>29</v>
      </c>
      <c r="M300" t="s">
        <v>64</v>
      </c>
      <c r="N300" t="s">
        <v>699</v>
      </c>
      <c r="O300" s="4">
        <v>5.66</v>
      </c>
      <c r="P300" s="7" t="str">
        <f t="shared" si="31"/>
        <v>Low</v>
      </c>
      <c r="Q300" s="4">
        <v>4.22</v>
      </c>
      <c r="R300" s="4">
        <v>0.11899999999999999</v>
      </c>
      <c r="S300" s="4">
        <v>18</v>
      </c>
      <c r="T300" s="4">
        <f t="shared" si="28"/>
        <v>39520.356119999997</v>
      </c>
      <c r="U300">
        <f t="shared" si="29"/>
        <v>101.88</v>
      </c>
      <c r="V300" s="4">
        <f t="shared" si="32"/>
        <v>39418.476119999999</v>
      </c>
      <c r="W300" s="4">
        <f t="shared" si="33"/>
        <v>0.99742208800723742</v>
      </c>
    </row>
    <row r="301" spans="1:23" x14ac:dyDescent="0.3">
      <c r="A301" t="s">
        <v>700</v>
      </c>
      <c r="B301" s="6">
        <v>45679</v>
      </c>
      <c r="C301" s="2">
        <v>45679</v>
      </c>
      <c r="D301" s="4">
        <f t="shared" si="34"/>
        <v>0</v>
      </c>
      <c r="E301" s="4" t="str">
        <f>TEXT(Data!B301,"MMM-YYYY")</f>
        <v>May-2025</v>
      </c>
      <c r="F301" s="4" t="str">
        <f t="shared" si="30"/>
        <v>Q1-2025</v>
      </c>
      <c r="G301" t="s">
        <v>78</v>
      </c>
      <c r="H301" t="s">
        <v>90</v>
      </c>
      <c r="I301" t="s">
        <v>138</v>
      </c>
      <c r="J301" t="s">
        <v>62</v>
      </c>
      <c r="K301" t="s">
        <v>28</v>
      </c>
      <c r="L301" t="s">
        <v>56</v>
      </c>
      <c r="M301" t="s">
        <v>81</v>
      </c>
      <c r="N301" t="s">
        <v>701</v>
      </c>
      <c r="O301" s="4">
        <v>591.72</v>
      </c>
      <c r="P301" s="7" t="str">
        <f t="shared" si="31"/>
        <v>High</v>
      </c>
      <c r="Q301" s="4">
        <v>577.24</v>
      </c>
      <c r="R301" s="4">
        <v>0</v>
      </c>
      <c r="S301" s="4">
        <v>22</v>
      </c>
      <c r="T301" s="4">
        <f t="shared" si="28"/>
        <v>20500.48</v>
      </c>
      <c r="U301">
        <f t="shared" si="29"/>
        <v>13017.84</v>
      </c>
      <c r="V301" s="4">
        <f t="shared" si="32"/>
        <v>7482.6399999999994</v>
      </c>
      <c r="W301" s="4">
        <f t="shared" si="33"/>
        <v>0.36499828296703296</v>
      </c>
    </row>
    <row r="302" spans="1:23" x14ac:dyDescent="0.3">
      <c r="A302" t="s">
        <v>702</v>
      </c>
      <c r="B302" s="6">
        <v>45787</v>
      </c>
      <c r="C302" s="2">
        <v>45804</v>
      </c>
      <c r="D302" s="4">
        <f t="shared" si="34"/>
        <v>17</v>
      </c>
      <c r="E302" s="4" t="str">
        <f>TEXT(Data!B302,"MMM-YYYY")</f>
        <v>Oct-2023</v>
      </c>
      <c r="F302" s="4" t="str">
        <f t="shared" si="30"/>
        <v>Q2-2025</v>
      </c>
      <c r="G302" t="s">
        <v>52</v>
      </c>
      <c r="H302" t="s">
        <v>53</v>
      </c>
      <c r="I302" t="s">
        <v>179</v>
      </c>
      <c r="J302" t="s">
        <v>27</v>
      </c>
      <c r="K302" t="s">
        <v>98</v>
      </c>
      <c r="L302" t="s">
        <v>21</v>
      </c>
      <c r="M302" t="s">
        <v>22</v>
      </c>
      <c r="N302" t="s">
        <v>703</v>
      </c>
      <c r="O302" s="4">
        <v>862.89</v>
      </c>
      <c r="P302" s="7" t="str">
        <f t="shared" si="31"/>
        <v>High</v>
      </c>
      <c r="Q302" s="4">
        <v>1426.03</v>
      </c>
      <c r="R302" s="4">
        <v>5.6000000000000001E-2</v>
      </c>
      <c r="S302" s="4">
        <v>19</v>
      </c>
      <c r="T302" s="4">
        <f t="shared" si="28"/>
        <v>11111.531359999999</v>
      </c>
      <c r="U302">
        <f t="shared" si="29"/>
        <v>16394.91</v>
      </c>
      <c r="V302" s="4">
        <f t="shared" si="32"/>
        <v>-5283.3786400000008</v>
      </c>
      <c r="W302" s="4">
        <f t="shared" si="33"/>
        <v>-0.4754860935747745</v>
      </c>
    </row>
    <row r="303" spans="1:23" x14ac:dyDescent="0.3">
      <c r="A303" t="s">
        <v>704</v>
      </c>
      <c r="B303" s="6">
        <v>45204</v>
      </c>
      <c r="C303" s="2">
        <v>45230</v>
      </c>
      <c r="D303" s="4">
        <f t="shared" si="34"/>
        <v>26</v>
      </c>
      <c r="E303" s="4" t="str">
        <f>TEXT(Data!B303,"MMM-YYYY")</f>
        <v>Jul-2023</v>
      </c>
      <c r="F303" s="4" t="str">
        <f t="shared" si="30"/>
        <v>Q4-2023</v>
      </c>
      <c r="G303" t="s">
        <v>45</v>
      </c>
      <c r="H303" t="s">
        <v>116</v>
      </c>
      <c r="I303" t="s">
        <v>162</v>
      </c>
      <c r="J303" t="s">
        <v>48</v>
      </c>
      <c r="K303" t="s">
        <v>1364</v>
      </c>
      <c r="L303" t="s">
        <v>29</v>
      </c>
      <c r="M303" t="s">
        <v>30</v>
      </c>
      <c r="N303" t="s">
        <v>705</v>
      </c>
      <c r="O303" s="4">
        <v>649.91</v>
      </c>
      <c r="P303" s="7" t="str">
        <f t="shared" si="31"/>
        <v>High</v>
      </c>
      <c r="Q303" s="4">
        <v>1360.12</v>
      </c>
      <c r="R303" s="4">
        <v>0.19400000000000001</v>
      </c>
      <c r="S303" s="4">
        <v>9</v>
      </c>
      <c r="T303" s="4">
        <f t="shared" si="28"/>
        <v>10311.923699999999</v>
      </c>
      <c r="U303">
        <f t="shared" si="29"/>
        <v>5849.19</v>
      </c>
      <c r="V303" s="4">
        <f t="shared" si="32"/>
        <v>4462.7336999999998</v>
      </c>
      <c r="W303" s="4">
        <f t="shared" si="33"/>
        <v>0.43277411953697836</v>
      </c>
    </row>
    <row r="304" spans="1:23" x14ac:dyDescent="0.3">
      <c r="A304" t="s">
        <v>706</v>
      </c>
      <c r="B304" s="6">
        <v>45125</v>
      </c>
      <c r="C304" s="2">
        <v>45129</v>
      </c>
      <c r="D304" s="4">
        <f t="shared" si="34"/>
        <v>4</v>
      </c>
      <c r="E304" s="4" t="str">
        <f>TEXT(Data!B304,"MMM-YYYY")</f>
        <v>Jun-2025</v>
      </c>
      <c r="F304" s="4" t="str">
        <f t="shared" si="30"/>
        <v>Q3-2023</v>
      </c>
      <c r="G304" t="s">
        <v>52</v>
      </c>
      <c r="H304" t="s">
        <v>73</v>
      </c>
      <c r="I304" t="s">
        <v>74</v>
      </c>
      <c r="J304" t="s">
        <v>48</v>
      </c>
      <c r="K304" t="s">
        <v>98</v>
      </c>
      <c r="L304" t="s">
        <v>84</v>
      </c>
      <c r="M304" t="s">
        <v>35</v>
      </c>
      <c r="N304" t="s">
        <v>707</v>
      </c>
      <c r="O304" s="4">
        <v>1269.55</v>
      </c>
      <c r="P304" s="7" t="str">
        <f t="shared" si="31"/>
        <v>High</v>
      </c>
      <c r="Q304" s="4">
        <v>2071.1</v>
      </c>
      <c r="R304" s="4">
        <v>0.129</v>
      </c>
      <c r="S304" s="4">
        <v>22</v>
      </c>
      <c r="T304" s="4">
        <f t="shared" si="28"/>
        <v>18252.954719999998</v>
      </c>
      <c r="U304">
        <f t="shared" si="29"/>
        <v>27930.1</v>
      </c>
      <c r="V304" s="4">
        <f t="shared" si="32"/>
        <v>-9677.1452800000006</v>
      </c>
      <c r="W304" s="4">
        <f t="shared" si="33"/>
        <v>-0.53016870027057195</v>
      </c>
    </row>
    <row r="305" spans="1:23" x14ac:dyDescent="0.3">
      <c r="A305" t="s">
        <v>708</v>
      </c>
      <c r="B305" s="6">
        <v>45830</v>
      </c>
      <c r="C305" s="2">
        <v>45846</v>
      </c>
      <c r="D305" s="4">
        <f t="shared" si="34"/>
        <v>16</v>
      </c>
      <c r="E305" s="4" t="str">
        <f>TEXT(Data!B305,"MMM-YYYY")</f>
        <v>Jun-2024</v>
      </c>
      <c r="F305" s="4" t="str">
        <f t="shared" si="30"/>
        <v>Q2-2025</v>
      </c>
      <c r="G305" t="s">
        <v>78</v>
      </c>
      <c r="H305" t="s">
        <v>108</v>
      </c>
      <c r="I305" t="s">
        <v>152</v>
      </c>
      <c r="J305" t="s">
        <v>27</v>
      </c>
      <c r="K305" t="s">
        <v>98</v>
      </c>
      <c r="L305" t="s">
        <v>75</v>
      </c>
      <c r="M305" t="s">
        <v>42</v>
      </c>
      <c r="N305" t="s">
        <v>709</v>
      </c>
      <c r="O305" s="4">
        <v>892.73</v>
      </c>
      <c r="P305" s="7" t="str">
        <f t="shared" si="31"/>
        <v>High</v>
      </c>
      <c r="Q305" s="4">
        <v>979.84</v>
      </c>
      <c r="R305" s="4">
        <v>0.17399999999999999</v>
      </c>
      <c r="S305" s="4">
        <v>10</v>
      </c>
      <c r="T305" s="4">
        <f t="shared" si="28"/>
        <v>26053.196400000001</v>
      </c>
      <c r="U305">
        <f t="shared" si="29"/>
        <v>8927.2999999999993</v>
      </c>
      <c r="V305" s="4">
        <f t="shared" si="32"/>
        <v>17125.896400000001</v>
      </c>
      <c r="W305" s="4">
        <f t="shared" si="33"/>
        <v>0.65734338839129935</v>
      </c>
    </row>
    <row r="306" spans="1:23" x14ac:dyDescent="0.3">
      <c r="A306" t="s">
        <v>710</v>
      </c>
      <c r="B306" s="6">
        <v>45462</v>
      </c>
      <c r="C306" s="2">
        <v>45463</v>
      </c>
      <c r="D306" s="4">
        <f t="shared" si="34"/>
        <v>1</v>
      </c>
      <c r="E306" s="4" t="str">
        <f>TEXT(Data!B306,"MMM-YYYY")</f>
        <v>Apr-2025</v>
      </c>
      <c r="F306" s="4" t="str">
        <f t="shared" si="30"/>
        <v>Q2-2024</v>
      </c>
      <c r="G306" t="s">
        <v>16</v>
      </c>
      <c r="H306" t="s">
        <v>17</v>
      </c>
      <c r="I306" t="s">
        <v>18</v>
      </c>
      <c r="J306" t="s">
        <v>62</v>
      </c>
      <c r="K306" t="s">
        <v>98</v>
      </c>
      <c r="L306" t="s">
        <v>29</v>
      </c>
      <c r="M306" t="s">
        <v>57</v>
      </c>
      <c r="N306" t="s">
        <v>711</v>
      </c>
      <c r="O306" s="4">
        <v>231.63</v>
      </c>
      <c r="P306" s="7" t="str">
        <f t="shared" si="31"/>
        <v>High</v>
      </c>
      <c r="Q306" s="4">
        <v>537.39</v>
      </c>
      <c r="R306" s="4">
        <v>0.08</v>
      </c>
      <c r="S306" s="4">
        <v>12</v>
      </c>
      <c r="T306" s="4">
        <f t="shared" si="28"/>
        <v>2496.5855999999999</v>
      </c>
      <c r="U306">
        <f t="shared" si="29"/>
        <v>2779.56</v>
      </c>
      <c r="V306" s="4">
        <f t="shared" si="32"/>
        <v>-282.97440000000006</v>
      </c>
      <c r="W306" s="4">
        <f t="shared" si="33"/>
        <v>-0.11334456146827093</v>
      </c>
    </row>
    <row r="307" spans="1:23" x14ac:dyDescent="0.3">
      <c r="A307" t="s">
        <v>712</v>
      </c>
      <c r="B307" s="6">
        <v>45756</v>
      </c>
      <c r="C307" s="2">
        <v>45759</v>
      </c>
      <c r="D307" s="4">
        <f t="shared" si="34"/>
        <v>3</v>
      </c>
      <c r="E307" s="4" t="str">
        <f>TEXT(Data!B307,"MMM-YYYY")</f>
        <v>Mar-2025</v>
      </c>
      <c r="F307" s="4" t="str">
        <f t="shared" si="30"/>
        <v>Q2-2025</v>
      </c>
      <c r="G307" t="s">
        <v>78</v>
      </c>
      <c r="H307" t="s">
        <v>90</v>
      </c>
      <c r="I307" t="s">
        <v>138</v>
      </c>
      <c r="J307" t="s">
        <v>62</v>
      </c>
      <c r="K307" t="s">
        <v>55</v>
      </c>
      <c r="L307" t="s">
        <v>92</v>
      </c>
      <c r="M307" t="s">
        <v>64</v>
      </c>
      <c r="N307" t="s">
        <v>713</v>
      </c>
      <c r="O307" s="4">
        <v>86.68</v>
      </c>
      <c r="P307" s="7" t="str">
        <f t="shared" si="31"/>
        <v>High</v>
      </c>
      <c r="Q307" s="4">
        <v>213.32</v>
      </c>
      <c r="R307" s="4">
        <v>3.7999999999999999E-2</v>
      </c>
      <c r="S307" s="4">
        <v>8</v>
      </c>
      <c r="T307" s="4">
        <f t="shared" si="28"/>
        <v>6818.0403199999992</v>
      </c>
      <c r="U307">
        <f t="shared" si="29"/>
        <v>693.44</v>
      </c>
      <c r="V307" s="4">
        <f t="shared" si="32"/>
        <v>6124.6003199999996</v>
      </c>
      <c r="W307" s="4">
        <f t="shared" si="33"/>
        <v>0.89829335594190218</v>
      </c>
    </row>
    <row r="308" spans="1:23" x14ac:dyDescent="0.3">
      <c r="A308" t="s">
        <v>714</v>
      </c>
      <c r="B308" s="6">
        <v>45741</v>
      </c>
      <c r="C308" s="2">
        <v>45742</v>
      </c>
      <c r="D308" s="4">
        <f t="shared" si="34"/>
        <v>1</v>
      </c>
      <c r="E308" s="4" t="str">
        <f>TEXT(Data!B308,"MMM-YYYY")</f>
        <v>May-2025</v>
      </c>
      <c r="F308" s="4" t="str">
        <f t="shared" si="30"/>
        <v>Q1-2025</v>
      </c>
      <c r="G308" t="s">
        <v>16</v>
      </c>
      <c r="H308" t="s">
        <v>25</v>
      </c>
      <c r="I308" t="s">
        <v>38</v>
      </c>
      <c r="J308" t="s">
        <v>27</v>
      </c>
      <c r="K308" t="s">
        <v>55</v>
      </c>
      <c r="L308" t="s">
        <v>41</v>
      </c>
      <c r="M308" t="s">
        <v>81</v>
      </c>
      <c r="N308" t="s">
        <v>715</v>
      </c>
      <c r="O308" s="4">
        <v>1450.43</v>
      </c>
      <c r="P308" s="7" t="str">
        <f t="shared" si="31"/>
        <v>High</v>
      </c>
      <c r="Q308" s="4">
        <v>1994.67</v>
      </c>
      <c r="R308" s="4">
        <v>0.1</v>
      </c>
      <c r="S308" s="4">
        <v>24</v>
      </c>
      <c r="T308" s="4">
        <f t="shared" si="28"/>
        <v>52560.144000000008</v>
      </c>
      <c r="U308">
        <f t="shared" si="29"/>
        <v>34810.32</v>
      </c>
      <c r="V308" s="4">
        <f t="shared" si="32"/>
        <v>17749.824000000008</v>
      </c>
      <c r="W308" s="4">
        <f t="shared" si="33"/>
        <v>0.33770501085385163</v>
      </c>
    </row>
    <row r="309" spans="1:23" x14ac:dyDescent="0.3">
      <c r="A309" t="s">
        <v>716</v>
      </c>
      <c r="B309" s="6">
        <v>45795</v>
      </c>
      <c r="C309" s="2">
        <v>45817</v>
      </c>
      <c r="D309" s="4">
        <f t="shared" si="34"/>
        <v>22</v>
      </c>
      <c r="E309" s="4" t="str">
        <f>TEXT(Data!B309,"MMM-YYYY")</f>
        <v>Jan-2025</v>
      </c>
      <c r="F309" s="4" t="str">
        <f t="shared" si="30"/>
        <v>Q2-2025</v>
      </c>
      <c r="G309" t="s">
        <v>52</v>
      </c>
      <c r="H309" t="s">
        <v>122</v>
      </c>
      <c r="I309" t="s">
        <v>387</v>
      </c>
      <c r="J309" t="s">
        <v>48</v>
      </c>
      <c r="K309" t="s">
        <v>20</v>
      </c>
      <c r="L309" t="s">
        <v>92</v>
      </c>
      <c r="M309" t="s">
        <v>35</v>
      </c>
      <c r="N309" t="s">
        <v>717</v>
      </c>
      <c r="O309" s="4">
        <v>382.96</v>
      </c>
      <c r="P309" s="7" t="str">
        <f t="shared" si="31"/>
        <v>High</v>
      </c>
      <c r="Q309" s="4">
        <v>552.84</v>
      </c>
      <c r="R309" s="4">
        <v>0.17599999999999999</v>
      </c>
      <c r="S309" s="4">
        <v>8</v>
      </c>
      <c r="T309" s="4">
        <f t="shared" si="28"/>
        <v>7609.4092799999999</v>
      </c>
      <c r="U309">
        <f t="shared" si="29"/>
        <v>3063.68</v>
      </c>
      <c r="V309" s="4">
        <f t="shared" si="32"/>
        <v>4545.7292799999996</v>
      </c>
      <c r="W309" s="4">
        <f t="shared" si="33"/>
        <v>0.59738267620164065</v>
      </c>
    </row>
    <row r="310" spans="1:23" x14ac:dyDescent="0.3">
      <c r="A310" t="s">
        <v>718</v>
      </c>
      <c r="B310" s="6">
        <v>45679</v>
      </c>
      <c r="C310" s="2">
        <v>45692</v>
      </c>
      <c r="D310" s="4">
        <f t="shared" si="34"/>
        <v>13</v>
      </c>
      <c r="E310" s="4" t="str">
        <f>TEXT(Data!B310,"MMM-YYYY")</f>
        <v>Jan-2023</v>
      </c>
      <c r="F310" s="4" t="str">
        <f t="shared" si="30"/>
        <v>Q1-2025</v>
      </c>
      <c r="G310" t="s">
        <v>45</v>
      </c>
      <c r="H310" t="s">
        <v>46</v>
      </c>
      <c r="I310" t="s">
        <v>214</v>
      </c>
      <c r="J310" t="s">
        <v>62</v>
      </c>
      <c r="K310" t="s">
        <v>55</v>
      </c>
      <c r="L310" t="s">
        <v>49</v>
      </c>
      <c r="M310" t="s">
        <v>30</v>
      </c>
      <c r="N310" t="s">
        <v>719</v>
      </c>
      <c r="O310" s="4">
        <v>122.29</v>
      </c>
      <c r="P310" s="7" t="str">
        <f t="shared" si="31"/>
        <v>High</v>
      </c>
      <c r="Q310" s="4">
        <v>224.95</v>
      </c>
      <c r="R310" s="4">
        <v>0.153</v>
      </c>
      <c r="S310" s="4">
        <v>28</v>
      </c>
      <c r="T310" s="4">
        <f t="shared" si="28"/>
        <v>26941.13884</v>
      </c>
      <c r="U310">
        <f t="shared" si="29"/>
        <v>3424.1200000000003</v>
      </c>
      <c r="V310" s="4">
        <f t="shared" si="32"/>
        <v>23517.018840000001</v>
      </c>
      <c r="W310" s="4">
        <f t="shared" si="33"/>
        <v>0.8729036652705956</v>
      </c>
    </row>
    <row r="311" spans="1:23" x14ac:dyDescent="0.3">
      <c r="A311" t="s">
        <v>720</v>
      </c>
      <c r="B311" s="6">
        <v>44936</v>
      </c>
      <c r="C311" s="2">
        <v>44955</v>
      </c>
      <c r="D311" s="4">
        <f t="shared" si="34"/>
        <v>19</v>
      </c>
      <c r="E311" s="4" t="str">
        <f>TEXT(Data!B311,"MMM-YYYY")</f>
        <v>Dec-2024</v>
      </c>
      <c r="F311" s="4" t="str">
        <f t="shared" si="30"/>
        <v>Q1-2023</v>
      </c>
      <c r="G311" t="s">
        <v>78</v>
      </c>
      <c r="H311" t="s">
        <v>90</v>
      </c>
      <c r="I311" t="s">
        <v>138</v>
      </c>
      <c r="J311" t="s">
        <v>39</v>
      </c>
      <c r="K311" t="s">
        <v>98</v>
      </c>
      <c r="L311" t="s">
        <v>145</v>
      </c>
      <c r="M311" t="s">
        <v>57</v>
      </c>
      <c r="N311" t="s">
        <v>721</v>
      </c>
      <c r="O311" s="4">
        <v>401.66</v>
      </c>
      <c r="P311" s="7" t="str">
        <f t="shared" si="31"/>
        <v>High</v>
      </c>
      <c r="Q311" s="4">
        <v>772.09</v>
      </c>
      <c r="R311" s="4">
        <v>8.8999999999999996E-2</v>
      </c>
      <c r="S311" s="4">
        <v>14</v>
      </c>
      <c r="T311" s="4">
        <f t="shared" si="28"/>
        <v>35096.967360000002</v>
      </c>
      <c r="U311">
        <f t="shared" si="29"/>
        <v>5623.2400000000007</v>
      </c>
      <c r="V311" s="4">
        <f t="shared" si="32"/>
        <v>29473.727360000001</v>
      </c>
      <c r="W311" s="4">
        <f t="shared" si="33"/>
        <v>0.83977988917615698</v>
      </c>
    </row>
    <row r="312" spans="1:23" x14ac:dyDescent="0.3">
      <c r="A312" t="s">
        <v>722</v>
      </c>
      <c r="B312" s="6">
        <v>45655</v>
      </c>
      <c r="C312" s="2">
        <v>45669</v>
      </c>
      <c r="D312" s="4">
        <f t="shared" si="34"/>
        <v>14</v>
      </c>
      <c r="E312" s="4" t="str">
        <f>TEXT(Data!B312,"MMM-YYYY")</f>
        <v>May-2024</v>
      </c>
      <c r="F312" s="4" t="str">
        <f t="shared" si="30"/>
        <v>Q4-2024</v>
      </c>
      <c r="G312" t="s">
        <v>78</v>
      </c>
      <c r="H312" t="s">
        <v>108</v>
      </c>
      <c r="I312" t="s">
        <v>228</v>
      </c>
      <c r="J312" t="s">
        <v>19</v>
      </c>
      <c r="K312" t="s">
        <v>98</v>
      </c>
      <c r="L312" t="s">
        <v>56</v>
      </c>
      <c r="M312" t="s">
        <v>64</v>
      </c>
      <c r="N312" t="s">
        <v>723</v>
      </c>
      <c r="O312" s="4">
        <v>1399.72</v>
      </c>
      <c r="P312" s="7" t="str">
        <f t="shared" si="31"/>
        <v>High</v>
      </c>
      <c r="Q312" s="4">
        <v>3149.21</v>
      </c>
      <c r="R312" s="4">
        <v>0.185</v>
      </c>
      <c r="S312" s="4">
        <v>12</v>
      </c>
      <c r="T312" s="4">
        <f t="shared" si="28"/>
        <v>13444.761599999998</v>
      </c>
      <c r="U312">
        <f t="shared" si="29"/>
        <v>16796.64</v>
      </c>
      <c r="V312" s="4">
        <f t="shared" si="32"/>
        <v>-3351.8784000000014</v>
      </c>
      <c r="W312" s="4">
        <f t="shared" si="33"/>
        <v>-0.24930738823959525</v>
      </c>
    </row>
    <row r="313" spans="1:23" x14ac:dyDescent="0.3">
      <c r="A313" t="s">
        <v>724</v>
      </c>
      <c r="B313" s="6">
        <v>45435</v>
      </c>
      <c r="C313" s="2">
        <v>45449</v>
      </c>
      <c r="D313" s="4">
        <f t="shared" si="34"/>
        <v>14</v>
      </c>
      <c r="E313" s="4" t="str">
        <f>TEXT(Data!B313,"MMM-YYYY")</f>
        <v>Jun-2023</v>
      </c>
      <c r="F313" s="4" t="str">
        <f t="shared" si="30"/>
        <v>Q2-2024</v>
      </c>
      <c r="G313" t="s">
        <v>52</v>
      </c>
      <c r="H313" t="s">
        <v>73</v>
      </c>
      <c r="I313" t="s">
        <v>225</v>
      </c>
      <c r="J313" t="s">
        <v>39</v>
      </c>
      <c r="K313" t="s">
        <v>28</v>
      </c>
      <c r="L313" t="s">
        <v>34</v>
      </c>
      <c r="M313" t="s">
        <v>35</v>
      </c>
      <c r="N313" t="s">
        <v>725</v>
      </c>
      <c r="O313" s="4">
        <v>51.13</v>
      </c>
      <c r="P313" s="7" t="str">
        <f t="shared" si="31"/>
        <v>Medium</v>
      </c>
      <c r="Q313" s="4">
        <v>57.53</v>
      </c>
      <c r="R313" s="4">
        <v>4.4999999999999998E-2</v>
      </c>
      <c r="S313" s="4">
        <v>16</v>
      </c>
      <c r="T313" s="4">
        <f t="shared" si="28"/>
        <v>20144.693599999999</v>
      </c>
      <c r="U313">
        <f t="shared" si="29"/>
        <v>818.08</v>
      </c>
      <c r="V313" s="4">
        <f t="shared" si="32"/>
        <v>19326.613599999997</v>
      </c>
      <c r="W313" s="4">
        <f t="shared" si="33"/>
        <v>0.95938980178879452</v>
      </c>
    </row>
    <row r="314" spans="1:23" x14ac:dyDescent="0.3">
      <c r="A314" t="s">
        <v>726</v>
      </c>
      <c r="B314" s="6">
        <v>45101</v>
      </c>
      <c r="C314" s="2">
        <v>45099</v>
      </c>
      <c r="D314" s="4">
        <f>DATEDIF(C314,B314, "MD")</f>
        <v>2</v>
      </c>
      <c r="E314" s="4" t="str">
        <f>TEXT(Data!B314,"MMM-YYYY")</f>
        <v>Nov-2024</v>
      </c>
      <c r="F314" s="4" t="str">
        <f t="shared" si="30"/>
        <v>Q2-2023</v>
      </c>
      <c r="G314" t="s">
        <v>52</v>
      </c>
      <c r="H314" t="s">
        <v>53</v>
      </c>
      <c r="I314" t="s">
        <v>54</v>
      </c>
      <c r="J314" t="s">
        <v>39</v>
      </c>
      <c r="K314" t="s">
        <v>20</v>
      </c>
      <c r="L314" t="s">
        <v>110</v>
      </c>
      <c r="M314" t="s">
        <v>81</v>
      </c>
      <c r="N314" t="s">
        <v>727</v>
      </c>
      <c r="O314" s="4">
        <v>471.42</v>
      </c>
      <c r="P314" s="7" t="str">
        <f t="shared" si="31"/>
        <v>High</v>
      </c>
      <c r="Q314" s="4">
        <v>824.81</v>
      </c>
      <c r="R314" s="4">
        <v>8.7999999999999995E-2</v>
      </c>
      <c r="S314" s="4">
        <v>15</v>
      </c>
      <c r="T314" s="4">
        <f t="shared" si="28"/>
        <v>6043.0032000000001</v>
      </c>
      <c r="U314">
        <f t="shared" si="29"/>
        <v>7071.3</v>
      </c>
      <c r="V314" s="4">
        <f t="shared" si="32"/>
        <v>-1028.2968000000001</v>
      </c>
      <c r="W314" s="4">
        <f t="shared" si="33"/>
        <v>-0.17016320626803574</v>
      </c>
    </row>
    <row r="315" spans="1:23" x14ac:dyDescent="0.3">
      <c r="A315" t="s">
        <v>728</v>
      </c>
      <c r="B315" s="6">
        <v>45600</v>
      </c>
      <c r="C315" s="2">
        <v>45601</v>
      </c>
      <c r="D315" s="4">
        <f t="shared" si="34"/>
        <v>1</v>
      </c>
      <c r="E315" s="4" t="str">
        <f>TEXT(Data!B315,"MMM-YYYY")</f>
        <v>Jun-2024</v>
      </c>
      <c r="F315" s="4" t="str">
        <f t="shared" si="30"/>
        <v>Q4-2024</v>
      </c>
      <c r="G315" t="s">
        <v>78</v>
      </c>
      <c r="H315" t="s">
        <v>108</v>
      </c>
      <c r="I315" t="s">
        <v>152</v>
      </c>
      <c r="J315" t="s">
        <v>19</v>
      </c>
      <c r="K315" t="s">
        <v>20</v>
      </c>
      <c r="L315" t="s">
        <v>110</v>
      </c>
      <c r="M315" t="s">
        <v>30</v>
      </c>
      <c r="N315" t="s">
        <v>729</v>
      </c>
      <c r="O315" s="4">
        <v>840.68</v>
      </c>
      <c r="P315" s="7" t="str">
        <f t="shared" si="31"/>
        <v>High</v>
      </c>
      <c r="Q315" s="4">
        <v>1493.53</v>
      </c>
      <c r="R315" s="4">
        <v>0</v>
      </c>
      <c r="S315" s="4">
        <v>27</v>
      </c>
      <c r="T315" s="4">
        <f t="shared" si="28"/>
        <v>35911.89</v>
      </c>
      <c r="U315">
        <f t="shared" si="29"/>
        <v>22698.359999999997</v>
      </c>
      <c r="V315" s="4">
        <f t="shared" si="32"/>
        <v>13213.530000000002</v>
      </c>
      <c r="W315" s="4">
        <f t="shared" si="33"/>
        <v>0.36794304059184862</v>
      </c>
    </row>
    <row r="316" spans="1:23" x14ac:dyDescent="0.3">
      <c r="A316" t="s">
        <v>730</v>
      </c>
      <c r="B316" s="6">
        <v>45451</v>
      </c>
      <c r="C316" s="2">
        <v>45467</v>
      </c>
      <c r="D316" s="4">
        <f t="shared" si="34"/>
        <v>16</v>
      </c>
      <c r="E316" s="4" t="str">
        <f>TEXT(Data!B316,"MMM-YYYY")</f>
        <v>Jun-2025</v>
      </c>
      <c r="F316" s="4" t="str">
        <f t="shared" si="30"/>
        <v>Q2-2024</v>
      </c>
      <c r="G316" t="s">
        <v>16</v>
      </c>
      <c r="H316" t="s">
        <v>148</v>
      </c>
      <c r="I316" t="s">
        <v>172</v>
      </c>
      <c r="J316" t="s">
        <v>27</v>
      </c>
      <c r="K316" t="s">
        <v>55</v>
      </c>
      <c r="L316" t="s">
        <v>92</v>
      </c>
      <c r="M316" t="s">
        <v>64</v>
      </c>
      <c r="N316" t="s">
        <v>731</v>
      </c>
      <c r="O316" s="4">
        <v>597.85</v>
      </c>
      <c r="P316" s="7" t="str">
        <f t="shared" si="31"/>
        <v>High</v>
      </c>
      <c r="Q316" s="4">
        <v>741.92</v>
      </c>
      <c r="R316" s="4">
        <v>3.1E-2</v>
      </c>
      <c r="S316" s="4">
        <v>7</v>
      </c>
      <c r="T316" s="4">
        <f t="shared" si="28"/>
        <v>11089.255379999999</v>
      </c>
      <c r="U316">
        <f t="shared" si="29"/>
        <v>4184.95</v>
      </c>
      <c r="V316" s="4">
        <f t="shared" si="32"/>
        <v>6904.3053799999989</v>
      </c>
      <c r="W316" s="4">
        <f t="shared" si="33"/>
        <v>0.62261217217995024</v>
      </c>
    </row>
    <row r="317" spans="1:23" x14ac:dyDescent="0.3">
      <c r="A317" t="s">
        <v>732</v>
      </c>
      <c r="B317" s="6">
        <v>45809</v>
      </c>
      <c r="C317" s="2">
        <v>45814</v>
      </c>
      <c r="D317" s="4">
        <f t="shared" si="34"/>
        <v>5</v>
      </c>
      <c r="E317" s="4" t="str">
        <f>TEXT(Data!B317,"MMM-YYYY")</f>
        <v>May-2023</v>
      </c>
      <c r="F317" s="4" t="str">
        <f t="shared" si="30"/>
        <v>Q2-2025</v>
      </c>
      <c r="G317" t="s">
        <v>78</v>
      </c>
      <c r="H317" t="s">
        <v>90</v>
      </c>
      <c r="I317" t="s">
        <v>217</v>
      </c>
      <c r="J317" t="s">
        <v>48</v>
      </c>
      <c r="K317" t="s">
        <v>55</v>
      </c>
      <c r="L317" t="s">
        <v>41</v>
      </c>
      <c r="M317" t="s">
        <v>22</v>
      </c>
      <c r="N317" t="s">
        <v>733</v>
      </c>
      <c r="O317" s="4">
        <v>379.45</v>
      </c>
      <c r="P317" s="7" t="str">
        <f t="shared" si="31"/>
        <v>High</v>
      </c>
      <c r="Q317" s="4">
        <v>742.23</v>
      </c>
      <c r="R317" s="4">
        <v>0.09</v>
      </c>
      <c r="S317" s="4">
        <v>13</v>
      </c>
      <c r="T317" s="4">
        <f t="shared" si="28"/>
        <v>835.19799999999998</v>
      </c>
      <c r="U317">
        <f t="shared" si="29"/>
        <v>4932.8499999999995</v>
      </c>
      <c r="V317" s="4">
        <f t="shared" si="32"/>
        <v>-4097.6519999999991</v>
      </c>
      <c r="W317" s="4">
        <f t="shared" si="33"/>
        <v>-4.9062042773090919</v>
      </c>
    </row>
    <row r="318" spans="1:23" x14ac:dyDescent="0.3">
      <c r="A318" t="s">
        <v>734</v>
      </c>
      <c r="B318" s="6">
        <v>45052</v>
      </c>
      <c r="C318" s="2">
        <v>45060</v>
      </c>
      <c r="D318" s="4">
        <f t="shared" si="34"/>
        <v>8</v>
      </c>
      <c r="E318" s="4" t="str">
        <f>TEXT(Data!B318,"MMM-YYYY")</f>
        <v>Nov-2023</v>
      </c>
      <c r="F318" s="4" t="str">
        <f t="shared" si="30"/>
        <v>Q2-2023</v>
      </c>
      <c r="G318" t="s">
        <v>45</v>
      </c>
      <c r="H318" t="s">
        <v>46</v>
      </c>
      <c r="I318" t="s">
        <v>47</v>
      </c>
      <c r="J318" t="s">
        <v>105</v>
      </c>
      <c r="K318" t="s">
        <v>40</v>
      </c>
      <c r="L318" t="s">
        <v>56</v>
      </c>
      <c r="M318" t="s">
        <v>42</v>
      </c>
      <c r="N318" t="s">
        <v>735</v>
      </c>
      <c r="O318" s="4">
        <v>291.18</v>
      </c>
      <c r="P318" s="7" t="str">
        <f t="shared" si="31"/>
        <v>High</v>
      </c>
      <c r="Q318" s="4">
        <v>479.54</v>
      </c>
      <c r="R318" s="4">
        <v>0.14099999999999999</v>
      </c>
      <c r="S318" s="4">
        <v>22</v>
      </c>
      <c r="T318" s="4">
        <f t="shared" si="28"/>
        <v>34451.80992</v>
      </c>
      <c r="U318">
        <f t="shared" si="29"/>
        <v>6405.96</v>
      </c>
      <c r="V318" s="4">
        <f t="shared" si="32"/>
        <v>28045.849920000001</v>
      </c>
      <c r="W318" s="4">
        <f t="shared" si="33"/>
        <v>0.81406027680765747</v>
      </c>
    </row>
    <row r="319" spans="1:23" x14ac:dyDescent="0.3">
      <c r="A319" t="s">
        <v>736</v>
      </c>
      <c r="B319" s="6">
        <v>45244</v>
      </c>
      <c r="C319" s="2">
        <v>45260</v>
      </c>
      <c r="D319" s="4">
        <f t="shared" si="34"/>
        <v>16</v>
      </c>
      <c r="E319" s="4" t="str">
        <f>TEXT(Data!B319,"MMM-YYYY")</f>
        <v>Apr-2025</v>
      </c>
      <c r="F319" s="4" t="str">
        <f t="shared" si="30"/>
        <v>Q4-2023</v>
      </c>
      <c r="G319" t="s">
        <v>52</v>
      </c>
      <c r="H319" t="s">
        <v>73</v>
      </c>
      <c r="I319" t="s">
        <v>74</v>
      </c>
      <c r="J319" t="s">
        <v>105</v>
      </c>
      <c r="K319" t="s">
        <v>98</v>
      </c>
      <c r="L319" t="s">
        <v>95</v>
      </c>
      <c r="M319" t="s">
        <v>35</v>
      </c>
      <c r="N319" t="s">
        <v>737</v>
      </c>
      <c r="O319" s="4">
        <v>1017.92</v>
      </c>
      <c r="P319" s="7" t="str">
        <f t="shared" si="31"/>
        <v>High</v>
      </c>
      <c r="Q319" s="4">
        <v>1175.25</v>
      </c>
      <c r="R319" s="4">
        <v>7.4999999999999997E-2</v>
      </c>
      <c r="S319" s="4">
        <v>15</v>
      </c>
      <c r="T319" s="4">
        <f t="shared" si="28"/>
        <v>27971.861250000002</v>
      </c>
      <c r="U319">
        <f t="shared" si="29"/>
        <v>15268.8</v>
      </c>
      <c r="V319" s="4">
        <f t="shared" si="32"/>
        <v>12703.061250000002</v>
      </c>
      <c r="W319" s="4">
        <f t="shared" si="33"/>
        <v>0.45413714648681097</v>
      </c>
    </row>
    <row r="320" spans="1:23" x14ac:dyDescent="0.3">
      <c r="A320" t="s">
        <v>738</v>
      </c>
      <c r="B320" s="6">
        <v>45748</v>
      </c>
      <c r="C320" s="2">
        <v>45774</v>
      </c>
      <c r="D320" s="4">
        <f t="shared" si="34"/>
        <v>26</v>
      </c>
      <c r="E320" s="4" t="str">
        <f>TEXT(Data!B320,"MMM-YYYY")</f>
        <v>Mar-2023</v>
      </c>
      <c r="F320" s="4" t="str">
        <f t="shared" si="30"/>
        <v>Q2-2025</v>
      </c>
      <c r="G320" t="s">
        <v>52</v>
      </c>
      <c r="H320" t="s">
        <v>122</v>
      </c>
      <c r="I320" t="s">
        <v>167</v>
      </c>
      <c r="J320" t="s">
        <v>19</v>
      </c>
      <c r="K320" t="s">
        <v>98</v>
      </c>
      <c r="L320" t="s">
        <v>34</v>
      </c>
      <c r="M320" t="s">
        <v>64</v>
      </c>
      <c r="N320" t="s">
        <v>739</v>
      </c>
      <c r="O320" s="4">
        <v>156.55000000000001</v>
      </c>
      <c r="P320" s="7" t="str">
        <f t="shared" si="31"/>
        <v>High</v>
      </c>
      <c r="Q320" s="4">
        <v>227.45</v>
      </c>
      <c r="R320" s="4">
        <v>1.4E-2</v>
      </c>
      <c r="S320" s="4">
        <v>13</v>
      </c>
      <c r="T320" s="4">
        <f t="shared" si="28"/>
        <v>3129.2583399999999</v>
      </c>
      <c r="U320">
        <f t="shared" si="29"/>
        <v>2035.15</v>
      </c>
      <c r="V320" s="4">
        <f t="shared" si="32"/>
        <v>1094.1083399999998</v>
      </c>
      <c r="W320" s="4">
        <f t="shared" si="33"/>
        <v>0.34963822769583153</v>
      </c>
    </row>
    <row r="321" spans="1:23" x14ac:dyDescent="0.3">
      <c r="A321" t="s">
        <v>740</v>
      </c>
      <c r="B321" s="6">
        <v>45008</v>
      </c>
      <c r="C321" s="2">
        <v>45031</v>
      </c>
      <c r="D321" s="4">
        <f t="shared" si="34"/>
        <v>23</v>
      </c>
      <c r="E321" s="4" t="str">
        <f>TEXT(Data!B321,"MMM-YYYY")</f>
        <v>May-2024</v>
      </c>
      <c r="F321" s="4" t="str">
        <f t="shared" si="30"/>
        <v>Q1-2023</v>
      </c>
      <c r="G321" t="s">
        <v>16</v>
      </c>
      <c r="H321" t="s">
        <v>17</v>
      </c>
      <c r="I321" t="s">
        <v>113</v>
      </c>
      <c r="J321" t="s">
        <v>62</v>
      </c>
      <c r="K321" t="s">
        <v>20</v>
      </c>
      <c r="L321" t="s">
        <v>21</v>
      </c>
      <c r="M321" t="s">
        <v>81</v>
      </c>
      <c r="N321" t="s">
        <v>741</v>
      </c>
      <c r="O321" s="4">
        <v>875.36</v>
      </c>
      <c r="P321" s="7" t="str">
        <f t="shared" si="31"/>
        <v>High</v>
      </c>
      <c r="Q321" s="4">
        <v>1178.6199999999999</v>
      </c>
      <c r="R321" s="4">
        <v>0.151</v>
      </c>
      <c r="S321" s="4">
        <v>53</v>
      </c>
      <c r="T321" s="4">
        <f t="shared" si="28"/>
        <v>125232.05063999999</v>
      </c>
      <c r="U321">
        <f t="shared" si="29"/>
        <v>46394.080000000002</v>
      </c>
      <c r="V321" s="4">
        <f t="shared" si="32"/>
        <v>78837.970639999985</v>
      </c>
      <c r="W321" s="4">
        <f t="shared" si="33"/>
        <v>0.62953509295022747</v>
      </c>
    </row>
    <row r="322" spans="1:23" x14ac:dyDescent="0.3">
      <c r="A322" t="s">
        <v>742</v>
      </c>
      <c r="B322" s="6">
        <v>45440</v>
      </c>
      <c r="C322" s="2">
        <v>45461</v>
      </c>
      <c r="D322" s="4">
        <f t="shared" si="34"/>
        <v>21</v>
      </c>
      <c r="E322" s="4" t="str">
        <f>TEXT(Data!B322,"MMM-YYYY")</f>
        <v>Jan-2024</v>
      </c>
      <c r="F322" s="4" t="str">
        <f t="shared" si="30"/>
        <v>Q2-2024</v>
      </c>
      <c r="G322" t="s">
        <v>78</v>
      </c>
      <c r="H322" t="s">
        <v>79</v>
      </c>
      <c r="I322" t="s">
        <v>335</v>
      </c>
      <c r="J322" t="s">
        <v>62</v>
      </c>
      <c r="K322" t="s">
        <v>28</v>
      </c>
      <c r="L322" t="s">
        <v>63</v>
      </c>
      <c r="M322" t="s">
        <v>42</v>
      </c>
      <c r="N322" t="s">
        <v>743</v>
      </c>
      <c r="O322" s="4">
        <v>986.85</v>
      </c>
      <c r="P322" s="7" t="str">
        <f t="shared" si="31"/>
        <v>High</v>
      </c>
      <c r="Q322" s="4">
        <v>2422.1</v>
      </c>
      <c r="R322" s="4">
        <v>7.5999999999999998E-2</v>
      </c>
      <c r="S322" s="4">
        <v>10</v>
      </c>
      <c r="T322" s="4">
        <f t="shared" ref="T322:T385" si="35">(Q348*S322)*(1-R322)</f>
        <v>18944.864399999999</v>
      </c>
      <c r="U322">
        <f t="shared" ref="U322:U385" si="36">(O322*S322)</f>
        <v>9868.5</v>
      </c>
      <c r="V322" s="4">
        <f t="shared" si="32"/>
        <v>9076.3643999999986</v>
      </c>
      <c r="W322" s="4">
        <f t="shared" si="33"/>
        <v>0.47909365875429538</v>
      </c>
    </row>
    <row r="323" spans="1:23" x14ac:dyDescent="0.3">
      <c r="A323" t="s">
        <v>744</v>
      </c>
      <c r="B323" s="6">
        <v>45293</v>
      </c>
      <c r="C323" s="2">
        <v>45292</v>
      </c>
      <c r="D323" s="4">
        <f>DATEDIF(C323,B323, "MD")</f>
        <v>1</v>
      </c>
      <c r="E323" s="4" t="str">
        <f>TEXT(Data!B323,"MMM-YYYY")</f>
        <v>Feb-2023</v>
      </c>
      <c r="F323" s="4" t="str">
        <f t="shared" ref="F323:F386" si="37">"Q"&amp;ROUNDUP(MONTH(B323)/3,0)&amp;"-"&amp;YEAR(B323)</f>
        <v>Q1-2024</v>
      </c>
      <c r="G323" t="s">
        <v>52</v>
      </c>
      <c r="H323" t="s">
        <v>122</v>
      </c>
      <c r="I323" t="s">
        <v>123</v>
      </c>
      <c r="J323" t="s">
        <v>27</v>
      </c>
      <c r="K323" t="s">
        <v>40</v>
      </c>
      <c r="L323" t="s">
        <v>56</v>
      </c>
      <c r="M323" t="s">
        <v>35</v>
      </c>
      <c r="N323" t="s">
        <v>745</v>
      </c>
      <c r="O323" s="4">
        <v>404.77</v>
      </c>
      <c r="P323" s="7" t="str">
        <f t="shared" ref="P323:P386" si="38">IF(Q323&lt;50, "Low", IF(Q323&lt;200, "Medium", "High"))</f>
        <v>High</v>
      </c>
      <c r="Q323" s="4">
        <v>433.88</v>
      </c>
      <c r="R323" s="4">
        <v>0.215</v>
      </c>
      <c r="S323" s="4">
        <v>22</v>
      </c>
      <c r="T323" s="4">
        <f t="shared" si="35"/>
        <v>2540.7624000000005</v>
      </c>
      <c r="U323">
        <f t="shared" si="36"/>
        <v>8904.9399999999987</v>
      </c>
      <c r="V323" s="4">
        <f t="shared" ref="V323:V386" si="39">(T323-U323)</f>
        <v>-6364.1775999999982</v>
      </c>
      <c r="W323" s="4">
        <f t="shared" ref="W323:W386" si="40">IF(T323=0, 0, V323/T323)</f>
        <v>-2.504829888855407</v>
      </c>
    </row>
    <row r="324" spans="1:23" x14ac:dyDescent="0.3">
      <c r="A324" t="s">
        <v>746</v>
      </c>
      <c r="B324" s="6">
        <v>44985</v>
      </c>
      <c r="C324" s="2">
        <v>44984</v>
      </c>
      <c r="D324" s="4">
        <f>DATEDIF(C324,B324, "MD")</f>
        <v>1</v>
      </c>
      <c r="E324" s="4" t="str">
        <f>TEXT(Data!B324,"MMM-YYYY")</f>
        <v>Feb-2024</v>
      </c>
      <c r="F324" s="4" t="str">
        <f t="shared" si="37"/>
        <v>Q1-2023</v>
      </c>
      <c r="G324" t="s">
        <v>78</v>
      </c>
      <c r="H324" t="s">
        <v>90</v>
      </c>
      <c r="I324" t="s">
        <v>91</v>
      </c>
      <c r="J324" t="s">
        <v>19</v>
      </c>
      <c r="K324" t="s">
        <v>20</v>
      </c>
      <c r="L324" t="s">
        <v>95</v>
      </c>
      <c r="M324" t="s">
        <v>35</v>
      </c>
      <c r="N324" t="s">
        <v>747</v>
      </c>
      <c r="O324" s="4">
        <v>1299.81</v>
      </c>
      <c r="P324" s="7" t="str">
        <f t="shared" si="38"/>
        <v>High</v>
      </c>
      <c r="Q324" s="4">
        <v>3149.13</v>
      </c>
      <c r="R324" s="4">
        <v>0.10299999999999999</v>
      </c>
      <c r="S324" s="4">
        <v>14</v>
      </c>
      <c r="T324" s="4">
        <f t="shared" si="35"/>
        <v>24902.262840000003</v>
      </c>
      <c r="U324">
        <f t="shared" si="36"/>
        <v>18197.34</v>
      </c>
      <c r="V324" s="4">
        <f t="shared" si="39"/>
        <v>6704.9228400000029</v>
      </c>
      <c r="W324" s="4">
        <f t="shared" si="40"/>
        <v>0.26924954101881943</v>
      </c>
    </row>
    <row r="325" spans="1:23" x14ac:dyDescent="0.3">
      <c r="A325" t="s">
        <v>748</v>
      </c>
      <c r="B325" s="6">
        <v>45340</v>
      </c>
      <c r="C325" s="2">
        <v>45362</v>
      </c>
      <c r="D325" s="4">
        <f t="shared" ref="D325:D388" si="41">DATEDIF(B325,C325, "MD")</f>
        <v>22</v>
      </c>
      <c r="E325" s="4" t="str">
        <f>TEXT(Data!B325,"MMM-YYYY")</f>
        <v>Sep-2024</v>
      </c>
      <c r="F325" s="4" t="str">
        <f t="shared" si="37"/>
        <v>Q1-2024</v>
      </c>
      <c r="G325" t="s">
        <v>52</v>
      </c>
      <c r="H325" t="s">
        <v>73</v>
      </c>
      <c r="I325" t="s">
        <v>74</v>
      </c>
      <c r="J325" t="s">
        <v>48</v>
      </c>
      <c r="K325" t="s">
        <v>28</v>
      </c>
      <c r="L325" t="s">
        <v>75</v>
      </c>
      <c r="M325" t="s">
        <v>22</v>
      </c>
      <c r="N325" t="s">
        <v>749</v>
      </c>
      <c r="O325" s="4">
        <v>80.48</v>
      </c>
      <c r="P325" s="7" t="str">
        <f t="shared" si="38"/>
        <v>Medium</v>
      </c>
      <c r="Q325" s="4">
        <v>65.650000000000006</v>
      </c>
      <c r="R325" s="4">
        <v>0.17599999999999999</v>
      </c>
      <c r="S325" s="4">
        <v>13</v>
      </c>
      <c r="T325" s="4">
        <f t="shared" si="35"/>
        <v>24630.101600000002</v>
      </c>
      <c r="U325">
        <f t="shared" si="36"/>
        <v>1046.24</v>
      </c>
      <c r="V325" s="4">
        <f t="shared" si="39"/>
        <v>23583.8616</v>
      </c>
      <c r="W325" s="4">
        <f t="shared" si="40"/>
        <v>0.95752189670220433</v>
      </c>
    </row>
    <row r="326" spans="1:23" x14ac:dyDescent="0.3">
      <c r="A326" t="s">
        <v>750</v>
      </c>
      <c r="B326" s="6">
        <v>45544</v>
      </c>
      <c r="C326" s="2">
        <v>45573</v>
      </c>
      <c r="D326" s="4">
        <f t="shared" si="41"/>
        <v>29</v>
      </c>
      <c r="E326" s="4" t="str">
        <f>TEXT(Data!B326,"MMM-YYYY")</f>
        <v>May-2023</v>
      </c>
      <c r="F326" s="4" t="str">
        <f t="shared" si="37"/>
        <v>Q3-2024</v>
      </c>
      <c r="G326" t="s">
        <v>52</v>
      </c>
      <c r="H326" t="s">
        <v>73</v>
      </c>
      <c r="I326" t="s">
        <v>74</v>
      </c>
      <c r="J326" t="s">
        <v>27</v>
      </c>
      <c r="K326" t="s">
        <v>98</v>
      </c>
      <c r="L326" t="s">
        <v>29</v>
      </c>
      <c r="M326" t="s">
        <v>22</v>
      </c>
      <c r="N326" t="s">
        <v>751</v>
      </c>
      <c r="O326" s="4">
        <v>1010.33</v>
      </c>
      <c r="P326" s="7" t="str">
        <f t="shared" si="38"/>
        <v>High</v>
      </c>
      <c r="Q326" s="4">
        <v>2492.14</v>
      </c>
      <c r="R326" s="4">
        <v>5.0999999999999997E-2</v>
      </c>
      <c r="S326" s="4">
        <v>11</v>
      </c>
      <c r="T326" s="4">
        <f t="shared" si="35"/>
        <v>4829.1857899999995</v>
      </c>
      <c r="U326">
        <f t="shared" si="36"/>
        <v>11113.630000000001</v>
      </c>
      <c r="V326" s="4">
        <f t="shared" si="39"/>
        <v>-6284.4442100000015</v>
      </c>
      <c r="W326" s="4">
        <f t="shared" si="40"/>
        <v>-1.3013465381707756</v>
      </c>
    </row>
    <row r="327" spans="1:23" x14ac:dyDescent="0.3">
      <c r="A327" t="s">
        <v>752</v>
      </c>
      <c r="B327" s="6">
        <v>45053</v>
      </c>
      <c r="C327" s="2">
        <v>45075</v>
      </c>
      <c r="D327" s="4">
        <f t="shared" si="41"/>
        <v>22</v>
      </c>
      <c r="E327" s="4" t="str">
        <f>TEXT(Data!B327,"MMM-YYYY")</f>
        <v>Jan-2024</v>
      </c>
      <c r="F327" s="4" t="str">
        <f t="shared" si="37"/>
        <v>Q2-2023</v>
      </c>
      <c r="G327" t="s">
        <v>16</v>
      </c>
      <c r="H327" t="s">
        <v>148</v>
      </c>
      <c r="I327" t="s">
        <v>172</v>
      </c>
      <c r="J327" t="s">
        <v>27</v>
      </c>
      <c r="K327" t="s">
        <v>55</v>
      </c>
      <c r="L327" t="s">
        <v>95</v>
      </c>
      <c r="M327" t="s">
        <v>81</v>
      </c>
      <c r="N327" t="s">
        <v>753</v>
      </c>
      <c r="O327" s="4">
        <v>653.86</v>
      </c>
      <c r="P327" s="7" t="str">
        <f t="shared" si="38"/>
        <v>High</v>
      </c>
      <c r="Q327" s="4">
        <v>931.84</v>
      </c>
      <c r="R327" s="4">
        <v>0.121</v>
      </c>
      <c r="S327" s="4">
        <v>12</v>
      </c>
      <c r="T327" s="4">
        <f t="shared" si="35"/>
        <v>11533.077720000001</v>
      </c>
      <c r="U327">
        <f t="shared" si="36"/>
        <v>7846.32</v>
      </c>
      <c r="V327" s="4">
        <f t="shared" si="39"/>
        <v>3686.7577200000014</v>
      </c>
      <c r="W327" s="4">
        <f t="shared" si="40"/>
        <v>0.3196681587956906</v>
      </c>
    </row>
    <row r="328" spans="1:23" x14ac:dyDescent="0.3">
      <c r="A328" t="s">
        <v>754</v>
      </c>
      <c r="B328" s="6">
        <v>45303</v>
      </c>
      <c r="C328" s="2">
        <v>45320</v>
      </c>
      <c r="D328" s="4">
        <f t="shared" si="41"/>
        <v>17</v>
      </c>
      <c r="E328" s="4" t="str">
        <f>TEXT(Data!B328,"MMM-YYYY")</f>
        <v>Jun-2023</v>
      </c>
      <c r="F328" s="4" t="str">
        <f t="shared" si="37"/>
        <v>Q1-2024</v>
      </c>
      <c r="G328" t="s">
        <v>45</v>
      </c>
      <c r="H328" t="s">
        <v>60</v>
      </c>
      <c r="I328" t="s">
        <v>281</v>
      </c>
      <c r="J328" t="s">
        <v>62</v>
      </c>
      <c r="K328" t="s">
        <v>98</v>
      </c>
      <c r="L328" t="s">
        <v>56</v>
      </c>
      <c r="M328" t="s">
        <v>22</v>
      </c>
      <c r="N328" t="s">
        <v>755</v>
      </c>
      <c r="O328" s="4">
        <v>310.02</v>
      </c>
      <c r="P328" s="7" t="str">
        <f t="shared" si="38"/>
        <v>High</v>
      </c>
      <c r="Q328" s="4">
        <v>619.51</v>
      </c>
      <c r="R328" s="4">
        <v>4.2000000000000003E-2</v>
      </c>
      <c r="S328" s="4">
        <v>4</v>
      </c>
      <c r="T328" s="4">
        <f t="shared" si="35"/>
        <v>5572.5710399999998</v>
      </c>
      <c r="U328">
        <f t="shared" si="36"/>
        <v>1240.08</v>
      </c>
      <c r="V328" s="4">
        <f t="shared" si="39"/>
        <v>4332.4910399999999</v>
      </c>
      <c r="W328" s="4">
        <f t="shared" si="40"/>
        <v>0.77746717070115634</v>
      </c>
    </row>
    <row r="329" spans="1:23" x14ac:dyDescent="0.3">
      <c r="A329" t="s">
        <v>756</v>
      </c>
      <c r="B329" s="6">
        <v>45087</v>
      </c>
      <c r="C329" s="2">
        <v>45095</v>
      </c>
      <c r="D329" s="4">
        <f t="shared" si="41"/>
        <v>8</v>
      </c>
      <c r="E329" s="4" t="str">
        <f>TEXT(Data!B329,"MMM-YYYY")</f>
        <v>May-2025</v>
      </c>
      <c r="F329" s="4" t="str">
        <f t="shared" si="37"/>
        <v>Q2-2023</v>
      </c>
      <c r="G329" t="s">
        <v>16</v>
      </c>
      <c r="H329" t="s">
        <v>17</v>
      </c>
      <c r="I329" t="s">
        <v>135</v>
      </c>
      <c r="J329" t="s">
        <v>105</v>
      </c>
      <c r="K329" t="s">
        <v>98</v>
      </c>
      <c r="L329" t="s">
        <v>92</v>
      </c>
      <c r="M329" t="s">
        <v>42</v>
      </c>
      <c r="N329" t="s">
        <v>757</v>
      </c>
      <c r="O329" s="4">
        <v>894.23</v>
      </c>
      <c r="P329" s="7" t="str">
        <f t="shared" si="38"/>
        <v>High</v>
      </c>
      <c r="Q329" s="4">
        <v>1421.55</v>
      </c>
      <c r="R329" s="4">
        <v>0.109</v>
      </c>
      <c r="S329" s="4">
        <v>3</v>
      </c>
      <c r="T329" s="4">
        <f t="shared" si="35"/>
        <v>5667.829200000001</v>
      </c>
      <c r="U329">
        <f t="shared" si="36"/>
        <v>2682.69</v>
      </c>
      <c r="V329" s="4">
        <f t="shared" si="39"/>
        <v>2985.139200000001</v>
      </c>
      <c r="W329" s="4">
        <f t="shared" si="40"/>
        <v>0.52668122038681064</v>
      </c>
    </row>
    <row r="330" spans="1:23" x14ac:dyDescent="0.3">
      <c r="A330" t="s">
        <v>758</v>
      </c>
      <c r="B330" s="6">
        <v>45796</v>
      </c>
      <c r="C330" s="2">
        <v>45794</v>
      </c>
      <c r="D330" s="4">
        <f>DATEDIF(C330,B330, "MD")</f>
        <v>2</v>
      </c>
      <c r="E330" s="4" t="str">
        <f>TEXT(Data!B330,"MMM-YYYY")</f>
        <v>Oct-2023</v>
      </c>
      <c r="F330" s="4" t="str">
        <f t="shared" si="37"/>
        <v>Q2-2025</v>
      </c>
      <c r="G330" t="s">
        <v>52</v>
      </c>
      <c r="H330" t="s">
        <v>73</v>
      </c>
      <c r="I330" t="s">
        <v>74</v>
      </c>
      <c r="J330" t="s">
        <v>62</v>
      </c>
      <c r="K330" t="s">
        <v>55</v>
      </c>
      <c r="L330" t="s">
        <v>49</v>
      </c>
      <c r="M330" t="s">
        <v>64</v>
      </c>
      <c r="N330" t="s">
        <v>759</v>
      </c>
      <c r="O330" s="4">
        <v>383.77</v>
      </c>
      <c r="P330" s="7" t="str">
        <f t="shared" si="38"/>
        <v>High</v>
      </c>
      <c r="Q330" s="4">
        <v>952.56</v>
      </c>
      <c r="R330" s="4">
        <v>0.34599999999999997</v>
      </c>
      <c r="S330" s="4">
        <v>10</v>
      </c>
      <c r="T330" s="4">
        <f t="shared" si="35"/>
        <v>841.56720000000018</v>
      </c>
      <c r="U330">
        <f t="shared" si="36"/>
        <v>3837.7</v>
      </c>
      <c r="V330" s="4">
        <f t="shared" si="39"/>
        <v>-2996.1327999999994</v>
      </c>
      <c r="W330" s="4">
        <f t="shared" si="40"/>
        <v>-3.5601824785946965</v>
      </c>
    </row>
    <row r="331" spans="1:23" x14ac:dyDescent="0.3">
      <c r="A331" t="s">
        <v>760</v>
      </c>
      <c r="B331" s="6">
        <v>45221</v>
      </c>
      <c r="C331" s="2">
        <v>45246</v>
      </c>
      <c r="D331" s="4">
        <f t="shared" si="41"/>
        <v>25</v>
      </c>
      <c r="E331" s="4" t="str">
        <f>TEXT(Data!B331,"MMM-YYYY")</f>
        <v>Jan-2025</v>
      </c>
      <c r="F331" s="4" t="str">
        <f t="shared" si="37"/>
        <v>Q4-2023</v>
      </c>
      <c r="G331" t="s">
        <v>52</v>
      </c>
      <c r="H331" t="s">
        <v>53</v>
      </c>
      <c r="I331" t="s">
        <v>54</v>
      </c>
      <c r="J331" t="s">
        <v>62</v>
      </c>
      <c r="K331" t="s">
        <v>40</v>
      </c>
      <c r="L331" t="s">
        <v>34</v>
      </c>
      <c r="M331" t="s">
        <v>57</v>
      </c>
      <c r="N331" t="s">
        <v>761</v>
      </c>
      <c r="O331" s="4">
        <v>1373.31</v>
      </c>
      <c r="P331" s="7" t="str">
        <f t="shared" si="38"/>
        <v>High</v>
      </c>
      <c r="Q331" s="4">
        <v>3154.14</v>
      </c>
      <c r="R331" s="4">
        <v>0.2</v>
      </c>
      <c r="S331" s="4">
        <v>11</v>
      </c>
      <c r="T331" s="4">
        <f t="shared" si="35"/>
        <v>11668.448000000002</v>
      </c>
      <c r="U331">
        <f t="shared" si="36"/>
        <v>15106.41</v>
      </c>
      <c r="V331" s="4">
        <f t="shared" si="39"/>
        <v>-3437.9619999999977</v>
      </c>
      <c r="W331" s="4">
        <f t="shared" si="40"/>
        <v>-0.29463747021026249</v>
      </c>
    </row>
    <row r="332" spans="1:23" x14ac:dyDescent="0.3">
      <c r="A332" t="s">
        <v>762</v>
      </c>
      <c r="B332" s="6">
        <v>45668</v>
      </c>
      <c r="C332" s="2">
        <v>45680</v>
      </c>
      <c r="D332" s="4">
        <f t="shared" si="41"/>
        <v>12</v>
      </c>
      <c r="E332" s="4" t="str">
        <f>TEXT(Data!B332,"MMM-YYYY")</f>
        <v>Sep-2025</v>
      </c>
      <c r="F332" s="4" t="str">
        <f t="shared" si="37"/>
        <v>Q1-2025</v>
      </c>
      <c r="G332" t="s">
        <v>52</v>
      </c>
      <c r="H332" t="s">
        <v>122</v>
      </c>
      <c r="I332" t="s">
        <v>326</v>
      </c>
      <c r="J332" t="s">
        <v>48</v>
      </c>
      <c r="K332" t="s">
        <v>55</v>
      </c>
      <c r="L332" t="s">
        <v>92</v>
      </c>
      <c r="M332" t="s">
        <v>42</v>
      </c>
      <c r="N332" t="s">
        <v>763</v>
      </c>
      <c r="O332" s="4">
        <v>100.69</v>
      </c>
      <c r="P332" s="7" t="str">
        <f t="shared" si="38"/>
        <v>High</v>
      </c>
      <c r="Q332" s="4">
        <v>226.14</v>
      </c>
      <c r="R332" s="4">
        <v>6.5000000000000002E-2</v>
      </c>
      <c r="S332" s="4">
        <v>12</v>
      </c>
      <c r="T332" s="4">
        <f t="shared" si="35"/>
        <v>27369.282600000002</v>
      </c>
      <c r="U332">
        <f t="shared" si="36"/>
        <v>1208.28</v>
      </c>
      <c r="V332" s="4">
        <f t="shared" si="39"/>
        <v>26161.002600000003</v>
      </c>
      <c r="W332" s="4">
        <f t="shared" si="40"/>
        <v>0.95585269743241286</v>
      </c>
    </row>
    <row r="333" spans="1:23" x14ac:dyDescent="0.3">
      <c r="A333" t="s">
        <v>764</v>
      </c>
      <c r="B333" s="6">
        <v>45914</v>
      </c>
      <c r="C333" s="2">
        <v>45926</v>
      </c>
      <c r="D333" s="4">
        <f t="shared" si="41"/>
        <v>12</v>
      </c>
      <c r="E333" s="4" t="str">
        <f>TEXT(Data!B333,"MMM-YYYY")</f>
        <v>Aug-2023</v>
      </c>
      <c r="F333" s="4" t="str">
        <f t="shared" si="37"/>
        <v>Q3-2025</v>
      </c>
      <c r="G333" t="s">
        <v>78</v>
      </c>
      <c r="H333" t="s">
        <v>108</v>
      </c>
      <c r="I333" t="s">
        <v>152</v>
      </c>
      <c r="J333" t="s">
        <v>62</v>
      </c>
      <c r="K333" t="s">
        <v>98</v>
      </c>
      <c r="L333" t="s">
        <v>126</v>
      </c>
      <c r="M333" t="s">
        <v>35</v>
      </c>
      <c r="N333" t="s">
        <v>765</v>
      </c>
      <c r="O333" s="4">
        <v>425.15</v>
      </c>
      <c r="P333" s="7" t="str">
        <f t="shared" si="38"/>
        <v>High</v>
      </c>
      <c r="Q333" s="4">
        <v>885.92</v>
      </c>
      <c r="R333" s="4">
        <v>0.23899999999999999</v>
      </c>
      <c r="S333" s="4">
        <v>13</v>
      </c>
      <c r="T333" s="4">
        <f t="shared" si="35"/>
        <v>21779.835220000001</v>
      </c>
      <c r="U333">
        <f t="shared" si="36"/>
        <v>5526.95</v>
      </c>
      <c r="V333" s="4">
        <f t="shared" si="39"/>
        <v>16252.88522</v>
      </c>
      <c r="W333" s="4">
        <f t="shared" si="40"/>
        <v>0.74623545384196899</v>
      </c>
    </row>
    <row r="334" spans="1:23" x14ac:dyDescent="0.3">
      <c r="A334" t="s">
        <v>766</v>
      </c>
      <c r="B334" s="6">
        <v>45168</v>
      </c>
      <c r="C334" s="2">
        <v>45172</v>
      </c>
      <c r="D334" s="4">
        <f t="shared" si="41"/>
        <v>4</v>
      </c>
      <c r="E334" s="4" t="str">
        <f>TEXT(Data!B334,"MMM-YYYY")</f>
        <v>Nov-2023</v>
      </c>
      <c r="F334" s="4" t="str">
        <f t="shared" si="37"/>
        <v>Q3-2023</v>
      </c>
      <c r="G334" t="s">
        <v>45</v>
      </c>
      <c r="H334" t="s">
        <v>60</v>
      </c>
      <c r="I334" t="s">
        <v>141</v>
      </c>
      <c r="J334" t="s">
        <v>62</v>
      </c>
      <c r="K334" t="s">
        <v>40</v>
      </c>
      <c r="L334" t="s">
        <v>49</v>
      </c>
      <c r="M334" t="s">
        <v>81</v>
      </c>
      <c r="N334" t="s">
        <v>767</v>
      </c>
      <c r="O334" s="4">
        <v>1082.25</v>
      </c>
      <c r="P334" s="7" t="str">
        <f t="shared" si="38"/>
        <v>High</v>
      </c>
      <c r="Q334" s="4">
        <v>2433.34</v>
      </c>
      <c r="R334" s="4">
        <v>0.27</v>
      </c>
      <c r="S334" s="4">
        <v>4</v>
      </c>
      <c r="T334" s="4">
        <f t="shared" si="35"/>
        <v>2377.9312</v>
      </c>
      <c r="U334">
        <f t="shared" si="36"/>
        <v>4329</v>
      </c>
      <c r="V334" s="4">
        <f t="shared" si="39"/>
        <v>-1951.0688</v>
      </c>
      <c r="W334" s="4">
        <f t="shared" si="40"/>
        <v>-0.82049001249489473</v>
      </c>
    </row>
    <row r="335" spans="1:23" x14ac:dyDescent="0.3">
      <c r="A335" t="s">
        <v>768</v>
      </c>
      <c r="B335" s="6">
        <v>45245</v>
      </c>
      <c r="C335" s="2">
        <v>45266</v>
      </c>
      <c r="D335" s="4">
        <f t="shared" si="41"/>
        <v>21</v>
      </c>
      <c r="E335" s="4" t="str">
        <f>TEXT(Data!B335,"MMM-YYYY")</f>
        <v>Apr-2025</v>
      </c>
      <c r="F335" s="4" t="str">
        <f t="shared" si="37"/>
        <v>Q4-2023</v>
      </c>
      <c r="G335" t="s">
        <v>78</v>
      </c>
      <c r="H335" t="s">
        <v>108</v>
      </c>
      <c r="I335" t="s">
        <v>228</v>
      </c>
      <c r="J335" t="s">
        <v>27</v>
      </c>
      <c r="K335" t="s">
        <v>98</v>
      </c>
      <c r="L335" t="s">
        <v>92</v>
      </c>
      <c r="M335" t="s">
        <v>81</v>
      </c>
      <c r="N335" t="s">
        <v>769</v>
      </c>
      <c r="O335" s="4">
        <v>1184.99</v>
      </c>
      <c r="P335" s="7" t="str">
        <f t="shared" si="38"/>
        <v>High</v>
      </c>
      <c r="Q335" s="4">
        <v>1154.3399999999999</v>
      </c>
      <c r="R335" s="4">
        <v>2.8000000000000001E-2</v>
      </c>
      <c r="S335" s="4">
        <v>5</v>
      </c>
      <c r="T335" s="4">
        <f t="shared" si="35"/>
        <v>6720.9426000000003</v>
      </c>
      <c r="U335">
        <f t="shared" si="36"/>
        <v>5924.95</v>
      </c>
      <c r="V335" s="4">
        <f t="shared" si="39"/>
        <v>795.99260000000049</v>
      </c>
      <c r="W335" s="4">
        <f t="shared" si="40"/>
        <v>0.11843466718492737</v>
      </c>
    </row>
    <row r="336" spans="1:23" x14ac:dyDescent="0.3">
      <c r="A336" t="s">
        <v>770</v>
      </c>
      <c r="B336" s="6">
        <v>45774</v>
      </c>
      <c r="C336" s="2">
        <v>45804</v>
      </c>
      <c r="D336" s="4">
        <f t="shared" si="41"/>
        <v>0</v>
      </c>
      <c r="E336" s="4" t="str">
        <f>TEXT(Data!B336,"MMM-YYYY")</f>
        <v>Apr-2024</v>
      </c>
      <c r="F336" s="4" t="str">
        <f t="shared" si="37"/>
        <v>Q2-2025</v>
      </c>
      <c r="G336" t="s">
        <v>45</v>
      </c>
      <c r="H336" t="s">
        <v>60</v>
      </c>
      <c r="I336" t="s">
        <v>1364</v>
      </c>
      <c r="J336" t="s">
        <v>105</v>
      </c>
      <c r="K336" t="s">
        <v>40</v>
      </c>
      <c r="L336" t="s">
        <v>92</v>
      </c>
      <c r="M336" t="s">
        <v>42</v>
      </c>
      <c r="N336" t="s">
        <v>771</v>
      </c>
      <c r="O336" s="4">
        <v>481.32</v>
      </c>
      <c r="P336" s="7" t="str">
        <f t="shared" si="38"/>
        <v>High</v>
      </c>
      <c r="Q336" s="4">
        <v>1135.99</v>
      </c>
      <c r="R336" s="4">
        <v>0.14499999999999999</v>
      </c>
      <c r="S336" s="4">
        <v>5</v>
      </c>
      <c r="T336" s="4">
        <f t="shared" si="35"/>
        <v>7038.4882499999994</v>
      </c>
      <c r="U336">
        <f t="shared" si="36"/>
        <v>2406.6</v>
      </c>
      <c r="V336" s="4">
        <f t="shared" si="39"/>
        <v>4631.88825</v>
      </c>
      <c r="W336" s="4">
        <f t="shared" si="40"/>
        <v>0.65807998613906904</v>
      </c>
    </row>
    <row r="337" spans="1:23" x14ac:dyDescent="0.3">
      <c r="A337" t="s">
        <v>772</v>
      </c>
      <c r="B337" s="6">
        <v>45391</v>
      </c>
      <c r="C337" s="2">
        <v>45400</v>
      </c>
      <c r="D337" s="4">
        <f t="shared" si="41"/>
        <v>9</v>
      </c>
      <c r="E337" s="4" t="str">
        <f>TEXT(Data!B337,"MMM-YYYY")</f>
        <v>Jul-2024</v>
      </c>
      <c r="F337" s="4" t="str">
        <f t="shared" si="37"/>
        <v>Q2-2024</v>
      </c>
      <c r="G337" t="s">
        <v>78</v>
      </c>
      <c r="H337" t="s">
        <v>90</v>
      </c>
      <c r="I337" t="s">
        <v>138</v>
      </c>
      <c r="J337" t="s">
        <v>48</v>
      </c>
      <c r="K337" t="s">
        <v>28</v>
      </c>
      <c r="L337" t="s">
        <v>63</v>
      </c>
      <c r="M337" t="s">
        <v>30</v>
      </c>
      <c r="N337" t="s">
        <v>773</v>
      </c>
      <c r="O337" s="4">
        <v>1288.8499999999999</v>
      </c>
      <c r="P337" s="7" t="str">
        <f t="shared" si="38"/>
        <v>High</v>
      </c>
      <c r="Q337" s="4">
        <v>2751.84</v>
      </c>
      <c r="R337" s="4">
        <v>0.158</v>
      </c>
      <c r="S337" s="4">
        <v>7</v>
      </c>
      <c r="T337" s="4">
        <f t="shared" si="35"/>
        <v>2362.5509599999996</v>
      </c>
      <c r="U337">
        <f t="shared" si="36"/>
        <v>9021.9499999999989</v>
      </c>
      <c r="V337" s="4">
        <f t="shared" si="39"/>
        <v>-6659.3990399999993</v>
      </c>
      <c r="W337" s="4">
        <f t="shared" si="40"/>
        <v>-2.8187324433416667</v>
      </c>
    </row>
    <row r="338" spans="1:23" x14ac:dyDescent="0.3">
      <c r="A338" t="s">
        <v>774</v>
      </c>
      <c r="B338" s="6">
        <v>45484</v>
      </c>
      <c r="C338" s="2">
        <v>45504</v>
      </c>
      <c r="D338" s="4">
        <f t="shared" si="41"/>
        <v>20</v>
      </c>
      <c r="E338" s="4" t="str">
        <f>TEXT(Data!B338,"MMM-YYYY")</f>
        <v>Feb-2024</v>
      </c>
      <c r="F338" s="4" t="str">
        <f t="shared" si="37"/>
        <v>Q3-2024</v>
      </c>
      <c r="G338" t="s">
        <v>45</v>
      </c>
      <c r="H338" t="s">
        <v>116</v>
      </c>
      <c r="I338" t="s">
        <v>117</v>
      </c>
      <c r="J338" t="s">
        <v>48</v>
      </c>
      <c r="K338" t="s">
        <v>28</v>
      </c>
      <c r="L338" t="s">
        <v>41</v>
      </c>
      <c r="M338" t="s">
        <v>42</v>
      </c>
      <c r="N338" t="s">
        <v>775</v>
      </c>
      <c r="O338" s="4">
        <v>647.26</v>
      </c>
      <c r="P338" s="7" t="str">
        <f t="shared" si="38"/>
        <v>High</v>
      </c>
      <c r="Q338" s="4">
        <v>1374.72</v>
      </c>
      <c r="R338" s="4">
        <v>6.6000000000000003E-2</v>
      </c>
      <c r="S338" s="4">
        <v>22</v>
      </c>
      <c r="T338" s="4">
        <f t="shared" si="35"/>
        <v>36586.946879999996</v>
      </c>
      <c r="U338">
        <f t="shared" si="36"/>
        <v>14239.72</v>
      </c>
      <c r="V338" s="4">
        <f t="shared" si="39"/>
        <v>22347.226879999995</v>
      </c>
      <c r="W338" s="4">
        <f t="shared" si="40"/>
        <v>0.6107978059305067</v>
      </c>
    </row>
    <row r="339" spans="1:23" x14ac:dyDescent="0.3">
      <c r="A339" t="s">
        <v>776</v>
      </c>
      <c r="B339" s="6">
        <v>45340</v>
      </c>
      <c r="C339" s="2">
        <v>45354</v>
      </c>
      <c r="D339" s="4">
        <f t="shared" si="41"/>
        <v>14</v>
      </c>
      <c r="E339" s="4" t="str">
        <f>TEXT(Data!B339,"MMM-YYYY")</f>
        <v>Jul-2023</v>
      </c>
      <c r="F339" s="4" t="str">
        <f t="shared" si="37"/>
        <v>Q1-2024</v>
      </c>
      <c r="G339" t="s">
        <v>52</v>
      </c>
      <c r="H339" t="s">
        <v>73</v>
      </c>
      <c r="I339" t="s">
        <v>1364</v>
      </c>
      <c r="J339" t="s">
        <v>105</v>
      </c>
      <c r="K339" t="s">
        <v>55</v>
      </c>
      <c r="L339" t="s">
        <v>75</v>
      </c>
      <c r="M339" t="s">
        <v>30</v>
      </c>
      <c r="N339" t="s">
        <v>777</v>
      </c>
      <c r="O339" s="4">
        <v>624.23</v>
      </c>
      <c r="P339" s="7" t="str">
        <f t="shared" si="38"/>
        <v>High</v>
      </c>
      <c r="Q339" s="4">
        <v>1318.37</v>
      </c>
      <c r="R339" s="4">
        <v>0.21</v>
      </c>
      <c r="S339" s="4">
        <v>37</v>
      </c>
      <c r="T339" s="4">
        <f t="shared" si="35"/>
        <v>32691.708900000005</v>
      </c>
      <c r="U339">
        <f t="shared" si="36"/>
        <v>23096.510000000002</v>
      </c>
      <c r="V339" s="4">
        <f t="shared" si="39"/>
        <v>9595.1989000000031</v>
      </c>
      <c r="W339" s="4">
        <f t="shared" si="40"/>
        <v>0.29350557749521627</v>
      </c>
    </row>
    <row r="340" spans="1:23" x14ac:dyDescent="0.3">
      <c r="A340" t="s">
        <v>778</v>
      </c>
      <c r="B340" s="6">
        <v>45132</v>
      </c>
      <c r="C340" s="2">
        <v>45148</v>
      </c>
      <c r="D340" s="4">
        <f t="shared" si="41"/>
        <v>16</v>
      </c>
      <c r="E340" s="4" t="str">
        <f>TEXT(Data!B340,"MMM-YYYY")</f>
        <v>Jul-2023</v>
      </c>
      <c r="F340" s="4" t="str">
        <f t="shared" si="37"/>
        <v>Q3-2023</v>
      </c>
      <c r="G340" t="s">
        <v>16</v>
      </c>
      <c r="H340" t="s">
        <v>25</v>
      </c>
      <c r="I340" t="s">
        <v>26</v>
      </c>
      <c r="J340" t="s">
        <v>19</v>
      </c>
      <c r="K340" t="s">
        <v>55</v>
      </c>
      <c r="L340" t="s">
        <v>34</v>
      </c>
      <c r="M340" t="s">
        <v>81</v>
      </c>
      <c r="N340" t="s">
        <v>779</v>
      </c>
      <c r="O340" s="4">
        <v>506.83</v>
      </c>
      <c r="P340" s="7" t="str">
        <f t="shared" si="38"/>
        <v>High</v>
      </c>
      <c r="Q340" s="4">
        <v>441.74</v>
      </c>
      <c r="R340" s="4">
        <v>0.24</v>
      </c>
      <c r="S340" s="4">
        <v>9</v>
      </c>
      <c r="T340" s="4">
        <f t="shared" si="35"/>
        <v>5274.4607999999998</v>
      </c>
      <c r="U340">
        <f t="shared" si="36"/>
        <v>4561.47</v>
      </c>
      <c r="V340" s="4">
        <f t="shared" si="39"/>
        <v>712.99079999999958</v>
      </c>
      <c r="W340" s="4">
        <f t="shared" si="40"/>
        <v>0.1351779503224291</v>
      </c>
    </row>
    <row r="341" spans="1:23" x14ac:dyDescent="0.3">
      <c r="A341" t="s">
        <v>780</v>
      </c>
      <c r="B341" s="6">
        <v>45121</v>
      </c>
      <c r="C341" s="2">
        <v>45128</v>
      </c>
      <c r="D341" s="4">
        <f t="shared" si="41"/>
        <v>7</v>
      </c>
      <c r="E341" s="4" t="str">
        <f>TEXT(Data!B341,"MMM-YYYY")</f>
        <v>Jul-2023</v>
      </c>
      <c r="F341" s="4" t="str">
        <f t="shared" si="37"/>
        <v>Q3-2023</v>
      </c>
      <c r="G341" t="s">
        <v>16</v>
      </c>
      <c r="H341" t="s">
        <v>148</v>
      </c>
      <c r="I341" t="s">
        <v>172</v>
      </c>
      <c r="J341" t="s">
        <v>105</v>
      </c>
      <c r="K341" t="s">
        <v>40</v>
      </c>
      <c r="L341" t="s">
        <v>1364</v>
      </c>
      <c r="M341" t="s">
        <v>64</v>
      </c>
      <c r="N341" t="s">
        <v>781</v>
      </c>
      <c r="O341" s="4">
        <v>620.74</v>
      </c>
      <c r="P341" s="7" t="str">
        <f t="shared" si="38"/>
        <v>High</v>
      </c>
      <c r="Q341" s="4">
        <v>1330.07</v>
      </c>
      <c r="R341" s="4">
        <v>0.29899999999999999</v>
      </c>
      <c r="S341" s="4">
        <v>28</v>
      </c>
      <c r="T341" s="4">
        <f t="shared" si="35"/>
        <v>23750.665119999998</v>
      </c>
      <c r="U341">
        <f t="shared" si="36"/>
        <v>17380.72</v>
      </c>
      <c r="V341" s="4">
        <f t="shared" si="39"/>
        <v>6369.9451199999967</v>
      </c>
      <c r="W341" s="4">
        <f t="shared" si="40"/>
        <v>0.26820070460409901</v>
      </c>
    </row>
    <row r="342" spans="1:23" x14ac:dyDescent="0.3">
      <c r="A342" t="s">
        <v>782</v>
      </c>
      <c r="B342" s="6">
        <v>45131</v>
      </c>
      <c r="C342" s="2">
        <v>45157</v>
      </c>
      <c r="D342" s="4">
        <f t="shared" si="41"/>
        <v>26</v>
      </c>
      <c r="E342" s="4" t="str">
        <f>TEXT(Data!B342,"MMM-YYYY")</f>
        <v>Apr-2023</v>
      </c>
      <c r="F342" s="4" t="str">
        <f t="shared" si="37"/>
        <v>Q3-2023</v>
      </c>
      <c r="G342" t="s">
        <v>16</v>
      </c>
      <c r="H342" t="s">
        <v>17</v>
      </c>
      <c r="I342" t="s">
        <v>33</v>
      </c>
      <c r="J342" t="s">
        <v>105</v>
      </c>
      <c r="K342" t="s">
        <v>55</v>
      </c>
      <c r="L342" t="s">
        <v>110</v>
      </c>
      <c r="M342" t="s">
        <v>81</v>
      </c>
      <c r="N342" t="s">
        <v>783</v>
      </c>
      <c r="O342" s="4">
        <v>661.45</v>
      </c>
      <c r="P342" s="7" t="str">
        <f t="shared" si="38"/>
        <v>High</v>
      </c>
      <c r="Q342" s="4">
        <v>1634.86</v>
      </c>
      <c r="R342" s="4">
        <v>0.56499999999999995</v>
      </c>
      <c r="S342" s="4">
        <v>24</v>
      </c>
      <c r="T342" s="4">
        <f t="shared" si="35"/>
        <v>31570.873200000005</v>
      </c>
      <c r="U342">
        <f t="shared" si="36"/>
        <v>15874.800000000001</v>
      </c>
      <c r="V342" s="4">
        <f t="shared" si="39"/>
        <v>15696.073200000004</v>
      </c>
      <c r="W342" s="4">
        <f t="shared" si="40"/>
        <v>0.49716943527555019</v>
      </c>
    </row>
    <row r="343" spans="1:23" x14ac:dyDescent="0.3">
      <c r="A343" t="s">
        <v>784</v>
      </c>
      <c r="B343" s="6">
        <v>45029</v>
      </c>
      <c r="C343" s="2">
        <v>45027</v>
      </c>
      <c r="D343" s="4">
        <f>DATEDIF(C343,B343, "MD")</f>
        <v>2</v>
      </c>
      <c r="E343" s="4" t="str">
        <f>TEXT(Data!B343,"MMM-YYYY")</f>
        <v>Oct-2024</v>
      </c>
      <c r="F343" s="4" t="str">
        <f t="shared" si="37"/>
        <v>Q2-2023</v>
      </c>
      <c r="G343" t="s">
        <v>52</v>
      </c>
      <c r="H343" t="s">
        <v>122</v>
      </c>
      <c r="I343" t="s">
        <v>167</v>
      </c>
      <c r="J343" t="s">
        <v>27</v>
      </c>
      <c r="K343" t="s">
        <v>40</v>
      </c>
      <c r="L343" t="s">
        <v>41</v>
      </c>
      <c r="M343" t="s">
        <v>35</v>
      </c>
      <c r="N343" t="s">
        <v>785</v>
      </c>
      <c r="O343" s="4">
        <v>32.1</v>
      </c>
      <c r="P343" s="7" t="str">
        <f t="shared" si="38"/>
        <v>Medium</v>
      </c>
      <c r="Q343" s="4">
        <v>70.599999999999994</v>
      </c>
      <c r="R343" s="4">
        <v>0.28199999999999997</v>
      </c>
      <c r="S343" s="4">
        <v>22</v>
      </c>
      <c r="T343" s="4">
        <f t="shared" si="35"/>
        <v>36385.454160000001</v>
      </c>
      <c r="U343">
        <f t="shared" si="36"/>
        <v>706.2</v>
      </c>
      <c r="V343" s="4">
        <f t="shared" si="39"/>
        <v>35679.254160000004</v>
      </c>
      <c r="W343" s="4">
        <f t="shared" si="40"/>
        <v>0.98059114510720191</v>
      </c>
    </row>
    <row r="344" spans="1:23" x14ac:dyDescent="0.3">
      <c r="A344" t="s">
        <v>786</v>
      </c>
      <c r="B344" s="6">
        <v>45594</v>
      </c>
      <c r="C344" s="2">
        <v>45600</v>
      </c>
      <c r="D344" s="4">
        <f t="shared" si="41"/>
        <v>6</v>
      </c>
      <c r="E344" s="4" t="str">
        <f>TEXT(Data!B344,"MMM-YYYY")</f>
        <v>Feb-2024</v>
      </c>
      <c r="F344" s="4" t="str">
        <f t="shared" si="37"/>
        <v>Q4-2024</v>
      </c>
      <c r="G344" t="s">
        <v>16</v>
      </c>
      <c r="H344" t="s">
        <v>17</v>
      </c>
      <c r="I344" t="s">
        <v>33</v>
      </c>
      <c r="J344" t="s">
        <v>19</v>
      </c>
      <c r="K344" t="s">
        <v>55</v>
      </c>
      <c r="L344" t="s">
        <v>110</v>
      </c>
      <c r="M344" t="s">
        <v>30</v>
      </c>
      <c r="N344" t="s">
        <v>787</v>
      </c>
      <c r="O344" s="4">
        <v>805.81</v>
      </c>
      <c r="P344" s="7" t="str">
        <f t="shared" si="38"/>
        <v>High</v>
      </c>
      <c r="Q344" s="4">
        <v>1823.04</v>
      </c>
      <c r="R344" s="4">
        <v>0</v>
      </c>
      <c r="S344" s="4">
        <v>11</v>
      </c>
      <c r="T344" s="4">
        <f t="shared" si="35"/>
        <v>33921.800000000003</v>
      </c>
      <c r="U344">
        <f t="shared" si="36"/>
        <v>8863.91</v>
      </c>
      <c r="V344" s="4">
        <f t="shared" si="39"/>
        <v>25057.890000000003</v>
      </c>
      <c r="W344" s="4">
        <f t="shared" si="40"/>
        <v>0.73869576496530254</v>
      </c>
    </row>
    <row r="345" spans="1:23" x14ac:dyDescent="0.3">
      <c r="A345" t="s">
        <v>788</v>
      </c>
      <c r="B345" s="6">
        <v>45339</v>
      </c>
      <c r="C345" s="2">
        <v>45355</v>
      </c>
      <c r="D345" s="4">
        <f t="shared" si="41"/>
        <v>16</v>
      </c>
      <c r="E345" s="4" t="str">
        <f>TEXT(Data!B345,"MMM-YYYY")</f>
        <v>Jul-2024</v>
      </c>
      <c r="F345" s="4" t="str">
        <f t="shared" si="37"/>
        <v>Q1-2024</v>
      </c>
      <c r="G345" t="s">
        <v>45</v>
      </c>
      <c r="H345" t="s">
        <v>60</v>
      </c>
      <c r="I345" t="s">
        <v>141</v>
      </c>
      <c r="J345" t="s">
        <v>62</v>
      </c>
      <c r="K345" t="s">
        <v>40</v>
      </c>
      <c r="L345" t="s">
        <v>84</v>
      </c>
      <c r="M345" t="s">
        <v>42</v>
      </c>
      <c r="N345" t="s">
        <v>789</v>
      </c>
      <c r="O345" s="4">
        <v>1231.8</v>
      </c>
      <c r="P345" s="7" t="str">
        <f t="shared" si="38"/>
        <v>High</v>
      </c>
      <c r="Q345" s="4">
        <v>2015.99</v>
      </c>
      <c r="R345" s="4">
        <v>0.26100000000000001</v>
      </c>
      <c r="S345" s="4">
        <v>6</v>
      </c>
      <c r="T345" s="4">
        <f t="shared" si="35"/>
        <v>1430.8961399999998</v>
      </c>
      <c r="U345">
        <f t="shared" si="36"/>
        <v>7390.7999999999993</v>
      </c>
      <c r="V345" s="4">
        <f t="shared" si="39"/>
        <v>-5959.9038599999994</v>
      </c>
      <c r="W345" s="4">
        <f t="shared" si="40"/>
        <v>-4.1651547539991265</v>
      </c>
    </row>
    <row r="346" spans="1:23" x14ac:dyDescent="0.3">
      <c r="A346" t="s">
        <v>790</v>
      </c>
      <c r="B346" s="6">
        <v>45486</v>
      </c>
      <c r="C346" s="2">
        <v>45485</v>
      </c>
      <c r="D346" s="4">
        <f>DATEDIF(C346,B346, "MD")</f>
        <v>1</v>
      </c>
      <c r="E346" s="4" t="str">
        <f>TEXT(Data!B346,"MMM-YYYY")</f>
        <v>Dec-2023</v>
      </c>
      <c r="F346" s="4" t="str">
        <f t="shared" si="37"/>
        <v>Q3-2024</v>
      </c>
      <c r="G346" t="s">
        <v>45</v>
      </c>
      <c r="H346" t="s">
        <v>46</v>
      </c>
      <c r="I346" t="s">
        <v>231</v>
      </c>
      <c r="J346" t="s">
        <v>62</v>
      </c>
      <c r="K346" t="s">
        <v>40</v>
      </c>
      <c r="L346" t="s">
        <v>84</v>
      </c>
      <c r="M346" t="s">
        <v>35</v>
      </c>
      <c r="N346" t="s">
        <v>791</v>
      </c>
      <c r="O346" s="4">
        <v>105.13</v>
      </c>
      <c r="P346" s="7" t="str">
        <f t="shared" si="38"/>
        <v>High</v>
      </c>
      <c r="Q346" s="4">
        <v>244.13</v>
      </c>
      <c r="R346" s="4">
        <v>7.0999999999999994E-2</v>
      </c>
      <c r="S346" s="4">
        <v>14</v>
      </c>
      <c r="T346" s="4">
        <f t="shared" si="35"/>
        <v>9511.1577400000006</v>
      </c>
      <c r="U346">
        <f t="shared" si="36"/>
        <v>1471.82</v>
      </c>
      <c r="V346" s="4">
        <f t="shared" si="39"/>
        <v>8039.3377400000008</v>
      </c>
      <c r="W346" s="4">
        <f t="shared" si="40"/>
        <v>0.84525332874986048</v>
      </c>
    </row>
    <row r="347" spans="1:23" x14ac:dyDescent="0.3">
      <c r="A347" t="s">
        <v>792</v>
      </c>
      <c r="B347" s="6">
        <v>45261</v>
      </c>
      <c r="C347" s="2">
        <v>45278</v>
      </c>
      <c r="D347" s="4">
        <f t="shared" si="41"/>
        <v>17</v>
      </c>
      <c r="E347" s="4" t="str">
        <f>TEXT(Data!B347,"MMM-YYYY")</f>
        <v>Jul-2024</v>
      </c>
      <c r="F347" s="4" t="str">
        <f t="shared" si="37"/>
        <v>Q4-2023</v>
      </c>
      <c r="G347" t="s">
        <v>45</v>
      </c>
      <c r="H347" t="s">
        <v>46</v>
      </c>
      <c r="I347" t="s">
        <v>231</v>
      </c>
      <c r="J347" t="s">
        <v>62</v>
      </c>
      <c r="K347" t="s">
        <v>98</v>
      </c>
      <c r="L347" t="s">
        <v>126</v>
      </c>
      <c r="M347" t="s">
        <v>57</v>
      </c>
      <c r="N347" t="s">
        <v>793</v>
      </c>
      <c r="O347" s="4">
        <v>1495.79</v>
      </c>
      <c r="P347" s="7" t="str">
        <f t="shared" si="38"/>
        <v>High</v>
      </c>
      <c r="Q347" s="4">
        <v>2783.12</v>
      </c>
      <c r="R347" s="4">
        <v>0.02</v>
      </c>
      <c r="S347" s="4">
        <v>5</v>
      </c>
      <c r="T347" s="4">
        <f t="shared" si="35"/>
        <v>7516.3549999999996</v>
      </c>
      <c r="U347">
        <f t="shared" si="36"/>
        <v>7478.95</v>
      </c>
      <c r="V347" s="4">
        <f t="shared" si="39"/>
        <v>37.404999999999745</v>
      </c>
      <c r="W347" s="4">
        <f t="shared" si="40"/>
        <v>4.9764812864745937E-3</v>
      </c>
    </row>
    <row r="348" spans="1:23" x14ac:dyDescent="0.3">
      <c r="A348" t="s">
        <v>794</v>
      </c>
      <c r="B348" s="6">
        <v>45498</v>
      </c>
      <c r="C348" s="2">
        <v>45506</v>
      </c>
      <c r="D348" s="4">
        <f t="shared" si="41"/>
        <v>8</v>
      </c>
      <c r="E348" s="4" t="str">
        <f>TEXT(Data!B348,"MMM-YYYY")</f>
        <v>May-2023</v>
      </c>
      <c r="F348" s="4" t="str">
        <f t="shared" si="37"/>
        <v>Q3-2024</v>
      </c>
      <c r="G348" t="s">
        <v>52</v>
      </c>
      <c r="H348" t="s">
        <v>53</v>
      </c>
      <c r="I348" t="s">
        <v>144</v>
      </c>
      <c r="J348" t="s">
        <v>48</v>
      </c>
      <c r="K348" t="s">
        <v>98</v>
      </c>
      <c r="L348" t="s">
        <v>29</v>
      </c>
      <c r="M348" t="s">
        <v>81</v>
      </c>
      <c r="N348" t="s">
        <v>795</v>
      </c>
      <c r="O348" s="4">
        <v>986.81</v>
      </c>
      <c r="P348" s="7" t="str">
        <f t="shared" si="38"/>
        <v>High</v>
      </c>
      <c r="Q348" s="4">
        <v>2050.31</v>
      </c>
      <c r="R348" s="4">
        <v>0.10299999999999999</v>
      </c>
      <c r="S348" s="4">
        <v>43</v>
      </c>
      <c r="T348" s="4">
        <f t="shared" si="35"/>
        <v>60620.497860000003</v>
      </c>
      <c r="U348">
        <f t="shared" si="36"/>
        <v>42432.829999999994</v>
      </c>
      <c r="V348" s="4">
        <f t="shared" si="39"/>
        <v>18187.667860000009</v>
      </c>
      <c r="W348" s="4">
        <f t="shared" si="40"/>
        <v>0.30002504931588508</v>
      </c>
    </row>
    <row r="349" spans="1:23" x14ac:dyDescent="0.3">
      <c r="A349" t="s">
        <v>796</v>
      </c>
      <c r="B349" s="6">
        <v>45050</v>
      </c>
      <c r="C349" s="2">
        <v>45062</v>
      </c>
      <c r="D349" s="4">
        <f t="shared" si="41"/>
        <v>12</v>
      </c>
      <c r="E349" s="4" t="str">
        <f>TEXT(Data!B349,"MMM-YYYY")</f>
        <v>Dec-2023</v>
      </c>
      <c r="F349" s="4" t="str">
        <f t="shared" si="37"/>
        <v>Q2-2023</v>
      </c>
      <c r="G349" t="s">
        <v>16</v>
      </c>
      <c r="H349" t="s">
        <v>25</v>
      </c>
      <c r="I349" t="s">
        <v>67</v>
      </c>
      <c r="J349" t="s">
        <v>62</v>
      </c>
      <c r="K349" t="s">
        <v>40</v>
      </c>
      <c r="L349" t="s">
        <v>29</v>
      </c>
      <c r="M349" t="s">
        <v>42</v>
      </c>
      <c r="N349" t="s">
        <v>797</v>
      </c>
      <c r="O349" s="4">
        <v>77.739999999999995</v>
      </c>
      <c r="P349" s="7" t="str">
        <f t="shared" si="38"/>
        <v>Medium</v>
      </c>
      <c r="Q349" s="4">
        <v>147.12</v>
      </c>
      <c r="R349" s="4">
        <v>0</v>
      </c>
      <c r="S349" s="4">
        <v>15</v>
      </c>
      <c r="T349" s="4">
        <f t="shared" si="35"/>
        <v>3760.95</v>
      </c>
      <c r="U349">
        <f t="shared" si="36"/>
        <v>1166.0999999999999</v>
      </c>
      <c r="V349" s="4">
        <f t="shared" si="39"/>
        <v>2594.85</v>
      </c>
      <c r="W349" s="4">
        <f t="shared" si="40"/>
        <v>0.68994535955011371</v>
      </c>
    </row>
    <row r="350" spans="1:23" x14ac:dyDescent="0.3">
      <c r="A350" t="s">
        <v>798</v>
      </c>
      <c r="B350" s="6">
        <v>45281</v>
      </c>
      <c r="C350" s="2">
        <v>45297</v>
      </c>
      <c r="D350" s="4">
        <f t="shared" si="41"/>
        <v>16</v>
      </c>
      <c r="E350" s="4" t="str">
        <f>TEXT(Data!B350,"MMM-YYYY")</f>
        <v>Jun-2025</v>
      </c>
      <c r="F350" s="4" t="str">
        <f t="shared" si="37"/>
        <v>Q4-2023</v>
      </c>
      <c r="G350" t="s">
        <v>16</v>
      </c>
      <c r="H350" t="s">
        <v>25</v>
      </c>
      <c r="I350" t="s">
        <v>1364</v>
      </c>
      <c r="J350" t="s">
        <v>19</v>
      </c>
      <c r="K350" t="s">
        <v>40</v>
      </c>
      <c r="L350" t="s">
        <v>95</v>
      </c>
      <c r="M350" t="s">
        <v>22</v>
      </c>
      <c r="N350" t="s">
        <v>799</v>
      </c>
      <c r="O350" s="4">
        <v>932.61</v>
      </c>
      <c r="P350" s="7" t="str">
        <f t="shared" si="38"/>
        <v>High</v>
      </c>
      <c r="Q350" s="4">
        <v>1982.98</v>
      </c>
      <c r="R350" s="4">
        <v>0.14399999999999999</v>
      </c>
      <c r="S350" s="4">
        <v>16</v>
      </c>
      <c r="T350" s="4">
        <f t="shared" si="35"/>
        <v>47563.605759999999</v>
      </c>
      <c r="U350">
        <f t="shared" si="36"/>
        <v>14921.76</v>
      </c>
      <c r="V350" s="4">
        <f t="shared" si="39"/>
        <v>32641.845759999997</v>
      </c>
      <c r="W350" s="4">
        <f t="shared" si="40"/>
        <v>0.68627777979463256</v>
      </c>
    </row>
    <row r="351" spans="1:23" x14ac:dyDescent="0.3">
      <c r="A351" t="s">
        <v>800</v>
      </c>
      <c r="B351" s="6">
        <v>45825</v>
      </c>
      <c r="C351" s="2">
        <v>45843</v>
      </c>
      <c r="D351" s="4">
        <f t="shared" si="41"/>
        <v>18</v>
      </c>
      <c r="E351" s="4" t="str">
        <f>TEXT(Data!B351,"MMM-YYYY")</f>
        <v>Feb-2023</v>
      </c>
      <c r="F351" s="4" t="str">
        <f t="shared" si="37"/>
        <v>Q2-2025</v>
      </c>
      <c r="G351" t="s">
        <v>45</v>
      </c>
      <c r="H351" t="s">
        <v>60</v>
      </c>
      <c r="I351" t="s">
        <v>141</v>
      </c>
      <c r="J351" t="s">
        <v>48</v>
      </c>
      <c r="K351" t="s">
        <v>40</v>
      </c>
      <c r="L351" t="s">
        <v>49</v>
      </c>
      <c r="M351" t="s">
        <v>57</v>
      </c>
      <c r="N351" t="s">
        <v>801</v>
      </c>
      <c r="O351" s="4">
        <v>982.93</v>
      </c>
      <c r="P351" s="7" t="str">
        <f t="shared" si="38"/>
        <v>High</v>
      </c>
      <c r="Q351" s="4">
        <v>2299.3000000000002</v>
      </c>
      <c r="R351" s="4">
        <v>0.113</v>
      </c>
      <c r="S351" s="4">
        <v>6</v>
      </c>
      <c r="T351" s="4">
        <f t="shared" si="35"/>
        <v>6418.5448799999995</v>
      </c>
      <c r="U351">
        <f t="shared" si="36"/>
        <v>5897.58</v>
      </c>
      <c r="V351" s="4">
        <f t="shared" si="39"/>
        <v>520.96487999999954</v>
      </c>
      <c r="W351" s="4">
        <f t="shared" si="40"/>
        <v>8.1165574088811171E-2</v>
      </c>
    </row>
    <row r="352" spans="1:23" x14ac:dyDescent="0.3">
      <c r="A352" t="s">
        <v>802</v>
      </c>
      <c r="B352" s="6">
        <v>44980</v>
      </c>
      <c r="C352" s="2">
        <v>44993</v>
      </c>
      <c r="D352" s="4">
        <f t="shared" si="41"/>
        <v>13</v>
      </c>
      <c r="E352" s="4" t="str">
        <f>TEXT(Data!B352,"MMM-YYYY")</f>
        <v>Dec-2023</v>
      </c>
      <c r="F352" s="4" t="str">
        <f t="shared" si="37"/>
        <v>Q1-2023</v>
      </c>
      <c r="G352" t="s">
        <v>78</v>
      </c>
      <c r="H352" t="s">
        <v>108</v>
      </c>
      <c r="I352" t="s">
        <v>228</v>
      </c>
      <c r="J352" t="s">
        <v>62</v>
      </c>
      <c r="K352" t="s">
        <v>98</v>
      </c>
      <c r="L352" t="s">
        <v>21</v>
      </c>
      <c r="M352" t="s">
        <v>30</v>
      </c>
      <c r="N352" t="s">
        <v>803</v>
      </c>
      <c r="O352" s="4">
        <v>307.37</v>
      </c>
      <c r="P352" s="7" t="str">
        <f t="shared" si="38"/>
        <v>High</v>
      </c>
      <c r="Q352" s="4">
        <v>462.61</v>
      </c>
      <c r="R352" s="4">
        <v>0.188</v>
      </c>
      <c r="S352" s="4">
        <v>11</v>
      </c>
      <c r="T352" s="4">
        <f t="shared" si="35"/>
        <v>19625.658360000001</v>
      </c>
      <c r="U352">
        <f t="shared" si="36"/>
        <v>3381.07</v>
      </c>
      <c r="V352" s="4">
        <f t="shared" si="39"/>
        <v>16244.588360000002</v>
      </c>
      <c r="W352" s="4">
        <f t="shared" si="40"/>
        <v>0.82772195775652957</v>
      </c>
    </row>
    <row r="353" spans="1:23" x14ac:dyDescent="0.3">
      <c r="A353" t="s">
        <v>804</v>
      </c>
      <c r="B353" s="6">
        <v>45262</v>
      </c>
      <c r="C353" s="2">
        <v>45276</v>
      </c>
      <c r="D353" s="4">
        <f t="shared" si="41"/>
        <v>14</v>
      </c>
      <c r="E353" s="4" t="str">
        <f>TEXT(Data!B353,"MMM-YYYY")</f>
        <v>Jul-2023</v>
      </c>
      <c r="F353" s="4" t="str">
        <f t="shared" si="37"/>
        <v>Q4-2023</v>
      </c>
      <c r="G353" t="s">
        <v>78</v>
      </c>
      <c r="H353" t="s">
        <v>79</v>
      </c>
      <c r="I353" t="s">
        <v>335</v>
      </c>
      <c r="J353" t="s">
        <v>27</v>
      </c>
      <c r="K353" t="s">
        <v>98</v>
      </c>
      <c r="L353" t="s">
        <v>126</v>
      </c>
      <c r="M353" t="s">
        <v>64</v>
      </c>
      <c r="N353" t="s">
        <v>805</v>
      </c>
      <c r="O353" s="4">
        <v>879.08</v>
      </c>
      <c r="P353" s="7" t="str">
        <f t="shared" si="38"/>
        <v>High</v>
      </c>
      <c r="Q353" s="4">
        <v>1093.3900000000001</v>
      </c>
      <c r="R353" s="4">
        <v>0.113</v>
      </c>
      <c r="S353" s="4">
        <v>17</v>
      </c>
      <c r="T353" s="4">
        <f t="shared" si="35"/>
        <v>24437.027399999999</v>
      </c>
      <c r="U353">
        <f t="shared" si="36"/>
        <v>14944.36</v>
      </c>
      <c r="V353" s="4">
        <f t="shared" si="39"/>
        <v>9492.6673999999985</v>
      </c>
      <c r="W353" s="4">
        <f t="shared" si="40"/>
        <v>0.38845426019369272</v>
      </c>
    </row>
    <row r="354" spans="1:23" x14ac:dyDescent="0.3">
      <c r="A354" t="s">
        <v>806</v>
      </c>
      <c r="B354" s="6">
        <v>45121</v>
      </c>
      <c r="C354" s="2">
        <v>45121</v>
      </c>
      <c r="D354" s="4">
        <f t="shared" si="41"/>
        <v>0</v>
      </c>
      <c r="E354" s="4" t="str">
        <f>TEXT(Data!B354,"MMM-YYYY")</f>
        <v>Aug-2024</v>
      </c>
      <c r="F354" s="4" t="str">
        <f t="shared" si="37"/>
        <v>Q3-2023</v>
      </c>
      <c r="G354" t="s">
        <v>16</v>
      </c>
      <c r="H354" t="s">
        <v>25</v>
      </c>
      <c r="I354" t="s">
        <v>38</v>
      </c>
      <c r="J354" t="s">
        <v>27</v>
      </c>
      <c r="K354" t="s">
        <v>20</v>
      </c>
      <c r="L354" t="s">
        <v>34</v>
      </c>
      <c r="M354" t="s">
        <v>81</v>
      </c>
      <c r="N354" t="s">
        <v>807</v>
      </c>
      <c r="O354" s="4">
        <v>956.38</v>
      </c>
      <c r="P354" s="7" t="str">
        <f t="shared" si="38"/>
        <v>High</v>
      </c>
      <c r="Q354" s="4">
        <v>1454.22</v>
      </c>
      <c r="R354" s="4">
        <v>3.9E-2</v>
      </c>
      <c r="S354" s="4">
        <v>19</v>
      </c>
      <c r="T354" s="4">
        <f t="shared" si="35"/>
        <v>18891.856940000001</v>
      </c>
      <c r="U354">
        <f t="shared" si="36"/>
        <v>18171.22</v>
      </c>
      <c r="V354" s="4">
        <f t="shared" si="39"/>
        <v>720.63694000000032</v>
      </c>
      <c r="W354" s="4">
        <f t="shared" si="40"/>
        <v>3.8145373548440616E-2</v>
      </c>
    </row>
    <row r="355" spans="1:23" x14ac:dyDescent="0.3">
      <c r="A355" t="s">
        <v>808</v>
      </c>
      <c r="B355" s="6">
        <v>45512</v>
      </c>
      <c r="C355" s="2">
        <v>45524</v>
      </c>
      <c r="D355" s="4">
        <f t="shared" si="41"/>
        <v>12</v>
      </c>
      <c r="E355" s="4" t="str">
        <f>TEXT(Data!B355,"MMM-YYYY")</f>
        <v>Nov-2024</v>
      </c>
      <c r="F355" s="4" t="str">
        <f t="shared" si="37"/>
        <v>Q3-2024</v>
      </c>
      <c r="G355" t="s">
        <v>45</v>
      </c>
      <c r="H355" t="s">
        <v>46</v>
      </c>
      <c r="I355" t="s">
        <v>47</v>
      </c>
      <c r="J355" t="s">
        <v>62</v>
      </c>
      <c r="K355" t="s">
        <v>20</v>
      </c>
      <c r="L355" t="s">
        <v>92</v>
      </c>
      <c r="M355" t="s">
        <v>35</v>
      </c>
      <c r="N355" t="s">
        <v>809</v>
      </c>
      <c r="O355" s="4">
        <v>1233.3599999999999</v>
      </c>
      <c r="P355" s="7" t="str">
        <f t="shared" si="38"/>
        <v>High</v>
      </c>
      <c r="Q355" s="4">
        <v>2120.4</v>
      </c>
      <c r="R355" s="4">
        <v>0.17899999999999999</v>
      </c>
      <c r="S355" s="4">
        <v>20</v>
      </c>
      <c r="T355" s="4">
        <f t="shared" si="35"/>
        <v>31286.9964</v>
      </c>
      <c r="U355">
        <f t="shared" si="36"/>
        <v>24667.199999999997</v>
      </c>
      <c r="V355" s="4">
        <f t="shared" si="39"/>
        <v>6619.7964000000029</v>
      </c>
      <c r="W355" s="4">
        <f t="shared" si="40"/>
        <v>0.21158299490838958</v>
      </c>
    </row>
    <row r="356" spans="1:23" x14ac:dyDescent="0.3">
      <c r="A356" t="s">
        <v>810</v>
      </c>
      <c r="B356" s="6">
        <v>45603</v>
      </c>
      <c r="C356" s="2">
        <v>45622</v>
      </c>
      <c r="D356" s="4">
        <f t="shared" si="41"/>
        <v>19</v>
      </c>
      <c r="E356" s="4" t="str">
        <f>TEXT(Data!B356,"MMM-YYYY")</f>
        <v>Jan-2024</v>
      </c>
      <c r="F356" s="4" t="str">
        <f t="shared" si="37"/>
        <v>Q4-2024</v>
      </c>
      <c r="G356" t="s">
        <v>52</v>
      </c>
      <c r="H356" t="s">
        <v>73</v>
      </c>
      <c r="I356" t="s">
        <v>225</v>
      </c>
      <c r="J356" t="s">
        <v>39</v>
      </c>
      <c r="K356" t="s">
        <v>55</v>
      </c>
      <c r="L356" t="s">
        <v>29</v>
      </c>
      <c r="M356" t="s">
        <v>30</v>
      </c>
      <c r="N356" t="s">
        <v>811</v>
      </c>
      <c r="O356" s="4">
        <v>55.35</v>
      </c>
      <c r="P356" s="7" t="str">
        <f t="shared" si="38"/>
        <v>Medium</v>
      </c>
      <c r="Q356" s="4">
        <v>128.68</v>
      </c>
      <c r="R356" s="4">
        <v>0.128</v>
      </c>
      <c r="S356" s="4">
        <v>10</v>
      </c>
      <c r="T356" s="4">
        <f t="shared" si="35"/>
        <v>4722.4031999999997</v>
      </c>
      <c r="U356">
        <f t="shared" si="36"/>
        <v>553.5</v>
      </c>
      <c r="V356" s="4">
        <f t="shared" si="39"/>
        <v>4168.9031999999997</v>
      </c>
      <c r="W356" s="4">
        <f t="shared" si="40"/>
        <v>0.88279272722837387</v>
      </c>
    </row>
    <row r="357" spans="1:23" x14ac:dyDescent="0.3">
      <c r="A357" t="s">
        <v>812</v>
      </c>
      <c r="B357" s="6">
        <v>45292</v>
      </c>
      <c r="C357" s="2">
        <v>45318</v>
      </c>
      <c r="D357" s="4">
        <f t="shared" si="41"/>
        <v>26</v>
      </c>
      <c r="E357" s="4" t="str">
        <f>TEXT(Data!B357,"MMM-YYYY")</f>
        <v>Aug-2025</v>
      </c>
      <c r="F357" s="4" t="str">
        <f t="shared" si="37"/>
        <v>Q1-2024</v>
      </c>
      <c r="G357" t="s">
        <v>78</v>
      </c>
      <c r="H357" t="s">
        <v>108</v>
      </c>
      <c r="I357" t="s">
        <v>228</v>
      </c>
      <c r="J357" t="s">
        <v>27</v>
      </c>
      <c r="K357" t="s">
        <v>55</v>
      </c>
      <c r="L357" t="s">
        <v>145</v>
      </c>
      <c r="M357" t="s">
        <v>81</v>
      </c>
      <c r="N357" t="s">
        <v>813</v>
      </c>
      <c r="O357" s="4">
        <v>657.45</v>
      </c>
      <c r="P357" s="7" t="str">
        <f t="shared" si="38"/>
        <v>High</v>
      </c>
      <c r="Q357" s="4">
        <v>1325.96</v>
      </c>
      <c r="R357" s="4">
        <v>0.16700000000000001</v>
      </c>
      <c r="S357" s="4">
        <v>21</v>
      </c>
      <c r="T357" s="4">
        <f t="shared" si="35"/>
        <v>19532.683799999999</v>
      </c>
      <c r="U357">
        <f t="shared" si="36"/>
        <v>13806.45</v>
      </c>
      <c r="V357" s="4">
        <f t="shared" si="39"/>
        <v>5726.2337999999982</v>
      </c>
      <c r="W357" s="4">
        <f t="shared" si="40"/>
        <v>0.29316164939914702</v>
      </c>
    </row>
    <row r="358" spans="1:23" x14ac:dyDescent="0.3">
      <c r="A358" t="s">
        <v>814</v>
      </c>
      <c r="B358" s="6">
        <v>45883</v>
      </c>
      <c r="C358" s="2">
        <v>45911</v>
      </c>
      <c r="D358" s="4">
        <f t="shared" si="41"/>
        <v>28</v>
      </c>
      <c r="E358" s="4" t="str">
        <f>TEXT(Data!B358,"MMM-YYYY")</f>
        <v>Apr-2024</v>
      </c>
      <c r="F358" s="4" t="str">
        <f t="shared" si="37"/>
        <v>Q3-2025</v>
      </c>
      <c r="G358" t="s">
        <v>52</v>
      </c>
      <c r="H358" t="s">
        <v>73</v>
      </c>
      <c r="I358" t="s">
        <v>74</v>
      </c>
      <c r="J358" t="s">
        <v>39</v>
      </c>
      <c r="K358" t="s">
        <v>98</v>
      </c>
      <c r="L358" t="s">
        <v>84</v>
      </c>
      <c r="M358" t="s">
        <v>30</v>
      </c>
      <c r="N358" t="s">
        <v>815</v>
      </c>
      <c r="O358" s="4">
        <v>1203.02</v>
      </c>
      <c r="P358" s="7" t="str">
        <f t="shared" si="38"/>
        <v>High</v>
      </c>
      <c r="Q358" s="4">
        <v>2439.33</v>
      </c>
      <c r="R358" s="4">
        <v>0</v>
      </c>
      <c r="S358" s="4">
        <v>18</v>
      </c>
      <c r="T358" s="4">
        <f t="shared" si="35"/>
        <v>26190</v>
      </c>
      <c r="U358">
        <f t="shared" si="36"/>
        <v>21654.36</v>
      </c>
      <c r="V358" s="4">
        <f t="shared" si="39"/>
        <v>4535.6399999999994</v>
      </c>
      <c r="W358" s="4">
        <f t="shared" si="40"/>
        <v>0.17318213058419241</v>
      </c>
    </row>
    <row r="359" spans="1:23" x14ac:dyDescent="0.3">
      <c r="A359" t="s">
        <v>816</v>
      </c>
      <c r="B359" s="6">
        <v>45385</v>
      </c>
      <c r="C359" s="2">
        <v>45403</v>
      </c>
      <c r="D359" s="4">
        <f t="shared" si="41"/>
        <v>18</v>
      </c>
      <c r="E359" s="4" t="str">
        <f>TEXT(Data!B359,"MMM-YYYY")</f>
        <v>Nov-2024</v>
      </c>
      <c r="F359" s="4" t="str">
        <f t="shared" si="37"/>
        <v>Q2-2024</v>
      </c>
      <c r="G359" t="s">
        <v>52</v>
      </c>
      <c r="H359" t="s">
        <v>73</v>
      </c>
      <c r="I359" t="s">
        <v>87</v>
      </c>
      <c r="J359" t="s">
        <v>62</v>
      </c>
      <c r="K359" t="s">
        <v>55</v>
      </c>
      <c r="L359" t="s">
        <v>56</v>
      </c>
      <c r="M359" t="s">
        <v>35</v>
      </c>
      <c r="N359" t="s">
        <v>817</v>
      </c>
      <c r="O359" s="4">
        <v>1176.69</v>
      </c>
      <c r="P359" s="7" t="str">
        <f t="shared" si="38"/>
        <v>High</v>
      </c>
      <c r="Q359" s="4">
        <v>2201.54</v>
      </c>
      <c r="R359" s="4">
        <v>0.17</v>
      </c>
      <c r="S359" s="4">
        <v>27</v>
      </c>
      <c r="T359" s="4">
        <f t="shared" si="35"/>
        <v>28646.702999999998</v>
      </c>
      <c r="U359">
        <f t="shared" si="36"/>
        <v>31770.63</v>
      </c>
      <c r="V359" s="4">
        <f t="shared" si="39"/>
        <v>-3123.9270000000033</v>
      </c>
      <c r="W359" s="4">
        <f t="shared" si="40"/>
        <v>-0.1090501409533936</v>
      </c>
    </row>
    <row r="360" spans="1:23" x14ac:dyDescent="0.3">
      <c r="A360" t="s">
        <v>818</v>
      </c>
      <c r="B360" s="6">
        <v>45621</v>
      </c>
      <c r="C360" s="2">
        <v>45633</v>
      </c>
      <c r="D360" s="4">
        <f t="shared" si="41"/>
        <v>12</v>
      </c>
      <c r="E360" s="4" t="str">
        <f>TEXT(Data!B360,"MMM-YYYY")</f>
        <v>Jan-2024</v>
      </c>
      <c r="F360" s="4" t="str">
        <f t="shared" si="37"/>
        <v>Q4-2024</v>
      </c>
      <c r="G360" t="s">
        <v>45</v>
      </c>
      <c r="H360" t="s">
        <v>116</v>
      </c>
      <c r="I360" t="s">
        <v>162</v>
      </c>
      <c r="J360" t="s">
        <v>19</v>
      </c>
      <c r="K360" t="s">
        <v>55</v>
      </c>
      <c r="L360" t="s">
        <v>75</v>
      </c>
      <c r="M360" t="s">
        <v>81</v>
      </c>
      <c r="N360" t="s">
        <v>819</v>
      </c>
      <c r="O360" s="4">
        <v>769.9</v>
      </c>
      <c r="P360" s="7" t="str">
        <f t="shared" si="38"/>
        <v>High</v>
      </c>
      <c r="Q360" s="4">
        <v>814.36</v>
      </c>
      <c r="R360" s="4">
        <v>0</v>
      </c>
      <c r="S360" s="4">
        <v>5</v>
      </c>
      <c r="T360" s="4">
        <f t="shared" si="35"/>
        <v>4499.1500000000005</v>
      </c>
      <c r="U360">
        <f t="shared" si="36"/>
        <v>3849.5</v>
      </c>
      <c r="V360" s="4">
        <f t="shared" si="39"/>
        <v>649.65000000000055</v>
      </c>
      <c r="W360" s="4">
        <f t="shared" si="40"/>
        <v>0.14439394107775924</v>
      </c>
    </row>
    <row r="361" spans="1:23" x14ac:dyDescent="0.3">
      <c r="A361" t="s">
        <v>820</v>
      </c>
      <c r="B361" s="6">
        <v>45309</v>
      </c>
      <c r="C361" s="2">
        <v>45325</v>
      </c>
      <c r="D361" s="4">
        <f t="shared" si="41"/>
        <v>16</v>
      </c>
      <c r="E361" s="4" t="str">
        <f>TEXT(Data!B361,"MMM-YYYY")</f>
        <v>Jun-2024</v>
      </c>
      <c r="F361" s="4" t="str">
        <f t="shared" si="37"/>
        <v>Q1-2024</v>
      </c>
      <c r="G361" t="s">
        <v>16</v>
      </c>
      <c r="H361" t="s">
        <v>148</v>
      </c>
      <c r="I361" t="s">
        <v>258</v>
      </c>
      <c r="J361" t="s">
        <v>39</v>
      </c>
      <c r="K361" t="s">
        <v>55</v>
      </c>
      <c r="L361" t="s">
        <v>49</v>
      </c>
      <c r="M361" t="s">
        <v>30</v>
      </c>
      <c r="N361" t="s">
        <v>821</v>
      </c>
      <c r="O361" s="4">
        <v>666.23</v>
      </c>
      <c r="P361" s="7" t="str">
        <f t="shared" si="38"/>
        <v>High</v>
      </c>
      <c r="Q361" s="4">
        <v>1382.91</v>
      </c>
      <c r="R361" s="4">
        <v>0.17599999999999999</v>
      </c>
      <c r="S361" s="4">
        <v>13</v>
      </c>
      <c r="T361" s="4">
        <f t="shared" si="35"/>
        <v>9412.9557600000007</v>
      </c>
      <c r="U361">
        <f t="shared" si="36"/>
        <v>8660.99</v>
      </c>
      <c r="V361" s="4">
        <f t="shared" si="39"/>
        <v>751.96576000000096</v>
      </c>
      <c r="W361" s="4">
        <f t="shared" si="40"/>
        <v>7.9886252434697616E-2</v>
      </c>
    </row>
    <row r="362" spans="1:23" x14ac:dyDescent="0.3">
      <c r="A362" t="s">
        <v>822</v>
      </c>
      <c r="B362" s="6">
        <v>45466</v>
      </c>
      <c r="C362" s="2">
        <v>45468</v>
      </c>
      <c r="D362" s="4">
        <f t="shared" si="41"/>
        <v>2</v>
      </c>
      <c r="E362" s="4" t="str">
        <f>TEXT(Data!B362,"MMM-YYYY")</f>
        <v>Jun-2025</v>
      </c>
      <c r="F362" s="4" t="str">
        <f t="shared" si="37"/>
        <v>Q2-2024</v>
      </c>
      <c r="G362" t="s">
        <v>78</v>
      </c>
      <c r="H362" t="s">
        <v>108</v>
      </c>
      <c r="I362" t="s">
        <v>109</v>
      </c>
      <c r="J362" t="s">
        <v>62</v>
      </c>
      <c r="K362" t="s">
        <v>40</v>
      </c>
      <c r="L362" t="s">
        <v>49</v>
      </c>
      <c r="M362" t="s">
        <v>81</v>
      </c>
      <c r="N362" t="s">
        <v>823</v>
      </c>
      <c r="O362" s="4">
        <v>951.44</v>
      </c>
      <c r="P362" s="7" t="str">
        <f t="shared" si="38"/>
        <v>High</v>
      </c>
      <c r="Q362" s="4">
        <v>1646.43</v>
      </c>
      <c r="R362" s="4">
        <v>0.11</v>
      </c>
      <c r="S362" s="4">
        <v>24</v>
      </c>
      <c r="T362" s="4">
        <f t="shared" si="35"/>
        <v>12696.811199999998</v>
      </c>
      <c r="U362">
        <f t="shared" si="36"/>
        <v>22834.560000000001</v>
      </c>
      <c r="V362" s="4">
        <f t="shared" si="39"/>
        <v>-10137.748800000003</v>
      </c>
      <c r="W362" s="4">
        <f t="shared" si="40"/>
        <v>-0.79844841671741995</v>
      </c>
    </row>
    <row r="363" spans="1:23" x14ac:dyDescent="0.3">
      <c r="A363" t="s">
        <v>824</v>
      </c>
      <c r="B363" s="6">
        <v>45833</v>
      </c>
      <c r="C363" s="2">
        <v>45848</v>
      </c>
      <c r="D363" s="4">
        <f t="shared" si="41"/>
        <v>15</v>
      </c>
      <c r="E363" s="4" t="str">
        <f>TEXT(Data!B363,"MMM-YYYY")</f>
        <v>Jul-2023</v>
      </c>
      <c r="F363" s="4" t="str">
        <f t="shared" si="37"/>
        <v>Q2-2025</v>
      </c>
      <c r="G363" t="s">
        <v>78</v>
      </c>
      <c r="H363" t="s">
        <v>108</v>
      </c>
      <c r="I363" t="s">
        <v>109</v>
      </c>
      <c r="J363" t="s">
        <v>39</v>
      </c>
      <c r="K363" t="s">
        <v>40</v>
      </c>
      <c r="L363" t="s">
        <v>145</v>
      </c>
      <c r="M363" t="s">
        <v>42</v>
      </c>
      <c r="N363" t="s">
        <v>825</v>
      </c>
      <c r="O363" s="4">
        <v>546.83000000000004</v>
      </c>
      <c r="P363" s="7" t="str">
        <f t="shared" si="38"/>
        <v>High</v>
      </c>
      <c r="Q363" s="4">
        <v>400.84</v>
      </c>
      <c r="R363" s="4">
        <v>7.8E-2</v>
      </c>
      <c r="S363" s="4">
        <v>13</v>
      </c>
      <c r="T363" s="4">
        <f t="shared" si="35"/>
        <v>19391.5501</v>
      </c>
      <c r="U363">
        <f t="shared" si="36"/>
        <v>7108.7900000000009</v>
      </c>
      <c r="V363" s="4">
        <f t="shared" si="39"/>
        <v>12282.7601</v>
      </c>
      <c r="W363" s="4">
        <f t="shared" si="40"/>
        <v>0.63340785221703344</v>
      </c>
    </row>
    <row r="364" spans="1:23" x14ac:dyDescent="0.3">
      <c r="A364" t="s">
        <v>826</v>
      </c>
      <c r="B364" s="6">
        <v>45108</v>
      </c>
      <c r="C364" s="2">
        <v>45115</v>
      </c>
      <c r="D364" s="4">
        <f t="shared" si="41"/>
        <v>7</v>
      </c>
      <c r="E364" s="4" t="str">
        <f>TEXT(Data!B364,"MMM-YYYY")</f>
        <v>Mar-2024</v>
      </c>
      <c r="F364" s="4" t="str">
        <f t="shared" si="37"/>
        <v>Q3-2023</v>
      </c>
      <c r="G364" t="s">
        <v>16</v>
      </c>
      <c r="H364" t="s">
        <v>25</v>
      </c>
      <c r="I364" t="s">
        <v>26</v>
      </c>
      <c r="J364" t="s">
        <v>19</v>
      </c>
      <c r="K364" t="s">
        <v>20</v>
      </c>
      <c r="L364" t="s">
        <v>75</v>
      </c>
      <c r="M364" t="s">
        <v>57</v>
      </c>
      <c r="N364" t="s">
        <v>827</v>
      </c>
      <c r="O364" s="4">
        <v>834.26</v>
      </c>
      <c r="P364" s="7" t="str">
        <f t="shared" si="38"/>
        <v>High</v>
      </c>
      <c r="Q364" s="4">
        <v>1780.56</v>
      </c>
      <c r="R364" s="4">
        <v>1.4E-2</v>
      </c>
      <c r="S364" s="4">
        <v>47</v>
      </c>
      <c r="T364" s="4">
        <f t="shared" si="35"/>
        <v>45086.595219999996</v>
      </c>
      <c r="U364">
        <f t="shared" si="36"/>
        <v>39210.22</v>
      </c>
      <c r="V364" s="4">
        <f t="shared" si="39"/>
        <v>5876.3752199999944</v>
      </c>
      <c r="W364" s="4">
        <f t="shared" si="40"/>
        <v>0.13033530678744376</v>
      </c>
    </row>
    <row r="365" spans="1:23" x14ac:dyDescent="0.3">
      <c r="A365" t="s">
        <v>828</v>
      </c>
      <c r="B365" s="6">
        <v>45360</v>
      </c>
      <c r="C365" s="2">
        <v>45377</v>
      </c>
      <c r="D365" s="4">
        <f t="shared" si="41"/>
        <v>17</v>
      </c>
      <c r="E365" s="4" t="str">
        <f>TEXT(Data!B365,"MMM-YYYY")</f>
        <v>Jun-2023</v>
      </c>
      <c r="F365" s="4" t="str">
        <f t="shared" si="37"/>
        <v>Q1-2024</v>
      </c>
      <c r="G365" t="s">
        <v>45</v>
      </c>
      <c r="H365" t="s">
        <v>116</v>
      </c>
      <c r="I365" t="s">
        <v>117</v>
      </c>
      <c r="J365" t="s">
        <v>105</v>
      </c>
      <c r="K365" t="s">
        <v>28</v>
      </c>
      <c r="L365" t="s">
        <v>95</v>
      </c>
      <c r="M365" t="s">
        <v>64</v>
      </c>
      <c r="N365" t="s">
        <v>829</v>
      </c>
      <c r="O365" s="4">
        <v>1029.67</v>
      </c>
      <c r="P365" s="7" t="str">
        <f t="shared" si="38"/>
        <v>High</v>
      </c>
      <c r="Q365" s="4">
        <v>1118.43</v>
      </c>
      <c r="R365" s="4">
        <v>0.27200000000000002</v>
      </c>
      <c r="S365" s="4">
        <v>9</v>
      </c>
      <c r="T365" s="4">
        <f t="shared" si="35"/>
        <v>278.85311999999999</v>
      </c>
      <c r="U365">
        <f t="shared" si="36"/>
        <v>9267.0300000000007</v>
      </c>
      <c r="V365" s="4">
        <f t="shared" si="39"/>
        <v>-8988.1768800000009</v>
      </c>
      <c r="W365" s="4">
        <f t="shared" si="40"/>
        <v>-32.232656676030743</v>
      </c>
    </row>
    <row r="366" spans="1:23" x14ac:dyDescent="0.3">
      <c r="A366" t="s">
        <v>830</v>
      </c>
      <c r="B366" s="6">
        <v>45082</v>
      </c>
      <c r="C366" s="2">
        <v>45105</v>
      </c>
      <c r="D366" s="4">
        <f t="shared" si="41"/>
        <v>23</v>
      </c>
      <c r="E366" s="4" t="str">
        <f>TEXT(Data!B366,"MMM-YYYY")</f>
        <v>Mar-2025</v>
      </c>
      <c r="F366" s="4" t="str">
        <f t="shared" si="37"/>
        <v>Q2-2023</v>
      </c>
      <c r="G366" t="s">
        <v>78</v>
      </c>
      <c r="H366" t="s">
        <v>108</v>
      </c>
      <c r="I366" t="s">
        <v>109</v>
      </c>
      <c r="J366" t="s">
        <v>19</v>
      </c>
      <c r="K366" t="s">
        <v>98</v>
      </c>
      <c r="L366" t="s">
        <v>95</v>
      </c>
      <c r="M366" t="s">
        <v>30</v>
      </c>
      <c r="N366" t="s">
        <v>831</v>
      </c>
      <c r="O366" s="4">
        <v>605.82000000000005</v>
      </c>
      <c r="P366" s="7" t="str">
        <f t="shared" si="38"/>
        <v>High</v>
      </c>
      <c r="Q366" s="4">
        <v>771.12</v>
      </c>
      <c r="R366" s="4">
        <v>0.13200000000000001</v>
      </c>
      <c r="S366" s="4">
        <v>19</v>
      </c>
      <c r="T366" s="4">
        <f t="shared" si="35"/>
        <v>24421.848359999996</v>
      </c>
      <c r="U366">
        <f t="shared" si="36"/>
        <v>11510.580000000002</v>
      </c>
      <c r="V366" s="4">
        <f t="shared" si="39"/>
        <v>12911.268359999995</v>
      </c>
      <c r="W366" s="4">
        <f t="shared" si="40"/>
        <v>0.52867695227962652</v>
      </c>
    </row>
    <row r="367" spans="1:23" x14ac:dyDescent="0.3">
      <c r="A367" t="s">
        <v>832</v>
      </c>
      <c r="B367" s="6">
        <v>45737</v>
      </c>
      <c r="C367" s="2">
        <v>45756</v>
      </c>
      <c r="D367" s="4">
        <f t="shared" si="41"/>
        <v>19</v>
      </c>
      <c r="E367" s="4" t="str">
        <f>TEXT(Data!B367,"MMM-YYYY")</f>
        <v>Jun-2024</v>
      </c>
      <c r="F367" s="4" t="str">
        <f t="shared" si="37"/>
        <v>Q1-2025</v>
      </c>
      <c r="G367" t="s">
        <v>45</v>
      </c>
      <c r="H367" t="s">
        <v>46</v>
      </c>
      <c r="I367" t="s">
        <v>214</v>
      </c>
      <c r="J367" t="s">
        <v>62</v>
      </c>
      <c r="K367" t="s">
        <v>55</v>
      </c>
      <c r="L367" t="s">
        <v>63</v>
      </c>
      <c r="M367" t="s">
        <v>22</v>
      </c>
      <c r="N367" t="s">
        <v>833</v>
      </c>
      <c r="O367" s="4">
        <v>1055.45</v>
      </c>
      <c r="P367" s="7" t="str">
        <f t="shared" si="38"/>
        <v>High</v>
      </c>
      <c r="Q367" s="4">
        <v>1210.04</v>
      </c>
      <c r="R367" s="4">
        <v>8.9999999999999993E-3</v>
      </c>
      <c r="S367" s="4">
        <v>18</v>
      </c>
      <c r="T367" s="4">
        <f t="shared" si="35"/>
        <v>10065.26988</v>
      </c>
      <c r="U367">
        <f t="shared" si="36"/>
        <v>18998.100000000002</v>
      </c>
      <c r="V367" s="4">
        <f t="shared" si="39"/>
        <v>-8932.8301200000024</v>
      </c>
      <c r="W367" s="4">
        <f t="shared" si="40"/>
        <v>-0.887490372985409</v>
      </c>
    </row>
    <row r="368" spans="1:23" x14ac:dyDescent="0.3">
      <c r="A368" t="s">
        <v>834</v>
      </c>
      <c r="B368" s="6">
        <v>45445</v>
      </c>
      <c r="C368" s="2">
        <v>45458</v>
      </c>
      <c r="D368" s="4">
        <f t="shared" si="41"/>
        <v>13</v>
      </c>
      <c r="E368" s="4" t="str">
        <f>TEXT(Data!B368,"MMM-YYYY")</f>
        <v>Mar-2025</v>
      </c>
      <c r="F368" s="4" t="str">
        <f t="shared" si="37"/>
        <v>Q2-2024</v>
      </c>
      <c r="G368" t="s">
        <v>16</v>
      </c>
      <c r="H368" t="s">
        <v>17</v>
      </c>
      <c r="I368" t="s">
        <v>113</v>
      </c>
      <c r="J368" t="s">
        <v>27</v>
      </c>
      <c r="K368" t="s">
        <v>28</v>
      </c>
      <c r="L368" t="s">
        <v>68</v>
      </c>
      <c r="M368" t="s">
        <v>42</v>
      </c>
      <c r="N368" t="s">
        <v>835</v>
      </c>
      <c r="O368" s="4">
        <v>1295.18</v>
      </c>
      <c r="P368" s="7" t="str">
        <f t="shared" si="38"/>
        <v>High</v>
      </c>
      <c r="Q368" s="4">
        <v>3024.03</v>
      </c>
      <c r="R368" s="4">
        <v>0.192</v>
      </c>
      <c r="S368" s="4">
        <v>8</v>
      </c>
      <c r="T368" s="4">
        <f t="shared" si="35"/>
        <v>13814.925440000001</v>
      </c>
      <c r="U368">
        <f t="shared" si="36"/>
        <v>10361.44</v>
      </c>
      <c r="V368" s="4">
        <f t="shared" si="39"/>
        <v>3453.4854400000004</v>
      </c>
      <c r="W368" s="4">
        <f t="shared" si="40"/>
        <v>0.24998219896292109</v>
      </c>
    </row>
    <row r="369" spans="1:23" x14ac:dyDescent="0.3">
      <c r="A369" t="s">
        <v>836</v>
      </c>
      <c r="B369" s="6">
        <v>45731</v>
      </c>
      <c r="C369" s="2">
        <v>45745</v>
      </c>
      <c r="D369" s="4">
        <f t="shared" si="41"/>
        <v>14</v>
      </c>
      <c r="E369" s="4" t="str">
        <f>TEXT(Data!B369,"MMM-YYYY")</f>
        <v>Sep-2023</v>
      </c>
      <c r="F369" s="4" t="str">
        <f t="shared" si="37"/>
        <v>Q1-2025</v>
      </c>
      <c r="G369" t="s">
        <v>45</v>
      </c>
      <c r="H369" t="s">
        <v>60</v>
      </c>
      <c r="I369" t="s">
        <v>220</v>
      </c>
      <c r="J369" t="s">
        <v>105</v>
      </c>
      <c r="K369" t="s">
        <v>98</v>
      </c>
      <c r="L369" t="s">
        <v>21</v>
      </c>
      <c r="M369" t="s">
        <v>22</v>
      </c>
      <c r="N369" t="s">
        <v>837</v>
      </c>
      <c r="O369" s="4">
        <v>935.83</v>
      </c>
      <c r="P369" s="7" t="str">
        <f t="shared" si="38"/>
        <v>High</v>
      </c>
      <c r="Q369" s="4">
        <v>2303.46</v>
      </c>
      <c r="R369" s="4">
        <v>0.105</v>
      </c>
      <c r="S369" s="4">
        <v>9</v>
      </c>
      <c r="T369" s="4">
        <f t="shared" si="35"/>
        <v>13539.891150000001</v>
      </c>
      <c r="U369">
        <f t="shared" si="36"/>
        <v>8422.4700000000012</v>
      </c>
      <c r="V369" s="4">
        <f t="shared" si="39"/>
        <v>5117.4211500000001</v>
      </c>
      <c r="W369" s="4">
        <f t="shared" si="40"/>
        <v>0.37795142466858012</v>
      </c>
    </row>
    <row r="370" spans="1:23" x14ac:dyDescent="0.3">
      <c r="A370" t="s">
        <v>838</v>
      </c>
      <c r="B370" s="6">
        <v>45194</v>
      </c>
      <c r="C370" s="2">
        <v>45208</v>
      </c>
      <c r="D370" s="4">
        <f t="shared" si="41"/>
        <v>14</v>
      </c>
      <c r="E370" s="4" t="str">
        <f>TEXT(Data!B370,"MMM-YYYY")</f>
        <v>Jun-2025</v>
      </c>
      <c r="F370" s="4" t="str">
        <f t="shared" si="37"/>
        <v>Q3-2023</v>
      </c>
      <c r="G370" t="s">
        <v>52</v>
      </c>
      <c r="H370" t="s">
        <v>122</v>
      </c>
      <c r="I370" t="s">
        <v>387</v>
      </c>
      <c r="J370" t="s">
        <v>62</v>
      </c>
      <c r="K370" t="s">
        <v>40</v>
      </c>
      <c r="L370" t="s">
        <v>29</v>
      </c>
      <c r="M370" t="s">
        <v>57</v>
      </c>
      <c r="N370" t="s">
        <v>839</v>
      </c>
      <c r="O370" s="4">
        <v>1279.56</v>
      </c>
      <c r="P370" s="7" t="str">
        <f t="shared" si="38"/>
        <v>High</v>
      </c>
      <c r="Q370" s="4">
        <v>3083.8</v>
      </c>
      <c r="R370" s="4">
        <v>0.106</v>
      </c>
      <c r="S370" s="4">
        <v>5</v>
      </c>
      <c r="T370" s="4">
        <f t="shared" si="35"/>
        <v>12985.618199999999</v>
      </c>
      <c r="U370">
        <f t="shared" si="36"/>
        <v>6397.7999999999993</v>
      </c>
      <c r="V370" s="4">
        <f t="shared" si="39"/>
        <v>6587.8181999999997</v>
      </c>
      <c r="W370" s="4">
        <f t="shared" si="40"/>
        <v>0.50731648648040495</v>
      </c>
    </row>
    <row r="371" spans="1:23" x14ac:dyDescent="0.3">
      <c r="A371" t="s">
        <v>840</v>
      </c>
      <c r="B371" s="6">
        <v>45832</v>
      </c>
      <c r="C371" s="2">
        <v>45861</v>
      </c>
      <c r="D371" s="4">
        <f t="shared" si="41"/>
        <v>29</v>
      </c>
      <c r="E371" s="4" t="str">
        <f>TEXT(Data!B371,"MMM-YYYY")</f>
        <v>Dec-2023</v>
      </c>
      <c r="F371" s="4" t="str">
        <f t="shared" si="37"/>
        <v>Q2-2025</v>
      </c>
      <c r="G371" t="s">
        <v>52</v>
      </c>
      <c r="H371" t="s">
        <v>53</v>
      </c>
      <c r="I371" t="s">
        <v>179</v>
      </c>
      <c r="J371" t="s">
        <v>39</v>
      </c>
      <c r="K371" t="s">
        <v>40</v>
      </c>
      <c r="L371" t="s">
        <v>34</v>
      </c>
      <c r="M371" t="s">
        <v>30</v>
      </c>
      <c r="N371" t="s">
        <v>841</v>
      </c>
      <c r="O371" s="4">
        <v>255.4</v>
      </c>
      <c r="P371" s="7" t="str">
        <f t="shared" si="38"/>
        <v>High</v>
      </c>
      <c r="Q371" s="4">
        <v>322.70999999999998</v>
      </c>
      <c r="R371" s="4">
        <v>0.115</v>
      </c>
      <c r="S371" s="4">
        <v>16</v>
      </c>
      <c r="T371" s="4">
        <f t="shared" si="35"/>
        <v>11923.994400000001</v>
      </c>
      <c r="U371">
        <f t="shared" si="36"/>
        <v>4086.4</v>
      </c>
      <c r="V371" s="4">
        <f t="shared" si="39"/>
        <v>7837.5944000000018</v>
      </c>
      <c r="W371" s="4">
        <f t="shared" si="40"/>
        <v>0.65729604837788258</v>
      </c>
    </row>
    <row r="372" spans="1:23" x14ac:dyDescent="0.3">
      <c r="A372" t="s">
        <v>842</v>
      </c>
      <c r="B372" s="6">
        <v>45286</v>
      </c>
      <c r="C372" s="2">
        <v>45294</v>
      </c>
      <c r="D372" s="4">
        <f t="shared" si="41"/>
        <v>8</v>
      </c>
      <c r="E372" s="4" t="str">
        <f>TEXT(Data!B372,"MMM-YYYY")</f>
        <v>Feb-2023</v>
      </c>
      <c r="F372" s="4" t="str">
        <f t="shared" si="37"/>
        <v>Q4-2023</v>
      </c>
      <c r="G372" t="s">
        <v>78</v>
      </c>
      <c r="H372" t="s">
        <v>90</v>
      </c>
      <c r="I372" t="s">
        <v>138</v>
      </c>
      <c r="J372" t="s">
        <v>62</v>
      </c>
      <c r="K372" t="s">
        <v>20</v>
      </c>
      <c r="L372" t="s">
        <v>110</v>
      </c>
      <c r="M372" t="s">
        <v>57</v>
      </c>
      <c r="N372" t="s">
        <v>843</v>
      </c>
      <c r="O372" s="4">
        <v>492.75</v>
      </c>
      <c r="P372" s="7" t="str">
        <f t="shared" si="38"/>
        <v>High</v>
      </c>
      <c r="Q372" s="4">
        <v>731.29</v>
      </c>
      <c r="R372" s="4">
        <v>5.8000000000000003E-2</v>
      </c>
      <c r="S372" s="4">
        <v>6</v>
      </c>
      <c r="T372" s="4">
        <f t="shared" si="35"/>
        <v>17698.503240000002</v>
      </c>
      <c r="U372">
        <f t="shared" si="36"/>
        <v>2956.5</v>
      </c>
      <c r="V372" s="4">
        <f t="shared" si="39"/>
        <v>14742.003240000002</v>
      </c>
      <c r="W372" s="4">
        <f t="shared" si="40"/>
        <v>0.83295197566096557</v>
      </c>
    </row>
    <row r="373" spans="1:23" x14ac:dyDescent="0.3">
      <c r="A373" t="s">
        <v>844</v>
      </c>
      <c r="B373" s="6">
        <v>44962</v>
      </c>
      <c r="C373" s="2">
        <v>44985</v>
      </c>
      <c r="D373" s="4">
        <f t="shared" si="41"/>
        <v>23</v>
      </c>
      <c r="E373" s="4" t="str">
        <f>TEXT(Data!B373,"MMM-YYYY")</f>
        <v>Apr-2023</v>
      </c>
      <c r="F373" s="4" t="str">
        <f t="shared" si="37"/>
        <v>Q1-2023</v>
      </c>
      <c r="G373" t="s">
        <v>52</v>
      </c>
      <c r="H373" t="s">
        <v>122</v>
      </c>
      <c r="I373" t="s">
        <v>326</v>
      </c>
      <c r="J373" t="s">
        <v>39</v>
      </c>
      <c r="K373" t="s">
        <v>55</v>
      </c>
      <c r="L373" t="s">
        <v>49</v>
      </c>
      <c r="M373" t="s">
        <v>42</v>
      </c>
      <c r="N373" t="s">
        <v>845</v>
      </c>
      <c r="O373" s="4">
        <v>1214.49</v>
      </c>
      <c r="P373" s="7" t="str">
        <f t="shared" si="38"/>
        <v>High</v>
      </c>
      <c r="Q373" s="4">
        <v>1533.95</v>
      </c>
      <c r="R373" s="4">
        <v>0</v>
      </c>
      <c r="S373" s="4">
        <v>11</v>
      </c>
      <c r="T373" s="4">
        <f t="shared" si="35"/>
        <v>15891.92</v>
      </c>
      <c r="U373">
        <f t="shared" si="36"/>
        <v>13359.39</v>
      </c>
      <c r="V373" s="4">
        <f t="shared" si="39"/>
        <v>2532.5300000000007</v>
      </c>
      <c r="W373" s="4">
        <f t="shared" si="40"/>
        <v>0.15935959909186559</v>
      </c>
    </row>
    <row r="374" spans="1:23" x14ac:dyDescent="0.3">
      <c r="A374" t="s">
        <v>846</v>
      </c>
      <c r="B374" s="6">
        <v>45022</v>
      </c>
      <c r="C374" s="2">
        <v>45024</v>
      </c>
      <c r="D374" s="4">
        <f t="shared" si="41"/>
        <v>2</v>
      </c>
      <c r="E374" s="4" t="str">
        <f>TEXT(Data!B374,"MMM-YYYY")</f>
        <v>Apr-2025</v>
      </c>
      <c r="F374" s="4" t="str">
        <f t="shared" si="37"/>
        <v>Q2-2023</v>
      </c>
      <c r="G374" t="s">
        <v>16</v>
      </c>
      <c r="H374" t="s">
        <v>25</v>
      </c>
      <c r="I374" t="s">
        <v>67</v>
      </c>
      <c r="J374" t="s">
        <v>62</v>
      </c>
      <c r="K374" t="s">
        <v>40</v>
      </c>
      <c r="L374" t="s">
        <v>95</v>
      </c>
      <c r="M374" t="s">
        <v>64</v>
      </c>
      <c r="N374" t="s">
        <v>847</v>
      </c>
      <c r="O374" s="4">
        <v>720.35</v>
      </c>
      <c r="P374" s="7" t="str">
        <f t="shared" si="38"/>
        <v>High</v>
      </c>
      <c r="Q374" s="4">
        <v>1571.66</v>
      </c>
      <c r="R374" s="4">
        <v>0.107</v>
      </c>
      <c r="S374" s="4">
        <v>23</v>
      </c>
      <c r="T374" s="4">
        <f t="shared" si="35"/>
        <v>59066.056200000006</v>
      </c>
      <c r="U374">
        <f t="shared" si="36"/>
        <v>16568.05</v>
      </c>
      <c r="V374" s="4">
        <f t="shared" si="39"/>
        <v>42498.006200000003</v>
      </c>
      <c r="W374" s="4">
        <f t="shared" si="40"/>
        <v>0.71949964047201787</v>
      </c>
    </row>
    <row r="375" spans="1:23" x14ac:dyDescent="0.3">
      <c r="A375" t="s">
        <v>848</v>
      </c>
      <c r="B375" s="6">
        <v>45751</v>
      </c>
      <c r="C375" s="2">
        <v>45757</v>
      </c>
      <c r="D375" s="4">
        <f t="shared" si="41"/>
        <v>6</v>
      </c>
      <c r="E375" s="4" t="str">
        <f>TEXT(Data!B375,"MMM-YYYY")</f>
        <v>May-2024</v>
      </c>
      <c r="F375" s="4" t="str">
        <f t="shared" si="37"/>
        <v>Q2-2025</v>
      </c>
      <c r="G375" t="s">
        <v>78</v>
      </c>
      <c r="H375" t="s">
        <v>108</v>
      </c>
      <c r="I375" t="s">
        <v>109</v>
      </c>
      <c r="J375" t="s">
        <v>39</v>
      </c>
      <c r="K375" t="s">
        <v>98</v>
      </c>
      <c r="L375" t="s">
        <v>126</v>
      </c>
      <c r="M375" t="s">
        <v>30</v>
      </c>
      <c r="N375" t="s">
        <v>849</v>
      </c>
      <c r="O375" s="4">
        <v>290.14</v>
      </c>
      <c r="P375" s="7" t="str">
        <f t="shared" si="38"/>
        <v>High</v>
      </c>
      <c r="Q375" s="4">
        <v>250.73</v>
      </c>
      <c r="R375" s="4">
        <v>3.4000000000000002E-2</v>
      </c>
      <c r="S375" s="4">
        <v>17</v>
      </c>
      <c r="T375" s="4">
        <f t="shared" si="35"/>
        <v>26958.519419999997</v>
      </c>
      <c r="U375">
        <f t="shared" si="36"/>
        <v>4932.38</v>
      </c>
      <c r="V375" s="4">
        <f t="shared" si="39"/>
        <v>22026.139419999996</v>
      </c>
      <c r="W375" s="4">
        <f t="shared" si="40"/>
        <v>0.81703817174986382</v>
      </c>
    </row>
    <row r="376" spans="1:23" x14ac:dyDescent="0.3">
      <c r="A376" t="s">
        <v>850</v>
      </c>
      <c r="B376" s="6">
        <v>45429</v>
      </c>
      <c r="C376" s="2">
        <v>45439</v>
      </c>
      <c r="D376" s="4">
        <f t="shared" si="41"/>
        <v>10</v>
      </c>
      <c r="E376" s="4" t="str">
        <f>TEXT(Data!B376,"MMM-YYYY")</f>
        <v>Mar-2024</v>
      </c>
      <c r="F376" s="4" t="str">
        <f t="shared" si="37"/>
        <v>Q2-2024</v>
      </c>
      <c r="G376" t="s">
        <v>52</v>
      </c>
      <c r="H376" t="s">
        <v>122</v>
      </c>
      <c r="I376" t="s">
        <v>326</v>
      </c>
      <c r="J376" t="s">
        <v>39</v>
      </c>
      <c r="K376" t="s">
        <v>28</v>
      </c>
      <c r="L376" t="s">
        <v>21</v>
      </c>
      <c r="M376" t="s">
        <v>42</v>
      </c>
      <c r="N376" t="s">
        <v>851</v>
      </c>
      <c r="O376" s="4">
        <v>1484.23</v>
      </c>
      <c r="P376" s="7" t="str">
        <f t="shared" si="38"/>
        <v>High</v>
      </c>
      <c r="Q376" s="4">
        <v>3472.81</v>
      </c>
      <c r="R376" s="4">
        <v>0.25600000000000001</v>
      </c>
      <c r="S376" s="4">
        <v>12</v>
      </c>
      <c r="T376" s="4">
        <f t="shared" si="35"/>
        <v>11597.65056</v>
      </c>
      <c r="U376">
        <f t="shared" si="36"/>
        <v>17810.760000000002</v>
      </c>
      <c r="V376" s="4">
        <f t="shared" si="39"/>
        <v>-6213.109440000002</v>
      </c>
      <c r="W376" s="4">
        <f t="shared" si="40"/>
        <v>-0.53572138665988589</v>
      </c>
    </row>
    <row r="377" spans="1:23" x14ac:dyDescent="0.3">
      <c r="A377" t="s">
        <v>852</v>
      </c>
      <c r="B377" s="6">
        <v>45354</v>
      </c>
      <c r="C377" s="2">
        <v>45370</v>
      </c>
      <c r="D377" s="4">
        <f t="shared" si="41"/>
        <v>16</v>
      </c>
      <c r="E377" s="4" t="str">
        <f>TEXT(Data!B377,"MMM-YYYY")</f>
        <v>Jun-2025</v>
      </c>
      <c r="F377" s="4" t="str">
        <f t="shared" si="37"/>
        <v>Q1-2024</v>
      </c>
      <c r="G377" t="s">
        <v>45</v>
      </c>
      <c r="H377" t="s">
        <v>116</v>
      </c>
      <c r="I377" t="s">
        <v>338</v>
      </c>
      <c r="J377" t="s">
        <v>48</v>
      </c>
      <c r="K377" t="s">
        <v>55</v>
      </c>
      <c r="L377" t="s">
        <v>41</v>
      </c>
      <c r="M377" t="s">
        <v>42</v>
      </c>
      <c r="N377" t="s">
        <v>853</v>
      </c>
      <c r="O377" s="4">
        <v>988.83</v>
      </c>
      <c r="P377" s="7" t="str">
        <f t="shared" si="38"/>
        <v>High</v>
      </c>
      <c r="Q377" s="4">
        <v>1206.04</v>
      </c>
      <c r="R377" s="4">
        <v>6.3E-2</v>
      </c>
      <c r="S377" s="4">
        <v>34</v>
      </c>
      <c r="T377" s="4">
        <f t="shared" si="35"/>
        <v>35635.084480000005</v>
      </c>
      <c r="U377">
        <f t="shared" si="36"/>
        <v>33620.22</v>
      </c>
      <c r="V377" s="4">
        <f t="shared" si="39"/>
        <v>2014.8644800000038</v>
      </c>
      <c r="W377" s="4">
        <f t="shared" si="40"/>
        <v>5.6541594033005182E-2</v>
      </c>
    </row>
    <row r="378" spans="1:23" x14ac:dyDescent="0.3">
      <c r="A378" t="s">
        <v>854</v>
      </c>
      <c r="B378" s="6">
        <v>45835</v>
      </c>
      <c r="C378" s="2">
        <v>45849</v>
      </c>
      <c r="D378" s="4">
        <f t="shared" si="41"/>
        <v>14</v>
      </c>
      <c r="E378" s="4" t="str">
        <f>TEXT(Data!B378,"MMM-YYYY")</f>
        <v>Mar-2023</v>
      </c>
      <c r="F378" s="4" t="str">
        <f t="shared" si="37"/>
        <v>Q2-2025</v>
      </c>
      <c r="G378" t="s">
        <v>45</v>
      </c>
      <c r="H378" t="s">
        <v>116</v>
      </c>
      <c r="I378" t="s">
        <v>162</v>
      </c>
      <c r="J378" t="s">
        <v>62</v>
      </c>
      <c r="K378" t="s">
        <v>40</v>
      </c>
      <c r="L378" t="s">
        <v>49</v>
      </c>
      <c r="M378" t="s">
        <v>35</v>
      </c>
      <c r="N378" t="s">
        <v>855</v>
      </c>
      <c r="O378" s="4">
        <v>1227.7</v>
      </c>
      <c r="P378" s="7" t="str">
        <f t="shared" si="38"/>
        <v>High</v>
      </c>
      <c r="Q378" s="4">
        <v>2197.23</v>
      </c>
      <c r="R378" s="4">
        <v>9.9000000000000005E-2</v>
      </c>
      <c r="S378" s="4">
        <v>22</v>
      </c>
      <c r="T378" s="4">
        <f t="shared" si="35"/>
        <v>23483.321620000002</v>
      </c>
      <c r="U378">
        <f t="shared" si="36"/>
        <v>27009.4</v>
      </c>
      <c r="V378" s="4">
        <f t="shared" si="39"/>
        <v>-3526.078379999999</v>
      </c>
      <c r="W378" s="4">
        <f t="shared" si="40"/>
        <v>-0.15015245445503542</v>
      </c>
    </row>
    <row r="379" spans="1:23" x14ac:dyDescent="0.3">
      <c r="A379" t="s">
        <v>856</v>
      </c>
      <c r="B379" s="6">
        <v>44998</v>
      </c>
      <c r="C379" s="2">
        <v>45020</v>
      </c>
      <c r="D379" s="4">
        <f t="shared" si="41"/>
        <v>22</v>
      </c>
      <c r="E379" s="4" t="str">
        <f>TEXT(Data!B379,"MMM-YYYY")</f>
        <v>Jan-2025</v>
      </c>
      <c r="F379" s="4" t="str">
        <f t="shared" si="37"/>
        <v>Q1-2023</v>
      </c>
      <c r="G379" t="s">
        <v>16</v>
      </c>
      <c r="H379" t="s">
        <v>148</v>
      </c>
      <c r="I379" t="s">
        <v>172</v>
      </c>
      <c r="J379" t="s">
        <v>62</v>
      </c>
      <c r="K379" t="s">
        <v>20</v>
      </c>
      <c r="L379" t="s">
        <v>75</v>
      </c>
      <c r="M379" t="s">
        <v>22</v>
      </c>
      <c r="N379" t="s">
        <v>857</v>
      </c>
      <c r="O379" s="4">
        <v>1113.7</v>
      </c>
      <c r="P379" s="7" t="str">
        <f t="shared" si="38"/>
        <v>High</v>
      </c>
      <c r="Q379" s="4">
        <v>1620.6</v>
      </c>
      <c r="R379" s="4">
        <v>0.13900000000000001</v>
      </c>
      <c r="S379" s="4">
        <v>11</v>
      </c>
      <c r="T379" s="4">
        <f t="shared" si="35"/>
        <v>11379.122369999999</v>
      </c>
      <c r="U379">
        <f t="shared" si="36"/>
        <v>12250.7</v>
      </c>
      <c r="V379" s="4">
        <f t="shared" si="39"/>
        <v>-871.57763000000159</v>
      </c>
      <c r="W379" s="4">
        <f t="shared" si="40"/>
        <v>-7.6594450930401736E-2</v>
      </c>
    </row>
    <row r="380" spans="1:23" x14ac:dyDescent="0.3">
      <c r="A380" t="s">
        <v>858</v>
      </c>
      <c r="B380" s="6">
        <v>45664</v>
      </c>
      <c r="C380" s="2">
        <v>45677</v>
      </c>
      <c r="D380" s="4">
        <f t="shared" si="41"/>
        <v>13</v>
      </c>
      <c r="E380" s="4" t="str">
        <f>TEXT(Data!B380,"MMM-YYYY")</f>
        <v>Feb-2025</v>
      </c>
      <c r="F380" s="4" t="str">
        <f t="shared" si="37"/>
        <v>Q1-2025</v>
      </c>
      <c r="G380" t="s">
        <v>16</v>
      </c>
      <c r="H380" t="s">
        <v>148</v>
      </c>
      <c r="I380" t="s">
        <v>258</v>
      </c>
      <c r="J380" t="s">
        <v>19</v>
      </c>
      <c r="K380" t="s">
        <v>98</v>
      </c>
      <c r="L380" t="s">
        <v>95</v>
      </c>
      <c r="M380" t="s">
        <v>35</v>
      </c>
      <c r="N380" t="s">
        <v>859</v>
      </c>
      <c r="O380" s="4">
        <v>432.13</v>
      </c>
      <c r="P380" s="7" t="str">
        <f t="shared" si="38"/>
        <v>High</v>
      </c>
      <c r="Q380" s="4">
        <v>1034.6600000000001</v>
      </c>
      <c r="R380" s="4">
        <v>9.1999999999999998E-2</v>
      </c>
      <c r="S380" s="4">
        <v>7</v>
      </c>
      <c r="T380" s="4">
        <f t="shared" si="35"/>
        <v>5599.5724400000008</v>
      </c>
      <c r="U380">
        <f t="shared" si="36"/>
        <v>3024.91</v>
      </c>
      <c r="V380" s="4">
        <f t="shared" si="39"/>
        <v>2574.662440000001</v>
      </c>
      <c r="W380" s="4">
        <f t="shared" si="40"/>
        <v>0.45979625544410324</v>
      </c>
    </row>
    <row r="381" spans="1:23" x14ac:dyDescent="0.3">
      <c r="A381" t="s">
        <v>860</v>
      </c>
      <c r="B381" s="6">
        <v>45694</v>
      </c>
      <c r="C381" s="2">
        <v>45703</v>
      </c>
      <c r="D381" s="4">
        <f t="shared" si="41"/>
        <v>9</v>
      </c>
      <c r="E381" s="4" t="str">
        <f>TEXT(Data!B381,"MMM-YYYY")</f>
        <v>Jan-2025</v>
      </c>
      <c r="F381" s="4" t="str">
        <f t="shared" si="37"/>
        <v>Q1-2025</v>
      </c>
      <c r="G381" t="s">
        <v>52</v>
      </c>
      <c r="H381" t="s">
        <v>73</v>
      </c>
      <c r="I381" t="s">
        <v>74</v>
      </c>
      <c r="J381" t="s">
        <v>39</v>
      </c>
      <c r="K381" t="s">
        <v>55</v>
      </c>
      <c r="L381" t="s">
        <v>84</v>
      </c>
      <c r="M381" t="s">
        <v>35</v>
      </c>
      <c r="N381" t="s">
        <v>861</v>
      </c>
      <c r="O381" s="4">
        <v>837.39</v>
      </c>
      <c r="P381" s="7" t="str">
        <f t="shared" si="38"/>
        <v>High</v>
      </c>
      <c r="Q381" s="4">
        <v>1905.42</v>
      </c>
      <c r="R381" s="4">
        <v>3.2000000000000001E-2</v>
      </c>
      <c r="S381" s="4">
        <v>18</v>
      </c>
      <c r="T381" s="4">
        <f t="shared" si="35"/>
        <v>35734.358879999992</v>
      </c>
      <c r="U381">
        <f t="shared" si="36"/>
        <v>15073.02</v>
      </c>
      <c r="V381" s="4">
        <f t="shared" si="39"/>
        <v>20661.338879999992</v>
      </c>
      <c r="W381" s="4">
        <f t="shared" si="40"/>
        <v>0.57819251632254265</v>
      </c>
    </row>
    <row r="382" spans="1:23" x14ac:dyDescent="0.3">
      <c r="A382" t="s">
        <v>862</v>
      </c>
      <c r="B382" s="6">
        <v>45688</v>
      </c>
      <c r="C382" s="2">
        <v>45705</v>
      </c>
      <c r="D382" s="4">
        <f t="shared" si="41"/>
        <v>17</v>
      </c>
      <c r="E382" s="4" t="str">
        <f>TEXT(Data!B382,"MMM-YYYY")</f>
        <v>Aug-2025</v>
      </c>
      <c r="F382" s="4" t="str">
        <f t="shared" si="37"/>
        <v>Q1-2025</v>
      </c>
      <c r="G382" t="s">
        <v>78</v>
      </c>
      <c r="H382" t="s">
        <v>108</v>
      </c>
      <c r="I382" t="s">
        <v>152</v>
      </c>
      <c r="J382" t="s">
        <v>105</v>
      </c>
      <c r="K382" t="s">
        <v>20</v>
      </c>
      <c r="L382" t="s">
        <v>92</v>
      </c>
      <c r="M382" t="s">
        <v>22</v>
      </c>
      <c r="N382" t="s">
        <v>254</v>
      </c>
      <c r="O382" s="4">
        <v>378.26</v>
      </c>
      <c r="P382" s="7" t="str">
        <f t="shared" si="38"/>
        <v>High</v>
      </c>
      <c r="Q382" s="4">
        <v>541.55999999999995</v>
      </c>
      <c r="R382" s="4">
        <v>0.16300000000000001</v>
      </c>
      <c r="S382" s="4">
        <v>25</v>
      </c>
      <c r="T382" s="4">
        <f t="shared" si="35"/>
        <v>36365.557499999995</v>
      </c>
      <c r="U382">
        <f t="shared" si="36"/>
        <v>9456.5</v>
      </c>
      <c r="V382" s="4">
        <f t="shared" si="39"/>
        <v>26909.057499999995</v>
      </c>
      <c r="W382" s="4">
        <f t="shared" si="40"/>
        <v>0.73995998823887132</v>
      </c>
    </row>
    <row r="383" spans="1:23" x14ac:dyDescent="0.3">
      <c r="A383" t="s">
        <v>863</v>
      </c>
      <c r="B383" s="6">
        <v>45876</v>
      </c>
      <c r="C383" s="2">
        <v>45906</v>
      </c>
      <c r="D383" s="4">
        <f t="shared" si="41"/>
        <v>30</v>
      </c>
      <c r="E383" s="4" t="str">
        <f>TEXT(Data!B383,"MMM-YYYY")</f>
        <v>Jul-2025</v>
      </c>
      <c r="F383" s="4" t="str">
        <f t="shared" si="37"/>
        <v>Q3-2025</v>
      </c>
      <c r="G383" t="s">
        <v>52</v>
      </c>
      <c r="H383" t="s">
        <v>53</v>
      </c>
      <c r="I383" t="s">
        <v>144</v>
      </c>
      <c r="J383" t="s">
        <v>27</v>
      </c>
      <c r="K383" t="s">
        <v>98</v>
      </c>
      <c r="L383" t="s">
        <v>110</v>
      </c>
      <c r="M383" t="s">
        <v>35</v>
      </c>
      <c r="N383" t="s">
        <v>864</v>
      </c>
      <c r="O383" s="4">
        <v>833.73</v>
      </c>
      <c r="P383" s="7" t="str">
        <f t="shared" si="38"/>
        <v>High</v>
      </c>
      <c r="Q383" s="4">
        <v>1116.5999999999999</v>
      </c>
      <c r="R383" s="4">
        <v>0.17599999999999999</v>
      </c>
      <c r="S383" s="4">
        <v>14</v>
      </c>
      <c r="T383" s="4">
        <f t="shared" si="35"/>
        <v>16015.544160000001</v>
      </c>
      <c r="U383">
        <f t="shared" si="36"/>
        <v>11672.220000000001</v>
      </c>
      <c r="V383" s="4">
        <f t="shared" si="39"/>
        <v>4343.3241600000001</v>
      </c>
      <c r="W383" s="4">
        <f t="shared" si="40"/>
        <v>0.27119429203334666</v>
      </c>
    </row>
    <row r="384" spans="1:23" x14ac:dyDescent="0.3">
      <c r="A384" t="s">
        <v>865</v>
      </c>
      <c r="B384" s="6">
        <v>45861</v>
      </c>
      <c r="C384" s="2">
        <v>45886</v>
      </c>
      <c r="D384" s="4">
        <f t="shared" si="41"/>
        <v>25</v>
      </c>
      <c r="E384" s="4" t="str">
        <f>TEXT(Data!B384,"MMM-YYYY")</f>
        <v>Jun-2023</v>
      </c>
      <c r="F384" s="4" t="str">
        <f t="shared" si="37"/>
        <v>Q3-2025</v>
      </c>
      <c r="G384" t="s">
        <v>78</v>
      </c>
      <c r="H384" t="s">
        <v>108</v>
      </c>
      <c r="I384" t="s">
        <v>109</v>
      </c>
      <c r="J384" t="s">
        <v>27</v>
      </c>
      <c r="K384" t="s">
        <v>28</v>
      </c>
      <c r="L384" t="s">
        <v>34</v>
      </c>
      <c r="M384" t="s">
        <v>30</v>
      </c>
      <c r="N384" t="s">
        <v>866</v>
      </c>
      <c r="O384" s="4">
        <v>1142.06</v>
      </c>
      <c r="P384" s="7" t="str">
        <f t="shared" si="38"/>
        <v>High</v>
      </c>
      <c r="Q384" s="4">
        <v>1455</v>
      </c>
      <c r="R384" s="4">
        <v>7.8E-2</v>
      </c>
      <c r="S384" s="4">
        <v>28</v>
      </c>
      <c r="T384" s="4">
        <f t="shared" si="35"/>
        <v>13660.278240000001</v>
      </c>
      <c r="U384">
        <f t="shared" si="36"/>
        <v>31977.68</v>
      </c>
      <c r="V384" s="4">
        <f t="shared" si="39"/>
        <v>-18317.401760000001</v>
      </c>
      <c r="W384" s="4">
        <f t="shared" si="40"/>
        <v>-1.3409244993533893</v>
      </c>
    </row>
    <row r="385" spans="1:23" x14ac:dyDescent="0.3">
      <c r="A385" t="s">
        <v>867</v>
      </c>
      <c r="B385" s="6">
        <v>45097</v>
      </c>
      <c r="C385" s="2">
        <v>45115</v>
      </c>
      <c r="D385" s="4">
        <f t="shared" si="41"/>
        <v>18</v>
      </c>
      <c r="E385" s="4" t="str">
        <f>TEXT(Data!B385,"MMM-YYYY")</f>
        <v>Jul-2024</v>
      </c>
      <c r="F385" s="4" t="str">
        <f t="shared" si="37"/>
        <v>Q2-2023</v>
      </c>
      <c r="G385" t="s">
        <v>52</v>
      </c>
      <c r="H385" t="s">
        <v>122</v>
      </c>
      <c r="I385" t="s">
        <v>387</v>
      </c>
      <c r="J385" t="s">
        <v>48</v>
      </c>
      <c r="K385" t="s">
        <v>40</v>
      </c>
      <c r="L385" t="s">
        <v>68</v>
      </c>
      <c r="M385" t="s">
        <v>35</v>
      </c>
      <c r="N385" t="s">
        <v>868</v>
      </c>
      <c r="O385" s="4">
        <v>1145.53</v>
      </c>
      <c r="P385" s="7" t="str">
        <f t="shared" si="38"/>
        <v>High</v>
      </c>
      <c r="Q385" s="4">
        <v>1278.3</v>
      </c>
      <c r="R385" s="4">
        <v>0.09</v>
      </c>
      <c r="S385" s="4">
        <v>41</v>
      </c>
      <c r="T385" s="4">
        <f t="shared" si="35"/>
        <v>73589.497799999997</v>
      </c>
      <c r="U385">
        <f t="shared" si="36"/>
        <v>46966.729999999996</v>
      </c>
      <c r="V385" s="4">
        <f t="shared" si="39"/>
        <v>26622.767800000001</v>
      </c>
      <c r="W385" s="4">
        <f t="shared" si="40"/>
        <v>0.36177401118234026</v>
      </c>
    </row>
    <row r="386" spans="1:23" x14ac:dyDescent="0.3">
      <c r="A386" t="s">
        <v>869</v>
      </c>
      <c r="B386" s="6">
        <v>45491</v>
      </c>
      <c r="C386" s="2">
        <v>45511</v>
      </c>
      <c r="D386" s="4">
        <f t="shared" si="41"/>
        <v>20</v>
      </c>
      <c r="E386" s="4" t="str">
        <f>TEXT(Data!B386,"MMM-YYYY")</f>
        <v>May-2023</v>
      </c>
      <c r="F386" s="4" t="str">
        <f t="shared" si="37"/>
        <v>Q3-2024</v>
      </c>
      <c r="G386" t="s">
        <v>78</v>
      </c>
      <c r="H386" t="s">
        <v>90</v>
      </c>
      <c r="I386" t="s">
        <v>91</v>
      </c>
      <c r="J386" t="s">
        <v>19</v>
      </c>
      <c r="K386" t="s">
        <v>20</v>
      </c>
      <c r="L386" t="s">
        <v>84</v>
      </c>
      <c r="M386" t="s">
        <v>64</v>
      </c>
      <c r="N386" t="s">
        <v>870</v>
      </c>
      <c r="O386" s="4">
        <v>941.35</v>
      </c>
      <c r="P386" s="7" t="str">
        <f t="shared" si="38"/>
        <v>High</v>
      </c>
      <c r="Q386" s="4">
        <v>899.83</v>
      </c>
      <c r="R386" s="4">
        <v>5.8000000000000003E-2</v>
      </c>
      <c r="S386" s="4">
        <v>18</v>
      </c>
      <c r="T386" s="4">
        <f t="shared" ref="T386:T449" si="42">(Q412*S386)*(1-R386)</f>
        <v>14867.190359999997</v>
      </c>
      <c r="U386">
        <f t="shared" ref="U386:U449" si="43">(O386*S386)</f>
        <v>16944.3</v>
      </c>
      <c r="V386" s="4">
        <f t="shared" si="39"/>
        <v>-2077.1096400000024</v>
      </c>
      <c r="W386" s="4">
        <f t="shared" si="40"/>
        <v>-0.13971097360725546</v>
      </c>
    </row>
    <row r="387" spans="1:23" x14ac:dyDescent="0.3">
      <c r="A387" t="s">
        <v>871</v>
      </c>
      <c r="B387" s="6">
        <v>45066</v>
      </c>
      <c r="C387" s="2">
        <v>45096</v>
      </c>
      <c r="D387" s="4">
        <f t="shared" si="41"/>
        <v>30</v>
      </c>
      <c r="E387" s="4" t="str">
        <f>TEXT(Data!B387,"MMM-YYYY")</f>
        <v>May-2025</v>
      </c>
      <c r="F387" s="4" t="str">
        <f t="shared" ref="F387:F450" si="44">"Q"&amp;ROUNDUP(MONTH(B387)/3,0)&amp;"-"&amp;YEAR(B387)</f>
        <v>Q2-2023</v>
      </c>
      <c r="G387" t="s">
        <v>45</v>
      </c>
      <c r="H387" t="s">
        <v>60</v>
      </c>
      <c r="I387" t="s">
        <v>141</v>
      </c>
      <c r="J387" t="s">
        <v>39</v>
      </c>
      <c r="K387" t="s">
        <v>40</v>
      </c>
      <c r="L387" t="s">
        <v>92</v>
      </c>
      <c r="M387" t="s">
        <v>57</v>
      </c>
      <c r="N387" t="s">
        <v>872</v>
      </c>
      <c r="O387" s="4">
        <v>1161.2</v>
      </c>
      <c r="P387" s="7" t="str">
        <f t="shared" ref="P387:P450" si="45">IF(Q387&lt;50, "Low", IF(Q387&lt;200, "Medium", "High"))</f>
        <v>High</v>
      </c>
      <c r="Q387" s="4">
        <v>878.73</v>
      </c>
      <c r="R387" s="4">
        <v>0.19</v>
      </c>
      <c r="S387" s="4">
        <v>31</v>
      </c>
      <c r="T387" s="4">
        <f t="shared" si="42"/>
        <v>20697.168600000001</v>
      </c>
      <c r="U387">
        <f t="shared" si="43"/>
        <v>35997.200000000004</v>
      </c>
      <c r="V387" s="4">
        <f t="shared" ref="V387:V450" si="46">(T387-U387)</f>
        <v>-15300.031400000003</v>
      </c>
      <c r="W387" s="4">
        <f t="shared" ref="W387:W450" si="47">IF(T387=0, 0, V387/T387)</f>
        <v>-0.73923306591801174</v>
      </c>
    </row>
    <row r="388" spans="1:23" x14ac:dyDescent="0.3">
      <c r="A388" t="s">
        <v>873</v>
      </c>
      <c r="B388" s="6">
        <v>45789</v>
      </c>
      <c r="C388" s="2">
        <v>45803</v>
      </c>
      <c r="D388" s="4">
        <f t="shared" si="41"/>
        <v>14</v>
      </c>
      <c r="E388" s="4" t="str">
        <f>TEXT(Data!B388,"MMM-YYYY")</f>
        <v>May-2024</v>
      </c>
      <c r="F388" s="4" t="str">
        <f t="shared" si="44"/>
        <v>Q2-2025</v>
      </c>
      <c r="G388" t="s">
        <v>45</v>
      </c>
      <c r="H388" t="s">
        <v>60</v>
      </c>
      <c r="I388" t="s">
        <v>281</v>
      </c>
      <c r="J388" t="s">
        <v>19</v>
      </c>
      <c r="K388" t="s">
        <v>40</v>
      </c>
      <c r="L388" t="s">
        <v>41</v>
      </c>
      <c r="M388" t="s">
        <v>30</v>
      </c>
      <c r="N388" t="s">
        <v>874</v>
      </c>
      <c r="O388" s="4">
        <v>320.12</v>
      </c>
      <c r="P388" s="7" t="str">
        <f t="shared" si="45"/>
        <v>High</v>
      </c>
      <c r="Q388" s="4">
        <v>594.41999999999996</v>
      </c>
      <c r="R388" s="4">
        <v>0.104</v>
      </c>
      <c r="S388" s="4">
        <v>18</v>
      </c>
      <c r="T388" s="4">
        <f t="shared" si="42"/>
        <v>18697.996800000001</v>
      </c>
      <c r="U388">
        <f t="shared" si="43"/>
        <v>5762.16</v>
      </c>
      <c r="V388" s="4">
        <f t="shared" si="46"/>
        <v>12935.836800000001</v>
      </c>
      <c r="W388" s="4">
        <f t="shared" si="47"/>
        <v>0.69183008952060576</v>
      </c>
    </row>
    <row r="389" spans="1:23" x14ac:dyDescent="0.3">
      <c r="A389" t="s">
        <v>875</v>
      </c>
      <c r="B389" s="6">
        <v>45419</v>
      </c>
      <c r="C389" s="2">
        <v>45424</v>
      </c>
      <c r="D389" s="4">
        <f t="shared" ref="D389:D451" si="48">DATEDIF(B389,C389, "MD")</f>
        <v>5</v>
      </c>
      <c r="E389" s="4" t="str">
        <f>TEXT(Data!B389,"MMM-YYYY")</f>
        <v>Sep-2023</v>
      </c>
      <c r="F389" s="4" t="str">
        <f t="shared" si="44"/>
        <v>Q2-2024</v>
      </c>
      <c r="G389" t="s">
        <v>16</v>
      </c>
      <c r="H389" t="s">
        <v>25</v>
      </c>
      <c r="I389" t="s">
        <v>67</v>
      </c>
      <c r="J389" t="s">
        <v>39</v>
      </c>
      <c r="K389" t="s">
        <v>55</v>
      </c>
      <c r="L389" t="s">
        <v>49</v>
      </c>
      <c r="M389" t="s">
        <v>57</v>
      </c>
      <c r="N389" t="s">
        <v>876</v>
      </c>
      <c r="O389" s="4">
        <v>1163.99</v>
      </c>
      <c r="P389" s="7" t="str">
        <f t="shared" si="45"/>
        <v>High</v>
      </c>
      <c r="Q389" s="4">
        <v>1617.85</v>
      </c>
      <c r="R389" s="4">
        <v>0.127</v>
      </c>
      <c r="S389" s="4">
        <v>14</v>
      </c>
      <c r="T389" s="4">
        <f t="shared" si="42"/>
        <v>30720.11922</v>
      </c>
      <c r="U389">
        <f t="shared" si="43"/>
        <v>16295.86</v>
      </c>
      <c r="V389" s="4">
        <f t="shared" si="46"/>
        <v>14424.25922</v>
      </c>
      <c r="W389" s="4">
        <f t="shared" si="47"/>
        <v>0.4695378659406127</v>
      </c>
    </row>
    <row r="390" spans="1:23" x14ac:dyDescent="0.3">
      <c r="A390" t="s">
        <v>877</v>
      </c>
      <c r="B390" s="6">
        <v>45199</v>
      </c>
      <c r="C390" s="2">
        <v>45202</v>
      </c>
      <c r="D390" s="4">
        <f t="shared" si="48"/>
        <v>3</v>
      </c>
      <c r="E390" s="4" t="str">
        <f>TEXT(Data!B390,"MMM-YYYY")</f>
        <v>Oct-2023</v>
      </c>
      <c r="F390" s="4" t="str">
        <f t="shared" si="44"/>
        <v>Q3-2023</v>
      </c>
      <c r="G390" t="s">
        <v>45</v>
      </c>
      <c r="H390" t="s">
        <v>116</v>
      </c>
      <c r="I390" t="s">
        <v>338</v>
      </c>
      <c r="J390" t="s">
        <v>39</v>
      </c>
      <c r="K390" t="s">
        <v>20</v>
      </c>
      <c r="L390" t="s">
        <v>29</v>
      </c>
      <c r="M390" t="s">
        <v>57</v>
      </c>
      <c r="N390" t="s">
        <v>878</v>
      </c>
      <c r="O390" s="4">
        <v>1019.36</v>
      </c>
      <c r="P390" s="7" t="str">
        <f t="shared" si="45"/>
        <v>High</v>
      </c>
      <c r="Q390" s="4">
        <v>972.91</v>
      </c>
      <c r="R390" s="4">
        <v>0.14699999999999999</v>
      </c>
      <c r="S390" s="4">
        <v>17</v>
      </c>
      <c r="T390" s="4">
        <f t="shared" si="42"/>
        <v>44766.472129999995</v>
      </c>
      <c r="U390">
        <f t="shared" si="43"/>
        <v>17329.12</v>
      </c>
      <c r="V390" s="4">
        <f t="shared" si="46"/>
        <v>27437.352129999996</v>
      </c>
      <c r="W390" s="4">
        <f t="shared" si="47"/>
        <v>0.61289958365097552</v>
      </c>
    </row>
    <row r="391" spans="1:23" x14ac:dyDescent="0.3">
      <c r="A391" t="s">
        <v>879</v>
      </c>
      <c r="B391" s="6">
        <v>45225</v>
      </c>
      <c r="C391" s="2">
        <v>45235</v>
      </c>
      <c r="D391" s="4">
        <f t="shared" si="48"/>
        <v>10</v>
      </c>
      <c r="E391" s="4" t="str">
        <f>TEXT(Data!B391,"MMM-YYYY")</f>
        <v>Jun-2025</v>
      </c>
      <c r="F391" s="4" t="str">
        <f t="shared" si="44"/>
        <v>Q4-2023</v>
      </c>
      <c r="G391" t="s">
        <v>16</v>
      </c>
      <c r="H391" t="s">
        <v>148</v>
      </c>
      <c r="I391" t="s">
        <v>258</v>
      </c>
      <c r="J391" t="s">
        <v>39</v>
      </c>
      <c r="K391" t="s">
        <v>28</v>
      </c>
      <c r="L391" t="s">
        <v>34</v>
      </c>
      <c r="M391" t="s">
        <v>57</v>
      </c>
      <c r="N391" t="s">
        <v>880</v>
      </c>
      <c r="O391" s="4">
        <v>20.38</v>
      </c>
      <c r="P391" s="7" t="str">
        <f t="shared" si="45"/>
        <v>Low</v>
      </c>
      <c r="Q391" s="4">
        <v>42.56</v>
      </c>
      <c r="R391" s="4">
        <v>7.1999999999999995E-2</v>
      </c>
      <c r="S391" s="4">
        <v>11</v>
      </c>
      <c r="T391" s="4">
        <f t="shared" si="42"/>
        <v>27736.667200000004</v>
      </c>
      <c r="U391">
        <f t="shared" si="43"/>
        <v>224.17999999999998</v>
      </c>
      <c r="V391" s="4">
        <f t="shared" si="46"/>
        <v>27512.487200000003</v>
      </c>
      <c r="W391" s="4">
        <f t="shared" si="47"/>
        <v>0.99191755814123195</v>
      </c>
    </row>
    <row r="392" spans="1:23" x14ac:dyDescent="0.3">
      <c r="A392" t="s">
        <v>881</v>
      </c>
      <c r="B392" s="6">
        <v>45823</v>
      </c>
      <c r="C392" s="2">
        <v>45838</v>
      </c>
      <c r="D392" s="4">
        <f t="shared" si="48"/>
        <v>15</v>
      </c>
      <c r="E392" s="4" t="str">
        <f>TEXT(Data!B392,"MMM-YYYY")</f>
        <v>Aug-2024</v>
      </c>
      <c r="F392" s="4" t="str">
        <f t="shared" si="44"/>
        <v>Q2-2025</v>
      </c>
      <c r="G392" t="s">
        <v>16</v>
      </c>
      <c r="H392" t="s">
        <v>148</v>
      </c>
      <c r="I392" t="s">
        <v>149</v>
      </c>
      <c r="J392" t="s">
        <v>62</v>
      </c>
      <c r="K392" t="s">
        <v>98</v>
      </c>
      <c r="L392" t="s">
        <v>21</v>
      </c>
      <c r="M392" t="s">
        <v>64</v>
      </c>
      <c r="N392" t="s">
        <v>882</v>
      </c>
      <c r="O392" s="4">
        <v>1487.59</v>
      </c>
      <c r="P392" s="7" t="str">
        <f t="shared" si="45"/>
        <v>High</v>
      </c>
      <c r="Q392" s="4">
        <v>1480.83</v>
      </c>
      <c r="R392" s="4">
        <v>8.9999999999999993E-3</v>
      </c>
      <c r="S392" s="4">
        <v>11</v>
      </c>
      <c r="T392" s="4">
        <f t="shared" si="42"/>
        <v>9830.4127899999985</v>
      </c>
      <c r="U392">
        <f t="shared" si="43"/>
        <v>16363.49</v>
      </c>
      <c r="V392" s="4">
        <f t="shared" si="46"/>
        <v>-6533.0772100000013</v>
      </c>
      <c r="W392" s="4">
        <f t="shared" si="47"/>
        <v>-0.66457811584939586</v>
      </c>
    </row>
    <row r="393" spans="1:23" x14ac:dyDescent="0.3">
      <c r="A393" t="s">
        <v>883</v>
      </c>
      <c r="B393" s="6">
        <v>45514</v>
      </c>
      <c r="C393" s="2">
        <v>45542</v>
      </c>
      <c r="D393" s="4">
        <f t="shared" si="48"/>
        <v>28</v>
      </c>
      <c r="E393" s="4" t="str">
        <f>TEXT(Data!B393,"MMM-YYYY")</f>
        <v>Oct-2023</v>
      </c>
      <c r="F393" s="4" t="str">
        <f t="shared" si="44"/>
        <v>Q3-2024</v>
      </c>
      <c r="G393" t="s">
        <v>78</v>
      </c>
      <c r="H393" t="s">
        <v>90</v>
      </c>
      <c r="I393" t="s">
        <v>91</v>
      </c>
      <c r="J393" t="s">
        <v>39</v>
      </c>
      <c r="K393" t="s">
        <v>98</v>
      </c>
      <c r="L393" t="s">
        <v>84</v>
      </c>
      <c r="M393" t="s">
        <v>30</v>
      </c>
      <c r="N393" t="s">
        <v>884</v>
      </c>
      <c r="O393" s="4">
        <v>229.96</v>
      </c>
      <c r="P393" s="7" t="str">
        <f t="shared" si="45"/>
        <v>High</v>
      </c>
      <c r="Q393" s="4">
        <v>564.26</v>
      </c>
      <c r="R393" s="4">
        <v>0.105</v>
      </c>
      <c r="S393" s="4">
        <v>5</v>
      </c>
      <c r="T393" s="4">
        <f t="shared" si="42"/>
        <v>3562.7712500000002</v>
      </c>
      <c r="U393">
        <f t="shared" si="43"/>
        <v>1149.8</v>
      </c>
      <c r="V393" s="4">
        <f t="shared" si="46"/>
        <v>2412.9712500000005</v>
      </c>
      <c r="W393" s="4">
        <f t="shared" si="47"/>
        <v>0.67727369530109471</v>
      </c>
    </row>
    <row r="394" spans="1:23" x14ac:dyDescent="0.3">
      <c r="A394" t="s">
        <v>885</v>
      </c>
      <c r="B394" s="6">
        <v>45208</v>
      </c>
      <c r="C394" s="2">
        <v>45225</v>
      </c>
      <c r="D394" s="4">
        <f t="shared" si="48"/>
        <v>17</v>
      </c>
      <c r="E394" s="4" t="str">
        <f>TEXT(Data!B394,"MMM-YYYY")</f>
        <v>Mar-2024</v>
      </c>
      <c r="F394" s="4" t="str">
        <f t="shared" si="44"/>
        <v>Q4-2023</v>
      </c>
      <c r="G394" t="s">
        <v>45</v>
      </c>
      <c r="H394" t="s">
        <v>116</v>
      </c>
      <c r="I394" t="s">
        <v>162</v>
      </c>
      <c r="J394" t="s">
        <v>48</v>
      </c>
      <c r="K394" t="s">
        <v>40</v>
      </c>
      <c r="L394" t="s">
        <v>21</v>
      </c>
      <c r="M394" t="s">
        <v>22</v>
      </c>
      <c r="N394" t="s">
        <v>886</v>
      </c>
      <c r="O394" s="4">
        <v>1132.03</v>
      </c>
      <c r="P394" s="7" t="str">
        <f t="shared" si="45"/>
        <v>High</v>
      </c>
      <c r="Q394" s="4">
        <v>2137.21</v>
      </c>
      <c r="R394" s="4">
        <v>0.35699999999999998</v>
      </c>
      <c r="S394" s="4">
        <v>35</v>
      </c>
      <c r="T394" s="4">
        <f t="shared" si="42"/>
        <v>3551.7390999999998</v>
      </c>
      <c r="U394">
        <f t="shared" si="43"/>
        <v>39621.049999999996</v>
      </c>
      <c r="V394" s="4">
        <f t="shared" si="46"/>
        <v>-36069.310899999997</v>
      </c>
      <c r="W394" s="4">
        <f t="shared" si="47"/>
        <v>-10.155394268683755</v>
      </c>
    </row>
    <row r="395" spans="1:23" x14ac:dyDescent="0.3">
      <c r="A395" t="s">
        <v>887</v>
      </c>
      <c r="B395" s="6">
        <v>45360</v>
      </c>
      <c r="C395" s="2">
        <v>45377</v>
      </c>
      <c r="D395" s="4">
        <f t="shared" si="48"/>
        <v>17</v>
      </c>
      <c r="E395" s="4" t="str">
        <f>TEXT(Data!B395,"MMM-YYYY")</f>
        <v>May-2023</v>
      </c>
      <c r="F395" s="4" t="str">
        <f t="shared" si="44"/>
        <v>Q1-2024</v>
      </c>
      <c r="G395" t="s">
        <v>52</v>
      </c>
      <c r="H395" t="s">
        <v>122</v>
      </c>
      <c r="I395" t="s">
        <v>167</v>
      </c>
      <c r="J395" t="s">
        <v>27</v>
      </c>
      <c r="K395" t="s">
        <v>98</v>
      </c>
      <c r="L395" t="s">
        <v>34</v>
      </c>
      <c r="M395" t="s">
        <v>42</v>
      </c>
      <c r="N395" t="s">
        <v>888</v>
      </c>
      <c r="O395" s="4">
        <v>1137.4100000000001</v>
      </c>
      <c r="P395" s="7" t="str">
        <f t="shared" si="45"/>
        <v>High</v>
      </c>
      <c r="Q395" s="4">
        <v>1680.93</v>
      </c>
      <c r="R395" s="4">
        <v>0.254</v>
      </c>
      <c r="S395" s="4">
        <v>9</v>
      </c>
      <c r="T395" s="4">
        <f t="shared" si="42"/>
        <v>5499.1688399999994</v>
      </c>
      <c r="U395">
        <f t="shared" si="43"/>
        <v>10236.69</v>
      </c>
      <c r="V395" s="4">
        <f t="shared" si="46"/>
        <v>-4737.5211600000011</v>
      </c>
      <c r="W395" s="4">
        <f t="shared" si="47"/>
        <v>-0.86149767316473258</v>
      </c>
    </row>
    <row r="396" spans="1:23" x14ac:dyDescent="0.3">
      <c r="A396" t="s">
        <v>889</v>
      </c>
      <c r="B396" s="6">
        <v>45075</v>
      </c>
      <c r="C396" s="2">
        <v>45097</v>
      </c>
      <c r="D396" s="4">
        <f t="shared" si="48"/>
        <v>22</v>
      </c>
      <c r="E396" s="4" t="str">
        <f>TEXT(Data!B396,"MMM-YYYY")</f>
        <v>May-2025</v>
      </c>
      <c r="F396" s="4" t="str">
        <f t="shared" si="44"/>
        <v>Q2-2023</v>
      </c>
      <c r="G396" t="s">
        <v>78</v>
      </c>
      <c r="H396" t="s">
        <v>108</v>
      </c>
      <c r="I396" t="s">
        <v>152</v>
      </c>
      <c r="J396" t="s">
        <v>62</v>
      </c>
      <c r="K396" t="s">
        <v>98</v>
      </c>
      <c r="L396" t="s">
        <v>95</v>
      </c>
      <c r="M396" t="s">
        <v>22</v>
      </c>
      <c r="N396" t="s">
        <v>890</v>
      </c>
      <c r="O396" s="4">
        <v>1295.3900000000001</v>
      </c>
      <c r="P396" s="7" t="str">
        <f t="shared" si="45"/>
        <v>High</v>
      </c>
      <c r="Q396" s="4">
        <v>2905.06</v>
      </c>
      <c r="R396" s="4">
        <v>0.14799999999999999</v>
      </c>
      <c r="S396" s="4">
        <v>8</v>
      </c>
      <c r="T396" s="4">
        <f t="shared" si="42"/>
        <v>11663.26656</v>
      </c>
      <c r="U396">
        <f t="shared" si="43"/>
        <v>10363.120000000001</v>
      </c>
      <c r="V396" s="4">
        <f t="shared" si="46"/>
        <v>1300.1465599999992</v>
      </c>
      <c r="W396" s="4">
        <f t="shared" si="47"/>
        <v>0.11147362133168971</v>
      </c>
    </row>
    <row r="397" spans="1:23" x14ac:dyDescent="0.3">
      <c r="A397" t="s">
        <v>891</v>
      </c>
      <c r="B397" s="6">
        <v>45804</v>
      </c>
      <c r="C397" s="2">
        <v>45816</v>
      </c>
      <c r="D397" s="4">
        <f t="shared" si="48"/>
        <v>12</v>
      </c>
      <c r="E397" s="4" t="str">
        <f>TEXT(Data!B397,"MMM-YYYY")</f>
        <v>Aug-2025</v>
      </c>
      <c r="F397" s="4" t="str">
        <f t="shared" si="44"/>
        <v>Q2-2025</v>
      </c>
      <c r="G397" t="s">
        <v>45</v>
      </c>
      <c r="H397" t="s">
        <v>46</v>
      </c>
      <c r="I397" t="s">
        <v>47</v>
      </c>
      <c r="J397" t="s">
        <v>19</v>
      </c>
      <c r="K397" t="s">
        <v>20</v>
      </c>
      <c r="L397" t="s">
        <v>92</v>
      </c>
      <c r="M397" t="s">
        <v>81</v>
      </c>
      <c r="N397" t="s">
        <v>892</v>
      </c>
      <c r="O397" s="4">
        <v>653.6</v>
      </c>
      <c r="P397" s="7" t="str">
        <f t="shared" si="45"/>
        <v>High</v>
      </c>
      <c r="Q397" s="4">
        <v>842.09</v>
      </c>
      <c r="R397" s="4">
        <v>9.8000000000000004E-2</v>
      </c>
      <c r="S397" s="4">
        <v>19</v>
      </c>
      <c r="T397" s="4">
        <f t="shared" si="42"/>
        <v>29072.046299999998</v>
      </c>
      <c r="U397">
        <f t="shared" si="43"/>
        <v>12418.4</v>
      </c>
      <c r="V397" s="4">
        <f t="shared" si="46"/>
        <v>16653.6463</v>
      </c>
      <c r="W397" s="4">
        <f t="shared" si="47"/>
        <v>0.5728405261930255</v>
      </c>
    </row>
    <row r="398" spans="1:23" x14ac:dyDescent="0.3">
      <c r="A398" t="s">
        <v>893</v>
      </c>
      <c r="B398" s="6">
        <v>45890</v>
      </c>
      <c r="C398" s="2">
        <v>45914</v>
      </c>
      <c r="D398" s="4">
        <f t="shared" si="48"/>
        <v>24</v>
      </c>
      <c r="E398" s="4" t="str">
        <f>TEXT(Data!B398,"MMM-YYYY")</f>
        <v>Dec-2024</v>
      </c>
      <c r="F398" s="4" t="str">
        <f t="shared" si="44"/>
        <v>Q3-2025</v>
      </c>
      <c r="G398" t="s">
        <v>78</v>
      </c>
      <c r="H398" t="s">
        <v>79</v>
      </c>
      <c r="I398" t="s">
        <v>80</v>
      </c>
      <c r="J398" t="s">
        <v>39</v>
      </c>
      <c r="K398" t="s">
        <v>28</v>
      </c>
      <c r="L398" t="s">
        <v>75</v>
      </c>
      <c r="M398" t="s">
        <v>64</v>
      </c>
      <c r="N398" t="s">
        <v>894</v>
      </c>
      <c r="O398" s="4">
        <v>1397.67</v>
      </c>
      <c r="P398" s="7" t="str">
        <f t="shared" si="45"/>
        <v>High</v>
      </c>
      <c r="Q398" s="4">
        <v>3131.37</v>
      </c>
      <c r="R398" s="4">
        <v>0.10299999999999999</v>
      </c>
      <c r="S398" s="4">
        <v>20</v>
      </c>
      <c r="T398" s="4">
        <f t="shared" si="42"/>
        <v>51745.059600000001</v>
      </c>
      <c r="U398">
        <f t="shared" si="43"/>
        <v>27953.4</v>
      </c>
      <c r="V398" s="4">
        <f t="shared" si="46"/>
        <v>23791.659599999999</v>
      </c>
      <c r="W398" s="4">
        <f t="shared" si="47"/>
        <v>0.45978610873993464</v>
      </c>
    </row>
    <row r="399" spans="1:23" x14ac:dyDescent="0.3">
      <c r="A399" t="s">
        <v>895</v>
      </c>
      <c r="B399" s="6">
        <v>45638</v>
      </c>
      <c r="C399" s="2">
        <v>45646</v>
      </c>
      <c r="D399" s="4">
        <f t="shared" si="48"/>
        <v>8</v>
      </c>
      <c r="E399" s="4" t="str">
        <f>TEXT(Data!B399,"MMM-YYYY")</f>
        <v>Sep-2025</v>
      </c>
      <c r="F399" s="4" t="str">
        <f t="shared" si="44"/>
        <v>Q4-2024</v>
      </c>
      <c r="G399" t="s">
        <v>45</v>
      </c>
      <c r="H399" t="s">
        <v>46</v>
      </c>
      <c r="I399" t="s">
        <v>214</v>
      </c>
      <c r="J399" t="s">
        <v>19</v>
      </c>
      <c r="K399" t="s">
        <v>20</v>
      </c>
      <c r="L399" t="s">
        <v>56</v>
      </c>
      <c r="M399" t="s">
        <v>57</v>
      </c>
      <c r="N399" t="s">
        <v>896</v>
      </c>
      <c r="O399" s="4">
        <v>1202.47</v>
      </c>
      <c r="P399" s="7" t="str">
        <f t="shared" si="45"/>
        <v>High</v>
      </c>
      <c r="Q399" s="4">
        <v>1444.72</v>
      </c>
      <c r="R399" s="4">
        <v>0.24099999999999999</v>
      </c>
      <c r="S399" s="4">
        <v>17</v>
      </c>
      <c r="T399" s="4">
        <f t="shared" si="42"/>
        <v>19144.697220000002</v>
      </c>
      <c r="U399">
        <f t="shared" si="43"/>
        <v>20441.990000000002</v>
      </c>
      <c r="V399" s="4">
        <f t="shared" si="46"/>
        <v>-1297.2927799999998</v>
      </c>
      <c r="W399" s="4">
        <f t="shared" si="47"/>
        <v>-6.7762512255599913E-2</v>
      </c>
    </row>
    <row r="400" spans="1:23" x14ac:dyDescent="0.3">
      <c r="A400" t="s">
        <v>897</v>
      </c>
      <c r="B400" s="6">
        <v>45914</v>
      </c>
      <c r="C400" s="2">
        <v>45923</v>
      </c>
      <c r="D400" s="4">
        <f t="shared" si="48"/>
        <v>9</v>
      </c>
      <c r="E400" s="4" t="str">
        <f>TEXT(Data!B400,"MMM-YYYY")</f>
        <v>Sep-2024</v>
      </c>
      <c r="F400" s="4" t="str">
        <f t="shared" si="44"/>
        <v>Q3-2025</v>
      </c>
      <c r="G400" t="s">
        <v>16</v>
      </c>
      <c r="H400" t="s">
        <v>148</v>
      </c>
      <c r="I400" t="s">
        <v>172</v>
      </c>
      <c r="J400" t="s">
        <v>39</v>
      </c>
      <c r="K400" t="s">
        <v>28</v>
      </c>
      <c r="L400" t="s">
        <v>145</v>
      </c>
      <c r="M400" t="s">
        <v>22</v>
      </c>
      <c r="N400" t="s">
        <v>898</v>
      </c>
      <c r="O400" s="4">
        <v>1310.3</v>
      </c>
      <c r="P400" s="7" t="str">
        <f t="shared" si="45"/>
        <v>High</v>
      </c>
      <c r="Q400" s="4">
        <v>2875.8</v>
      </c>
      <c r="R400" s="4">
        <v>8.3000000000000004E-2</v>
      </c>
      <c r="S400" s="4">
        <v>5</v>
      </c>
      <c r="T400" s="4">
        <f t="shared" si="42"/>
        <v>14660.399949999999</v>
      </c>
      <c r="U400">
        <f t="shared" si="43"/>
        <v>6551.5</v>
      </c>
      <c r="V400" s="4">
        <f t="shared" si="46"/>
        <v>8108.8999499999991</v>
      </c>
      <c r="W400" s="4">
        <f t="shared" si="47"/>
        <v>0.55311587525959682</v>
      </c>
    </row>
    <row r="401" spans="1:23" x14ac:dyDescent="0.3">
      <c r="A401" t="s">
        <v>899</v>
      </c>
      <c r="B401" s="6">
        <v>45541</v>
      </c>
      <c r="C401" s="2">
        <v>45569</v>
      </c>
      <c r="D401" s="4">
        <f t="shared" si="48"/>
        <v>28</v>
      </c>
      <c r="E401" s="4" t="str">
        <f>TEXT(Data!B401,"MMM-YYYY")</f>
        <v>Apr-2025</v>
      </c>
      <c r="F401" s="4" t="str">
        <f t="shared" si="44"/>
        <v>Q3-2024</v>
      </c>
      <c r="G401" t="s">
        <v>16</v>
      </c>
      <c r="H401" t="s">
        <v>148</v>
      </c>
      <c r="I401" t="s">
        <v>258</v>
      </c>
      <c r="J401" t="s">
        <v>19</v>
      </c>
      <c r="K401" t="s">
        <v>40</v>
      </c>
      <c r="L401" t="s">
        <v>145</v>
      </c>
      <c r="M401" t="s">
        <v>64</v>
      </c>
      <c r="N401" t="s">
        <v>900</v>
      </c>
      <c r="O401" s="4">
        <v>1174.17</v>
      </c>
      <c r="P401" s="7" t="str">
        <f t="shared" si="45"/>
        <v>High</v>
      </c>
      <c r="Q401" s="4">
        <v>1641.61</v>
      </c>
      <c r="R401" s="4">
        <v>0.122</v>
      </c>
      <c r="S401" s="4">
        <v>9</v>
      </c>
      <c r="T401" s="4">
        <f t="shared" si="42"/>
        <v>18353.975399999999</v>
      </c>
      <c r="U401">
        <f t="shared" si="43"/>
        <v>10567.53</v>
      </c>
      <c r="V401" s="4">
        <f t="shared" si="46"/>
        <v>7786.4453999999987</v>
      </c>
      <c r="W401" s="4">
        <f t="shared" si="47"/>
        <v>0.42423754147561943</v>
      </c>
    </row>
    <row r="402" spans="1:23" x14ac:dyDescent="0.3">
      <c r="A402" t="s">
        <v>901</v>
      </c>
      <c r="B402" s="6">
        <v>45759</v>
      </c>
      <c r="C402" s="2">
        <v>45777</v>
      </c>
      <c r="D402" s="4">
        <f t="shared" si="48"/>
        <v>18</v>
      </c>
      <c r="E402" s="4" t="str">
        <f>TEXT(Data!B402,"MMM-YYYY")</f>
        <v>Aug-2024</v>
      </c>
      <c r="F402" s="4" t="str">
        <f t="shared" si="44"/>
        <v>Q2-2025</v>
      </c>
      <c r="G402" t="s">
        <v>16</v>
      </c>
      <c r="H402" t="s">
        <v>17</v>
      </c>
      <c r="I402" t="s">
        <v>18</v>
      </c>
      <c r="J402" t="s">
        <v>19</v>
      </c>
      <c r="K402" t="s">
        <v>40</v>
      </c>
      <c r="L402" t="s">
        <v>84</v>
      </c>
      <c r="M402" t="s">
        <v>35</v>
      </c>
      <c r="N402" t="s">
        <v>902</v>
      </c>
      <c r="O402" s="4">
        <v>1119.04</v>
      </c>
      <c r="P402" s="7" t="str">
        <f t="shared" si="45"/>
        <v>High</v>
      </c>
      <c r="Q402" s="4">
        <v>1299.02</v>
      </c>
      <c r="R402" s="4">
        <v>2.5000000000000001E-2</v>
      </c>
      <c r="S402" s="4">
        <v>14</v>
      </c>
      <c r="T402" s="4">
        <f t="shared" si="42"/>
        <v>26377.532999999999</v>
      </c>
      <c r="U402">
        <f t="shared" si="43"/>
        <v>15666.56</v>
      </c>
      <c r="V402" s="4">
        <f t="shared" si="46"/>
        <v>10710.973</v>
      </c>
      <c r="W402" s="4">
        <f t="shared" si="47"/>
        <v>0.40606424414292269</v>
      </c>
    </row>
    <row r="403" spans="1:23" x14ac:dyDescent="0.3">
      <c r="A403" t="s">
        <v>903</v>
      </c>
      <c r="B403" s="6">
        <v>45516</v>
      </c>
      <c r="C403" s="2">
        <v>45519</v>
      </c>
      <c r="D403" s="4">
        <f t="shared" si="48"/>
        <v>3</v>
      </c>
      <c r="E403" s="4" t="str">
        <f>TEXT(Data!B403,"MMM-YYYY")</f>
        <v>Nov-2024</v>
      </c>
      <c r="F403" s="4" t="str">
        <f t="shared" si="44"/>
        <v>Q3-2024</v>
      </c>
      <c r="G403" t="s">
        <v>52</v>
      </c>
      <c r="H403" t="s">
        <v>122</v>
      </c>
      <c r="I403" t="s">
        <v>123</v>
      </c>
      <c r="J403" t="s">
        <v>19</v>
      </c>
      <c r="K403" t="s">
        <v>40</v>
      </c>
      <c r="L403" t="s">
        <v>145</v>
      </c>
      <c r="M403" t="s">
        <v>30</v>
      </c>
      <c r="N403" t="s">
        <v>904</v>
      </c>
      <c r="O403" s="4">
        <v>850.7</v>
      </c>
      <c r="P403" s="7" t="str">
        <f t="shared" si="45"/>
        <v>High</v>
      </c>
      <c r="Q403" s="4">
        <v>1118.56</v>
      </c>
      <c r="R403" s="4">
        <v>0.18</v>
      </c>
      <c r="S403" s="4">
        <v>19</v>
      </c>
      <c r="T403" s="4">
        <f t="shared" si="42"/>
        <v>24777.808799999999</v>
      </c>
      <c r="U403">
        <f t="shared" si="43"/>
        <v>16163.300000000001</v>
      </c>
      <c r="V403" s="4">
        <f t="shared" si="46"/>
        <v>8614.5087999999978</v>
      </c>
      <c r="W403" s="4">
        <f t="shared" si="47"/>
        <v>0.34767032345491333</v>
      </c>
    </row>
    <row r="404" spans="1:23" x14ac:dyDescent="0.3">
      <c r="A404" t="s">
        <v>905</v>
      </c>
      <c r="B404" s="6">
        <v>45601</v>
      </c>
      <c r="C404" s="2">
        <v>45604</v>
      </c>
      <c r="D404" s="4">
        <f t="shared" si="48"/>
        <v>3</v>
      </c>
      <c r="E404" s="4" t="str">
        <f>TEXT(Data!B404,"MMM-YYYY")</f>
        <v>Jul-2024</v>
      </c>
      <c r="F404" s="4" t="str">
        <f t="shared" si="44"/>
        <v>Q4-2024</v>
      </c>
      <c r="G404" t="s">
        <v>52</v>
      </c>
      <c r="H404" t="s">
        <v>53</v>
      </c>
      <c r="I404" t="s">
        <v>54</v>
      </c>
      <c r="J404" t="s">
        <v>27</v>
      </c>
      <c r="K404" t="s">
        <v>40</v>
      </c>
      <c r="L404" t="s">
        <v>68</v>
      </c>
      <c r="M404" t="s">
        <v>22</v>
      </c>
      <c r="N404" t="s">
        <v>906</v>
      </c>
      <c r="O404" s="4">
        <v>1020.4</v>
      </c>
      <c r="P404" s="7" t="str">
        <f t="shared" si="45"/>
        <v>High</v>
      </c>
      <c r="Q404" s="4">
        <v>1184.71</v>
      </c>
      <c r="R404" s="4">
        <v>0.106</v>
      </c>
      <c r="S404" s="4">
        <v>16</v>
      </c>
      <c r="T404" s="4">
        <f t="shared" si="42"/>
        <v>5658.8054400000001</v>
      </c>
      <c r="U404">
        <f t="shared" si="43"/>
        <v>16326.4</v>
      </c>
      <c r="V404" s="4">
        <f t="shared" si="46"/>
        <v>-10667.59456</v>
      </c>
      <c r="W404" s="4">
        <f t="shared" si="47"/>
        <v>-1.8851318839475772</v>
      </c>
    </row>
    <row r="405" spans="1:23" x14ac:dyDescent="0.3">
      <c r="A405" t="s">
        <v>907</v>
      </c>
      <c r="B405" s="6">
        <v>45497</v>
      </c>
      <c r="C405" s="2">
        <v>45512</v>
      </c>
      <c r="D405" s="4">
        <f t="shared" si="48"/>
        <v>15</v>
      </c>
      <c r="E405" s="4" t="str">
        <f>TEXT(Data!B405,"MMM-YYYY")</f>
        <v>Jan-2025</v>
      </c>
      <c r="F405" s="4" t="str">
        <f t="shared" si="44"/>
        <v>Q3-2024</v>
      </c>
      <c r="G405" t="s">
        <v>78</v>
      </c>
      <c r="H405" t="s">
        <v>90</v>
      </c>
      <c r="I405" t="s">
        <v>91</v>
      </c>
      <c r="J405" t="s">
        <v>105</v>
      </c>
      <c r="K405" t="s">
        <v>40</v>
      </c>
      <c r="L405" t="s">
        <v>92</v>
      </c>
      <c r="M405" t="s">
        <v>57</v>
      </c>
      <c r="N405" t="s">
        <v>908</v>
      </c>
      <c r="O405" s="4">
        <v>501.5</v>
      </c>
      <c r="P405" s="7" t="str">
        <f t="shared" si="45"/>
        <v>High</v>
      </c>
      <c r="Q405" s="4">
        <v>1201.47</v>
      </c>
      <c r="R405" s="4">
        <v>0.126</v>
      </c>
      <c r="S405" s="4">
        <v>5</v>
      </c>
      <c r="T405" s="4">
        <f t="shared" si="42"/>
        <v>9079.5053000000007</v>
      </c>
      <c r="U405">
        <f t="shared" si="43"/>
        <v>2507.5</v>
      </c>
      <c r="V405" s="4">
        <f t="shared" si="46"/>
        <v>6572.0053000000007</v>
      </c>
      <c r="W405" s="4">
        <f t="shared" si="47"/>
        <v>0.72382856585809807</v>
      </c>
    </row>
    <row r="406" spans="1:23" x14ac:dyDescent="0.3">
      <c r="A406" t="s">
        <v>909</v>
      </c>
      <c r="B406" s="6">
        <v>45677</v>
      </c>
      <c r="C406" s="2">
        <v>45691</v>
      </c>
      <c r="D406" s="4">
        <f t="shared" si="48"/>
        <v>14</v>
      </c>
      <c r="E406" s="4" t="str">
        <f>TEXT(Data!B406,"MMM-YYYY")</f>
        <v>Mar-2023</v>
      </c>
      <c r="F406" s="4" t="str">
        <f t="shared" si="44"/>
        <v>Q1-2025</v>
      </c>
      <c r="G406" t="s">
        <v>52</v>
      </c>
      <c r="H406" t="s">
        <v>73</v>
      </c>
      <c r="I406" t="s">
        <v>87</v>
      </c>
      <c r="J406" t="s">
        <v>105</v>
      </c>
      <c r="K406" t="s">
        <v>40</v>
      </c>
      <c r="L406" t="s">
        <v>84</v>
      </c>
      <c r="M406" t="s">
        <v>22</v>
      </c>
      <c r="N406" t="s">
        <v>910</v>
      </c>
      <c r="O406" s="4">
        <v>974.11</v>
      </c>
      <c r="P406" s="7" t="str">
        <f t="shared" si="45"/>
        <v>High</v>
      </c>
      <c r="Q406" s="4">
        <v>880.99</v>
      </c>
      <c r="R406" s="4">
        <v>0.111</v>
      </c>
      <c r="S406" s="4">
        <v>10</v>
      </c>
      <c r="T406" s="4">
        <f t="shared" si="42"/>
        <v>11831.2565</v>
      </c>
      <c r="U406">
        <f t="shared" si="43"/>
        <v>9741.1</v>
      </c>
      <c r="V406" s="4">
        <f t="shared" si="46"/>
        <v>2090.1564999999991</v>
      </c>
      <c r="W406" s="4">
        <f t="shared" si="47"/>
        <v>0.17666394942920891</v>
      </c>
    </row>
    <row r="407" spans="1:23" x14ac:dyDescent="0.3">
      <c r="A407" t="s">
        <v>911</v>
      </c>
      <c r="B407" s="6">
        <v>44991</v>
      </c>
      <c r="C407" s="2">
        <v>45020</v>
      </c>
      <c r="D407" s="4">
        <f t="shared" si="48"/>
        <v>29</v>
      </c>
      <c r="E407" s="4" t="str">
        <f>TEXT(Data!B407,"MMM-YYYY")</f>
        <v>Dec-2024</v>
      </c>
      <c r="F407" s="4" t="str">
        <f t="shared" si="44"/>
        <v>Q1-2023</v>
      </c>
      <c r="G407" t="s">
        <v>45</v>
      </c>
      <c r="H407" t="s">
        <v>116</v>
      </c>
      <c r="I407" t="s">
        <v>338</v>
      </c>
      <c r="J407" t="s">
        <v>62</v>
      </c>
      <c r="K407" t="s">
        <v>98</v>
      </c>
      <c r="L407" t="s">
        <v>21</v>
      </c>
      <c r="M407" t="s">
        <v>64</v>
      </c>
      <c r="N407" t="s">
        <v>912</v>
      </c>
      <c r="O407" s="4">
        <v>1126.29</v>
      </c>
      <c r="P407" s="7" t="str">
        <f t="shared" si="45"/>
        <v>High</v>
      </c>
      <c r="Q407" s="4">
        <v>2050.87</v>
      </c>
      <c r="R407" s="4">
        <v>6.4000000000000001E-2</v>
      </c>
      <c r="S407" s="4">
        <v>7</v>
      </c>
      <c r="T407" s="4">
        <f t="shared" si="42"/>
        <v>18113.986799999999</v>
      </c>
      <c r="U407">
        <f t="shared" si="43"/>
        <v>7884.03</v>
      </c>
      <c r="V407" s="4">
        <f t="shared" si="46"/>
        <v>10229.9568</v>
      </c>
      <c r="W407" s="4">
        <f t="shared" si="47"/>
        <v>0.56475456855251771</v>
      </c>
    </row>
    <row r="408" spans="1:23" x14ac:dyDescent="0.3">
      <c r="A408" t="s">
        <v>913</v>
      </c>
      <c r="B408" s="6">
        <v>45646</v>
      </c>
      <c r="C408" s="2">
        <v>45671</v>
      </c>
      <c r="D408" s="4">
        <f t="shared" si="48"/>
        <v>25</v>
      </c>
      <c r="E408" s="4" t="str">
        <f>TEXT(Data!B408,"MMM-YYYY")</f>
        <v>Feb-2025</v>
      </c>
      <c r="F408" s="4" t="str">
        <f t="shared" si="44"/>
        <v>Q4-2024</v>
      </c>
      <c r="G408" t="s">
        <v>45</v>
      </c>
      <c r="H408" t="s">
        <v>60</v>
      </c>
      <c r="I408" t="s">
        <v>141</v>
      </c>
      <c r="J408" t="s">
        <v>62</v>
      </c>
      <c r="K408" t="s">
        <v>20</v>
      </c>
      <c r="L408" t="s">
        <v>110</v>
      </c>
      <c r="M408" t="s">
        <v>30</v>
      </c>
      <c r="N408" t="s">
        <v>914</v>
      </c>
      <c r="O408" s="4">
        <v>1361.34</v>
      </c>
      <c r="P408" s="7" t="str">
        <f t="shared" si="45"/>
        <v>High</v>
      </c>
      <c r="Q408" s="4">
        <v>1737.9</v>
      </c>
      <c r="R408" s="4">
        <v>7.6999999999999999E-2</v>
      </c>
      <c r="S408" s="4">
        <v>14</v>
      </c>
      <c r="T408" s="4">
        <f t="shared" si="42"/>
        <v>3596.8387000000007</v>
      </c>
      <c r="U408">
        <f t="shared" si="43"/>
        <v>19058.759999999998</v>
      </c>
      <c r="V408" s="4">
        <f t="shared" si="46"/>
        <v>-15461.921299999998</v>
      </c>
      <c r="W408" s="4">
        <f t="shared" si="47"/>
        <v>-4.2987530411080135</v>
      </c>
    </row>
    <row r="409" spans="1:23" x14ac:dyDescent="0.3">
      <c r="A409" t="s">
        <v>915</v>
      </c>
      <c r="B409" s="6">
        <v>45709</v>
      </c>
      <c r="C409" s="2">
        <v>45737</v>
      </c>
      <c r="D409" s="4">
        <f t="shared" si="48"/>
        <v>0</v>
      </c>
      <c r="E409" s="4" t="str">
        <f>TEXT(Data!B409,"MMM-YYYY")</f>
        <v>Mar-2025</v>
      </c>
      <c r="F409" s="4" t="str">
        <f t="shared" si="44"/>
        <v>Q1-2025</v>
      </c>
      <c r="G409" t="s">
        <v>16</v>
      </c>
      <c r="H409" t="s">
        <v>25</v>
      </c>
      <c r="I409" t="s">
        <v>67</v>
      </c>
      <c r="J409" t="s">
        <v>105</v>
      </c>
      <c r="K409" t="s">
        <v>40</v>
      </c>
      <c r="L409" t="s">
        <v>34</v>
      </c>
      <c r="M409" t="s">
        <v>42</v>
      </c>
      <c r="N409" t="s">
        <v>916</v>
      </c>
      <c r="O409" s="4">
        <v>1437.39</v>
      </c>
      <c r="P409" s="7" t="str">
        <f t="shared" si="45"/>
        <v>High</v>
      </c>
      <c r="Q409" s="4">
        <v>1388.31</v>
      </c>
      <c r="R409" s="4">
        <v>0.13800000000000001</v>
      </c>
      <c r="S409" s="4">
        <v>18</v>
      </c>
      <c r="T409" s="4">
        <f t="shared" si="42"/>
        <v>15273.329759999999</v>
      </c>
      <c r="U409">
        <f t="shared" si="43"/>
        <v>25873.02</v>
      </c>
      <c r="V409" s="4">
        <f t="shared" si="46"/>
        <v>-10599.690240000002</v>
      </c>
      <c r="W409" s="4">
        <f t="shared" si="47"/>
        <v>-0.69399995983587026</v>
      </c>
    </row>
    <row r="410" spans="1:23" x14ac:dyDescent="0.3">
      <c r="A410" t="s">
        <v>917</v>
      </c>
      <c r="B410" s="6">
        <v>45724</v>
      </c>
      <c r="C410" s="2">
        <v>45731</v>
      </c>
      <c r="D410" s="4">
        <f t="shared" si="48"/>
        <v>7</v>
      </c>
      <c r="E410" s="4" t="str">
        <f>TEXT(Data!B410,"MMM-YYYY")</f>
        <v>Dec-2023</v>
      </c>
      <c r="F410" s="4" t="str">
        <f t="shared" si="44"/>
        <v>Q1-2025</v>
      </c>
      <c r="G410" t="s">
        <v>45</v>
      </c>
      <c r="H410" t="s">
        <v>60</v>
      </c>
      <c r="I410" t="s">
        <v>61</v>
      </c>
      <c r="J410" t="s">
        <v>19</v>
      </c>
      <c r="K410" t="s">
        <v>55</v>
      </c>
      <c r="L410" t="s">
        <v>95</v>
      </c>
      <c r="M410" t="s">
        <v>57</v>
      </c>
      <c r="N410" t="s">
        <v>918</v>
      </c>
      <c r="O410" s="4">
        <v>475.66</v>
      </c>
      <c r="P410" s="7" t="str">
        <f t="shared" si="45"/>
        <v>High</v>
      </c>
      <c r="Q410" s="4">
        <v>529.14</v>
      </c>
      <c r="R410" s="4">
        <v>0.19600000000000001</v>
      </c>
      <c r="S410" s="4">
        <v>11</v>
      </c>
      <c r="T410" s="4">
        <f t="shared" si="42"/>
        <v>1687.7889600000003</v>
      </c>
      <c r="U410">
        <f t="shared" si="43"/>
        <v>5232.26</v>
      </c>
      <c r="V410" s="4">
        <f t="shared" si="46"/>
        <v>-3544.4710399999999</v>
      </c>
      <c r="W410" s="4">
        <f t="shared" si="47"/>
        <v>-2.1000676767076372</v>
      </c>
    </row>
    <row r="411" spans="1:23" x14ac:dyDescent="0.3">
      <c r="A411" t="s">
        <v>919</v>
      </c>
      <c r="B411" s="6">
        <v>45276</v>
      </c>
      <c r="C411" s="2">
        <v>45279</v>
      </c>
      <c r="D411" s="4">
        <f t="shared" si="48"/>
        <v>3</v>
      </c>
      <c r="E411" s="4" t="str">
        <f>TEXT(Data!B411,"MMM-YYYY")</f>
        <v>Aug-2024</v>
      </c>
      <c r="F411" s="4" t="str">
        <f t="shared" si="44"/>
        <v>Q4-2023</v>
      </c>
      <c r="G411" t="s">
        <v>45</v>
      </c>
      <c r="H411" t="s">
        <v>116</v>
      </c>
      <c r="I411" t="s">
        <v>338</v>
      </c>
      <c r="J411" t="s">
        <v>27</v>
      </c>
      <c r="K411" t="s">
        <v>20</v>
      </c>
      <c r="L411" t="s">
        <v>75</v>
      </c>
      <c r="M411" t="s">
        <v>81</v>
      </c>
      <c r="N411" t="s">
        <v>920</v>
      </c>
      <c r="O411" s="4">
        <v>1415.05</v>
      </c>
      <c r="P411" s="7" t="str">
        <f t="shared" si="45"/>
        <v>High</v>
      </c>
      <c r="Q411" s="4">
        <v>1972.38</v>
      </c>
      <c r="R411" s="4">
        <v>0</v>
      </c>
      <c r="S411" s="4">
        <v>12</v>
      </c>
      <c r="T411" s="4">
        <f t="shared" si="42"/>
        <v>10899.599999999999</v>
      </c>
      <c r="U411">
        <f t="shared" si="43"/>
        <v>16980.599999999999</v>
      </c>
      <c r="V411" s="4">
        <f t="shared" si="46"/>
        <v>-6081</v>
      </c>
      <c r="W411" s="4">
        <f t="shared" si="47"/>
        <v>-0.5579103820323682</v>
      </c>
    </row>
    <row r="412" spans="1:23" x14ac:dyDescent="0.3">
      <c r="A412" t="s">
        <v>921</v>
      </c>
      <c r="B412" s="6">
        <v>45534</v>
      </c>
      <c r="C412" s="2">
        <v>45540</v>
      </c>
      <c r="D412" s="4">
        <f t="shared" si="48"/>
        <v>6</v>
      </c>
      <c r="E412" s="4" t="str">
        <f>TEXT(Data!B412,"MMM-YYYY")</f>
        <v>May-2024</v>
      </c>
      <c r="F412" s="4" t="str">
        <f t="shared" si="44"/>
        <v>Q3-2024</v>
      </c>
      <c r="G412" t="s">
        <v>45</v>
      </c>
      <c r="H412" t="s">
        <v>46</v>
      </c>
      <c r="I412" t="s">
        <v>231</v>
      </c>
      <c r="J412" t="s">
        <v>27</v>
      </c>
      <c r="K412" t="s">
        <v>28</v>
      </c>
      <c r="L412" t="s">
        <v>126</v>
      </c>
      <c r="M412" t="s">
        <v>57</v>
      </c>
      <c r="N412" t="s">
        <v>922</v>
      </c>
      <c r="O412" s="4">
        <v>466.16</v>
      </c>
      <c r="P412" s="7" t="str">
        <f t="shared" si="45"/>
        <v>High</v>
      </c>
      <c r="Q412" s="4">
        <v>876.81</v>
      </c>
      <c r="R412" s="4">
        <v>0.24099999999999999</v>
      </c>
      <c r="S412" s="4">
        <v>8</v>
      </c>
      <c r="T412" s="4">
        <f t="shared" si="42"/>
        <v>1725.8445600000002</v>
      </c>
      <c r="U412">
        <f t="shared" si="43"/>
        <v>3729.28</v>
      </c>
      <c r="V412" s="4">
        <f t="shared" si="46"/>
        <v>-2003.43544</v>
      </c>
      <c r="W412" s="4">
        <f t="shared" si="47"/>
        <v>-1.1608435002976165</v>
      </c>
    </row>
    <row r="413" spans="1:23" x14ac:dyDescent="0.3">
      <c r="A413" t="s">
        <v>923</v>
      </c>
      <c r="B413" s="6">
        <v>45430</v>
      </c>
      <c r="C413" s="2">
        <v>45433</v>
      </c>
      <c r="D413" s="4">
        <f t="shared" si="48"/>
        <v>3</v>
      </c>
      <c r="E413" s="4" t="str">
        <f>TEXT(Data!B413,"MMM-YYYY")</f>
        <v>Mar-2023</v>
      </c>
      <c r="F413" s="4" t="str">
        <f t="shared" si="44"/>
        <v>Q2-2024</v>
      </c>
      <c r="G413" t="s">
        <v>78</v>
      </c>
      <c r="H413" t="s">
        <v>90</v>
      </c>
      <c r="I413" t="s">
        <v>91</v>
      </c>
      <c r="J413" t="s">
        <v>39</v>
      </c>
      <c r="K413" t="s">
        <v>40</v>
      </c>
      <c r="L413" t="s">
        <v>145</v>
      </c>
      <c r="M413" t="s">
        <v>30</v>
      </c>
      <c r="N413" t="s">
        <v>924</v>
      </c>
      <c r="O413" s="4">
        <v>663.66</v>
      </c>
      <c r="P413" s="7" t="str">
        <f t="shared" si="45"/>
        <v>High</v>
      </c>
      <c r="Q413" s="4">
        <v>824.26</v>
      </c>
      <c r="R413" s="4">
        <v>0.23899999999999999</v>
      </c>
      <c r="S413" s="4">
        <v>11</v>
      </c>
      <c r="T413" s="4">
        <f t="shared" si="42"/>
        <v>10290.80514</v>
      </c>
      <c r="U413">
        <f t="shared" si="43"/>
        <v>7300.2599999999993</v>
      </c>
      <c r="V413" s="4">
        <f t="shared" si="46"/>
        <v>2990.5451400000011</v>
      </c>
      <c r="W413" s="4">
        <f t="shared" si="47"/>
        <v>0.29060361160429093</v>
      </c>
    </row>
    <row r="414" spans="1:23" x14ac:dyDescent="0.3">
      <c r="A414" t="s">
        <v>925</v>
      </c>
      <c r="B414" s="6">
        <v>45002</v>
      </c>
      <c r="C414" s="2">
        <v>45022</v>
      </c>
      <c r="D414" s="4">
        <f t="shared" si="48"/>
        <v>20</v>
      </c>
      <c r="E414" s="4" t="str">
        <f>TEXT(Data!B414,"MMM-YYYY")</f>
        <v>Aug-2023</v>
      </c>
      <c r="F414" s="4" t="str">
        <f t="shared" si="44"/>
        <v>Q1-2023</v>
      </c>
      <c r="G414" t="s">
        <v>78</v>
      </c>
      <c r="H414" t="s">
        <v>79</v>
      </c>
      <c r="I414" t="s">
        <v>159</v>
      </c>
      <c r="J414" t="s">
        <v>48</v>
      </c>
      <c r="K414" t="s">
        <v>20</v>
      </c>
      <c r="L414" t="s">
        <v>68</v>
      </c>
      <c r="M414" t="s">
        <v>42</v>
      </c>
      <c r="N414" t="s">
        <v>926</v>
      </c>
      <c r="O414" s="4">
        <v>692.18</v>
      </c>
      <c r="P414" s="7" t="str">
        <f t="shared" si="45"/>
        <v>High</v>
      </c>
      <c r="Q414" s="4">
        <v>1159.3499999999999</v>
      </c>
      <c r="R414" s="4">
        <v>0.112</v>
      </c>
      <c r="S414" s="4">
        <v>2</v>
      </c>
      <c r="T414" s="4">
        <f t="shared" si="42"/>
        <v>2175.1027199999999</v>
      </c>
      <c r="U414">
        <f t="shared" si="43"/>
        <v>1384.36</v>
      </c>
      <c r="V414" s="4">
        <f t="shared" si="46"/>
        <v>790.74271999999996</v>
      </c>
      <c r="W414" s="4">
        <f t="shared" si="47"/>
        <v>0.36354270202006828</v>
      </c>
    </row>
    <row r="415" spans="1:23" x14ac:dyDescent="0.3">
      <c r="A415" t="s">
        <v>927</v>
      </c>
      <c r="B415" s="6">
        <v>45163</v>
      </c>
      <c r="C415" s="2">
        <v>45185</v>
      </c>
      <c r="D415" s="4">
        <f t="shared" si="48"/>
        <v>22</v>
      </c>
      <c r="E415" s="4" t="str">
        <f>TEXT(Data!B415,"MMM-YYYY")</f>
        <v>Jun-2024</v>
      </c>
      <c r="F415" s="4" t="str">
        <f t="shared" si="44"/>
        <v>Q3-2023</v>
      </c>
      <c r="G415" t="s">
        <v>16</v>
      </c>
      <c r="H415" t="s">
        <v>25</v>
      </c>
      <c r="I415" t="s">
        <v>67</v>
      </c>
      <c r="J415" t="s">
        <v>19</v>
      </c>
      <c r="K415" t="s">
        <v>40</v>
      </c>
      <c r="L415" t="s">
        <v>49</v>
      </c>
      <c r="M415" t="s">
        <v>42</v>
      </c>
      <c r="N415" t="s">
        <v>928</v>
      </c>
      <c r="O415" s="4">
        <v>1196.83</v>
      </c>
      <c r="P415" s="7" t="str">
        <f t="shared" si="45"/>
        <v>High</v>
      </c>
      <c r="Q415" s="4">
        <v>2513.5100000000002</v>
      </c>
      <c r="R415" s="4">
        <v>8.3000000000000004E-2</v>
      </c>
      <c r="S415" s="4">
        <v>7</v>
      </c>
      <c r="T415" s="4">
        <f t="shared" si="42"/>
        <v>3118.7353400000002</v>
      </c>
      <c r="U415">
        <f t="shared" si="43"/>
        <v>8377.81</v>
      </c>
      <c r="V415" s="4">
        <f t="shared" si="46"/>
        <v>-5259.0746599999993</v>
      </c>
      <c r="W415" s="4">
        <f t="shared" si="47"/>
        <v>-1.6862843706385162</v>
      </c>
    </row>
    <row r="416" spans="1:23" x14ac:dyDescent="0.3">
      <c r="A416" t="s">
        <v>929</v>
      </c>
      <c r="B416" s="6">
        <v>45449</v>
      </c>
      <c r="C416" s="2">
        <v>45467</v>
      </c>
      <c r="D416" s="4">
        <f t="shared" si="48"/>
        <v>18</v>
      </c>
      <c r="E416" s="4" t="str">
        <f>TEXT(Data!B416,"MMM-YYYY")</f>
        <v>Aug-2023</v>
      </c>
      <c r="F416" s="4" t="str">
        <f t="shared" si="44"/>
        <v>Q2-2024</v>
      </c>
      <c r="G416" t="s">
        <v>45</v>
      </c>
      <c r="H416" t="s">
        <v>60</v>
      </c>
      <c r="I416" t="s">
        <v>61</v>
      </c>
      <c r="J416" t="s">
        <v>62</v>
      </c>
      <c r="K416" t="s">
        <v>98</v>
      </c>
      <c r="L416" t="s">
        <v>92</v>
      </c>
      <c r="M416" t="s">
        <v>35</v>
      </c>
      <c r="N416" t="s">
        <v>930</v>
      </c>
      <c r="O416" s="4">
        <v>1253.25</v>
      </c>
      <c r="P416" s="7" t="str">
        <f t="shared" si="45"/>
        <v>High</v>
      </c>
      <c r="Q416" s="4">
        <v>3087.13</v>
      </c>
      <c r="R416" s="4">
        <v>7.1999999999999995E-2</v>
      </c>
      <c r="S416" s="4">
        <v>11</v>
      </c>
      <c r="T416" s="4">
        <f t="shared" si="42"/>
        <v>22569.275520000003</v>
      </c>
      <c r="U416">
        <f t="shared" si="43"/>
        <v>13785.75</v>
      </c>
      <c r="V416" s="4">
        <f t="shared" si="46"/>
        <v>8783.5255200000029</v>
      </c>
      <c r="W416" s="4">
        <f t="shared" si="47"/>
        <v>0.38918065899884063</v>
      </c>
    </row>
    <row r="417" spans="1:23" x14ac:dyDescent="0.3">
      <c r="A417" t="s">
        <v>931</v>
      </c>
      <c r="B417" s="6">
        <v>45167</v>
      </c>
      <c r="C417" s="2">
        <v>45182</v>
      </c>
      <c r="D417" s="4">
        <f t="shared" si="48"/>
        <v>15</v>
      </c>
      <c r="E417" s="4" t="str">
        <f>TEXT(Data!B417,"MMM-YYYY")</f>
        <v>Nov-2024</v>
      </c>
      <c r="F417" s="4" t="str">
        <f t="shared" si="44"/>
        <v>Q3-2023</v>
      </c>
      <c r="G417" t="s">
        <v>52</v>
      </c>
      <c r="H417" t="s">
        <v>53</v>
      </c>
      <c r="I417" t="s">
        <v>179</v>
      </c>
      <c r="J417" t="s">
        <v>62</v>
      </c>
      <c r="K417" t="s">
        <v>40</v>
      </c>
      <c r="L417" t="s">
        <v>68</v>
      </c>
      <c r="M417" t="s">
        <v>30</v>
      </c>
      <c r="N417" t="s">
        <v>932</v>
      </c>
      <c r="O417" s="4">
        <v>1287.6400000000001</v>
      </c>
      <c r="P417" s="7" t="str">
        <f t="shared" si="45"/>
        <v>High</v>
      </c>
      <c r="Q417" s="4">
        <v>2717.15</v>
      </c>
      <c r="R417" s="4">
        <v>3.2000000000000001E-2</v>
      </c>
      <c r="S417" s="4">
        <v>7</v>
      </c>
      <c r="T417" s="4">
        <f t="shared" si="42"/>
        <v>3875.12664</v>
      </c>
      <c r="U417">
        <f t="shared" si="43"/>
        <v>9013.4800000000014</v>
      </c>
      <c r="V417" s="4">
        <f t="shared" si="46"/>
        <v>-5138.353360000001</v>
      </c>
      <c r="W417" s="4">
        <f t="shared" si="47"/>
        <v>-1.3259833387019324</v>
      </c>
    </row>
    <row r="418" spans="1:23" x14ac:dyDescent="0.3">
      <c r="A418" t="s">
        <v>933</v>
      </c>
      <c r="B418" s="6">
        <v>45626</v>
      </c>
      <c r="C418" s="2">
        <v>45636</v>
      </c>
      <c r="D418" s="4">
        <f t="shared" si="48"/>
        <v>10</v>
      </c>
      <c r="E418" s="4" t="str">
        <f>TEXT(Data!B418,"MMM-YYYY")</f>
        <v>Jun-2025</v>
      </c>
      <c r="F418" s="4" t="str">
        <f t="shared" si="44"/>
        <v>Q4-2024</v>
      </c>
      <c r="G418" t="s">
        <v>45</v>
      </c>
      <c r="H418" t="s">
        <v>60</v>
      </c>
      <c r="I418" t="s">
        <v>281</v>
      </c>
      <c r="J418" t="s">
        <v>62</v>
      </c>
      <c r="K418" t="s">
        <v>20</v>
      </c>
      <c r="L418" t="s">
        <v>84</v>
      </c>
      <c r="M418" t="s">
        <v>81</v>
      </c>
      <c r="N418" t="s">
        <v>934</v>
      </c>
      <c r="O418" s="4">
        <v>851.49</v>
      </c>
      <c r="P418" s="7" t="str">
        <f t="shared" si="45"/>
        <v>High</v>
      </c>
      <c r="Q418" s="4">
        <v>901.79</v>
      </c>
      <c r="R418" s="4">
        <v>0.245</v>
      </c>
      <c r="S418" s="4">
        <v>16</v>
      </c>
      <c r="T418" s="4">
        <f t="shared" si="42"/>
        <v>41052.309600000001</v>
      </c>
      <c r="U418">
        <f t="shared" si="43"/>
        <v>13623.84</v>
      </c>
      <c r="V418" s="4">
        <f t="shared" si="46"/>
        <v>27428.4696</v>
      </c>
      <c r="W418" s="4">
        <f t="shared" si="47"/>
        <v>0.66813462792358946</v>
      </c>
    </row>
    <row r="419" spans="1:23" x14ac:dyDescent="0.3">
      <c r="A419" t="s">
        <v>935</v>
      </c>
      <c r="B419" s="6">
        <v>45813</v>
      </c>
      <c r="C419" s="2">
        <v>45822</v>
      </c>
      <c r="D419" s="4">
        <f t="shared" si="48"/>
        <v>9</v>
      </c>
      <c r="E419" s="4" t="str">
        <f>TEXT(Data!B419,"MMM-YYYY")</f>
        <v>Mar-2025</v>
      </c>
      <c r="F419" s="4" t="str">
        <f t="shared" si="44"/>
        <v>Q2-2025</v>
      </c>
      <c r="G419" t="s">
        <v>45</v>
      </c>
      <c r="H419" t="s">
        <v>60</v>
      </c>
      <c r="I419" t="s">
        <v>141</v>
      </c>
      <c r="J419" t="s">
        <v>39</v>
      </c>
      <c r="K419" t="s">
        <v>20</v>
      </c>
      <c r="L419" t="s">
        <v>75</v>
      </c>
      <c r="M419" t="s">
        <v>81</v>
      </c>
      <c r="N419" t="s">
        <v>936</v>
      </c>
      <c r="O419" s="4">
        <v>618.69000000000005</v>
      </c>
      <c r="P419" s="7" t="str">
        <f t="shared" si="45"/>
        <v>High</v>
      </c>
      <c r="Q419" s="4">
        <v>796.15</v>
      </c>
      <c r="R419" s="4">
        <v>0.09</v>
      </c>
      <c r="S419" s="4">
        <v>11</v>
      </c>
      <c r="T419" s="4">
        <f t="shared" si="42"/>
        <v>1948.1462000000001</v>
      </c>
      <c r="U419">
        <f t="shared" si="43"/>
        <v>6805.59</v>
      </c>
      <c r="V419" s="4">
        <f t="shared" si="46"/>
        <v>-4857.4438</v>
      </c>
      <c r="W419" s="4">
        <f t="shared" si="47"/>
        <v>-2.4933671815801093</v>
      </c>
    </row>
    <row r="420" spans="1:23" x14ac:dyDescent="0.3">
      <c r="A420" t="s">
        <v>937</v>
      </c>
      <c r="B420" s="6">
        <v>45730</v>
      </c>
      <c r="C420" s="2">
        <v>45755</v>
      </c>
      <c r="D420" s="4">
        <f t="shared" si="48"/>
        <v>25</v>
      </c>
      <c r="E420" s="4" t="str">
        <f>TEXT(Data!B420,"MMM-YYYY")</f>
        <v>Jan-2024</v>
      </c>
      <c r="F420" s="4" t="str">
        <f t="shared" si="44"/>
        <v>Q1-2025</v>
      </c>
      <c r="G420" t="s">
        <v>45</v>
      </c>
      <c r="H420" t="s">
        <v>116</v>
      </c>
      <c r="I420" t="s">
        <v>1364</v>
      </c>
      <c r="J420" t="s">
        <v>19</v>
      </c>
      <c r="K420" t="s">
        <v>55</v>
      </c>
      <c r="L420" t="s">
        <v>145</v>
      </c>
      <c r="M420" t="s">
        <v>30</v>
      </c>
      <c r="N420" t="s">
        <v>938</v>
      </c>
      <c r="O420" s="4">
        <v>80.59</v>
      </c>
      <c r="P420" s="7" t="str">
        <f t="shared" si="45"/>
        <v>Medium</v>
      </c>
      <c r="Q420" s="4">
        <v>157.82</v>
      </c>
      <c r="R420" s="4">
        <v>0.217</v>
      </c>
      <c r="S420" s="4">
        <v>6</v>
      </c>
      <c r="T420" s="4">
        <f t="shared" si="42"/>
        <v>4846.6447200000002</v>
      </c>
      <c r="U420">
        <f t="shared" si="43"/>
        <v>483.54</v>
      </c>
      <c r="V420" s="4">
        <f t="shared" si="46"/>
        <v>4363.1047200000003</v>
      </c>
      <c r="W420" s="4">
        <f t="shared" si="47"/>
        <v>0.90023201040409662</v>
      </c>
    </row>
    <row r="421" spans="1:23" x14ac:dyDescent="0.3">
      <c r="A421" t="s">
        <v>939</v>
      </c>
      <c r="B421" s="6">
        <v>45307</v>
      </c>
      <c r="C421" s="2">
        <v>45333</v>
      </c>
      <c r="D421" s="4">
        <f t="shared" si="48"/>
        <v>26</v>
      </c>
      <c r="E421" s="4" t="str">
        <f>TEXT(Data!B421,"MMM-YYYY")</f>
        <v>Oct-2023</v>
      </c>
      <c r="F421" s="4" t="str">
        <f t="shared" si="44"/>
        <v>Q1-2024</v>
      </c>
      <c r="G421" t="s">
        <v>78</v>
      </c>
      <c r="H421" t="s">
        <v>79</v>
      </c>
      <c r="I421" t="s">
        <v>335</v>
      </c>
      <c r="J421" t="s">
        <v>39</v>
      </c>
      <c r="K421" t="s">
        <v>55</v>
      </c>
      <c r="L421" t="s">
        <v>63</v>
      </c>
      <c r="M421" t="s">
        <v>64</v>
      </c>
      <c r="N421" t="s">
        <v>940</v>
      </c>
      <c r="O421" s="4">
        <v>504.93</v>
      </c>
      <c r="P421" s="7" t="str">
        <f t="shared" si="45"/>
        <v>High</v>
      </c>
      <c r="Q421" s="4">
        <v>819.06</v>
      </c>
      <c r="R421" s="4">
        <v>0.22600000000000001</v>
      </c>
      <c r="S421" s="4">
        <v>15</v>
      </c>
      <c r="T421" s="4">
        <f t="shared" si="42"/>
        <v>5749.1559000000007</v>
      </c>
      <c r="U421">
        <f t="shared" si="43"/>
        <v>7573.95</v>
      </c>
      <c r="V421" s="4">
        <f t="shared" si="46"/>
        <v>-1824.7940999999992</v>
      </c>
      <c r="W421" s="4">
        <f t="shared" si="47"/>
        <v>-0.31740209027902672</v>
      </c>
    </row>
    <row r="422" spans="1:23" x14ac:dyDescent="0.3">
      <c r="A422" t="s">
        <v>941</v>
      </c>
      <c r="B422" s="6">
        <v>45211</v>
      </c>
      <c r="C422" s="2">
        <v>45228</v>
      </c>
      <c r="D422" s="4">
        <f t="shared" si="48"/>
        <v>17</v>
      </c>
      <c r="E422" s="4" t="str">
        <f>TEXT(Data!B422,"MMM-YYYY")</f>
        <v>Feb-2025</v>
      </c>
      <c r="F422" s="4" t="str">
        <f t="shared" si="44"/>
        <v>Q4-2023</v>
      </c>
      <c r="G422" t="s">
        <v>45</v>
      </c>
      <c r="H422" t="s">
        <v>46</v>
      </c>
      <c r="I422" t="s">
        <v>231</v>
      </c>
      <c r="J422" t="s">
        <v>39</v>
      </c>
      <c r="K422" t="s">
        <v>98</v>
      </c>
      <c r="L422" t="s">
        <v>92</v>
      </c>
      <c r="M422" t="s">
        <v>42</v>
      </c>
      <c r="N422" t="s">
        <v>942</v>
      </c>
      <c r="O422" s="4">
        <v>1102.19</v>
      </c>
      <c r="P422" s="7" t="str">
        <f t="shared" si="45"/>
        <v>High</v>
      </c>
      <c r="Q422" s="4">
        <v>1711.16</v>
      </c>
      <c r="R422" s="4">
        <v>0.151</v>
      </c>
      <c r="S422" s="4">
        <v>10</v>
      </c>
      <c r="T422" s="4">
        <f t="shared" si="42"/>
        <v>11198.649599999999</v>
      </c>
      <c r="U422">
        <f t="shared" si="43"/>
        <v>11021.900000000001</v>
      </c>
      <c r="V422" s="4">
        <f t="shared" si="46"/>
        <v>176.74959999999737</v>
      </c>
      <c r="W422" s="4">
        <f t="shared" si="47"/>
        <v>1.5783117278711657E-2</v>
      </c>
    </row>
    <row r="423" spans="1:23" x14ac:dyDescent="0.3">
      <c r="A423" t="s">
        <v>943</v>
      </c>
      <c r="B423" s="6">
        <v>45713</v>
      </c>
      <c r="C423" s="2">
        <v>45733</v>
      </c>
      <c r="D423" s="4">
        <f t="shared" si="48"/>
        <v>20</v>
      </c>
      <c r="E423" s="4" t="str">
        <f>TEXT(Data!B423,"MMM-YYYY")</f>
        <v>Jul-2025</v>
      </c>
      <c r="F423" s="4" t="str">
        <f t="shared" si="44"/>
        <v>Q1-2025</v>
      </c>
      <c r="G423" t="s">
        <v>52</v>
      </c>
      <c r="H423" t="s">
        <v>122</v>
      </c>
      <c r="I423" t="s">
        <v>167</v>
      </c>
      <c r="J423" t="s">
        <v>39</v>
      </c>
      <c r="K423" t="s">
        <v>40</v>
      </c>
      <c r="L423" t="s">
        <v>92</v>
      </c>
      <c r="M423" t="s">
        <v>42</v>
      </c>
      <c r="N423" t="s">
        <v>944</v>
      </c>
      <c r="O423" s="4">
        <v>1205.26</v>
      </c>
      <c r="P423" s="7" t="str">
        <f t="shared" si="45"/>
        <v>High</v>
      </c>
      <c r="Q423" s="4">
        <v>1696.35</v>
      </c>
      <c r="R423" s="4">
        <v>1.9E-2</v>
      </c>
      <c r="S423" s="4">
        <v>6</v>
      </c>
      <c r="T423" s="4">
        <f t="shared" si="42"/>
        <v>1853.32482</v>
      </c>
      <c r="U423">
        <f t="shared" si="43"/>
        <v>7231.5599999999995</v>
      </c>
      <c r="V423" s="4">
        <f t="shared" si="46"/>
        <v>-5378.2351799999997</v>
      </c>
      <c r="W423" s="4">
        <f t="shared" si="47"/>
        <v>-2.9019387869634206</v>
      </c>
    </row>
    <row r="424" spans="1:23" x14ac:dyDescent="0.3">
      <c r="A424" t="s">
        <v>945</v>
      </c>
      <c r="B424" s="6">
        <v>45841</v>
      </c>
      <c r="C424" s="2">
        <v>45844</v>
      </c>
      <c r="D424" s="4">
        <f t="shared" si="48"/>
        <v>3</v>
      </c>
      <c r="E424" s="4" t="str">
        <f>TEXT(Data!B424,"MMM-YYYY")</f>
        <v>Sep-2025</v>
      </c>
      <c r="F424" s="4" t="str">
        <f t="shared" si="44"/>
        <v>Q3-2025</v>
      </c>
      <c r="G424" t="s">
        <v>16</v>
      </c>
      <c r="H424" t="s">
        <v>25</v>
      </c>
      <c r="I424" t="s">
        <v>38</v>
      </c>
      <c r="J424" t="s">
        <v>48</v>
      </c>
      <c r="K424" t="s">
        <v>28</v>
      </c>
      <c r="L424" t="s">
        <v>1364</v>
      </c>
      <c r="M424" t="s">
        <v>57</v>
      </c>
      <c r="N424" t="s">
        <v>946</v>
      </c>
      <c r="O424" s="4">
        <v>1313.3</v>
      </c>
      <c r="P424" s="7" t="str">
        <f t="shared" si="45"/>
        <v>High</v>
      </c>
      <c r="Q424" s="4">
        <v>2884.34</v>
      </c>
      <c r="R424" s="4">
        <v>0.157</v>
      </c>
      <c r="S424" s="4">
        <v>42</v>
      </c>
      <c r="T424" s="4">
        <f t="shared" si="42"/>
        <v>78253.279020000002</v>
      </c>
      <c r="U424">
        <f t="shared" si="43"/>
        <v>55158.6</v>
      </c>
      <c r="V424" s="4">
        <f t="shared" si="46"/>
        <v>23094.679020000003</v>
      </c>
      <c r="W424" s="4">
        <f t="shared" si="47"/>
        <v>0.29512730085211453</v>
      </c>
    </row>
    <row r="425" spans="1:23" x14ac:dyDescent="0.3">
      <c r="A425" t="s">
        <v>947</v>
      </c>
      <c r="B425" s="6">
        <v>45915</v>
      </c>
      <c r="C425" s="2">
        <v>45925</v>
      </c>
      <c r="D425" s="4">
        <f t="shared" si="48"/>
        <v>10</v>
      </c>
      <c r="E425" s="4" t="str">
        <f>TEXT(Data!B425,"MMM-YYYY")</f>
        <v>Feb-2024</v>
      </c>
      <c r="F425" s="4" t="str">
        <f t="shared" si="44"/>
        <v>Q3-2025</v>
      </c>
      <c r="G425" t="s">
        <v>45</v>
      </c>
      <c r="H425" t="s">
        <v>60</v>
      </c>
      <c r="I425" t="s">
        <v>141</v>
      </c>
      <c r="J425" t="s">
        <v>48</v>
      </c>
      <c r="K425" t="s">
        <v>20</v>
      </c>
      <c r="L425" t="s">
        <v>75</v>
      </c>
      <c r="M425" t="s">
        <v>42</v>
      </c>
      <c r="N425" t="s">
        <v>948</v>
      </c>
      <c r="O425" s="4">
        <v>1488.91</v>
      </c>
      <c r="P425" s="7" t="str">
        <f t="shared" si="45"/>
        <v>High</v>
      </c>
      <c r="Q425" s="4">
        <v>1483.74</v>
      </c>
      <c r="R425" s="4">
        <v>0.16800000000000001</v>
      </c>
      <c r="S425" s="4">
        <v>24</v>
      </c>
      <c r="T425" s="4">
        <f t="shared" si="42"/>
        <v>20866.559999999998</v>
      </c>
      <c r="U425">
        <f t="shared" si="43"/>
        <v>35733.840000000004</v>
      </c>
      <c r="V425" s="4">
        <f t="shared" si="46"/>
        <v>-14867.280000000006</v>
      </c>
      <c r="W425" s="4">
        <f t="shared" si="47"/>
        <v>-0.71249309900625724</v>
      </c>
    </row>
    <row r="426" spans="1:23" x14ac:dyDescent="0.3">
      <c r="A426" t="s">
        <v>949</v>
      </c>
      <c r="B426" s="6">
        <v>45341</v>
      </c>
      <c r="C426" s="2">
        <v>45357</v>
      </c>
      <c r="D426" s="4">
        <f t="shared" si="48"/>
        <v>16</v>
      </c>
      <c r="E426" s="4" t="str">
        <f>TEXT(Data!B426,"MMM-YYYY")</f>
        <v>Feb-2024</v>
      </c>
      <c r="F426" s="4" t="str">
        <f t="shared" si="44"/>
        <v>Q1-2024</v>
      </c>
      <c r="G426" t="s">
        <v>45</v>
      </c>
      <c r="H426" t="s">
        <v>116</v>
      </c>
      <c r="I426" t="s">
        <v>338</v>
      </c>
      <c r="J426" t="s">
        <v>27</v>
      </c>
      <c r="K426" t="s">
        <v>40</v>
      </c>
      <c r="L426" t="s">
        <v>68</v>
      </c>
      <c r="M426" t="s">
        <v>30</v>
      </c>
      <c r="N426" t="s">
        <v>950</v>
      </c>
      <c r="O426" s="4">
        <v>1477.84</v>
      </c>
      <c r="P426" s="7" t="str">
        <f t="shared" si="45"/>
        <v>High</v>
      </c>
      <c r="Q426" s="4">
        <v>3197.47</v>
      </c>
      <c r="R426" s="4">
        <v>0.24299999999999999</v>
      </c>
      <c r="S426" s="4">
        <v>24</v>
      </c>
      <c r="T426" s="4">
        <f t="shared" si="42"/>
        <v>38737.627919999999</v>
      </c>
      <c r="U426">
        <f t="shared" si="43"/>
        <v>35468.159999999996</v>
      </c>
      <c r="V426" s="4">
        <f t="shared" si="46"/>
        <v>3269.4679200000028</v>
      </c>
      <c r="W426" s="4">
        <f t="shared" si="47"/>
        <v>8.4400312965781696E-2</v>
      </c>
    </row>
    <row r="427" spans="1:23" x14ac:dyDescent="0.3">
      <c r="A427" t="s">
        <v>951</v>
      </c>
      <c r="B427" s="6">
        <v>45349</v>
      </c>
      <c r="C427" s="2">
        <v>45377</v>
      </c>
      <c r="D427" s="4">
        <f t="shared" si="48"/>
        <v>28</v>
      </c>
      <c r="E427" s="4" t="str">
        <f>TEXT(Data!B427,"MMM-YYYY")</f>
        <v>Aug-2025</v>
      </c>
      <c r="F427" s="4" t="str">
        <f t="shared" si="44"/>
        <v>Q1-2024</v>
      </c>
      <c r="G427" t="s">
        <v>45</v>
      </c>
      <c r="H427" t="s">
        <v>60</v>
      </c>
      <c r="I427" t="s">
        <v>220</v>
      </c>
      <c r="J427" t="s">
        <v>27</v>
      </c>
      <c r="K427" t="s">
        <v>40</v>
      </c>
      <c r="L427" t="s">
        <v>41</v>
      </c>
      <c r="M427" t="s">
        <v>57</v>
      </c>
      <c r="N427" t="s">
        <v>952</v>
      </c>
      <c r="O427" s="4">
        <v>1035.19</v>
      </c>
      <c r="P427" s="7" t="str">
        <f t="shared" si="45"/>
        <v>High</v>
      </c>
      <c r="Q427" s="4">
        <v>2322.6999999999998</v>
      </c>
      <c r="R427" s="4">
        <v>0.17299999999999999</v>
      </c>
      <c r="S427" s="4">
        <v>8</v>
      </c>
      <c r="T427" s="4">
        <f t="shared" si="42"/>
        <v>13903.854800000001</v>
      </c>
      <c r="U427">
        <f t="shared" si="43"/>
        <v>8281.52</v>
      </c>
      <c r="V427" s="4">
        <f t="shared" si="46"/>
        <v>5622.3348000000005</v>
      </c>
      <c r="W427" s="4">
        <f t="shared" si="47"/>
        <v>0.40437237592555986</v>
      </c>
    </row>
    <row r="428" spans="1:23" x14ac:dyDescent="0.3">
      <c r="A428" t="s">
        <v>953</v>
      </c>
      <c r="B428" s="6">
        <v>45897</v>
      </c>
      <c r="C428" s="2">
        <v>45905</v>
      </c>
      <c r="D428" s="4">
        <f t="shared" si="48"/>
        <v>8</v>
      </c>
      <c r="E428" s="4" t="str">
        <f>TEXT(Data!B428,"MMM-YYYY")</f>
        <v>Aug-2024</v>
      </c>
      <c r="F428" s="4" t="str">
        <f t="shared" si="44"/>
        <v>Q3-2025</v>
      </c>
      <c r="G428" t="s">
        <v>16</v>
      </c>
      <c r="H428" t="s">
        <v>25</v>
      </c>
      <c r="I428" t="s">
        <v>26</v>
      </c>
      <c r="J428" t="s">
        <v>62</v>
      </c>
      <c r="K428" t="s">
        <v>40</v>
      </c>
      <c r="L428" t="s">
        <v>63</v>
      </c>
      <c r="M428" t="s">
        <v>57</v>
      </c>
      <c r="N428" t="s">
        <v>954</v>
      </c>
      <c r="O428" s="4">
        <v>1271.0999999999999</v>
      </c>
      <c r="P428" s="7" t="str">
        <f t="shared" si="45"/>
        <v>High</v>
      </c>
      <c r="Q428" s="4">
        <v>1932.42</v>
      </c>
      <c r="R428" s="4">
        <v>0.25</v>
      </c>
      <c r="S428" s="4">
        <v>21</v>
      </c>
      <c r="T428" s="4">
        <f t="shared" si="42"/>
        <v>33475.68</v>
      </c>
      <c r="U428">
        <f t="shared" si="43"/>
        <v>26693.1</v>
      </c>
      <c r="V428" s="4">
        <f t="shared" si="46"/>
        <v>6782.5800000000017</v>
      </c>
      <c r="W428" s="4">
        <f t="shared" si="47"/>
        <v>0.20261216501053905</v>
      </c>
    </row>
    <row r="429" spans="1:23" x14ac:dyDescent="0.3">
      <c r="A429" t="s">
        <v>955</v>
      </c>
      <c r="B429" s="6">
        <v>45522</v>
      </c>
      <c r="C429" s="2">
        <v>45547</v>
      </c>
      <c r="D429" s="4">
        <f t="shared" si="48"/>
        <v>25</v>
      </c>
      <c r="E429" s="4" t="str">
        <f>TEXT(Data!B429,"MMM-YYYY")</f>
        <v>Feb-2024</v>
      </c>
      <c r="F429" s="4" t="str">
        <f t="shared" si="44"/>
        <v>Q3-2024</v>
      </c>
      <c r="G429" t="s">
        <v>45</v>
      </c>
      <c r="H429" t="s">
        <v>60</v>
      </c>
      <c r="I429" t="s">
        <v>220</v>
      </c>
      <c r="J429" t="s">
        <v>48</v>
      </c>
      <c r="K429" t="s">
        <v>40</v>
      </c>
      <c r="L429" t="s">
        <v>21</v>
      </c>
      <c r="M429" t="s">
        <v>42</v>
      </c>
      <c r="N429" t="s">
        <v>956</v>
      </c>
      <c r="O429" s="4">
        <v>1154.03</v>
      </c>
      <c r="P429" s="7" t="str">
        <f t="shared" si="45"/>
        <v>High</v>
      </c>
      <c r="Q429" s="4">
        <v>1590.36</v>
      </c>
      <c r="R429" s="4">
        <v>0.314</v>
      </c>
      <c r="S429" s="4">
        <v>18</v>
      </c>
      <c r="T429" s="4">
        <f t="shared" si="42"/>
        <v>8801.0369999999984</v>
      </c>
      <c r="U429">
        <f t="shared" si="43"/>
        <v>20772.54</v>
      </c>
      <c r="V429" s="4">
        <f t="shared" si="46"/>
        <v>-11971.503000000002</v>
      </c>
      <c r="W429" s="4">
        <f t="shared" si="47"/>
        <v>-1.360237776525653</v>
      </c>
    </row>
    <row r="430" spans="1:23" x14ac:dyDescent="0.3">
      <c r="A430" t="s">
        <v>957</v>
      </c>
      <c r="B430" s="6">
        <v>45347</v>
      </c>
      <c r="C430" s="2">
        <v>45360</v>
      </c>
      <c r="D430" s="4">
        <f t="shared" si="48"/>
        <v>13</v>
      </c>
      <c r="E430" s="4" t="str">
        <f>TEXT(Data!B430,"MMM-YYYY")</f>
        <v>May-2025</v>
      </c>
      <c r="F430" s="4" t="str">
        <f t="shared" si="44"/>
        <v>Q1-2024</v>
      </c>
      <c r="G430" t="s">
        <v>78</v>
      </c>
      <c r="H430" t="s">
        <v>90</v>
      </c>
      <c r="I430" t="s">
        <v>91</v>
      </c>
      <c r="J430" t="s">
        <v>62</v>
      </c>
      <c r="K430" t="s">
        <v>55</v>
      </c>
      <c r="L430" t="s">
        <v>63</v>
      </c>
      <c r="M430" t="s">
        <v>64</v>
      </c>
      <c r="N430" t="s">
        <v>958</v>
      </c>
      <c r="O430" s="4">
        <v>322.44</v>
      </c>
      <c r="P430" s="7" t="str">
        <f t="shared" si="45"/>
        <v>High</v>
      </c>
      <c r="Q430" s="4">
        <v>395.61</v>
      </c>
      <c r="R430" s="4">
        <v>0</v>
      </c>
      <c r="S430" s="4">
        <v>34</v>
      </c>
      <c r="T430" s="4">
        <f t="shared" si="42"/>
        <v>53340.22</v>
      </c>
      <c r="U430">
        <f t="shared" si="43"/>
        <v>10962.96</v>
      </c>
      <c r="V430" s="4">
        <f t="shared" si="46"/>
        <v>42377.26</v>
      </c>
      <c r="W430" s="4">
        <f t="shared" si="47"/>
        <v>0.79447103892709858</v>
      </c>
    </row>
    <row r="431" spans="1:23" x14ac:dyDescent="0.3">
      <c r="A431" t="s">
        <v>959</v>
      </c>
      <c r="B431" s="6">
        <v>45784</v>
      </c>
      <c r="C431" s="2">
        <v>45790</v>
      </c>
      <c r="D431" s="4">
        <f t="shared" si="48"/>
        <v>6</v>
      </c>
      <c r="E431" s="4" t="str">
        <f>TEXT(Data!B431,"MMM-YYYY")</f>
        <v>Nov-2024</v>
      </c>
      <c r="F431" s="4" t="str">
        <f t="shared" si="44"/>
        <v>Q2-2025</v>
      </c>
      <c r="G431" t="s">
        <v>45</v>
      </c>
      <c r="H431" t="s">
        <v>60</v>
      </c>
      <c r="I431" t="s">
        <v>61</v>
      </c>
      <c r="J431" t="s">
        <v>105</v>
      </c>
      <c r="K431" t="s">
        <v>98</v>
      </c>
      <c r="L431" t="s">
        <v>29</v>
      </c>
      <c r="M431" t="s">
        <v>42</v>
      </c>
      <c r="N431" t="s">
        <v>960</v>
      </c>
      <c r="O431" s="4">
        <v>935.98</v>
      </c>
      <c r="P431" s="7" t="str">
        <f t="shared" si="45"/>
        <v>High</v>
      </c>
      <c r="Q431" s="4">
        <v>2077.69</v>
      </c>
      <c r="R431" s="4">
        <v>0.17499999999999999</v>
      </c>
      <c r="S431" s="4">
        <v>24</v>
      </c>
      <c r="T431" s="4">
        <f t="shared" si="42"/>
        <v>41071.932000000001</v>
      </c>
      <c r="U431">
        <f t="shared" si="43"/>
        <v>22463.52</v>
      </c>
      <c r="V431" s="4">
        <f t="shared" si="46"/>
        <v>18608.412</v>
      </c>
      <c r="W431" s="4">
        <f t="shared" si="47"/>
        <v>0.4530688256885505</v>
      </c>
    </row>
    <row r="432" spans="1:23" x14ac:dyDescent="0.3">
      <c r="A432" t="s">
        <v>961</v>
      </c>
      <c r="B432" s="6">
        <v>45597</v>
      </c>
      <c r="C432" s="2">
        <v>45608</v>
      </c>
      <c r="D432" s="4">
        <f t="shared" si="48"/>
        <v>11</v>
      </c>
      <c r="E432" s="4" t="str">
        <f>TEXT(Data!B432,"MMM-YYYY")</f>
        <v>Dec-2024</v>
      </c>
      <c r="F432" s="4" t="str">
        <f t="shared" si="44"/>
        <v>Q4-2024</v>
      </c>
      <c r="G432" t="s">
        <v>78</v>
      </c>
      <c r="H432" t="s">
        <v>79</v>
      </c>
      <c r="I432" t="s">
        <v>335</v>
      </c>
      <c r="J432" t="s">
        <v>48</v>
      </c>
      <c r="K432" t="s">
        <v>28</v>
      </c>
      <c r="L432" t="s">
        <v>56</v>
      </c>
      <c r="M432" t="s">
        <v>30</v>
      </c>
      <c r="N432" t="s">
        <v>962</v>
      </c>
      <c r="O432" s="4">
        <v>599.84</v>
      </c>
      <c r="P432" s="7" t="str">
        <f t="shared" si="45"/>
        <v>High</v>
      </c>
      <c r="Q432" s="4">
        <v>1330.85</v>
      </c>
      <c r="R432" s="4">
        <v>0.115</v>
      </c>
      <c r="S432" s="4">
        <v>11</v>
      </c>
      <c r="T432" s="4">
        <f t="shared" si="42"/>
        <v>4820.6746499999999</v>
      </c>
      <c r="U432">
        <f t="shared" si="43"/>
        <v>6598.2400000000007</v>
      </c>
      <c r="V432" s="4">
        <f t="shared" si="46"/>
        <v>-1777.5653500000008</v>
      </c>
      <c r="W432" s="4">
        <f t="shared" si="47"/>
        <v>-0.36873787987330792</v>
      </c>
    </row>
    <row r="433" spans="1:23" x14ac:dyDescent="0.3">
      <c r="A433" t="s">
        <v>963</v>
      </c>
      <c r="B433" s="6">
        <v>45654</v>
      </c>
      <c r="C433" s="2">
        <v>45665</v>
      </c>
      <c r="D433" s="4">
        <f t="shared" si="48"/>
        <v>11</v>
      </c>
      <c r="E433" s="4" t="str">
        <f>TEXT(Data!B433,"MMM-YYYY")</f>
        <v>Oct-2023</v>
      </c>
      <c r="F433" s="4" t="str">
        <f t="shared" si="44"/>
        <v>Q4-2024</v>
      </c>
      <c r="G433" t="s">
        <v>45</v>
      </c>
      <c r="H433" t="s">
        <v>116</v>
      </c>
      <c r="I433" t="s">
        <v>117</v>
      </c>
      <c r="J433" t="s">
        <v>105</v>
      </c>
      <c r="K433" t="s">
        <v>28</v>
      </c>
      <c r="L433" t="s">
        <v>95</v>
      </c>
      <c r="M433" t="s">
        <v>57</v>
      </c>
      <c r="N433" t="s">
        <v>964</v>
      </c>
      <c r="O433" s="4">
        <v>1201.31</v>
      </c>
      <c r="P433" s="7" t="str">
        <f t="shared" si="45"/>
        <v>High</v>
      </c>
      <c r="Q433" s="4">
        <v>2764.65</v>
      </c>
      <c r="R433" s="4">
        <v>0</v>
      </c>
      <c r="S433" s="4">
        <v>21</v>
      </c>
      <c r="T433" s="4">
        <f t="shared" si="42"/>
        <v>15909.390000000001</v>
      </c>
      <c r="U433">
        <f t="shared" si="43"/>
        <v>25227.51</v>
      </c>
      <c r="V433" s="4">
        <f t="shared" si="46"/>
        <v>-9318.1199999999972</v>
      </c>
      <c r="W433" s="4">
        <f t="shared" si="47"/>
        <v>-0.58569938885148942</v>
      </c>
    </row>
    <row r="434" spans="1:23" x14ac:dyDescent="0.3">
      <c r="A434" t="s">
        <v>965</v>
      </c>
      <c r="B434" s="6">
        <v>45220</v>
      </c>
      <c r="C434" s="2">
        <v>45220</v>
      </c>
      <c r="D434" s="4">
        <f t="shared" si="48"/>
        <v>0</v>
      </c>
      <c r="E434" s="4" t="str">
        <f>TEXT(Data!B434,"MMM-YYYY")</f>
        <v>Dec-2024</v>
      </c>
      <c r="F434" s="4" t="str">
        <f t="shared" si="44"/>
        <v>Q4-2023</v>
      </c>
      <c r="G434" t="s">
        <v>78</v>
      </c>
      <c r="H434" t="s">
        <v>108</v>
      </c>
      <c r="I434" t="s">
        <v>228</v>
      </c>
      <c r="J434" t="s">
        <v>105</v>
      </c>
      <c r="K434" t="s">
        <v>55</v>
      </c>
      <c r="L434" t="s">
        <v>29</v>
      </c>
      <c r="M434" t="s">
        <v>64</v>
      </c>
      <c r="N434" t="s">
        <v>966</v>
      </c>
      <c r="O434" s="4">
        <v>384.19</v>
      </c>
      <c r="P434" s="7" t="str">
        <f t="shared" si="45"/>
        <v>High</v>
      </c>
      <c r="Q434" s="4">
        <v>278.35000000000002</v>
      </c>
      <c r="R434" s="4">
        <v>5.6000000000000001E-2</v>
      </c>
      <c r="S434" s="4">
        <v>10</v>
      </c>
      <c r="T434" s="4">
        <f t="shared" si="42"/>
        <v>3926.6623999999993</v>
      </c>
      <c r="U434">
        <f t="shared" si="43"/>
        <v>3841.9</v>
      </c>
      <c r="V434" s="4">
        <f t="shared" si="46"/>
        <v>84.762399999999161</v>
      </c>
      <c r="W434" s="4">
        <f t="shared" si="47"/>
        <v>2.1586373200812775E-2</v>
      </c>
    </row>
    <row r="435" spans="1:23" x14ac:dyDescent="0.3">
      <c r="A435" t="s">
        <v>967</v>
      </c>
      <c r="B435" s="6">
        <v>45636</v>
      </c>
      <c r="C435" s="2">
        <v>45645</v>
      </c>
      <c r="D435" s="4">
        <f t="shared" si="48"/>
        <v>9</v>
      </c>
      <c r="E435" s="4" t="str">
        <f>TEXT(Data!B435,"MMM-YYYY")</f>
        <v>Sep-2024</v>
      </c>
      <c r="F435" s="4" t="str">
        <f t="shared" si="44"/>
        <v>Q4-2024</v>
      </c>
      <c r="G435" t="s">
        <v>16</v>
      </c>
      <c r="H435" t="s">
        <v>25</v>
      </c>
      <c r="I435" t="s">
        <v>38</v>
      </c>
      <c r="J435" t="s">
        <v>19</v>
      </c>
      <c r="K435" t="s">
        <v>20</v>
      </c>
      <c r="L435" t="s">
        <v>68</v>
      </c>
      <c r="M435" t="s">
        <v>64</v>
      </c>
      <c r="N435" t="s">
        <v>968</v>
      </c>
      <c r="O435" s="4">
        <v>488.68</v>
      </c>
      <c r="P435" s="7" t="str">
        <f t="shared" si="45"/>
        <v>High</v>
      </c>
      <c r="Q435" s="4">
        <v>984.36</v>
      </c>
      <c r="R435" s="4">
        <v>5.8999999999999997E-2</v>
      </c>
      <c r="S435" s="4">
        <v>14</v>
      </c>
      <c r="T435" s="4">
        <f t="shared" si="42"/>
        <v>24647.104860000003</v>
      </c>
      <c r="U435">
        <f t="shared" si="43"/>
        <v>6841.52</v>
      </c>
      <c r="V435" s="4">
        <f t="shared" si="46"/>
        <v>17805.584860000003</v>
      </c>
      <c r="W435" s="4">
        <f t="shared" si="47"/>
        <v>0.72242094806424251</v>
      </c>
    </row>
    <row r="436" spans="1:23" x14ac:dyDescent="0.3">
      <c r="A436" t="s">
        <v>969</v>
      </c>
      <c r="B436" s="6">
        <v>45542</v>
      </c>
      <c r="C436" s="2">
        <v>45553</v>
      </c>
      <c r="D436" s="4">
        <f t="shared" si="48"/>
        <v>11</v>
      </c>
      <c r="E436" s="4" t="str">
        <f>TEXT(Data!B436,"MMM-YYYY")</f>
        <v>Oct-2023</v>
      </c>
      <c r="F436" s="4" t="str">
        <f t="shared" si="44"/>
        <v>Q3-2024</v>
      </c>
      <c r="G436" t="s">
        <v>45</v>
      </c>
      <c r="H436" t="s">
        <v>116</v>
      </c>
      <c r="I436" t="s">
        <v>338</v>
      </c>
      <c r="J436" t="s">
        <v>48</v>
      </c>
      <c r="K436" t="s">
        <v>55</v>
      </c>
      <c r="L436" t="s">
        <v>68</v>
      </c>
      <c r="M436" t="s">
        <v>35</v>
      </c>
      <c r="N436" t="s">
        <v>970</v>
      </c>
      <c r="O436" s="4">
        <v>181.74</v>
      </c>
      <c r="P436" s="7" t="str">
        <f t="shared" si="45"/>
        <v>Medium</v>
      </c>
      <c r="Q436" s="4">
        <v>190.84</v>
      </c>
      <c r="R436" s="4">
        <v>0.214</v>
      </c>
      <c r="S436" s="4">
        <v>13</v>
      </c>
      <c r="T436" s="4">
        <f t="shared" si="42"/>
        <v>2113.89984</v>
      </c>
      <c r="U436">
        <f t="shared" si="43"/>
        <v>2362.62</v>
      </c>
      <c r="V436" s="4">
        <f t="shared" si="46"/>
        <v>-248.72015999999985</v>
      </c>
      <c r="W436" s="4">
        <f t="shared" si="47"/>
        <v>-0.11765938730569177</v>
      </c>
    </row>
    <row r="437" spans="1:23" x14ac:dyDescent="0.3">
      <c r="A437" t="s">
        <v>971</v>
      </c>
      <c r="B437" s="6">
        <v>45217</v>
      </c>
      <c r="C437" s="2">
        <v>45219</v>
      </c>
      <c r="D437" s="4">
        <f t="shared" si="48"/>
        <v>2</v>
      </c>
      <c r="E437" s="4" t="str">
        <f>TEXT(Data!B437,"MMM-YYYY")</f>
        <v>Dec-2024</v>
      </c>
      <c r="F437" s="4" t="str">
        <f t="shared" si="44"/>
        <v>Q4-2023</v>
      </c>
      <c r="G437" t="s">
        <v>16</v>
      </c>
      <c r="H437" t="s">
        <v>17</v>
      </c>
      <c r="I437" t="s">
        <v>18</v>
      </c>
      <c r="J437" t="s">
        <v>48</v>
      </c>
      <c r="K437" t="s">
        <v>20</v>
      </c>
      <c r="L437" t="s">
        <v>29</v>
      </c>
      <c r="M437" t="s">
        <v>42</v>
      </c>
      <c r="N437" t="s">
        <v>972</v>
      </c>
      <c r="O437" s="4">
        <v>774.12</v>
      </c>
      <c r="P437" s="7" t="str">
        <f t="shared" si="45"/>
        <v>High</v>
      </c>
      <c r="Q437" s="4">
        <v>908.3</v>
      </c>
      <c r="R437" s="4">
        <v>0</v>
      </c>
      <c r="S437" s="4">
        <v>30</v>
      </c>
      <c r="T437" s="4">
        <f t="shared" si="42"/>
        <v>1884.6</v>
      </c>
      <c r="U437">
        <f t="shared" si="43"/>
        <v>23223.599999999999</v>
      </c>
      <c r="V437" s="4">
        <f t="shared" si="46"/>
        <v>-21339</v>
      </c>
      <c r="W437" s="4">
        <f t="shared" si="47"/>
        <v>-11.322827125119389</v>
      </c>
    </row>
    <row r="438" spans="1:23" x14ac:dyDescent="0.3">
      <c r="A438" t="s">
        <v>973</v>
      </c>
      <c r="B438" s="6">
        <v>45650</v>
      </c>
      <c r="C438" s="2">
        <v>45670</v>
      </c>
      <c r="D438" s="4">
        <f t="shared" si="48"/>
        <v>20</v>
      </c>
      <c r="E438" s="4" t="str">
        <f>TEXT(Data!B438,"MMM-YYYY")</f>
        <v>Apr-2023</v>
      </c>
      <c r="F438" s="4" t="str">
        <f t="shared" si="44"/>
        <v>Q4-2024</v>
      </c>
      <c r="G438" t="s">
        <v>45</v>
      </c>
      <c r="H438" t="s">
        <v>60</v>
      </c>
      <c r="I438" t="s">
        <v>61</v>
      </c>
      <c r="J438" t="s">
        <v>19</v>
      </c>
      <c r="K438" t="s">
        <v>40</v>
      </c>
      <c r="L438" t="s">
        <v>145</v>
      </c>
      <c r="M438" t="s">
        <v>35</v>
      </c>
      <c r="N438" t="s">
        <v>974</v>
      </c>
      <c r="O438" s="4">
        <v>126.15</v>
      </c>
      <c r="P438" s="7" t="str">
        <f t="shared" si="45"/>
        <v>High</v>
      </c>
      <c r="Q438" s="4">
        <v>284.23</v>
      </c>
      <c r="R438" s="4">
        <v>0.113</v>
      </c>
      <c r="S438" s="4">
        <v>22</v>
      </c>
      <c r="T438" s="4">
        <f t="shared" si="42"/>
        <v>18664.94586</v>
      </c>
      <c r="U438">
        <f t="shared" si="43"/>
        <v>2775.3</v>
      </c>
      <c r="V438" s="4">
        <f t="shared" si="46"/>
        <v>15889.645860000001</v>
      </c>
      <c r="W438" s="4">
        <f t="shared" si="47"/>
        <v>0.85130950709331443</v>
      </c>
    </row>
    <row r="439" spans="1:23" x14ac:dyDescent="0.3">
      <c r="A439" t="s">
        <v>975</v>
      </c>
      <c r="B439" s="6">
        <v>45037</v>
      </c>
      <c r="C439" s="2">
        <v>45035</v>
      </c>
      <c r="D439" s="4">
        <f>DATEDIF(C439,B439, "MD")</f>
        <v>2</v>
      </c>
      <c r="E439" s="4" t="str">
        <f>TEXT(Data!B439,"MMM-YYYY")</f>
        <v>Dec-2023</v>
      </c>
      <c r="F439" s="4" t="str">
        <f t="shared" si="44"/>
        <v>Q2-2023</v>
      </c>
      <c r="G439" t="s">
        <v>45</v>
      </c>
      <c r="H439" t="s">
        <v>46</v>
      </c>
      <c r="I439" t="s">
        <v>231</v>
      </c>
      <c r="J439" t="s">
        <v>62</v>
      </c>
      <c r="K439" t="s">
        <v>98</v>
      </c>
      <c r="L439" t="s">
        <v>110</v>
      </c>
      <c r="M439" t="s">
        <v>22</v>
      </c>
      <c r="N439" t="s">
        <v>976</v>
      </c>
      <c r="O439" s="4">
        <v>607.04</v>
      </c>
      <c r="P439" s="7" t="str">
        <f t="shared" si="45"/>
        <v>High</v>
      </c>
      <c r="Q439" s="4">
        <v>1229.3399999999999</v>
      </c>
      <c r="R439" s="4">
        <v>0.14699999999999999</v>
      </c>
      <c r="S439" s="4">
        <v>7</v>
      </c>
      <c r="T439" s="4">
        <f t="shared" si="42"/>
        <v>989.39469999999983</v>
      </c>
      <c r="U439">
        <f t="shared" si="43"/>
        <v>4249.28</v>
      </c>
      <c r="V439" s="4">
        <f t="shared" si="46"/>
        <v>-3259.8852999999999</v>
      </c>
      <c r="W439" s="4">
        <f t="shared" si="47"/>
        <v>-3.2948279387387061</v>
      </c>
    </row>
    <row r="440" spans="1:23" x14ac:dyDescent="0.3">
      <c r="A440" t="s">
        <v>977</v>
      </c>
      <c r="B440" s="6">
        <v>45290</v>
      </c>
      <c r="C440" s="2">
        <v>45299</v>
      </c>
      <c r="D440" s="4">
        <f t="shared" si="48"/>
        <v>9</v>
      </c>
      <c r="E440" s="4" t="str">
        <f>TEXT(Data!B440,"MMM-YYYY")</f>
        <v>Feb-2023</v>
      </c>
      <c r="F440" s="4" t="str">
        <f t="shared" si="44"/>
        <v>Q4-2023</v>
      </c>
      <c r="G440" t="s">
        <v>78</v>
      </c>
      <c r="H440" t="s">
        <v>90</v>
      </c>
      <c r="I440" t="s">
        <v>91</v>
      </c>
      <c r="J440" t="s">
        <v>48</v>
      </c>
      <c r="K440" t="s">
        <v>40</v>
      </c>
      <c r="L440" t="s">
        <v>49</v>
      </c>
      <c r="M440" t="s">
        <v>81</v>
      </c>
      <c r="N440" t="s">
        <v>978</v>
      </c>
      <c r="O440" s="4">
        <v>861.1</v>
      </c>
      <c r="P440" s="7" t="str">
        <f t="shared" si="45"/>
        <v>High</v>
      </c>
      <c r="Q440" s="4">
        <v>1224.72</v>
      </c>
      <c r="R440" s="4">
        <v>0.17399999999999999</v>
      </c>
      <c r="S440" s="4">
        <v>24</v>
      </c>
      <c r="T440" s="4">
        <f t="shared" si="42"/>
        <v>12060.128640000001</v>
      </c>
      <c r="U440">
        <f t="shared" si="43"/>
        <v>20666.400000000001</v>
      </c>
      <c r="V440" s="4">
        <f t="shared" si="46"/>
        <v>-8606.2713600000006</v>
      </c>
      <c r="W440" s="4">
        <f t="shared" si="47"/>
        <v>-0.71361356225135586</v>
      </c>
    </row>
    <row r="441" spans="1:23" x14ac:dyDescent="0.3">
      <c r="A441" t="s">
        <v>979</v>
      </c>
      <c r="B441" s="6">
        <v>44978</v>
      </c>
      <c r="C441" s="2">
        <v>44997</v>
      </c>
      <c r="D441" s="4">
        <f t="shared" si="48"/>
        <v>19</v>
      </c>
      <c r="E441" s="4" t="str">
        <f>TEXT(Data!B441,"MMM-YYYY")</f>
        <v>May-2023</v>
      </c>
      <c r="F441" s="4" t="str">
        <f t="shared" si="44"/>
        <v>Q1-2023</v>
      </c>
      <c r="G441" t="s">
        <v>16</v>
      </c>
      <c r="H441" t="s">
        <v>17</v>
      </c>
      <c r="I441" t="s">
        <v>135</v>
      </c>
      <c r="J441" t="s">
        <v>19</v>
      </c>
      <c r="K441" t="s">
        <v>28</v>
      </c>
      <c r="L441" t="s">
        <v>84</v>
      </c>
      <c r="M441" t="s">
        <v>35</v>
      </c>
      <c r="N441" t="s">
        <v>980</v>
      </c>
      <c r="O441" s="4">
        <v>352.65</v>
      </c>
      <c r="P441" s="7" t="str">
        <f t="shared" si="45"/>
        <v>High</v>
      </c>
      <c r="Q441" s="4">
        <v>485.86</v>
      </c>
      <c r="R441" s="4">
        <v>4.1000000000000002E-2</v>
      </c>
      <c r="S441" s="4">
        <v>6</v>
      </c>
      <c r="T441" s="4">
        <f t="shared" si="42"/>
        <v>15339.646139999999</v>
      </c>
      <c r="U441">
        <f t="shared" si="43"/>
        <v>2115.8999999999996</v>
      </c>
      <c r="V441" s="4">
        <f t="shared" si="46"/>
        <v>13223.746139999999</v>
      </c>
      <c r="W441" s="4">
        <f t="shared" si="47"/>
        <v>0.86206331093371624</v>
      </c>
    </row>
    <row r="442" spans="1:23" x14ac:dyDescent="0.3">
      <c r="A442" t="s">
        <v>981</v>
      </c>
      <c r="B442" s="6">
        <v>45063</v>
      </c>
      <c r="C442" s="2">
        <v>45080</v>
      </c>
      <c r="D442" s="4">
        <f t="shared" si="48"/>
        <v>17</v>
      </c>
      <c r="E442" s="4" t="str">
        <f>TEXT(Data!B442,"MMM-YYYY")</f>
        <v>Mar-2024</v>
      </c>
      <c r="F442" s="4" t="str">
        <f t="shared" si="44"/>
        <v>Q2-2023</v>
      </c>
      <c r="G442" t="s">
        <v>45</v>
      </c>
      <c r="H442" t="s">
        <v>116</v>
      </c>
      <c r="I442" t="s">
        <v>338</v>
      </c>
      <c r="J442" t="s">
        <v>39</v>
      </c>
      <c r="K442" t="s">
        <v>55</v>
      </c>
      <c r="L442" t="s">
        <v>110</v>
      </c>
      <c r="M442" t="s">
        <v>30</v>
      </c>
      <c r="N442" t="s">
        <v>982</v>
      </c>
      <c r="O442" s="4">
        <v>979.59</v>
      </c>
      <c r="P442" s="7" t="str">
        <f t="shared" si="45"/>
        <v>High</v>
      </c>
      <c r="Q442" s="4">
        <v>2210.94</v>
      </c>
      <c r="R442" s="4">
        <v>0.15</v>
      </c>
      <c r="S442" s="4">
        <v>11</v>
      </c>
      <c r="T442" s="4">
        <f t="shared" si="42"/>
        <v>5497.3325000000004</v>
      </c>
      <c r="U442">
        <f t="shared" si="43"/>
        <v>10775.49</v>
      </c>
      <c r="V442" s="4">
        <f t="shared" si="46"/>
        <v>-5278.1574999999993</v>
      </c>
      <c r="W442" s="4">
        <f t="shared" si="47"/>
        <v>-0.96013066337173514</v>
      </c>
    </row>
    <row r="443" spans="1:23" x14ac:dyDescent="0.3">
      <c r="A443" t="s">
        <v>983</v>
      </c>
      <c r="B443" s="6">
        <v>45374</v>
      </c>
      <c r="C443" s="2">
        <v>45377</v>
      </c>
      <c r="D443" s="4">
        <f t="shared" si="48"/>
        <v>3</v>
      </c>
      <c r="E443" s="4" t="str">
        <f>TEXT(Data!B443,"MMM-YYYY")</f>
        <v>Sep-2023</v>
      </c>
      <c r="F443" s="4" t="str">
        <f t="shared" si="44"/>
        <v>Q1-2024</v>
      </c>
      <c r="G443" t="s">
        <v>45</v>
      </c>
      <c r="H443" t="s">
        <v>60</v>
      </c>
      <c r="I443" t="s">
        <v>61</v>
      </c>
      <c r="J443" t="s">
        <v>27</v>
      </c>
      <c r="K443" t="s">
        <v>98</v>
      </c>
      <c r="L443" t="s">
        <v>41</v>
      </c>
      <c r="M443" t="s">
        <v>42</v>
      </c>
      <c r="N443" t="s">
        <v>984</v>
      </c>
      <c r="O443" s="4">
        <v>382.21</v>
      </c>
      <c r="P443" s="7" t="str">
        <f t="shared" si="45"/>
        <v>High</v>
      </c>
      <c r="Q443" s="4">
        <v>571.89</v>
      </c>
      <c r="R443" s="4">
        <v>0.14799999999999999</v>
      </c>
      <c r="S443" s="4">
        <v>26</v>
      </c>
      <c r="T443" s="4">
        <f t="shared" si="42"/>
        <v>48582.215760000006</v>
      </c>
      <c r="U443">
        <f t="shared" si="43"/>
        <v>9937.4599999999991</v>
      </c>
      <c r="V443" s="4">
        <f t="shared" si="46"/>
        <v>38644.755760000007</v>
      </c>
      <c r="W443" s="4">
        <f t="shared" si="47"/>
        <v>0.79545066348781124</v>
      </c>
    </row>
    <row r="444" spans="1:23" x14ac:dyDescent="0.3">
      <c r="A444" t="s">
        <v>985</v>
      </c>
      <c r="B444" s="6">
        <v>45189</v>
      </c>
      <c r="C444" s="2">
        <v>45197</v>
      </c>
      <c r="D444" s="4">
        <f t="shared" si="48"/>
        <v>8</v>
      </c>
      <c r="E444" s="4" t="str">
        <f>TEXT(Data!B444,"MMM-YYYY")</f>
        <v>Aug-2024</v>
      </c>
      <c r="F444" s="4" t="str">
        <f t="shared" si="44"/>
        <v>Q3-2023</v>
      </c>
      <c r="G444" t="s">
        <v>45</v>
      </c>
      <c r="H444" t="s">
        <v>60</v>
      </c>
      <c r="I444" t="s">
        <v>1364</v>
      </c>
      <c r="J444" t="s">
        <v>19</v>
      </c>
      <c r="K444" t="s">
        <v>1364</v>
      </c>
      <c r="L444" t="s">
        <v>56</v>
      </c>
      <c r="M444" t="s">
        <v>81</v>
      </c>
      <c r="N444" t="s">
        <v>986</v>
      </c>
      <c r="O444" s="4">
        <v>1362.06</v>
      </c>
      <c r="P444" s="7" t="str">
        <f t="shared" si="45"/>
        <v>High</v>
      </c>
      <c r="Q444" s="4">
        <v>3398.37</v>
      </c>
      <c r="R444" s="4">
        <v>0.157</v>
      </c>
      <c r="S444" s="4">
        <v>11</v>
      </c>
      <c r="T444" s="4">
        <f t="shared" si="42"/>
        <v>20287.469400000002</v>
      </c>
      <c r="U444">
        <f t="shared" si="43"/>
        <v>14982.66</v>
      </c>
      <c r="V444" s="4">
        <f t="shared" si="46"/>
        <v>5304.8094000000019</v>
      </c>
      <c r="W444" s="4">
        <f t="shared" si="47"/>
        <v>0.26148206537775487</v>
      </c>
    </row>
    <row r="445" spans="1:23" x14ac:dyDescent="0.3">
      <c r="A445" t="s">
        <v>987</v>
      </c>
      <c r="B445" s="6">
        <v>45526</v>
      </c>
      <c r="C445" s="2">
        <v>45539</v>
      </c>
      <c r="D445" s="4">
        <f t="shared" si="48"/>
        <v>13</v>
      </c>
      <c r="E445" s="4" t="str">
        <f>TEXT(Data!B445,"MMM-YYYY")</f>
        <v>Sep-2024</v>
      </c>
      <c r="F445" s="4" t="str">
        <f t="shared" si="44"/>
        <v>Q3-2024</v>
      </c>
      <c r="G445" t="s">
        <v>78</v>
      </c>
      <c r="H445" t="s">
        <v>79</v>
      </c>
      <c r="I445" t="s">
        <v>335</v>
      </c>
      <c r="J445" t="s">
        <v>39</v>
      </c>
      <c r="K445" t="s">
        <v>20</v>
      </c>
      <c r="L445" t="s">
        <v>49</v>
      </c>
      <c r="M445" t="s">
        <v>30</v>
      </c>
      <c r="N445" t="s">
        <v>988</v>
      </c>
      <c r="O445" s="4">
        <v>90.04</v>
      </c>
      <c r="P445" s="7" t="str">
        <f t="shared" si="45"/>
        <v>Medium</v>
      </c>
      <c r="Q445" s="4">
        <v>194.62</v>
      </c>
      <c r="R445" s="4">
        <v>4.2999999999999997E-2</v>
      </c>
      <c r="S445" s="4">
        <v>32</v>
      </c>
      <c r="T445" s="4">
        <f t="shared" si="42"/>
        <v>30688.61664</v>
      </c>
      <c r="U445">
        <f t="shared" si="43"/>
        <v>2881.28</v>
      </c>
      <c r="V445" s="4">
        <f t="shared" si="46"/>
        <v>27807.336640000001</v>
      </c>
      <c r="W445" s="4">
        <f t="shared" si="47"/>
        <v>0.90611241836673417</v>
      </c>
    </row>
    <row r="446" spans="1:23" x14ac:dyDescent="0.3">
      <c r="A446" t="s">
        <v>989</v>
      </c>
      <c r="B446" s="6">
        <v>45560</v>
      </c>
      <c r="C446" s="2">
        <v>45568</v>
      </c>
      <c r="D446" s="4">
        <f t="shared" si="48"/>
        <v>8</v>
      </c>
      <c r="E446" s="4" t="str">
        <f>TEXT(Data!B446,"MMM-YYYY")</f>
        <v>Jun-2023</v>
      </c>
      <c r="F446" s="4" t="str">
        <f t="shared" si="44"/>
        <v>Q3-2024</v>
      </c>
      <c r="G446" t="s">
        <v>52</v>
      </c>
      <c r="H446" t="s">
        <v>53</v>
      </c>
      <c r="I446" t="s">
        <v>54</v>
      </c>
      <c r="J446" t="s">
        <v>48</v>
      </c>
      <c r="K446" t="s">
        <v>28</v>
      </c>
      <c r="L446" t="s">
        <v>63</v>
      </c>
      <c r="M446" t="s">
        <v>30</v>
      </c>
      <c r="N446" t="s">
        <v>990</v>
      </c>
      <c r="O446" s="4">
        <v>558.19000000000005</v>
      </c>
      <c r="P446" s="7" t="str">
        <f t="shared" si="45"/>
        <v>High</v>
      </c>
      <c r="Q446" s="4">
        <v>1031.6400000000001</v>
      </c>
      <c r="R446" s="4">
        <v>0</v>
      </c>
      <c r="S446" s="4">
        <v>21</v>
      </c>
      <c r="T446" s="4">
        <f t="shared" si="42"/>
        <v>19189.38</v>
      </c>
      <c r="U446">
        <f t="shared" si="43"/>
        <v>11721.990000000002</v>
      </c>
      <c r="V446" s="4">
        <f t="shared" si="46"/>
        <v>7467.3899999999994</v>
      </c>
      <c r="W446" s="4">
        <f t="shared" si="47"/>
        <v>0.3891418065617544</v>
      </c>
    </row>
    <row r="447" spans="1:23" x14ac:dyDescent="0.3">
      <c r="A447" t="s">
        <v>991</v>
      </c>
      <c r="B447" s="6">
        <v>45090</v>
      </c>
      <c r="C447" s="2">
        <v>45101</v>
      </c>
      <c r="D447" s="4">
        <f t="shared" si="48"/>
        <v>11</v>
      </c>
      <c r="E447" s="4" t="str">
        <f>TEXT(Data!B447,"MMM-YYYY")</f>
        <v>Dec-2023</v>
      </c>
      <c r="F447" s="4" t="str">
        <f t="shared" si="44"/>
        <v>Q2-2023</v>
      </c>
      <c r="G447" t="s">
        <v>52</v>
      </c>
      <c r="H447" t="s">
        <v>53</v>
      </c>
      <c r="I447" t="s">
        <v>54</v>
      </c>
      <c r="J447" t="s">
        <v>19</v>
      </c>
      <c r="K447" t="s">
        <v>28</v>
      </c>
      <c r="L447" t="s">
        <v>21</v>
      </c>
      <c r="M447" t="s">
        <v>30</v>
      </c>
      <c r="N447" t="s">
        <v>992</v>
      </c>
      <c r="O447" s="4">
        <v>247.07</v>
      </c>
      <c r="P447" s="7" t="str">
        <f t="shared" si="45"/>
        <v>High</v>
      </c>
      <c r="Q447" s="4">
        <v>495.19</v>
      </c>
      <c r="R447" s="4">
        <v>2.8000000000000001E-2</v>
      </c>
      <c r="S447" s="4">
        <v>4</v>
      </c>
      <c r="T447" s="4">
        <f t="shared" si="42"/>
        <v>7167.5668799999994</v>
      </c>
      <c r="U447">
        <f t="shared" si="43"/>
        <v>988.28</v>
      </c>
      <c r="V447" s="4">
        <f t="shared" si="46"/>
        <v>6179.2868799999997</v>
      </c>
      <c r="W447" s="4">
        <f t="shared" si="47"/>
        <v>0.86211778466167588</v>
      </c>
    </row>
    <row r="448" spans="1:23" x14ac:dyDescent="0.3">
      <c r="A448" t="s">
        <v>993</v>
      </c>
      <c r="B448" s="6">
        <v>45284</v>
      </c>
      <c r="C448" s="2">
        <v>45304</v>
      </c>
      <c r="D448" s="4">
        <f t="shared" si="48"/>
        <v>20</v>
      </c>
      <c r="E448" s="4" t="str">
        <f>TEXT(Data!B448,"MMM-YYYY")</f>
        <v>Mar-2025</v>
      </c>
      <c r="F448" s="4" t="str">
        <f t="shared" si="44"/>
        <v>Q4-2023</v>
      </c>
      <c r="G448" t="s">
        <v>45</v>
      </c>
      <c r="H448" t="s">
        <v>46</v>
      </c>
      <c r="I448" t="s">
        <v>231</v>
      </c>
      <c r="J448" t="s">
        <v>27</v>
      </c>
      <c r="K448" t="s">
        <v>98</v>
      </c>
      <c r="L448" t="s">
        <v>56</v>
      </c>
      <c r="M448" t="s">
        <v>57</v>
      </c>
      <c r="N448" t="s">
        <v>994</v>
      </c>
      <c r="O448" s="4">
        <v>625.37</v>
      </c>
      <c r="P448" s="7" t="str">
        <f t="shared" si="45"/>
        <v>High</v>
      </c>
      <c r="Q448" s="4">
        <v>1319.04</v>
      </c>
      <c r="R448" s="4">
        <v>7.3999999999999996E-2</v>
      </c>
      <c r="S448" s="4">
        <v>8</v>
      </c>
      <c r="T448" s="4">
        <f t="shared" si="42"/>
        <v>10249.7088</v>
      </c>
      <c r="U448">
        <f t="shared" si="43"/>
        <v>5002.96</v>
      </c>
      <c r="V448" s="4">
        <f t="shared" si="46"/>
        <v>5246.7488000000003</v>
      </c>
      <c r="W448" s="4">
        <f t="shared" si="47"/>
        <v>0.51189247444766428</v>
      </c>
    </row>
    <row r="449" spans="1:23" x14ac:dyDescent="0.3">
      <c r="A449" t="s">
        <v>995</v>
      </c>
      <c r="B449" s="6">
        <v>45746</v>
      </c>
      <c r="C449" s="2">
        <v>45776</v>
      </c>
      <c r="D449" s="4">
        <f t="shared" si="48"/>
        <v>30</v>
      </c>
      <c r="E449" s="4" t="str">
        <f>TEXT(Data!B449,"MMM-YYYY")</f>
        <v>Jun-2024</v>
      </c>
      <c r="F449" s="4" t="str">
        <f t="shared" si="44"/>
        <v>Q1-2025</v>
      </c>
      <c r="G449" t="s">
        <v>16</v>
      </c>
      <c r="H449" t="s">
        <v>148</v>
      </c>
      <c r="I449" t="s">
        <v>172</v>
      </c>
      <c r="J449" t="s">
        <v>48</v>
      </c>
      <c r="K449" t="s">
        <v>40</v>
      </c>
      <c r="L449" t="s">
        <v>29</v>
      </c>
      <c r="M449" t="s">
        <v>64</v>
      </c>
      <c r="N449" t="s">
        <v>996</v>
      </c>
      <c r="O449" s="4">
        <v>194.6</v>
      </c>
      <c r="P449" s="7" t="str">
        <f t="shared" si="45"/>
        <v>High</v>
      </c>
      <c r="Q449" s="4">
        <v>314.87</v>
      </c>
      <c r="R449" s="4">
        <v>0.29299999999999998</v>
      </c>
      <c r="S449" s="4">
        <v>25</v>
      </c>
      <c r="T449" s="4">
        <f t="shared" si="42"/>
        <v>28077.267750000003</v>
      </c>
      <c r="U449">
        <f t="shared" si="43"/>
        <v>4865</v>
      </c>
      <c r="V449" s="4">
        <f t="shared" si="46"/>
        <v>23212.267750000003</v>
      </c>
      <c r="W449" s="4">
        <f t="shared" si="47"/>
        <v>0.82672815448718295</v>
      </c>
    </row>
    <row r="450" spans="1:23" x14ac:dyDescent="0.3">
      <c r="A450" t="s">
        <v>997</v>
      </c>
      <c r="B450" s="6">
        <v>45446</v>
      </c>
      <c r="C450" s="2">
        <v>45467</v>
      </c>
      <c r="D450" s="4">
        <f t="shared" si="48"/>
        <v>21</v>
      </c>
      <c r="E450" s="4" t="str">
        <f>TEXT(Data!B450,"MMM-YYYY")</f>
        <v>Jun-2024</v>
      </c>
      <c r="F450" s="4" t="str">
        <f t="shared" si="44"/>
        <v>Q2-2024</v>
      </c>
      <c r="G450" t="s">
        <v>52</v>
      </c>
      <c r="H450" t="s">
        <v>53</v>
      </c>
      <c r="I450" t="s">
        <v>54</v>
      </c>
      <c r="J450" t="s">
        <v>62</v>
      </c>
      <c r="K450" t="s">
        <v>98</v>
      </c>
      <c r="L450" t="s">
        <v>41</v>
      </c>
      <c r="M450" t="s">
        <v>64</v>
      </c>
      <c r="N450" t="s">
        <v>998</v>
      </c>
      <c r="O450" s="4">
        <v>1205.5</v>
      </c>
      <c r="P450" s="7" t="str">
        <f t="shared" si="45"/>
        <v>High</v>
      </c>
      <c r="Q450" s="4">
        <v>2210.17</v>
      </c>
      <c r="R450" s="4">
        <v>0.104</v>
      </c>
      <c r="S450" s="4">
        <v>23</v>
      </c>
      <c r="T450" s="4">
        <f t="shared" ref="T450:T513" si="49">(Q476*S450)*(1-R450)</f>
        <v>27698.182399999998</v>
      </c>
      <c r="U450">
        <f t="shared" ref="U450:U513" si="50">(O450*S450)</f>
        <v>27726.5</v>
      </c>
      <c r="V450" s="4">
        <f t="shared" si="46"/>
        <v>-28.31760000000213</v>
      </c>
      <c r="W450" s="4">
        <f t="shared" si="47"/>
        <v>-1.0223631136172362E-3</v>
      </c>
    </row>
    <row r="451" spans="1:23" x14ac:dyDescent="0.3">
      <c r="A451" t="s">
        <v>999</v>
      </c>
      <c r="B451" s="6">
        <v>45454</v>
      </c>
      <c r="C451" s="2">
        <v>45482</v>
      </c>
      <c r="D451" s="4">
        <f t="shared" si="48"/>
        <v>28</v>
      </c>
      <c r="E451" s="4" t="str">
        <f>TEXT(Data!B451,"MMM-YYYY")</f>
        <v>Jul-2023</v>
      </c>
      <c r="F451" s="4" t="str">
        <f t="shared" ref="F451:F514" si="51">"Q"&amp;ROUNDUP(MONTH(B451)/3,0)&amp;"-"&amp;YEAR(B451)</f>
        <v>Q2-2024</v>
      </c>
      <c r="G451" t="s">
        <v>16</v>
      </c>
      <c r="H451" t="s">
        <v>25</v>
      </c>
      <c r="I451" t="s">
        <v>26</v>
      </c>
      <c r="J451" t="s">
        <v>19</v>
      </c>
      <c r="K451" t="s">
        <v>40</v>
      </c>
      <c r="L451" t="s">
        <v>34</v>
      </c>
      <c r="M451" t="s">
        <v>42</v>
      </c>
      <c r="N451" t="s">
        <v>1000</v>
      </c>
      <c r="O451" s="4">
        <v>895.54</v>
      </c>
      <c r="P451" s="7" t="str">
        <f t="shared" ref="P451:P514" si="52">IF(Q451&lt;50, "Low", IF(Q451&lt;200, "Medium", "High"))</f>
        <v>High</v>
      </c>
      <c r="Q451" s="4">
        <v>1045</v>
      </c>
      <c r="R451" s="4">
        <v>0.216</v>
      </c>
      <c r="S451" s="4">
        <v>15</v>
      </c>
      <c r="T451" s="4">
        <f t="shared" si="49"/>
        <v>15173.8104</v>
      </c>
      <c r="U451">
        <f t="shared" si="50"/>
        <v>13433.099999999999</v>
      </c>
      <c r="V451" s="4">
        <f t="shared" ref="V451:V514" si="53">(T451-U451)</f>
        <v>1740.7104000000018</v>
      </c>
      <c r="W451" s="4">
        <f t="shared" ref="W451:W514" si="54">IF(T451=0, 0, V451/T451)</f>
        <v>0.11471808030499721</v>
      </c>
    </row>
    <row r="452" spans="1:23" x14ac:dyDescent="0.3">
      <c r="A452" t="s">
        <v>1001</v>
      </c>
      <c r="B452" s="6">
        <v>45129</v>
      </c>
      <c r="C452" s="2">
        <v>45128</v>
      </c>
      <c r="D452" s="4">
        <f>DATEDIF(C452,B452, "MD")</f>
        <v>1</v>
      </c>
      <c r="E452" s="4" t="str">
        <f>TEXT(Data!B452,"MMM-YYYY")</f>
        <v>Jan-2023</v>
      </c>
      <c r="F452" s="4" t="str">
        <f t="shared" si="51"/>
        <v>Q3-2023</v>
      </c>
      <c r="G452" t="s">
        <v>45</v>
      </c>
      <c r="H452" t="s">
        <v>60</v>
      </c>
      <c r="I452" t="s">
        <v>141</v>
      </c>
      <c r="J452" t="s">
        <v>62</v>
      </c>
      <c r="K452" t="s">
        <v>55</v>
      </c>
      <c r="L452" t="s">
        <v>63</v>
      </c>
      <c r="M452" t="s">
        <v>30</v>
      </c>
      <c r="N452" t="s">
        <v>1002</v>
      </c>
      <c r="O452" s="4">
        <v>946.99</v>
      </c>
      <c r="P452" s="7" t="str">
        <f t="shared" si="52"/>
        <v>High</v>
      </c>
      <c r="Q452" s="4">
        <v>2132.19</v>
      </c>
      <c r="R452" s="4">
        <v>0.16500000000000001</v>
      </c>
      <c r="S452" s="4">
        <v>7</v>
      </c>
      <c r="T452" s="4">
        <f t="shared" si="49"/>
        <v>1295.1351000000002</v>
      </c>
      <c r="U452">
        <f t="shared" si="50"/>
        <v>6628.93</v>
      </c>
      <c r="V452" s="4">
        <f t="shared" si="53"/>
        <v>-5333.7948999999999</v>
      </c>
      <c r="W452" s="4">
        <f t="shared" si="54"/>
        <v>-4.1183308984522151</v>
      </c>
    </row>
    <row r="453" spans="1:23" x14ac:dyDescent="0.3">
      <c r="A453" t="s">
        <v>1003</v>
      </c>
      <c r="B453" s="6">
        <v>44945</v>
      </c>
      <c r="C453" s="2">
        <v>44960</v>
      </c>
      <c r="D453" s="4">
        <f t="shared" ref="D453:D516" si="55">DATEDIF(B453,C453, "MD")</f>
        <v>15</v>
      </c>
      <c r="E453" s="4" t="str">
        <f>TEXT(Data!B453,"MMM-YYYY")</f>
        <v>May-2024</v>
      </c>
      <c r="F453" s="4" t="str">
        <f t="shared" si="51"/>
        <v>Q1-2023</v>
      </c>
      <c r="G453" t="s">
        <v>78</v>
      </c>
      <c r="H453" t="s">
        <v>108</v>
      </c>
      <c r="I453" t="s">
        <v>152</v>
      </c>
      <c r="J453" t="s">
        <v>105</v>
      </c>
      <c r="K453" t="s">
        <v>55</v>
      </c>
      <c r="L453" t="s">
        <v>41</v>
      </c>
      <c r="M453" t="s">
        <v>81</v>
      </c>
      <c r="N453" t="s">
        <v>1004</v>
      </c>
      <c r="O453" s="4">
        <v>873.06</v>
      </c>
      <c r="P453" s="7" t="str">
        <f t="shared" si="52"/>
        <v>High</v>
      </c>
      <c r="Q453" s="4">
        <v>2101.5500000000002</v>
      </c>
      <c r="R453" s="4">
        <v>6.6000000000000003E-2</v>
      </c>
      <c r="S453" s="4">
        <v>10</v>
      </c>
      <c r="T453" s="4">
        <f t="shared" si="49"/>
        <v>3365.5755999999997</v>
      </c>
      <c r="U453">
        <f t="shared" si="50"/>
        <v>8730.5999999999985</v>
      </c>
      <c r="V453" s="4">
        <f t="shared" si="53"/>
        <v>-5365.0243999999984</v>
      </c>
      <c r="W453" s="4">
        <f t="shared" si="54"/>
        <v>-1.5940882148064062</v>
      </c>
    </row>
    <row r="454" spans="1:23" x14ac:dyDescent="0.3">
      <c r="A454" t="s">
        <v>1005</v>
      </c>
      <c r="B454" s="6">
        <v>45413</v>
      </c>
      <c r="C454" s="2">
        <v>45428</v>
      </c>
      <c r="D454" s="4">
        <f t="shared" si="55"/>
        <v>15</v>
      </c>
      <c r="E454" s="4" t="str">
        <f>TEXT(Data!B454,"MMM-YYYY")</f>
        <v>Jun-2025</v>
      </c>
      <c r="F454" s="4" t="str">
        <f t="shared" si="51"/>
        <v>Q2-2024</v>
      </c>
      <c r="G454" t="s">
        <v>45</v>
      </c>
      <c r="H454" t="s">
        <v>60</v>
      </c>
      <c r="I454" t="s">
        <v>61</v>
      </c>
      <c r="J454" t="s">
        <v>62</v>
      </c>
      <c r="K454" t="s">
        <v>20</v>
      </c>
      <c r="L454" t="s">
        <v>49</v>
      </c>
      <c r="M454" t="s">
        <v>22</v>
      </c>
      <c r="N454" t="s">
        <v>1006</v>
      </c>
      <c r="O454" s="4">
        <v>901.19</v>
      </c>
      <c r="P454" s="7" t="str">
        <f t="shared" si="52"/>
        <v>High</v>
      </c>
      <c r="Q454" s="4">
        <v>2125.44</v>
      </c>
      <c r="R454" s="4">
        <v>7.0999999999999994E-2</v>
      </c>
      <c r="S454" s="4">
        <v>12</v>
      </c>
      <c r="T454" s="4">
        <f t="shared" si="49"/>
        <v>28380.689880000002</v>
      </c>
      <c r="U454">
        <f t="shared" si="50"/>
        <v>10814.28</v>
      </c>
      <c r="V454" s="4">
        <f t="shared" si="53"/>
        <v>17566.409879999999</v>
      </c>
      <c r="W454" s="4">
        <f t="shared" si="54"/>
        <v>0.61895640853956568</v>
      </c>
    </row>
    <row r="455" spans="1:23" x14ac:dyDescent="0.3">
      <c r="A455" t="s">
        <v>1007</v>
      </c>
      <c r="B455" s="6">
        <v>45817</v>
      </c>
      <c r="C455" s="2">
        <v>45832</v>
      </c>
      <c r="D455" s="4">
        <f t="shared" si="55"/>
        <v>15</v>
      </c>
      <c r="E455" s="4" t="str">
        <f>TEXT(Data!B455,"MMM-YYYY")</f>
        <v>May-2023</v>
      </c>
      <c r="F455" s="4" t="str">
        <f t="shared" si="51"/>
        <v>Q2-2025</v>
      </c>
      <c r="G455" t="s">
        <v>45</v>
      </c>
      <c r="H455" t="s">
        <v>46</v>
      </c>
      <c r="I455" t="s">
        <v>231</v>
      </c>
      <c r="J455" t="s">
        <v>19</v>
      </c>
      <c r="K455" t="s">
        <v>98</v>
      </c>
      <c r="L455" t="s">
        <v>56</v>
      </c>
      <c r="M455" t="s">
        <v>42</v>
      </c>
      <c r="N455" t="s">
        <v>1008</v>
      </c>
      <c r="O455" s="4">
        <v>400.39</v>
      </c>
      <c r="P455" s="7" t="str">
        <f t="shared" si="52"/>
        <v>High</v>
      </c>
      <c r="Q455" s="4">
        <v>712.75</v>
      </c>
      <c r="R455" s="4">
        <v>0.115</v>
      </c>
      <c r="S455" s="4">
        <v>19</v>
      </c>
      <c r="T455" s="4">
        <f t="shared" si="49"/>
        <v>11761.58805</v>
      </c>
      <c r="U455">
        <f t="shared" si="50"/>
        <v>7607.41</v>
      </c>
      <c r="V455" s="4">
        <f t="shared" si="53"/>
        <v>4154.1780500000004</v>
      </c>
      <c r="W455" s="4">
        <f t="shared" si="54"/>
        <v>0.35319873747831187</v>
      </c>
    </row>
    <row r="456" spans="1:23" x14ac:dyDescent="0.3">
      <c r="A456" t="s">
        <v>1009</v>
      </c>
      <c r="B456" s="6">
        <v>45070</v>
      </c>
      <c r="C456" s="2">
        <v>45098</v>
      </c>
      <c r="D456" s="4">
        <f t="shared" si="55"/>
        <v>28</v>
      </c>
      <c r="E456" s="4" t="str">
        <f>TEXT(Data!B456,"MMM-YYYY")</f>
        <v>Dec-2024</v>
      </c>
      <c r="F456" s="4" t="str">
        <f t="shared" si="51"/>
        <v>Q2-2023</v>
      </c>
      <c r="G456" t="s">
        <v>52</v>
      </c>
      <c r="H456" t="s">
        <v>122</v>
      </c>
      <c r="I456" t="s">
        <v>326</v>
      </c>
      <c r="J456" t="s">
        <v>62</v>
      </c>
      <c r="K456" t="s">
        <v>40</v>
      </c>
      <c r="L456" t="s">
        <v>41</v>
      </c>
      <c r="M456" t="s">
        <v>64</v>
      </c>
      <c r="N456" t="s">
        <v>1010</v>
      </c>
      <c r="O456" s="4">
        <v>813.97</v>
      </c>
      <c r="P456" s="7" t="str">
        <f t="shared" si="52"/>
        <v>High</v>
      </c>
      <c r="Q456" s="4">
        <v>1568.83</v>
      </c>
      <c r="R456" s="4">
        <v>1.7000000000000001E-2</v>
      </c>
      <c r="S456" s="4">
        <v>15</v>
      </c>
      <c r="T456" s="4">
        <f t="shared" si="49"/>
        <v>40381.984049999999</v>
      </c>
      <c r="U456">
        <f t="shared" si="50"/>
        <v>12209.550000000001</v>
      </c>
      <c r="V456" s="4">
        <f t="shared" si="53"/>
        <v>28172.434049999996</v>
      </c>
      <c r="W456" s="4">
        <f t="shared" si="54"/>
        <v>0.69764858544636066</v>
      </c>
    </row>
    <row r="457" spans="1:23" x14ac:dyDescent="0.3">
      <c r="A457" t="s">
        <v>1011</v>
      </c>
      <c r="B457" s="6">
        <v>45653</v>
      </c>
      <c r="C457" s="2">
        <v>45655</v>
      </c>
      <c r="D457" s="4">
        <f t="shared" si="55"/>
        <v>2</v>
      </c>
      <c r="E457" s="4" t="str">
        <f>TEXT(Data!B457,"MMM-YYYY")</f>
        <v>Dec-2023</v>
      </c>
      <c r="F457" s="4" t="str">
        <f t="shared" si="51"/>
        <v>Q4-2024</v>
      </c>
      <c r="G457" t="s">
        <v>52</v>
      </c>
      <c r="H457" t="s">
        <v>53</v>
      </c>
      <c r="I457" t="s">
        <v>179</v>
      </c>
      <c r="J457" t="s">
        <v>105</v>
      </c>
      <c r="K457" t="s">
        <v>40</v>
      </c>
      <c r="L457" t="s">
        <v>21</v>
      </c>
      <c r="M457" t="s">
        <v>81</v>
      </c>
      <c r="N457" t="s">
        <v>1012</v>
      </c>
      <c r="O457" s="4">
        <v>1146.72</v>
      </c>
      <c r="P457" s="7" t="str">
        <f t="shared" si="52"/>
        <v>High</v>
      </c>
      <c r="Q457" s="4">
        <v>2074.34</v>
      </c>
      <c r="R457" s="4">
        <v>0.111</v>
      </c>
      <c r="S457" s="4">
        <v>8</v>
      </c>
      <c r="T457" s="4">
        <f t="shared" si="49"/>
        <v>674.07536000000005</v>
      </c>
      <c r="U457">
        <f t="shared" si="50"/>
        <v>9173.76</v>
      </c>
      <c r="V457" s="4">
        <f t="shared" si="53"/>
        <v>-8499.6846399999995</v>
      </c>
      <c r="W457" s="4">
        <f t="shared" si="54"/>
        <v>-12.60939821327989</v>
      </c>
    </row>
    <row r="458" spans="1:23" x14ac:dyDescent="0.3">
      <c r="A458" t="s">
        <v>1013</v>
      </c>
      <c r="B458" s="6">
        <v>45265</v>
      </c>
      <c r="C458" s="2">
        <v>45272</v>
      </c>
      <c r="D458" s="4">
        <f t="shared" si="55"/>
        <v>7</v>
      </c>
      <c r="E458" s="4" t="str">
        <f>TEXT(Data!B458,"MMM-YYYY")</f>
        <v>May-2023</v>
      </c>
      <c r="F458" s="4" t="str">
        <f t="shared" si="51"/>
        <v>Q4-2023</v>
      </c>
      <c r="G458" t="s">
        <v>52</v>
      </c>
      <c r="H458" t="s">
        <v>73</v>
      </c>
      <c r="I458" t="s">
        <v>87</v>
      </c>
      <c r="J458" t="s">
        <v>19</v>
      </c>
      <c r="K458" t="s">
        <v>98</v>
      </c>
      <c r="L458" t="s">
        <v>84</v>
      </c>
      <c r="M458" t="s">
        <v>42</v>
      </c>
      <c r="N458" t="s">
        <v>1014</v>
      </c>
      <c r="O458" s="4">
        <v>307.43</v>
      </c>
      <c r="P458" s="7" t="str">
        <f t="shared" si="52"/>
        <v>High</v>
      </c>
      <c r="Q458" s="4">
        <v>495.19</v>
      </c>
      <c r="R458" s="4">
        <v>0</v>
      </c>
      <c r="S458" s="4">
        <v>42</v>
      </c>
      <c r="T458" s="4">
        <f t="shared" si="49"/>
        <v>116648.7</v>
      </c>
      <c r="U458">
        <f t="shared" si="50"/>
        <v>12912.06</v>
      </c>
      <c r="V458" s="4">
        <f t="shared" si="53"/>
        <v>103736.64</v>
      </c>
      <c r="W458" s="4">
        <f t="shared" si="54"/>
        <v>0.88930815345563219</v>
      </c>
    </row>
    <row r="459" spans="1:23" x14ac:dyDescent="0.3">
      <c r="A459" t="s">
        <v>1015</v>
      </c>
      <c r="B459" s="6">
        <v>45048</v>
      </c>
      <c r="C459" s="2">
        <v>45065</v>
      </c>
      <c r="D459" s="4">
        <f t="shared" si="55"/>
        <v>17</v>
      </c>
      <c r="E459" s="4" t="str">
        <f>TEXT(Data!B459,"MMM-YYYY")</f>
        <v>Nov-2023</v>
      </c>
      <c r="F459" s="4" t="str">
        <f t="shared" si="51"/>
        <v>Q2-2023</v>
      </c>
      <c r="G459" t="s">
        <v>45</v>
      </c>
      <c r="H459" t="s">
        <v>116</v>
      </c>
      <c r="I459" t="s">
        <v>162</v>
      </c>
      <c r="J459" t="s">
        <v>39</v>
      </c>
      <c r="K459" t="s">
        <v>98</v>
      </c>
      <c r="L459" t="s">
        <v>29</v>
      </c>
      <c r="M459" t="s">
        <v>64</v>
      </c>
      <c r="N459" t="s">
        <v>1016</v>
      </c>
      <c r="O459" s="4">
        <v>714.28</v>
      </c>
      <c r="P459" s="7" t="str">
        <f t="shared" si="52"/>
        <v>High</v>
      </c>
      <c r="Q459" s="4">
        <v>757.59</v>
      </c>
      <c r="R459" s="4">
        <v>0.13600000000000001</v>
      </c>
      <c r="S459" s="4">
        <v>12</v>
      </c>
      <c r="T459" s="4">
        <f t="shared" si="49"/>
        <v>5102.9222399999999</v>
      </c>
      <c r="U459">
        <f t="shared" si="50"/>
        <v>8571.36</v>
      </c>
      <c r="V459" s="4">
        <f t="shared" si="53"/>
        <v>-3468.4377600000007</v>
      </c>
      <c r="W459" s="4">
        <f t="shared" si="54"/>
        <v>-0.67969637726637211</v>
      </c>
    </row>
    <row r="460" spans="1:23" x14ac:dyDescent="0.3">
      <c r="A460" t="s">
        <v>1017</v>
      </c>
      <c r="B460" s="6">
        <v>45260</v>
      </c>
      <c r="C460" s="2">
        <v>45270</v>
      </c>
      <c r="D460" s="4">
        <f t="shared" si="55"/>
        <v>10</v>
      </c>
      <c r="E460" s="4" t="str">
        <f>TEXT(Data!B460,"MMM-YYYY")</f>
        <v>May-2024</v>
      </c>
      <c r="F460" s="4" t="str">
        <f t="shared" si="51"/>
        <v>Q4-2023</v>
      </c>
      <c r="G460" t="s">
        <v>78</v>
      </c>
      <c r="H460" t="s">
        <v>79</v>
      </c>
      <c r="I460" t="s">
        <v>159</v>
      </c>
      <c r="J460" t="s">
        <v>62</v>
      </c>
      <c r="K460" t="s">
        <v>98</v>
      </c>
      <c r="L460" t="s">
        <v>84</v>
      </c>
      <c r="M460" t="s">
        <v>57</v>
      </c>
      <c r="N460" t="s">
        <v>1018</v>
      </c>
      <c r="O460" s="4">
        <v>174.74</v>
      </c>
      <c r="P460" s="7" t="str">
        <f t="shared" si="52"/>
        <v>High</v>
      </c>
      <c r="Q460" s="4">
        <v>415.96</v>
      </c>
      <c r="R460" s="4">
        <v>0.125</v>
      </c>
      <c r="S460" s="4">
        <v>21</v>
      </c>
      <c r="T460" s="4">
        <f t="shared" si="49"/>
        <v>35310.318749999999</v>
      </c>
      <c r="U460">
        <f t="shared" si="50"/>
        <v>3669.54</v>
      </c>
      <c r="V460" s="4">
        <f t="shared" si="53"/>
        <v>31640.778749999998</v>
      </c>
      <c r="W460" s="4">
        <f t="shared" si="54"/>
        <v>0.89607740371927391</v>
      </c>
    </row>
    <row r="461" spans="1:23" x14ac:dyDescent="0.3">
      <c r="A461" t="s">
        <v>1019</v>
      </c>
      <c r="B461" s="6">
        <v>45417</v>
      </c>
      <c r="C461" s="2">
        <v>45430</v>
      </c>
      <c r="D461" s="4">
        <f t="shared" si="55"/>
        <v>13</v>
      </c>
      <c r="E461" s="4" t="str">
        <f>TEXT(Data!B461,"MMM-YYYY")</f>
        <v>Jul-2023</v>
      </c>
      <c r="F461" s="4" t="str">
        <f t="shared" si="51"/>
        <v>Q2-2024</v>
      </c>
      <c r="G461" t="s">
        <v>78</v>
      </c>
      <c r="H461" t="s">
        <v>90</v>
      </c>
      <c r="I461" t="s">
        <v>91</v>
      </c>
      <c r="J461" t="s">
        <v>19</v>
      </c>
      <c r="K461" t="s">
        <v>40</v>
      </c>
      <c r="L461" t="s">
        <v>75</v>
      </c>
      <c r="M461" t="s">
        <v>22</v>
      </c>
      <c r="N461" t="s">
        <v>1020</v>
      </c>
      <c r="O461" s="4">
        <v>1264.04</v>
      </c>
      <c r="P461" s="7" t="str">
        <f t="shared" si="52"/>
        <v>High</v>
      </c>
      <c r="Q461" s="4">
        <v>1870.89</v>
      </c>
      <c r="R461" s="4">
        <v>0</v>
      </c>
      <c r="S461" s="4">
        <v>13</v>
      </c>
      <c r="T461" s="4">
        <f t="shared" si="49"/>
        <v>3774.29</v>
      </c>
      <c r="U461">
        <f t="shared" si="50"/>
        <v>16432.52</v>
      </c>
      <c r="V461" s="4">
        <f t="shared" si="53"/>
        <v>-12658.23</v>
      </c>
      <c r="W461" s="4">
        <f t="shared" si="54"/>
        <v>-3.3538042916681019</v>
      </c>
    </row>
    <row r="462" spans="1:23" x14ac:dyDescent="0.3">
      <c r="A462" t="s">
        <v>1021</v>
      </c>
      <c r="B462" s="6">
        <v>45116</v>
      </c>
      <c r="C462" s="2">
        <v>45126</v>
      </c>
      <c r="D462" s="4">
        <f t="shared" si="55"/>
        <v>10</v>
      </c>
      <c r="E462" s="4" t="str">
        <f>TEXT(Data!B462,"MMM-YYYY")</f>
        <v>May-2023</v>
      </c>
      <c r="F462" s="4" t="str">
        <f t="shared" si="51"/>
        <v>Q3-2023</v>
      </c>
      <c r="G462" t="s">
        <v>45</v>
      </c>
      <c r="H462" t="s">
        <v>46</v>
      </c>
      <c r="I462" t="s">
        <v>214</v>
      </c>
      <c r="J462" t="s">
        <v>105</v>
      </c>
      <c r="K462" t="s">
        <v>55</v>
      </c>
      <c r="L462" t="s">
        <v>126</v>
      </c>
      <c r="M462" t="s">
        <v>22</v>
      </c>
      <c r="N462" t="s">
        <v>1022</v>
      </c>
      <c r="O462" s="4">
        <v>141.26</v>
      </c>
      <c r="P462" s="7" t="str">
        <f t="shared" si="52"/>
        <v>High</v>
      </c>
      <c r="Q462" s="4">
        <v>206.88</v>
      </c>
      <c r="R462" s="4">
        <v>0.107</v>
      </c>
      <c r="S462" s="4">
        <v>9</v>
      </c>
      <c r="T462" s="4">
        <f t="shared" si="49"/>
        <v>4845.6680399999996</v>
      </c>
      <c r="U462">
        <f t="shared" si="50"/>
        <v>1271.3399999999999</v>
      </c>
      <c r="V462" s="4">
        <f t="shared" si="53"/>
        <v>3574.3280399999994</v>
      </c>
      <c r="W462" s="4">
        <f t="shared" si="54"/>
        <v>0.737633698902742</v>
      </c>
    </row>
    <row r="463" spans="1:23" x14ac:dyDescent="0.3">
      <c r="A463" t="s">
        <v>1023</v>
      </c>
      <c r="B463" s="6">
        <v>45063</v>
      </c>
      <c r="C463" s="2">
        <v>45092</v>
      </c>
      <c r="D463" s="4">
        <f t="shared" si="55"/>
        <v>29</v>
      </c>
      <c r="E463" s="4" t="str">
        <f>TEXT(Data!B463,"MMM-YYYY")</f>
        <v>Mar-2024</v>
      </c>
      <c r="F463" s="4" t="str">
        <f t="shared" si="51"/>
        <v>Q2-2023</v>
      </c>
      <c r="G463" t="s">
        <v>16</v>
      </c>
      <c r="H463" t="s">
        <v>148</v>
      </c>
      <c r="I463" t="s">
        <v>172</v>
      </c>
      <c r="J463" t="s">
        <v>105</v>
      </c>
      <c r="K463" t="s">
        <v>20</v>
      </c>
      <c r="L463" t="s">
        <v>95</v>
      </c>
      <c r="M463" t="s">
        <v>81</v>
      </c>
      <c r="N463" t="s">
        <v>1024</v>
      </c>
      <c r="O463" s="4">
        <v>40.89</v>
      </c>
      <c r="P463" s="7" t="str">
        <f t="shared" si="52"/>
        <v>Medium</v>
      </c>
      <c r="Q463" s="4">
        <v>62.82</v>
      </c>
      <c r="R463" s="4">
        <v>0.129</v>
      </c>
      <c r="S463" s="4">
        <v>17</v>
      </c>
      <c r="T463" s="4">
        <f t="shared" si="49"/>
        <v>30761.5425</v>
      </c>
      <c r="U463">
        <f t="shared" si="50"/>
        <v>695.13</v>
      </c>
      <c r="V463" s="4">
        <f t="shared" si="53"/>
        <v>30066.412499999999</v>
      </c>
      <c r="W463" s="4">
        <f t="shared" si="54"/>
        <v>0.97740262862306071</v>
      </c>
    </row>
    <row r="464" spans="1:23" x14ac:dyDescent="0.3">
      <c r="A464" t="s">
        <v>1025</v>
      </c>
      <c r="B464" s="6">
        <v>45358</v>
      </c>
      <c r="C464" s="2">
        <v>45385</v>
      </c>
      <c r="D464" s="4">
        <f t="shared" si="55"/>
        <v>27</v>
      </c>
      <c r="E464" s="4" t="str">
        <f>TEXT(Data!B464,"MMM-YYYY")</f>
        <v>Apr-2025</v>
      </c>
      <c r="F464" s="4" t="str">
        <f t="shared" si="51"/>
        <v>Q1-2024</v>
      </c>
      <c r="G464" t="s">
        <v>78</v>
      </c>
      <c r="H464" t="s">
        <v>79</v>
      </c>
      <c r="I464" t="s">
        <v>335</v>
      </c>
      <c r="J464" t="s">
        <v>19</v>
      </c>
      <c r="K464" t="s">
        <v>98</v>
      </c>
      <c r="L464" t="s">
        <v>110</v>
      </c>
      <c r="M464" t="s">
        <v>30</v>
      </c>
      <c r="N464" t="s">
        <v>1026</v>
      </c>
      <c r="O464" s="4">
        <v>738.16</v>
      </c>
      <c r="P464" s="7" t="str">
        <f t="shared" si="52"/>
        <v>High</v>
      </c>
      <c r="Q464" s="4">
        <v>956.49</v>
      </c>
      <c r="R464" s="4">
        <v>0.152</v>
      </c>
      <c r="S464" s="4">
        <v>5</v>
      </c>
      <c r="T464" s="4">
        <f t="shared" si="49"/>
        <v>733.01119999999992</v>
      </c>
      <c r="U464">
        <f t="shared" si="50"/>
        <v>3690.7999999999997</v>
      </c>
      <c r="V464" s="4">
        <f t="shared" si="53"/>
        <v>-2957.7887999999998</v>
      </c>
      <c r="W464" s="4">
        <f t="shared" si="54"/>
        <v>-4.0351208821911593</v>
      </c>
    </row>
    <row r="465" spans="1:23" x14ac:dyDescent="0.3">
      <c r="A465" t="s">
        <v>1027</v>
      </c>
      <c r="B465" s="6">
        <v>45757</v>
      </c>
      <c r="C465" s="2">
        <v>45766</v>
      </c>
      <c r="D465" s="4">
        <f t="shared" si="55"/>
        <v>9</v>
      </c>
      <c r="E465" s="4" t="str">
        <f>TEXT(Data!B465,"MMM-YYYY")</f>
        <v>Jul-2025</v>
      </c>
      <c r="F465" s="4" t="str">
        <f t="shared" si="51"/>
        <v>Q2-2025</v>
      </c>
      <c r="G465" t="s">
        <v>16</v>
      </c>
      <c r="H465" t="s">
        <v>148</v>
      </c>
      <c r="I465" t="s">
        <v>172</v>
      </c>
      <c r="J465" t="s">
        <v>105</v>
      </c>
      <c r="K465" t="s">
        <v>1364</v>
      </c>
      <c r="L465" t="s">
        <v>41</v>
      </c>
      <c r="M465" t="s">
        <v>35</v>
      </c>
      <c r="N465" t="s">
        <v>1028</v>
      </c>
      <c r="O465" s="4">
        <v>113.74</v>
      </c>
      <c r="P465" s="7" t="str">
        <f t="shared" si="52"/>
        <v>Medium</v>
      </c>
      <c r="Q465" s="4">
        <v>165.7</v>
      </c>
      <c r="R465" s="4">
        <v>0.124</v>
      </c>
      <c r="S465" s="4">
        <v>13</v>
      </c>
      <c r="T465" s="4">
        <f t="shared" si="49"/>
        <v>31644.291119999994</v>
      </c>
      <c r="U465">
        <f t="shared" si="50"/>
        <v>1478.62</v>
      </c>
      <c r="V465" s="4">
        <f t="shared" si="53"/>
        <v>30165.671119999995</v>
      </c>
      <c r="W465" s="4">
        <f t="shared" si="54"/>
        <v>0.95327372022988777</v>
      </c>
    </row>
    <row r="466" spans="1:23" x14ac:dyDescent="0.3">
      <c r="A466" t="s">
        <v>1029</v>
      </c>
      <c r="B466" s="6">
        <v>45865</v>
      </c>
      <c r="C466" s="2">
        <v>45884</v>
      </c>
      <c r="D466" s="4">
        <f t="shared" si="55"/>
        <v>19</v>
      </c>
      <c r="E466" s="4" t="str">
        <f>TEXT(Data!B466,"MMM-YYYY")</f>
        <v>Nov-2024</v>
      </c>
      <c r="F466" s="4" t="str">
        <f t="shared" si="51"/>
        <v>Q3-2025</v>
      </c>
      <c r="G466" t="s">
        <v>45</v>
      </c>
      <c r="H466" t="s">
        <v>46</v>
      </c>
      <c r="I466" t="s">
        <v>214</v>
      </c>
      <c r="J466" t="s">
        <v>62</v>
      </c>
      <c r="K466" t="s">
        <v>40</v>
      </c>
      <c r="L466" t="s">
        <v>29</v>
      </c>
      <c r="M466" t="s">
        <v>22</v>
      </c>
      <c r="N466" t="s">
        <v>1030</v>
      </c>
      <c r="O466" s="4">
        <v>275.43</v>
      </c>
      <c r="P466" s="7" t="str">
        <f t="shared" si="52"/>
        <v>High</v>
      </c>
      <c r="Q466" s="4">
        <v>608.36</v>
      </c>
      <c r="R466" s="4">
        <v>0.25700000000000001</v>
      </c>
      <c r="S466" s="4">
        <v>4</v>
      </c>
      <c r="T466" s="4">
        <f t="shared" si="49"/>
        <v>919.74484000000007</v>
      </c>
      <c r="U466">
        <f t="shared" si="50"/>
        <v>1101.72</v>
      </c>
      <c r="V466" s="4">
        <f t="shared" si="53"/>
        <v>-181.97515999999996</v>
      </c>
      <c r="W466" s="4">
        <f t="shared" si="54"/>
        <v>-0.19785396132257718</v>
      </c>
    </row>
    <row r="467" spans="1:23" x14ac:dyDescent="0.3">
      <c r="A467" t="s">
        <v>1031</v>
      </c>
      <c r="B467" s="6">
        <v>45618</v>
      </c>
      <c r="C467" s="2">
        <v>45641</v>
      </c>
      <c r="D467" s="4">
        <f t="shared" si="55"/>
        <v>23</v>
      </c>
      <c r="E467" s="4" t="str">
        <f>TEXT(Data!B467,"MMM-YYYY")</f>
        <v>Jun-2024</v>
      </c>
      <c r="F467" s="4" t="str">
        <f t="shared" si="51"/>
        <v>Q4-2024</v>
      </c>
      <c r="G467" t="s">
        <v>16</v>
      </c>
      <c r="H467" t="s">
        <v>17</v>
      </c>
      <c r="I467" t="s">
        <v>113</v>
      </c>
      <c r="J467" t="s">
        <v>39</v>
      </c>
      <c r="K467" t="s">
        <v>55</v>
      </c>
      <c r="L467" t="s">
        <v>21</v>
      </c>
      <c r="M467" t="s">
        <v>22</v>
      </c>
      <c r="N467" t="s">
        <v>1032</v>
      </c>
      <c r="O467" s="4">
        <v>1335.76</v>
      </c>
      <c r="P467" s="7" t="str">
        <f t="shared" si="52"/>
        <v>High</v>
      </c>
      <c r="Q467" s="4">
        <v>2665.91</v>
      </c>
      <c r="R467" s="4">
        <v>0.21099999999999999</v>
      </c>
      <c r="S467" s="4">
        <v>40</v>
      </c>
      <c r="T467" s="4">
        <f t="shared" si="49"/>
        <v>21031.899600000001</v>
      </c>
      <c r="U467">
        <f t="shared" si="50"/>
        <v>53430.400000000001</v>
      </c>
      <c r="V467" s="4">
        <f t="shared" si="53"/>
        <v>-32398.500400000001</v>
      </c>
      <c r="W467" s="4">
        <f t="shared" si="54"/>
        <v>-1.5404457522229709</v>
      </c>
    </row>
    <row r="468" spans="1:23" x14ac:dyDescent="0.3">
      <c r="A468" t="s">
        <v>1033</v>
      </c>
      <c r="B468" s="6">
        <v>45466</v>
      </c>
      <c r="C468" s="2">
        <v>45471</v>
      </c>
      <c r="D468" s="4">
        <f t="shared" si="55"/>
        <v>5</v>
      </c>
      <c r="E468" s="4" t="str">
        <f>TEXT(Data!B468,"MMM-YYYY")</f>
        <v>Dec-2023</v>
      </c>
      <c r="F468" s="4" t="str">
        <f t="shared" si="51"/>
        <v>Q2-2024</v>
      </c>
      <c r="G468" t="s">
        <v>16</v>
      </c>
      <c r="H468" t="s">
        <v>25</v>
      </c>
      <c r="I468" t="s">
        <v>26</v>
      </c>
      <c r="J468" t="s">
        <v>39</v>
      </c>
      <c r="K468" t="s">
        <v>98</v>
      </c>
      <c r="L468" t="s">
        <v>110</v>
      </c>
      <c r="M468" t="s">
        <v>81</v>
      </c>
      <c r="N468" t="s">
        <v>1034</v>
      </c>
      <c r="O468" s="4">
        <v>242.31</v>
      </c>
      <c r="P468" s="7" t="str">
        <f t="shared" si="52"/>
        <v>High</v>
      </c>
      <c r="Q468" s="4">
        <v>587.95000000000005</v>
      </c>
      <c r="R468" s="4">
        <v>0.22900000000000001</v>
      </c>
      <c r="S468" s="4">
        <v>6</v>
      </c>
      <c r="T468" s="4">
        <f t="shared" si="49"/>
        <v>3442.9930199999999</v>
      </c>
      <c r="U468">
        <f t="shared" si="50"/>
        <v>1453.8600000000001</v>
      </c>
      <c r="V468" s="4">
        <f t="shared" si="53"/>
        <v>1989.1330199999998</v>
      </c>
      <c r="W468" s="4">
        <f t="shared" si="54"/>
        <v>0.57773367777550699</v>
      </c>
    </row>
    <row r="469" spans="1:23" x14ac:dyDescent="0.3">
      <c r="A469" t="s">
        <v>1035</v>
      </c>
      <c r="B469" s="6">
        <v>45278</v>
      </c>
      <c r="C469" s="2">
        <v>45305</v>
      </c>
      <c r="D469" s="4">
        <f t="shared" si="55"/>
        <v>27</v>
      </c>
      <c r="E469" s="4" t="str">
        <f>TEXT(Data!B469,"MMM-YYYY")</f>
        <v>Jun-2025</v>
      </c>
      <c r="F469" s="4" t="str">
        <f t="shared" si="51"/>
        <v>Q4-2023</v>
      </c>
      <c r="G469" t="s">
        <v>45</v>
      </c>
      <c r="H469" t="s">
        <v>60</v>
      </c>
      <c r="I469" t="s">
        <v>220</v>
      </c>
      <c r="J469" t="s">
        <v>48</v>
      </c>
      <c r="K469" t="s">
        <v>55</v>
      </c>
      <c r="L469" t="s">
        <v>145</v>
      </c>
      <c r="M469" t="s">
        <v>35</v>
      </c>
      <c r="N469" t="s">
        <v>1036</v>
      </c>
      <c r="O469" s="4">
        <v>1408.3</v>
      </c>
      <c r="P469" s="7" t="str">
        <f t="shared" si="52"/>
        <v>High</v>
      </c>
      <c r="Q469" s="4">
        <v>2193.13</v>
      </c>
      <c r="R469" s="4">
        <v>7.0999999999999994E-2</v>
      </c>
      <c r="S469" s="4">
        <v>7</v>
      </c>
      <c r="T469" s="4">
        <f t="shared" si="49"/>
        <v>82.523070000000004</v>
      </c>
      <c r="U469">
        <f t="shared" si="50"/>
        <v>9858.1</v>
      </c>
      <c r="V469" s="4">
        <f t="shared" si="53"/>
        <v>-9775.5769300000011</v>
      </c>
      <c r="W469" s="4">
        <f t="shared" si="54"/>
        <v>-118.45871621111527</v>
      </c>
    </row>
    <row r="470" spans="1:23" x14ac:dyDescent="0.3">
      <c r="A470" t="s">
        <v>1037</v>
      </c>
      <c r="B470" s="6">
        <v>45809</v>
      </c>
      <c r="C470" s="2">
        <v>45813</v>
      </c>
      <c r="D470" s="4">
        <f t="shared" si="55"/>
        <v>4</v>
      </c>
      <c r="E470" s="4" t="str">
        <f>TEXT(Data!B470,"MMM-YYYY")</f>
        <v>Mar-2025</v>
      </c>
      <c r="F470" s="4" t="str">
        <f t="shared" si="51"/>
        <v>Q2-2025</v>
      </c>
      <c r="G470" t="s">
        <v>78</v>
      </c>
      <c r="H470" t="s">
        <v>79</v>
      </c>
      <c r="I470" t="s">
        <v>159</v>
      </c>
      <c r="J470" t="s">
        <v>105</v>
      </c>
      <c r="K470" t="s">
        <v>98</v>
      </c>
      <c r="L470" t="s">
        <v>110</v>
      </c>
      <c r="M470" t="s">
        <v>22</v>
      </c>
      <c r="N470" t="s">
        <v>1038</v>
      </c>
      <c r="O470" s="4">
        <v>1171.42</v>
      </c>
      <c r="P470" s="7" t="str">
        <f t="shared" si="52"/>
        <v>High</v>
      </c>
      <c r="Q470" s="4">
        <v>2187.8000000000002</v>
      </c>
      <c r="R470" s="4">
        <v>0.23</v>
      </c>
      <c r="S470" s="4">
        <v>15</v>
      </c>
      <c r="T470" s="4">
        <f t="shared" si="49"/>
        <v>7525.518</v>
      </c>
      <c r="U470">
        <f t="shared" si="50"/>
        <v>17571.300000000003</v>
      </c>
      <c r="V470" s="4">
        <f t="shared" si="53"/>
        <v>-10045.782000000003</v>
      </c>
      <c r="W470" s="4">
        <f t="shared" si="54"/>
        <v>-1.3348957506978261</v>
      </c>
    </row>
    <row r="471" spans="1:23" x14ac:dyDescent="0.3">
      <c r="A471" t="s">
        <v>1039</v>
      </c>
      <c r="B471" s="6">
        <v>45739</v>
      </c>
      <c r="C471" s="2">
        <v>45749</v>
      </c>
      <c r="D471" s="4">
        <f t="shared" si="55"/>
        <v>10</v>
      </c>
      <c r="E471" s="4" t="str">
        <f>TEXT(Data!B471,"MMM-YYYY")</f>
        <v>May-2023</v>
      </c>
      <c r="F471" s="4" t="str">
        <f t="shared" si="51"/>
        <v>Q1-2025</v>
      </c>
      <c r="G471" t="s">
        <v>78</v>
      </c>
      <c r="H471" t="s">
        <v>79</v>
      </c>
      <c r="I471" t="s">
        <v>80</v>
      </c>
      <c r="J471" t="s">
        <v>105</v>
      </c>
      <c r="K471" t="s">
        <v>28</v>
      </c>
      <c r="L471" t="s">
        <v>63</v>
      </c>
      <c r="M471" t="s">
        <v>30</v>
      </c>
      <c r="N471" t="s">
        <v>1040</v>
      </c>
      <c r="O471" s="4">
        <v>663.61</v>
      </c>
      <c r="P471" s="7" t="str">
        <f t="shared" si="52"/>
        <v>High</v>
      </c>
      <c r="Q471" s="4">
        <v>1002.11</v>
      </c>
      <c r="R471" s="4">
        <v>4.5999999999999999E-2</v>
      </c>
      <c r="S471" s="4">
        <v>17</v>
      </c>
      <c r="T471" s="4">
        <f t="shared" si="49"/>
        <v>12231.93996</v>
      </c>
      <c r="U471">
        <f t="shared" si="50"/>
        <v>11281.37</v>
      </c>
      <c r="V471" s="4">
        <f t="shared" si="53"/>
        <v>950.5699599999989</v>
      </c>
      <c r="W471" s="4">
        <f t="shared" si="54"/>
        <v>7.7712117874064429E-2</v>
      </c>
    </row>
    <row r="472" spans="1:23" x14ac:dyDescent="0.3">
      <c r="A472" t="s">
        <v>1041</v>
      </c>
      <c r="B472" s="6">
        <v>45060</v>
      </c>
      <c r="C472" s="2">
        <v>45068</v>
      </c>
      <c r="D472" s="4">
        <f t="shared" si="55"/>
        <v>8</v>
      </c>
      <c r="E472" s="4" t="str">
        <f>TEXT(Data!B472,"MMM-YYYY")</f>
        <v>Aug-2023</v>
      </c>
      <c r="F472" s="4" t="str">
        <f t="shared" si="51"/>
        <v>Q2-2023</v>
      </c>
      <c r="G472" t="s">
        <v>16</v>
      </c>
      <c r="H472" t="s">
        <v>17</v>
      </c>
      <c r="I472" t="s">
        <v>113</v>
      </c>
      <c r="J472" t="s">
        <v>62</v>
      </c>
      <c r="K472" t="s">
        <v>55</v>
      </c>
      <c r="L472" t="s">
        <v>84</v>
      </c>
      <c r="M472" t="s">
        <v>30</v>
      </c>
      <c r="N472" t="s">
        <v>1042</v>
      </c>
      <c r="O472" s="4">
        <v>432.01</v>
      </c>
      <c r="P472" s="7" t="str">
        <f t="shared" si="52"/>
        <v>High</v>
      </c>
      <c r="Q472" s="4">
        <v>913.78</v>
      </c>
      <c r="R472" s="4">
        <v>4.9000000000000002E-2</v>
      </c>
      <c r="S472" s="4">
        <v>12</v>
      </c>
      <c r="T472" s="4">
        <f t="shared" si="49"/>
        <v>34019.286120000004</v>
      </c>
      <c r="U472">
        <f t="shared" si="50"/>
        <v>5184.12</v>
      </c>
      <c r="V472" s="4">
        <f t="shared" si="53"/>
        <v>28835.166120000005</v>
      </c>
      <c r="W472" s="4">
        <f t="shared" si="54"/>
        <v>0.84761232255981278</v>
      </c>
    </row>
    <row r="473" spans="1:23" x14ac:dyDescent="0.3">
      <c r="A473" t="s">
        <v>1043</v>
      </c>
      <c r="B473" s="6">
        <v>45167</v>
      </c>
      <c r="C473" s="2">
        <v>45188</v>
      </c>
      <c r="D473" s="4">
        <f t="shared" si="55"/>
        <v>21</v>
      </c>
      <c r="E473" s="4" t="str">
        <f>TEXT(Data!B473,"MMM-YYYY")</f>
        <v>Jul-2025</v>
      </c>
      <c r="F473" s="4" t="str">
        <f t="shared" si="51"/>
        <v>Q3-2023</v>
      </c>
      <c r="G473" t="s">
        <v>78</v>
      </c>
      <c r="H473" t="s">
        <v>90</v>
      </c>
      <c r="I473" t="s">
        <v>138</v>
      </c>
      <c r="J473" t="s">
        <v>62</v>
      </c>
      <c r="K473" t="s">
        <v>98</v>
      </c>
      <c r="L473" t="s">
        <v>56</v>
      </c>
      <c r="M473" t="s">
        <v>30</v>
      </c>
      <c r="N473" t="s">
        <v>1044</v>
      </c>
      <c r="O473" s="4">
        <v>784.46</v>
      </c>
      <c r="P473" s="7" t="str">
        <f t="shared" si="52"/>
        <v>High</v>
      </c>
      <c r="Q473" s="4">
        <v>1843.51</v>
      </c>
      <c r="R473" s="4">
        <v>0.13800000000000001</v>
      </c>
      <c r="S473" s="4">
        <v>23</v>
      </c>
      <c r="T473" s="4">
        <f t="shared" si="49"/>
        <v>19353.546419999999</v>
      </c>
      <c r="U473">
        <f t="shared" si="50"/>
        <v>18042.580000000002</v>
      </c>
      <c r="V473" s="4">
        <f t="shared" si="53"/>
        <v>1310.966419999997</v>
      </c>
      <c r="W473" s="4">
        <f t="shared" si="54"/>
        <v>6.7737787770268371E-2</v>
      </c>
    </row>
    <row r="474" spans="1:23" x14ac:dyDescent="0.3">
      <c r="A474" t="s">
        <v>1045</v>
      </c>
      <c r="B474" s="6">
        <v>45841</v>
      </c>
      <c r="C474" s="2">
        <v>45861</v>
      </c>
      <c r="D474" s="4">
        <f t="shared" si="55"/>
        <v>20</v>
      </c>
      <c r="E474" s="4" t="str">
        <f>TEXT(Data!B474,"MMM-YYYY")</f>
        <v>Feb-2024</v>
      </c>
      <c r="F474" s="4" t="str">
        <f t="shared" si="51"/>
        <v>Q3-2025</v>
      </c>
      <c r="G474" t="s">
        <v>45</v>
      </c>
      <c r="H474" t="s">
        <v>116</v>
      </c>
      <c r="I474" t="s">
        <v>338</v>
      </c>
      <c r="J474" t="s">
        <v>62</v>
      </c>
      <c r="K474" t="s">
        <v>28</v>
      </c>
      <c r="L474" t="s">
        <v>110</v>
      </c>
      <c r="M474" t="s">
        <v>22</v>
      </c>
      <c r="N474" t="s">
        <v>1046</v>
      </c>
      <c r="O474" s="4">
        <v>647.36</v>
      </c>
      <c r="P474" s="7" t="str">
        <f t="shared" si="52"/>
        <v>High</v>
      </c>
      <c r="Q474" s="4">
        <v>1383.6</v>
      </c>
      <c r="R474" s="4">
        <v>7.3999999999999996E-2</v>
      </c>
      <c r="S474" s="4">
        <v>12</v>
      </c>
      <c r="T474" s="4">
        <f t="shared" si="49"/>
        <v>12733.240800000001</v>
      </c>
      <c r="U474">
        <f t="shared" si="50"/>
        <v>7768.32</v>
      </c>
      <c r="V474" s="4">
        <f t="shared" si="53"/>
        <v>4964.9208000000017</v>
      </c>
      <c r="W474" s="4">
        <f t="shared" si="54"/>
        <v>0.38991807961410746</v>
      </c>
    </row>
    <row r="475" spans="1:23" x14ac:dyDescent="0.3">
      <c r="A475" t="s">
        <v>1047</v>
      </c>
      <c r="B475" s="6">
        <v>45328</v>
      </c>
      <c r="C475" s="2">
        <v>45350</v>
      </c>
      <c r="D475" s="4">
        <f t="shared" si="55"/>
        <v>22</v>
      </c>
      <c r="E475" s="4" t="str">
        <f>TEXT(Data!B475,"MMM-YYYY")</f>
        <v>Aug-2025</v>
      </c>
      <c r="F475" s="4" t="str">
        <f t="shared" si="51"/>
        <v>Q1-2024</v>
      </c>
      <c r="G475" t="s">
        <v>16</v>
      </c>
      <c r="H475" t="s">
        <v>17</v>
      </c>
      <c r="I475" t="s">
        <v>18</v>
      </c>
      <c r="J475" t="s">
        <v>39</v>
      </c>
      <c r="K475" t="s">
        <v>28</v>
      </c>
      <c r="L475" t="s">
        <v>95</v>
      </c>
      <c r="M475" t="s">
        <v>64</v>
      </c>
      <c r="N475" t="s">
        <v>1048</v>
      </c>
      <c r="O475" s="4">
        <v>834.93</v>
      </c>
      <c r="P475" s="7" t="str">
        <f t="shared" si="52"/>
        <v>High</v>
      </c>
      <c r="Q475" s="4">
        <v>1588.53</v>
      </c>
      <c r="R475" s="4">
        <v>0.126</v>
      </c>
      <c r="S475" s="4">
        <v>6</v>
      </c>
      <c r="T475" s="4">
        <f t="shared" si="49"/>
        <v>8549.7651600000008</v>
      </c>
      <c r="U475">
        <f t="shared" si="50"/>
        <v>5009.58</v>
      </c>
      <c r="V475" s="4">
        <f t="shared" si="53"/>
        <v>3540.1851600000009</v>
      </c>
      <c r="W475" s="4">
        <f t="shared" si="54"/>
        <v>0.4140681169305942</v>
      </c>
    </row>
    <row r="476" spans="1:23" x14ac:dyDescent="0.3">
      <c r="A476" t="s">
        <v>1049</v>
      </c>
      <c r="B476" s="6">
        <v>45882</v>
      </c>
      <c r="C476" s="2">
        <v>45903</v>
      </c>
      <c r="D476" s="4">
        <f t="shared" si="55"/>
        <v>21</v>
      </c>
      <c r="E476" s="4" t="str">
        <f>TEXT(Data!B476,"MMM-YYYY")</f>
        <v>May-2023</v>
      </c>
      <c r="F476" s="4" t="str">
        <f t="shared" si="51"/>
        <v>Q3-2025</v>
      </c>
      <c r="G476" t="s">
        <v>78</v>
      </c>
      <c r="H476" t="s">
        <v>90</v>
      </c>
      <c r="I476" t="s">
        <v>217</v>
      </c>
      <c r="J476" t="s">
        <v>27</v>
      </c>
      <c r="K476" t="s">
        <v>20</v>
      </c>
      <c r="L476" t="s">
        <v>34</v>
      </c>
      <c r="M476" t="s">
        <v>42</v>
      </c>
      <c r="N476" t="s">
        <v>1050</v>
      </c>
      <c r="O476" s="4">
        <v>603.47</v>
      </c>
      <c r="P476" s="7" t="str">
        <f t="shared" si="52"/>
        <v>High</v>
      </c>
      <c r="Q476" s="4">
        <v>1344.05</v>
      </c>
      <c r="R476" s="4">
        <v>0.20499999999999999</v>
      </c>
      <c r="S476" s="4">
        <v>18</v>
      </c>
      <c r="T476" s="4">
        <f t="shared" si="49"/>
        <v>13790.9763</v>
      </c>
      <c r="U476">
        <f t="shared" si="50"/>
        <v>10862.460000000001</v>
      </c>
      <c r="V476" s="4">
        <f t="shared" si="53"/>
        <v>2928.5162999999993</v>
      </c>
      <c r="W476" s="4">
        <f t="shared" si="54"/>
        <v>0.21235018002315031</v>
      </c>
    </row>
    <row r="477" spans="1:23" x14ac:dyDescent="0.3">
      <c r="A477" t="s">
        <v>1051</v>
      </c>
      <c r="B477" s="6">
        <v>45069</v>
      </c>
      <c r="C477" s="2">
        <v>45071</v>
      </c>
      <c r="D477" s="4">
        <f t="shared" si="55"/>
        <v>2</v>
      </c>
      <c r="E477" s="4" t="str">
        <f>TEXT(Data!B477,"MMM-YYYY")</f>
        <v>May-2024</v>
      </c>
      <c r="F477" s="4" t="str">
        <f t="shared" si="51"/>
        <v>Q2-2023</v>
      </c>
      <c r="G477" t="s">
        <v>52</v>
      </c>
      <c r="H477" t="s">
        <v>73</v>
      </c>
      <c r="I477" t="s">
        <v>225</v>
      </c>
      <c r="J477" t="s">
        <v>105</v>
      </c>
      <c r="K477" t="s">
        <v>20</v>
      </c>
      <c r="L477" t="s">
        <v>110</v>
      </c>
      <c r="M477" t="s">
        <v>30</v>
      </c>
      <c r="N477" t="s">
        <v>1052</v>
      </c>
      <c r="O477" s="4">
        <v>690.49</v>
      </c>
      <c r="P477" s="7" t="str">
        <f t="shared" si="52"/>
        <v>High</v>
      </c>
      <c r="Q477" s="4">
        <v>1290.29</v>
      </c>
      <c r="R477" s="4">
        <v>4.2000000000000003E-2</v>
      </c>
      <c r="S477" s="4">
        <v>22</v>
      </c>
      <c r="T477" s="4">
        <f t="shared" si="49"/>
        <v>18794.101480000001</v>
      </c>
      <c r="U477">
        <f t="shared" si="50"/>
        <v>15190.78</v>
      </c>
      <c r="V477" s="4">
        <f t="shared" si="53"/>
        <v>3603.3214800000005</v>
      </c>
      <c r="W477" s="4">
        <f t="shared" si="54"/>
        <v>0.19172619046643566</v>
      </c>
    </row>
    <row r="478" spans="1:23" x14ac:dyDescent="0.3">
      <c r="A478" t="s">
        <v>1053</v>
      </c>
      <c r="B478" s="6">
        <v>45422</v>
      </c>
      <c r="C478" s="2">
        <v>45428</v>
      </c>
      <c r="D478" s="4">
        <f t="shared" si="55"/>
        <v>6</v>
      </c>
      <c r="E478" s="4" t="str">
        <f>TEXT(Data!B478,"MMM-YYYY")</f>
        <v>Mar-2023</v>
      </c>
      <c r="F478" s="4" t="str">
        <f t="shared" si="51"/>
        <v>Q2-2024</v>
      </c>
      <c r="G478" t="s">
        <v>78</v>
      </c>
      <c r="H478" t="s">
        <v>108</v>
      </c>
      <c r="I478" t="s">
        <v>109</v>
      </c>
      <c r="J478" t="s">
        <v>39</v>
      </c>
      <c r="K478" t="s">
        <v>98</v>
      </c>
      <c r="L478" t="s">
        <v>41</v>
      </c>
      <c r="M478" t="s">
        <v>57</v>
      </c>
      <c r="N478" t="s">
        <v>1054</v>
      </c>
      <c r="O478" s="4">
        <v>210.76</v>
      </c>
      <c r="P478" s="7" t="str">
        <f t="shared" si="52"/>
        <v>High</v>
      </c>
      <c r="Q478" s="4">
        <v>221.58</v>
      </c>
      <c r="R478" s="4">
        <v>8.8999999999999996E-2</v>
      </c>
      <c r="S478" s="4">
        <v>5</v>
      </c>
      <c r="T478" s="4">
        <f t="shared" si="49"/>
        <v>7596.9201000000003</v>
      </c>
      <c r="U478">
        <f t="shared" si="50"/>
        <v>1053.8</v>
      </c>
      <c r="V478" s="4">
        <f t="shared" si="53"/>
        <v>6543.1201000000001</v>
      </c>
      <c r="W478" s="4">
        <f t="shared" si="54"/>
        <v>0.86128589137063583</v>
      </c>
    </row>
    <row r="479" spans="1:23" x14ac:dyDescent="0.3">
      <c r="A479" t="s">
        <v>1055</v>
      </c>
      <c r="B479" s="6">
        <v>44999</v>
      </c>
      <c r="C479" s="2">
        <v>45003</v>
      </c>
      <c r="D479" s="4">
        <f t="shared" si="55"/>
        <v>4</v>
      </c>
      <c r="E479" s="4" t="str">
        <f>TEXT(Data!B479,"MMM-YYYY")</f>
        <v>Jul-2023</v>
      </c>
      <c r="F479" s="4" t="str">
        <f t="shared" si="51"/>
        <v>Q1-2023</v>
      </c>
      <c r="G479" t="s">
        <v>78</v>
      </c>
      <c r="H479" t="s">
        <v>79</v>
      </c>
      <c r="I479" t="s">
        <v>335</v>
      </c>
      <c r="J479" t="s">
        <v>105</v>
      </c>
      <c r="K479" t="s">
        <v>98</v>
      </c>
      <c r="L479" t="s">
        <v>75</v>
      </c>
      <c r="M479" t="s">
        <v>22</v>
      </c>
      <c r="N479" t="s">
        <v>1056</v>
      </c>
      <c r="O479" s="4">
        <v>472.33</v>
      </c>
      <c r="P479" s="7" t="str">
        <f t="shared" si="52"/>
        <v>High</v>
      </c>
      <c r="Q479" s="4">
        <v>360.34</v>
      </c>
      <c r="R479" s="4">
        <v>0.16500000000000001</v>
      </c>
      <c r="S479" s="4">
        <v>14</v>
      </c>
      <c r="T479" s="4">
        <f t="shared" si="49"/>
        <v>22462.4519</v>
      </c>
      <c r="U479">
        <f t="shared" si="50"/>
        <v>6612.62</v>
      </c>
      <c r="V479" s="4">
        <f t="shared" si="53"/>
        <v>15849.831900000001</v>
      </c>
      <c r="W479" s="4">
        <f t="shared" si="54"/>
        <v>0.70561450595693875</v>
      </c>
    </row>
    <row r="480" spans="1:23" x14ac:dyDescent="0.3">
      <c r="A480" t="s">
        <v>1057</v>
      </c>
      <c r="B480" s="6">
        <v>45123</v>
      </c>
      <c r="C480" s="2">
        <v>45151</v>
      </c>
      <c r="D480" s="4">
        <f t="shared" si="55"/>
        <v>28</v>
      </c>
      <c r="E480" s="4" t="str">
        <f>TEXT(Data!B480,"MMM-YYYY")</f>
        <v>Apr-2023</v>
      </c>
      <c r="F480" s="4" t="str">
        <f t="shared" si="51"/>
        <v>Q3-2023</v>
      </c>
      <c r="G480" t="s">
        <v>78</v>
      </c>
      <c r="H480" t="s">
        <v>108</v>
      </c>
      <c r="I480" t="s">
        <v>228</v>
      </c>
      <c r="J480" t="s">
        <v>39</v>
      </c>
      <c r="K480" t="s">
        <v>28</v>
      </c>
      <c r="L480" t="s">
        <v>29</v>
      </c>
      <c r="M480" t="s">
        <v>57</v>
      </c>
      <c r="N480" t="s">
        <v>1058</v>
      </c>
      <c r="O480" s="4">
        <v>1039.03</v>
      </c>
      <c r="P480" s="7" t="str">
        <f t="shared" si="52"/>
        <v>High</v>
      </c>
      <c r="Q480" s="4">
        <v>2545.81</v>
      </c>
      <c r="R480" s="4">
        <v>0.216</v>
      </c>
      <c r="S480" s="4">
        <v>21</v>
      </c>
      <c r="T480" s="4">
        <f t="shared" si="49"/>
        <v>20043.767520000001</v>
      </c>
      <c r="U480">
        <f t="shared" si="50"/>
        <v>21819.63</v>
      </c>
      <c r="V480" s="4">
        <f t="shared" si="53"/>
        <v>-1775.8624799999998</v>
      </c>
      <c r="W480" s="4">
        <f t="shared" si="54"/>
        <v>-8.8599235559283701E-2</v>
      </c>
    </row>
    <row r="481" spans="1:23" x14ac:dyDescent="0.3">
      <c r="A481" t="s">
        <v>1059</v>
      </c>
      <c r="B481" s="6">
        <v>45032</v>
      </c>
      <c r="C481" s="2">
        <v>45035</v>
      </c>
      <c r="D481" s="4">
        <f t="shared" si="55"/>
        <v>3</v>
      </c>
      <c r="E481" s="4" t="str">
        <f>TEXT(Data!B481,"MMM-YYYY")</f>
        <v>Jan-2024</v>
      </c>
      <c r="F481" s="4" t="str">
        <f t="shared" si="51"/>
        <v>Q2-2023</v>
      </c>
      <c r="G481" t="s">
        <v>78</v>
      </c>
      <c r="H481" t="s">
        <v>79</v>
      </c>
      <c r="I481" t="s">
        <v>159</v>
      </c>
      <c r="J481" t="s">
        <v>19</v>
      </c>
      <c r="K481" t="s">
        <v>98</v>
      </c>
      <c r="L481" t="s">
        <v>56</v>
      </c>
      <c r="M481" t="s">
        <v>81</v>
      </c>
      <c r="N481" t="s">
        <v>1060</v>
      </c>
      <c r="O481" s="4">
        <v>553.61</v>
      </c>
      <c r="P481" s="7" t="str">
        <f t="shared" si="52"/>
        <v>High</v>
      </c>
      <c r="Q481" s="4">
        <v>699.47</v>
      </c>
      <c r="R481" s="4">
        <v>0.02</v>
      </c>
      <c r="S481" s="4">
        <v>33</v>
      </c>
      <c r="T481" s="4">
        <f t="shared" si="49"/>
        <v>31378.531800000001</v>
      </c>
      <c r="U481">
        <f t="shared" si="50"/>
        <v>18269.13</v>
      </c>
      <c r="V481" s="4">
        <f t="shared" si="53"/>
        <v>13109.4018</v>
      </c>
      <c r="W481" s="4">
        <f t="shared" si="54"/>
        <v>0.41778251078018885</v>
      </c>
    </row>
    <row r="482" spans="1:23" x14ac:dyDescent="0.3">
      <c r="A482" t="s">
        <v>1061</v>
      </c>
      <c r="B482" s="6">
        <v>45293</v>
      </c>
      <c r="C482" s="2">
        <v>45306</v>
      </c>
      <c r="D482" s="4">
        <f t="shared" si="55"/>
        <v>13</v>
      </c>
      <c r="E482" s="4" t="str">
        <f>TEXT(Data!B482,"MMM-YYYY")</f>
        <v>Sep-2024</v>
      </c>
      <c r="F482" s="4" t="str">
        <f t="shared" si="51"/>
        <v>Q1-2024</v>
      </c>
      <c r="G482" t="s">
        <v>45</v>
      </c>
      <c r="H482" t="s">
        <v>46</v>
      </c>
      <c r="I482" t="s">
        <v>231</v>
      </c>
      <c r="J482" t="s">
        <v>62</v>
      </c>
      <c r="K482" t="s">
        <v>40</v>
      </c>
      <c r="L482" t="s">
        <v>41</v>
      </c>
      <c r="M482" t="s">
        <v>35</v>
      </c>
      <c r="N482" t="s">
        <v>1062</v>
      </c>
      <c r="O482" s="4">
        <v>1219.06</v>
      </c>
      <c r="P482" s="7" t="str">
        <f t="shared" si="52"/>
        <v>High</v>
      </c>
      <c r="Q482" s="4">
        <v>2738.69</v>
      </c>
      <c r="R482" s="4">
        <v>7.5999999999999998E-2</v>
      </c>
      <c r="S482" s="4">
        <v>16</v>
      </c>
      <c r="T482" s="4">
        <f t="shared" si="49"/>
        <v>24019.121280000003</v>
      </c>
      <c r="U482">
        <f t="shared" si="50"/>
        <v>19504.96</v>
      </c>
      <c r="V482" s="4">
        <f t="shared" si="53"/>
        <v>4514.1612800000039</v>
      </c>
      <c r="W482" s="4">
        <f t="shared" si="54"/>
        <v>0.18794031752355611</v>
      </c>
    </row>
    <row r="483" spans="1:23" x14ac:dyDescent="0.3">
      <c r="A483" t="s">
        <v>1063</v>
      </c>
      <c r="B483" s="6">
        <v>45538</v>
      </c>
      <c r="C483" s="2">
        <v>45542</v>
      </c>
      <c r="D483" s="4">
        <f t="shared" si="55"/>
        <v>4</v>
      </c>
      <c r="E483" s="4" t="str">
        <f>TEXT(Data!B483,"MMM-YYYY")</f>
        <v>Aug-2025</v>
      </c>
      <c r="F483" s="4" t="str">
        <f t="shared" si="51"/>
        <v>Q3-2024</v>
      </c>
      <c r="G483" t="s">
        <v>45</v>
      </c>
      <c r="H483" t="s">
        <v>46</v>
      </c>
      <c r="I483" t="s">
        <v>214</v>
      </c>
      <c r="J483" t="s">
        <v>62</v>
      </c>
      <c r="K483" t="s">
        <v>55</v>
      </c>
      <c r="L483" t="s">
        <v>126</v>
      </c>
      <c r="M483" t="s">
        <v>30</v>
      </c>
      <c r="N483" t="s">
        <v>1064</v>
      </c>
      <c r="O483" s="4">
        <v>43.23</v>
      </c>
      <c r="P483" s="7" t="str">
        <f t="shared" si="52"/>
        <v>Medium</v>
      </c>
      <c r="Q483" s="4">
        <v>94.78</v>
      </c>
      <c r="R483" s="4">
        <v>9.0999999999999998E-2</v>
      </c>
      <c r="S483" s="4">
        <v>55</v>
      </c>
      <c r="T483" s="4">
        <f t="shared" si="49"/>
        <v>130292.46945000002</v>
      </c>
      <c r="U483">
        <f t="shared" si="50"/>
        <v>2377.6499999999996</v>
      </c>
      <c r="V483" s="4">
        <f t="shared" si="53"/>
        <v>127914.81945000002</v>
      </c>
      <c r="W483" s="4">
        <f t="shared" si="54"/>
        <v>0.98175143958790023</v>
      </c>
    </row>
    <row r="484" spans="1:23" x14ac:dyDescent="0.3">
      <c r="A484" t="s">
        <v>1065</v>
      </c>
      <c r="B484" s="6">
        <v>45899</v>
      </c>
      <c r="C484" s="2">
        <v>45903</v>
      </c>
      <c r="D484" s="4">
        <f t="shared" si="55"/>
        <v>4</v>
      </c>
      <c r="E484" s="4" t="str">
        <f>TEXT(Data!B484,"MMM-YYYY")</f>
        <v>Apr-2025</v>
      </c>
      <c r="F484" s="4" t="str">
        <f t="shared" si="51"/>
        <v>Q3-2025</v>
      </c>
      <c r="G484" t="s">
        <v>78</v>
      </c>
      <c r="H484" t="s">
        <v>90</v>
      </c>
      <c r="I484" t="s">
        <v>91</v>
      </c>
      <c r="J484" t="s">
        <v>62</v>
      </c>
      <c r="K484" t="s">
        <v>40</v>
      </c>
      <c r="L484" t="s">
        <v>29</v>
      </c>
      <c r="M484" t="s">
        <v>57</v>
      </c>
      <c r="N484" t="s">
        <v>1066</v>
      </c>
      <c r="O484" s="4">
        <v>1286.56</v>
      </c>
      <c r="P484" s="7" t="str">
        <f t="shared" si="52"/>
        <v>High</v>
      </c>
      <c r="Q484" s="4">
        <v>2777.35</v>
      </c>
      <c r="R484" s="4">
        <v>0.13200000000000001</v>
      </c>
      <c r="S484" s="4">
        <v>15</v>
      </c>
      <c r="T484" s="4">
        <f t="shared" si="49"/>
        <v>5660.0544</v>
      </c>
      <c r="U484">
        <f t="shared" si="50"/>
        <v>19298.399999999998</v>
      </c>
      <c r="V484" s="4">
        <f t="shared" si="53"/>
        <v>-13638.345599999997</v>
      </c>
      <c r="W484" s="4">
        <f t="shared" si="54"/>
        <v>-2.4095785369130014</v>
      </c>
    </row>
    <row r="485" spans="1:23" x14ac:dyDescent="0.3">
      <c r="A485" t="s">
        <v>1067</v>
      </c>
      <c r="B485" s="6">
        <v>45775</v>
      </c>
      <c r="C485" s="2">
        <v>45796</v>
      </c>
      <c r="D485" s="4">
        <f t="shared" si="55"/>
        <v>21</v>
      </c>
      <c r="E485" s="4" t="str">
        <f>TEXT(Data!B485,"MMM-YYYY")</f>
        <v>Aug-2023</v>
      </c>
      <c r="F485" s="4" t="str">
        <f t="shared" si="51"/>
        <v>Q2-2025</v>
      </c>
      <c r="G485" t="s">
        <v>78</v>
      </c>
      <c r="H485" t="s">
        <v>79</v>
      </c>
      <c r="I485" t="s">
        <v>80</v>
      </c>
      <c r="J485" t="s">
        <v>19</v>
      </c>
      <c r="K485" t="s">
        <v>55</v>
      </c>
      <c r="L485" t="s">
        <v>56</v>
      </c>
      <c r="M485" t="s">
        <v>42</v>
      </c>
      <c r="N485" t="s">
        <v>1068</v>
      </c>
      <c r="O485" s="4">
        <v>350.76</v>
      </c>
      <c r="P485" s="7" t="str">
        <f t="shared" si="52"/>
        <v>High</v>
      </c>
      <c r="Q485" s="4">
        <v>492.18</v>
      </c>
      <c r="R485" s="4">
        <v>5.2999999999999999E-2</v>
      </c>
      <c r="S485" s="4">
        <v>11</v>
      </c>
      <c r="T485" s="4">
        <f t="shared" si="49"/>
        <v>19379.89097</v>
      </c>
      <c r="U485">
        <f t="shared" si="50"/>
        <v>3858.3599999999997</v>
      </c>
      <c r="V485" s="4">
        <f t="shared" si="53"/>
        <v>15521.53097</v>
      </c>
      <c r="W485" s="4">
        <f t="shared" si="54"/>
        <v>0.80090909665215726</v>
      </c>
    </row>
    <row r="486" spans="1:23" x14ac:dyDescent="0.3">
      <c r="A486" t="s">
        <v>1069</v>
      </c>
      <c r="B486" s="6">
        <v>45148</v>
      </c>
      <c r="C486" s="2">
        <v>45153</v>
      </c>
      <c r="D486" s="4">
        <f t="shared" si="55"/>
        <v>5</v>
      </c>
      <c r="E486" s="4" t="str">
        <f>TEXT(Data!B486,"MMM-YYYY")</f>
        <v>Dec-2024</v>
      </c>
      <c r="F486" s="4" t="str">
        <f t="shared" si="51"/>
        <v>Q3-2023</v>
      </c>
      <c r="G486" t="s">
        <v>52</v>
      </c>
      <c r="H486" t="s">
        <v>73</v>
      </c>
      <c r="I486" t="s">
        <v>74</v>
      </c>
      <c r="J486" t="s">
        <v>27</v>
      </c>
      <c r="K486" t="s">
        <v>98</v>
      </c>
      <c r="L486" t="s">
        <v>41</v>
      </c>
      <c r="M486" t="s">
        <v>35</v>
      </c>
      <c r="N486" t="s">
        <v>1070</v>
      </c>
      <c r="O486" s="4">
        <v>1307.52</v>
      </c>
      <c r="P486" s="7" t="str">
        <f t="shared" si="52"/>
        <v>High</v>
      </c>
      <c r="Q486" s="4">
        <v>1921.65</v>
      </c>
      <c r="R486" s="4">
        <v>0.123</v>
      </c>
      <c r="S486" s="4">
        <v>13</v>
      </c>
      <c r="T486" s="4">
        <f t="shared" si="49"/>
        <v>9504.8996900000002</v>
      </c>
      <c r="U486">
        <f t="shared" si="50"/>
        <v>16997.759999999998</v>
      </c>
      <c r="V486" s="4">
        <f t="shared" si="53"/>
        <v>-7492.8603099999982</v>
      </c>
      <c r="W486" s="4">
        <f t="shared" si="54"/>
        <v>-0.78831555875157244</v>
      </c>
    </row>
    <row r="487" spans="1:23" x14ac:dyDescent="0.3">
      <c r="A487" t="s">
        <v>1071</v>
      </c>
      <c r="B487" s="6">
        <v>45634</v>
      </c>
      <c r="C487" s="2">
        <v>45634</v>
      </c>
      <c r="D487" s="4">
        <f t="shared" si="55"/>
        <v>0</v>
      </c>
      <c r="E487" s="4" t="str">
        <f>TEXT(Data!B487,"MMM-YYYY")</f>
        <v>Oct-2023</v>
      </c>
      <c r="F487" s="4" t="str">
        <f t="shared" si="51"/>
        <v>Q4-2024</v>
      </c>
      <c r="G487" t="s">
        <v>78</v>
      </c>
      <c r="H487" t="s">
        <v>90</v>
      </c>
      <c r="I487" t="s">
        <v>138</v>
      </c>
      <c r="J487" t="s">
        <v>105</v>
      </c>
      <c r="K487" t="s">
        <v>20</v>
      </c>
      <c r="L487" t="s">
        <v>92</v>
      </c>
      <c r="M487" t="s">
        <v>22</v>
      </c>
      <c r="N487" t="s">
        <v>1072</v>
      </c>
      <c r="O487" s="4">
        <v>257.44</v>
      </c>
      <c r="P487" s="7" t="str">
        <f t="shared" si="52"/>
        <v>High</v>
      </c>
      <c r="Q487" s="4">
        <v>290.33</v>
      </c>
      <c r="R487" s="4">
        <v>9.1999999999999998E-2</v>
      </c>
      <c r="S487" s="4">
        <v>23</v>
      </c>
      <c r="T487" s="4">
        <f t="shared" si="49"/>
        <v>6964.3963200000007</v>
      </c>
      <c r="U487">
        <f t="shared" si="50"/>
        <v>5921.12</v>
      </c>
      <c r="V487" s="4">
        <f t="shared" si="53"/>
        <v>1043.2763200000009</v>
      </c>
      <c r="W487" s="4">
        <f t="shared" si="54"/>
        <v>0.14980140015926044</v>
      </c>
    </row>
    <row r="488" spans="1:23" x14ac:dyDescent="0.3">
      <c r="A488" t="s">
        <v>1073</v>
      </c>
      <c r="B488" s="6">
        <v>45224</v>
      </c>
      <c r="C488" s="2">
        <v>45254</v>
      </c>
      <c r="D488" s="4">
        <f t="shared" si="55"/>
        <v>30</v>
      </c>
      <c r="E488" s="4" t="str">
        <f>TEXT(Data!B488,"MMM-YYYY")</f>
        <v>Nov-2024</v>
      </c>
      <c r="F488" s="4" t="str">
        <f t="shared" si="51"/>
        <v>Q4-2023</v>
      </c>
      <c r="G488" t="s">
        <v>78</v>
      </c>
      <c r="H488" t="s">
        <v>90</v>
      </c>
      <c r="I488" t="s">
        <v>217</v>
      </c>
      <c r="J488" t="s">
        <v>105</v>
      </c>
      <c r="K488" t="s">
        <v>55</v>
      </c>
      <c r="L488" t="s">
        <v>21</v>
      </c>
      <c r="M488" t="s">
        <v>42</v>
      </c>
      <c r="N488" t="s">
        <v>1074</v>
      </c>
      <c r="O488" s="4">
        <v>287.85000000000002</v>
      </c>
      <c r="P488" s="7" t="str">
        <f t="shared" si="52"/>
        <v>High</v>
      </c>
      <c r="Q488" s="4">
        <v>602.91999999999996</v>
      </c>
      <c r="R488" s="4">
        <v>0.222</v>
      </c>
      <c r="S488" s="4">
        <v>11</v>
      </c>
      <c r="T488" s="4">
        <f t="shared" si="49"/>
        <v>15273.462600000001</v>
      </c>
      <c r="U488">
        <f t="shared" si="50"/>
        <v>3166.3500000000004</v>
      </c>
      <c r="V488" s="4">
        <f t="shared" si="53"/>
        <v>12107.1126</v>
      </c>
      <c r="W488" s="4">
        <f t="shared" si="54"/>
        <v>0.79268944554851628</v>
      </c>
    </row>
    <row r="489" spans="1:23" x14ac:dyDescent="0.3">
      <c r="A489" t="s">
        <v>1075</v>
      </c>
      <c r="B489" s="6">
        <v>45613</v>
      </c>
      <c r="C489" s="2">
        <v>45624</v>
      </c>
      <c r="D489" s="4">
        <f t="shared" si="55"/>
        <v>11</v>
      </c>
      <c r="E489" s="4" t="str">
        <f>TEXT(Data!B489,"MMM-YYYY")</f>
        <v>May-2024</v>
      </c>
      <c r="F489" s="4" t="str">
        <f t="shared" si="51"/>
        <v>Q4-2024</v>
      </c>
      <c r="G489" t="s">
        <v>52</v>
      </c>
      <c r="H489" t="s">
        <v>53</v>
      </c>
      <c r="I489" t="s">
        <v>1364</v>
      </c>
      <c r="J489" t="s">
        <v>48</v>
      </c>
      <c r="K489" t="s">
        <v>55</v>
      </c>
      <c r="L489" t="s">
        <v>75</v>
      </c>
      <c r="M489" t="s">
        <v>30</v>
      </c>
      <c r="N489" t="s">
        <v>1076</v>
      </c>
      <c r="O489" s="4">
        <v>1008.16</v>
      </c>
      <c r="P489" s="7" t="str">
        <f t="shared" si="52"/>
        <v>High</v>
      </c>
      <c r="Q489" s="4">
        <v>2077.5</v>
      </c>
      <c r="R489" s="4">
        <v>7.3999999999999996E-2</v>
      </c>
      <c r="S489" s="4">
        <v>15</v>
      </c>
      <c r="T489" s="4">
        <f t="shared" si="49"/>
        <v>14894.108099999999</v>
      </c>
      <c r="U489">
        <f t="shared" si="50"/>
        <v>15122.4</v>
      </c>
      <c r="V489" s="4">
        <f t="shared" si="53"/>
        <v>-228.29190000000017</v>
      </c>
      <c r="W489" s="4">
        <f t="shared" si="54"/>
        <v>-1.5327665038230801E-2</v>
      </c>
    </row>
    <row r="490" spans="1:23" x14ac:dyDescent="0.3">
      <c r="A490" t="s">
        <v>1077</v>
      </c>
      <c r="B490" s="6">
        <v>45424</v>
      </c>
      <c r="C490" s="2">
        <v>45436</v>
      </c>
      <c r="D490" s="4">
        <f t="shared" si="55"/>
        <v>12</v>
      </c>
      <c r="E490" s="4" t="str">
        <f>TEXT(Data!B490,"MMM-YYYY")</f>
        <v>May-2025</v>
      </c>
      <c r="F490" s="4" t="str">
        <f t="shared" si="51"/>
        <v>Q2-2024</v>
      </c>
      <c r="G490" t="s">
        <v>78</v>
      </c>
      <c r="H490" t="s">
        <v>108</v>
      </c>
      <c r="I490" t="s">
        <v>228</v>
      </c>
      <c r="J490" t="s">
        <v>27</v>
      </c>
      <c r="K490" t="s">
        <v>40</v>
      </c>
      <c r="L490" t="s">
        <v>95</v>
      </c>
      <c r="M490" t="s">
        <v>30</v>
      </c>
      <c r="N490" t="s">
        <v>1078</v>
      </c>
      <c r="O490" s="4">
        <v>111.02</v>
      </c>
      <c r="P490" s="7" t="str">
        <f t="shared" si="52"/>
        <v>Medium</v>
      </c>
      <c r="Q490" s="4">
        <v>172.88</v>
      </c>
      <c r="R490" s="4">
        <v>0.19700000000000001</v>
      </c>
      <c r="S490" s="4">
        <v>29</v>
      </c>
      <c r="T490" s="4">
        <f t="shared" si="49"/>
        <v>70514.200349999999</v>
      </c>
      <c r="U490">
        <f t="shared" si="50"/>
        <v>3219.58</v>
      </c>
      <c r="V490" s="4">
        <f t="shared" si="53"/>
        <v>67294.620349999997</v>
      </c>
      <c r="W490" s="4">
        <f t="shared" si="54"/>
        <v>0.95434139529315387</v>
      </c>
    </row>
    <row r="491" spans="1:23" x14ac:dyDescent="0.3">
      <c r="A491" t="s">
        <v>1079</v>
      </c>
      <c r="B491" s="6">
        <v>45792</v>
      </c>
      <c r="C491" s="2">
        <v>45813</v>
      </c>
      <c r="D491" s="4">
        <f t="shared" si="55"/>
        <v>21</v>
      </c>
      <c r="E491" s="4" t="str">
        <f>TEXT(Data!B491,"MMM-YYYY")</f>
        <v>Apr-2024</v>
      </c>
      <c r="F491" s="4" t="str">
        <f t="shared" si="51"/>
        <v>Q2-2025</v>
      </c>
      <c r="G491" t="s">
        <v>45</v>
      </c>
      <c r="H491" t="s">
        <v>46</v>
      </c>
      <c r="I491" t="s">
        <v>47</v>
      </c>
      <c r="J491" t="s">
        <v>105</v>
      </c>
      <c r="K491" t="s">
        <v>98</v>
      </c>
      <c r="L491" t="s">
        <v>92</v>
      </c>
      <c r="M491" t="s">
        <v>42</v>
      </c>
      <c r="N491" t="s">
        <v>1080</v>
      </c>
      <c r="O491" s="4">
        <v>1466.5</v>
      </c>
      <c r="P491" s="7" t="str">
        <f t="shared" si="52"/>
        <v>High</v>
      </c>
      <c r="Q491" s="4">
        <v>2778.74</v>
      </c>
      <c r="R491" s="4">
        <v>0.13500000000000001</v>
      </c>
      <c r="S491" s="4">
        <v>4</v>
      </c>
      <c r="T491" s="4">
        <f t="shared" si="49"/>
        <v>3415.8503999999998</v>
      </c>
      <c r="U491">
        <f t="shared" si="50"/>
        <v>5866</v>
      </c>
      <c r="V491" s="4">
        <f t="shared" si="53"/>
        <v>-2450.1496000000002</v>
      </c>
      <c r="W491" s="4">
        <f t="shared" si="54"/>
        <v>-0.71728832152602473</v>
      </c>
    </row>
    <row r="492" spans="1:23" x14ac:dyDescent="0.3">
      <c r="A492" t="s">
        <v>1081</v>
      </c>
      <c r="B492" s="6">
        <v>45403</v>
      </c>
      <c r="C492" s="2">
        <v>45431</v>
      </c>
      <c r="D492" s="4">
        <f t="shared" si="55"/>
        <v>28</v>
      </c>
      <c r="E492" s="4" t="str">
        <f>TEXT(Data!B492,"MMM-YYYY")</f>
        <v>Aug-2024</v>
      </c>
      <c r="F492" s="4" t="str">
        <f t="shared" si="51"/>
        <v>Q2-2024</v>
      </c>
      <c r="G492" t="s">
        <v>16</v>
      </c>
      <c r="H492" t="s">
        <v>25</v>
      </c>
      <c r="I492" t="s">
        <v>38</v>
      </c>
      <c r="J492" t="s">
        <v>19</v>
      </c>
      <c r="K492" t="s">
        <v>55</v>
      </c>
      <c r="L492" t="s">
        <v>75</v>
      </c>
      <c r="M492" t="s">
        <v>81</v>
      </c>
      <c r="N492" t="s">
        <v>1082</v>
      </c>
      <c r="O492" s="4">
        <v>187.22</v>
      </c>
      <c r="P492" s="7" t="str">
        <f t="shared" si="52"/>
        <v>High</v>
      </c>
      <c r="Q492" s="4">
        <v>309.47000000000003</v>
      </c>
      <c r="R492" s="4">
        <v>0</v>
      </c>
      <c r="S492" s="4">
        <v>5</v>
      </c>
      <c r="T492" s="4">
        <f t="shared" si="49"/>
        <v>4877.1499999999996</v>
      </c>
      <c r="U492">
        <f t="shared" si="50"/>
        <v>936.1</v>
      </c>
      <c r="V492" s="4">
        <f t="shared" si="53"/>
        <v>3941.0499999999997</v>
      </c>
      <c r="W492" s="4">
        <f t="shared" si="54"/>
        <v>0.8080641358170243</v>
      </c>
    </row>
    <row r="493" spans="1:23" x14ac:dyDescent="0.3">
      <c r="A493" t="s">
        <v>1083</v>
      </c>
      <c r="B493" s="6">
        <v>45523</v>
      </c>
      <c r="C493" s="2">
        <v>45542</v>
      </c>
      <c r="D493" s="4">
        <f t="shared" si="55"/>
        <v>19</v>
      </c>
      <c r="E493" s="4" t="str">
        <f>TEXT(Data!B493,"MMM-YYYY")</f>
        <v>Jul-2025</v>
      </c>
      <c r="F493" s="4" t="str">
        <f t="shared" si="51"/>
        <v>Q3-2024</v>
      </c>
      <c r="G493" t="s">
        <v>78</v>
      </c>
      <c r="H493" t="s">
        <v>90</v>
      </c>
      <c r="I493" t="s">
        <v>138</v>
      </c>
      <c r="J493" t="s">
        <v>19</v>
      </c>
      <c r="K493" t="s">
        <v>98</v>
      </c>
      <c r="L493" t="s">
        <v>29</v>
      </c>
      <c r="M493" t="s">
        <v>22</v>
      </c>
      <c r="N493" t="s">
        <v>1084</v>
      </c>
      <c r="O493" s="4">
        <v>297.58999999999997</v>
      </c>
      <c r="P493" s="7" t="str">
        <f t="shared" si="52"/>
        <v>High</v>
      </c>
      <c r="Q493" s="4">
        <v>666.41</v>
      </c>
      <c r="R493" s="4">
        <v>0</v>
      </c>
      <c r="S493" s="4">
        <v>10</v>
      </c>
      <c r="T493" s="4">
        <f t="shared" si="49"/>
        <v>1414.3000000000002</v>
      </c>
      <c r="U493">
        <f t="shared" si="50"/>
        <v>2975.8999999999996</v>
      </c>
      <c r="V493" s="4">
        <f t="shared" si="53"/>
        <v>-1561.5999999999995</v>
      </c>
      <c r="W493" s="4">
        <f t="shared" si="54"/>
        <v>-1.1041504631266346</v>
      </c>
    </row>
    <row r="494" spans="1:23" x14ac:dyDescent="0.3">
      <c r="A494" t="s">
        <v>1085</v>
      </c>
      <c r="B494" s="6">
        <v>45861</v>
      </c>
      <c r="C494" s="2">
        <v>45888</v>
      </c>
      <c r="D494" s="4">
        <f t="shared" si="55"/>
        <v>27</v>
      </c>
      <c r="E494" s="4" t="str">
        <f>TEXT(Data!B494,"MMM-YYYY")</f>
        <v>Mar-2024</v>
      </c>
      <c r="F494" s="4" t="str">
        <f t="shared" si="51"/>
        <v>Q3-2025</v>
      </c>
      <c r="G494" t="s">
        <v>45</v>
      </c>
      <c r="H494" t="s">
        <v>46</v>
      </c>
      <c r="I494" t="s">
        <v>231</v>
      </c>
      <c r="J494" t="s">
        <v>48</v>
      </c>
      <c r="K494" t="s">
        <v>40</v>
      </c>
      <c r="L494" t="s">
        <v>56</v>
      </c>
      <c r="M494" t="s">
        <v>81</v>
      </c>
      <c r="N494" t="s">
        <v>1086</v>
      </c>
      <c r="O494" s="4">
        <v>896.09</v>
      </c>
      <c r="P494" s="7" t="str">
        <f t="shared" si="52"/>
        <v>High</v>
      </c>
      <c r="Q494" s="4">
        <v>744.27</v>
      </c>
      <c r="R494" s="4">
        <v>8.3000000000000004E-2</v>
      </c>
      <c r="S494" s="4">
        <v>11</v>
      </c>
      <c r="T494" s="4">
        <f t="shared" si="49"/>
        <v>16395.611540000002</v>
      </c>
      <c r="U494">
        <f t="shared" si="50"/>
        <v>9856.99</v>
      </c>
      <c r="V494" s="4">
        <f t="shared" si="53"/>
        <v>6538.6215400000019</v>
      </c>
      <c r="W494" s="4">
        <f t="shared" si="54"/>
        <v>0.3988031507118765</v>
      </c>
    </row>
    <row r="495" spans="1:23" x14ac:dyDescent="0.3">
      <c r="A495" t="s">
        <v>1087</v>
      </c>
      <c r="B495" s="6">
        <v>45352</v>
      </c>
      <c r="C495" s="2">
        <v>45351</v>
      </c>
      <c r="D495" s="4">
        <f>DATEDIF(C495,B495, "MD")</f>
        <v>1</v>
      </c>
      <c r="E495" s="4" t="str">
        <f>TEXT(Data!B495,"MMM-YYYY")</f>
        <v>May-2024</v>
      </c>
      <c r="F495" s="4" t="str">
        <f t="shared" si="51"/>
        <v>Q1-2024</v>
      </c>
      <c r="G495" t="s">
        <v>52</v>
      </c>
      <c r="H495" t="s">
        <v>73</v>
      </c>
      <c r="I495" t="s">
        <v>74</v>
      </c>
      <c r="J495" t="s">
        <v>39</v>
      </c>
      <c r="K495" t="s">
        <v>98</v>
      </c>
      <c r="L495" t="s">
        <v>34</v>
      </c>
      <c r="M495" t="s">
        <v>42</v>
      </c>
      <c r="N495" t="s">
        <v>1088</v>
      </c>
      <c r="O495" s="4">
        <v>5.34</v>
      </c>
      <c r="P495" s="7" t="str">
        <f t="shared" si="52"/>
        <v>Low</v>
      </c>
      <c r="Q495" s="4">
        <v>12.69</v>
      </c>
      <c r="R495" s="4">
        <v>0.13200000000000001</v>
      </c>
      <c r="S495" s="4">
        <v>10</v>
      </c>
      <c r="T495" s="4">
        <f t="shared" si="49"/>
        <v>2603.4792000000002</v>
      </c>
      <c r="U495">
        <f t="shared" si="50"/>
        <v>53.4</v>
      </c>
      <c r="V495" s="4">
        <f t="shared" si="53"/>
        <v>2550.0792000000001</v>
      </c>
      <c r="W495" s="4">
        <f t="shared" si="54"/>
        <v>0.97948898535467455</v>
      </c>
    </row>
    <row r="496" spans="1:23" x14ac:dyDescent="0.3">
      <c r="A496" t="s">
        <v>1089</v>
      </c>
      <c r="B496" s="6">
        <v>45439</v>
      </c>
      <c r="C496" s="2">
        <v>45460</v>
      </c>
      <c r="D496" s="4">
        <f t="shared" si="55"/>
        <v>21</v>
      </c>
      <c r="E496" s="4" t="str">
        <f>TEXT(Data!B496,"MMM-YYYY")</f>
        <v>Aug-2024</v>
      </c>
      <c r="F496" s="4" t="str">
        <f t="shared" si="51"/>
        <v>Q2-2024</v>
      </c>
      <c r="G496" t="s">
        <v>45</v>
      </c>
      <c r="H496" t="s">
        <v>60</v>
      </c>
      <c r="I496" t="s">
        <v>141</v>
      </c>
      <c r="J496" t="s">
        <v>62</v>
      </c>
      <c r="K496" t="s">
        <v>28</v>
      </c>
      <c r="L496" t="s">
        <v>92</v>
      </c>
      <c r="M496" t="s">
        <v>81</v>
      </c>
      <c r="N496" t="s">
        <v>1090</v>
      </c>
      <c r="O496" s="4">
        <v>465.02</v>
      </c>
      <c r="P496" s="7" t="str">
        <f t="shared" si="52"/>
        <v>High</v>
      </c>
      <c r="Q496" s="4">
        <v>651.55999999999995</v>
      </c>
      <c r="R496" s="4">
        <v>4.2000000000000003E-2</v>
      </c>
      <c r="S496" s="4">
        <v>19</v>
      </c>
      <c r="T496" s="4">
        <f t="shared" si="49"/>
        <v>27375.07992</v>
      </c>
      <c r="U496">
        <f t="shared" si="50"/>
        <v>8835.3799999999992</v>
      </c>
      <c r="V496" s="4">
        <f t="shared" si="53"/>
        <v>18539.699919999999</v>
      </c>
      <c r="W496" s="4">
        <f t="shared" si="54"/>
        <v>0.67724733495499501</v>
      </c>
    </row>
    <row r="497" spans="1:23" x14ac:dyDescent="0.3">
      <c r="A497" t="s">
        <v>1091</v>
      </c>
      <c r="B497" s="6">
        <v>45508</v>
      </c>
      <c r="C497" s="2">
        <v>45521</v>
      </c>
      <c r="D497" s="4">
        <f t="shared" si="55"/>
        <v>13</v>
      </c>
      <c r="E497" s="4" t="str">
        <f>TEXT(Data!B497,"MMM-YYYY")</f>
        <v>Jun-2023</v>
      </c>
      <c r="F497" s="4" t="str">
        <f t="shared" si="51"/>
        <v>Q3-2024</v>
      </c>
      <c r="G497" t="s">
        <v>52</v>
      </c>
      <c r="H497" t="s">
        <v>122</v>
      </c>
      <c r="I497" t="s">
        <v>326</v>
      </c>
      <c r="J497" t="s">
        <v>48</v>
      </c>
      <c r="K497" t="s">
        <v>20</v>
      </c>
      <c r="L497" t="s">
        <v>145</v>
      </c>
      <c r="M497" t="s">
        <v>64</v>
      </c>
      <c r="N497" t="s">
        <v>1092</v>
      </c>
      <c r="O497" s="4">
        <v>352.79</v>
      </c>
      <c r="P497" s="7" t="str">
        <f t="shared" si="52"/>
        <v>High</v>
      </c>
      <c r="Q497" s="4">
        <v>754.22</v>
      </c>
      <c r="R497" s="4">
        <v>0.113</v>
      </c>
      <c r="S497" s="4">
        <v>7</v>
      </c>
      <c r="T497" s="4">
        <f t="shared" si="49"/>
        <v>19254.791990000002</v>
      </c>
      <c r="U497">
        <f t="shared" si="50"/>
        <v>2469.5300000000002</v>
      </c>
      <c r="V497" s="4">
        <f t="shared" si="53"/>
        <v>16785.261990000003</v>
      </c>
      <c r="W497" s="4">
        <f t="shared" si="54"/>
        <v>0.87174465445887173</v>
      </c>
    </row>
    <row r="498" spans="1:23" x14ac:dyDescent="0.3">
      <c r="A498" t="s">
        <v>1093</v>
      </c>
      <c r="B498" s="6">
        <v>45097</v>
      </c>
      <c r="C498" s="2">
        <v>45111</v>
      </c>
      <c r="D498" s="4">
        <f t="shared" si="55"/>
        <v>14</v>
      </c>
      <c r="E498" s="4" t="str">
        <f>TEXT(Data!B498,"MMM-YYYY")</f>
        <v>Sep-2024</v>
      </c>
      <c r="F498" s="4" t="str">
        <f t="shared" si="51"/>
        <v>Q2-2023</v>
      </c>
      <c r="G498" t="s">
        <v>52</v>
      </c>
      <c r="H498" t="s">
        <v>73</v>
      </c>
      <c r="I498" t="s">
        <v>87</v>
      </c>
      <c r="J498" t="s">
        <v>39</v>
      </c>
      <c r="K498" t="s">
        <v>98</v>
      </c>
      <c r="L498" t="s">
        <v>21</v>
      </c>
      <c r="M498" t="s">
        <v>35</v>
      </c>
      <c r="N498" t="s">
        <v>1094</v>
      </c>
      <c r="O498" s="4">
        <v>1292.8599999999999</v>
      </c>
      <c r="P498" s="7" t="str">
        <f t="shared" si="52"/>
        <v>High</v>
      </c>
      <c r="Q498" s="4">
        <v>2981.01</v>
      </c>
      <c r="R498" s="4">
        <v>0.14199999999999999</v>
      </c>
      <c r="S498" s="4">
        <v>12</v>
      </c>
      <c r="T498" s="4">
        <f t="shared" si="49"/>
        <v>10084.108319999999</v>
      </c>
      <c r="U498">
        <f t="shared" si="50"/>
        <v>15514.32</v>
      </c>
      <c r="V498" s="4">
        <f t="shared" si="53"/>
        <v>-5430.2116800000003</v>
      </c>
      <c r="W498" s="4">
        <f t="shared" si="54"/>
        <v>-0.5384920022358507</v>
      </c>
    </row>
    <row r="499" spans="1:23" x14ac:dyDescent="0.3">
      <c r="A499" t="s">
        <v>1095</v>
      </c>
      <c r="B499" s="6">
        <v>45544</v>
      </c>
      <c r="C499" s="2">
        <v>45548</v>
      </c>
      <c r="D499" s="4">
        <f t="shared" si="55"/>
        <v>4</v>
      </c>
      <c r="E499" s="4" t="str">
        <f>TEXT(Data!B499,"MMM-YYYY")</f>
        <v>Oct-2023</v>
      </c>
      <c r="F499" s="4" t="str">
        <f t="shared" si="51"/>
        <v>Q3-2024</v>
      </c>
      <c r="G499" t="s">
        <v>78</v>
      </c>
      <c r="H499" t="s">
        <v>108</v>
      </c>
      <c r="I499" t="s">
        <v>152</v>
      </c>
      <c r="J499" t="s">
        <v>48</v>
      </c>
      <c r="K499" t="s">
        <v>40</v>
      </c>
      <c r="L499" t="s">
        <v>84</v>
      </c>
      <c r="M499" t="s">
        <v>35</v>
      </c>
      <c r="N499" t="s">
        <v>1096</v>
      </c>
      <c r="O499" s="4">
        <v>1133.08</v>
      </c>
      <c r="P499" s="7" t="str">
        <f t="shared" si="52"/>
        <v>High</v>
      </c>
      <c r="Q499" s="4">
        <v>976.17</v>
      </c>
      <c r="R499" s="4">
        <v>4.2000000000000003E-2</v>
      </c>
      <c r="S499" s="4">
        <v>27</v>
      </c>
      <c r="T499" s="4">
        <f t="shared" si="49"/>
        <v>30683.801159999999</v>
      </c>
      <c r="U499">
        <f t="shared" si="50"/>
        <v>30593.159999999996</v>
      </c>
      <c r="V499" s="4">
        <f t="shared" si="53"/>
        <v>90.641160000002856</v>
      </c>
      <c r="W499" s="4">
        <f t="shared" si="54"/>
        <v>2.9540394792469337E-3</v>
      </c>
    </row>
    <row r="500" spans="1:23" x14ac:dyDescent="0.3">
      <c r="A500" t="s">
        <v>1097</v>
      </c>
      <c r="B500" s="6">
        <v>45224</v>
      </c>
      <c r="C500" s="2">
        <v>45227</v>
      </c>
      <c r="D500" s="4">
        <f t="shared" si="55"/>
        <v>3</v>
      </c>
      <c r="E500" s="4" t="str">
        <f>TEXT(Data!B500,"MMM-YYYY")</f>
        <v>Sep-2025</v>
      </c>
      <c r="F500" s="4" t="str">
        <f t="shared" si="51"/>
        <v>Q4-2023</v>
      </c>
      <c r="G500" t="s">
        <v>52</v>
      </c>
      <c r="H500" t="s">
        <v>73</v>
      </c>
      <c r="I500" t="s">
        <v>87</v>
      </c>
      <c r="J500" t="s">
        <v>19</v>
      </c>
      <c r="K500" t="s">
        <v>55</v>
      </c>
      <c r="L500" t="s">
        <v>49</v>
      </c>
      <c r="M500" t="s">
        <v>81</v>
      </c>
      <c r="N500" t="s">
        <v>1098</v>
      </c>
      <c r="O500" s="4">
        <v>509.31</v>
      </c>
      <c r="P500" s="7" t="str">
        <f t="shared" si="52"/>
        <v>High</v>
      </c>
      <c r="Q500" s="4">
        <v>1145.9000000000001</v>
      </c>
      <c r="R500" s="4">
        <v>5.7000000000000002E-2</v>
      </c>
      <c r="S500" s="4">
        <v>8</v>
      </c>
      <c r="T500" s="4">
        <f t="shared" si="49"/>
        <v>14622.761519999998</v>
      </c>
      <c r="U500">
        <f t="shared" si="50"/>
        <v>4074.48</v>
      </c>
      <c r="V500" s="4">
        <f t="shared" si="53"/>
        <v>10548.281519999999</v>
      </c>
      <c r="W500" s="4">
        <f t="shared" si="54"/>
        <v>0.7213604287789821</v>
      </c>
    </row>
    <row r="501" spans="1:23" x14ac:dyDescent="0.3">
      <c r="A501" t="s">
        <v>1099</v>
      </c>
      <c r="B501" s="6">
        <v>45908</v>
      </c>
      <c r="C501" s="2">
        <v>45935</v>
      </c>
      <c r="D501" s="4">
        <f t="shared" si="55"/>
        <v>27</v>
      </c>
      <c r="E501" s="4" t="str">
        <f>TEXT(Data!B501,"MMM-YYYY")</f>
        <v>May-2023</v>
      </c>
      <c r="F501" s="4" t="str">
        <f t="shared" si="51"/>
        <v>Q3-2025</v>
      </c>
      <c r="G501" t="s">
        <v>52</v>
      </c>
      <c r="H501" t="s">
        <v>73</v>
      </c>
      <c r="I501" t="s">
        <v>225</v>
      </c>
      <c r="J501" t="s">
        <v>27</v>
      </c>
      <c r="K501" t="s">
        <v>28</v>
      </c>
      <c r="L501" t="s">
        <v>21</v>
      </c>
      <c r="M501" t="s">
        <v>64</v>
      </c>
      <c r="N501" t="s">
        <v>1100</v>
      </c>
      <c r="O501" s="4">
        <v>660.78</v>
      </c>
      <c r="P501" s="7" t="str">
        <f t="shared" si="52"/>
        <v>High</v>
      </c>
      <c r="Q501" s="4">
        <v>1630.39</v>
      </c>
      <c r="R501" s="4">
        <v>0.218</v>
      </c>
      <c r="S501" s="4">
        <v>13</v>
      </c>
      <c r="T501" s="4">
        <f t="shared" si="49"/>
        <v>8401.8940200000015</v>
      </c>
      <c r="U501">
        <f t="shared" si="50"/>
        <v>8590.14</v>
      </c>
      <c r="V501" s="4">
        <f t="shared" si="53"/>
        <v>-188.24597999999787</v>
      </c>
      <c r="W501" s="4">
        <f t="shared" si="54"/>
        <v>-2.2405183825443903E-2</v>
      </c>
    </row>
    <row r="502" spans="1:23" x14ac:dyDescent="0.3">
      <c r="A502" t="s">
        <v>1101</v>
      </c>
      <c r="B502" s="6">
        <v>45048</v>
      </c>
      <c r="C502" s="2">
        <v>45062</v>
      </c>
      <c r="D502" s="4">
        <f t="shared" si="55"/>
        <v>14</v>
      </c>
      <c r="E502" s="4" t="str">
        <f>TEXT(Data!B502,"MMM-YYYY")</f>
        <v>Apr-2024</v>
      </c>
      <c r="F502" s="4" t="str">
        <f t="shared" si="51"/>
        <v>Q2-2023</v>
      </c>
      <c r="G502" t="s">
        <v>45</v>
      </c>
      <c r="H502" t="s">
        <v>60</v>
      </c>
      <c r="I502" t="s">
        <v>61</v>
      </c>
      <c r="J502" t="s">
        <v>39</v>
      </c>
      <c r="K502" t="s">
        <v>20</v>
      </c>
      <c r="L502" t="s">
        <v>49</v>
      </c>
      <c r="M502" t="s">
        <v>64</v>
      </c>
      <c r="N502" t="s">
        <v>1102</v>
      </c>
      <c r="O502" s="4">
        <v>475.37</v>
      </c>
      <c r="P502" s="7" t="str">
        <f t="shared" si="52"/>
        <v>High</v>
      </c>
      <c r="Q502" s="4">
        <v>963.73</v>
      </c>
      <c r="R502" s="4">
        <v>4.1000000000000002E-2</v>
      </c>
      <c r="S502" s="4">
        <v>22</v>
      </c>
      <c r="T502" s="4">
        <f t="shared" si="49"/>
        <v>2493.1506600000002</v>
      </c>
      <c r="U502">
        <f t="shared" si="50"/>
        <v>10458.14</v>
      </c>
      <c r="V502" s="4">
        <f t="shared" si="53"/>
        <v>-7964.9893399999992</v>
      </c>
      <c r="W502" s="4">
        <f t="shared" si="54"/>
        <v>-3.194748503485946</v>
      </c>
    </row>
    <row r="503" spans="1:23" x14ac:dyDescent="0.3">
      <c r="A503" t="s">
        <v>1103</v>
      </c>
      <c r="B503" s="6">
        <v>45408</v>
      </c>
      <c r="C503" s="2">
        <v>45406</v>
      </c>
      <c r="D503" s="4">
        <f>DATEDIF(C503,B503, "MD")</f>
        <v>2</v>
      </c>
      <c r="E503" s="4" t="str">
        <f>TEXT(Data!B503,"MMM-YYYY")</f>
        <v>Feb-2023</v>
      </c>
      <c r="F503" s="4" t="str">
        <f t="shared" si="51"/>
        <v>Q2-2024</v>
      </c>
      <c r="G503" t="s">
        <v>78</v>
      </c>
      <c r="H503" t="s">
        <v>108</v>
      </c>
      <c r="I503" t="s">
        <v>152</v>
      </c>
      <c r="J503" t="s">
        <v>39</v>
      </c>
      <c r="K503" t="s">
        <v>55</v>
      </c>
      <c r="L503" t="s">
        <v>126</v>
      </c>
      <c r="M503" t="s">
        <v>42</v>
      </c>
      <c r="N503" t="s">
        <v>1104</v>
      </c>
      <c r="O503" s="4">
        <v>1232.77</v>
      </c>
      <c r="P503" s="7" t="str">
        <f t="shared" si="52"/>
        <v>High</v>
      </c>
      <c r="Q503" s="4">
        <v>891.73</v>
      </c>
      <c r="R503" s="4">
        <v>0.16700000000000001</v>
      </c>
      <c r="S503" s="4">
        <v>10</v>
      </c>
      <c r="T503" s="4">
        <f t="shared" si="49"/>
        <v>11877.497099999999</v>
      </c>
      <c r="U503">
        <f t="shared" si="50"/>
        <v>12327.7</v>
      </c>
      <c r="V503" s="4">
        <f t="shared" si="53"/>
        <v>-450.20290000000205</v>
      </c>
      <c r="W503" s="4">
        <f t="shared" si="54"/>
        <v>-3.7903852655960836E-2</v>
      </c>
    </row>
    <row r="504" spans="1:23" x14ac:dyDescent="0.3">
      <c r="A504" t="s">
        <v>1105</v>
      </c>
      <c r="B504" s="6">
        <v>44980</v>
      </c>
      <c r="C504" s="2">
        <v>45003</v>
      </c>
      <c r="D504" s="4">
        <f t="shared" si="55"/>
        <v>23</v>
      </c>
      <c r="E504" s="4" t="str">
        <f>TEXT(Data!B504,"MMM-YYYY")</f>
        <v>Mar-2025</v>
      </c>
      <c r="F504" s="4" t="str">
        <f t="shared" si="51"/>
        <v>Q1-2023</v>
      </c>
      <c r="G504" t="s">
        <v>45</v>
      </c>
      <c r="H504" t="s">
        <v>116</v>
      </c>
      <c r="I504" t="s">
        <v>338</v>
      </c>
      <c r="J504" t="s">
        <v>27</v>
      </c>
      <c r="K504" t="s">
        <v>55</v>
      </c>
      <c r="L504" t="s">
        <v>95</v>
      </c>
      <c r="M504" t="s">
        <v>30</v>
      </c>
      <c r="N504" t="s">
        <v>1106</v>
      </c>
      <c r="O504" s="4">
        <v>770.11</v>
      </c>
      <c r="P504" s="7" t="str">
        <f t="shared" si="52"/>
        <v>High</v>
      </c>
      <c r="Q504" s="4">
        <v>1667.82</v>
      </c>
      <c r="R504" s="4">
        <v>6.9000000000000006E-2</v>
      </c>
      <c r="S504" s="4">
        <v>7</v>
      </c>
      <c r="T504" s="4">
        <f t="shared" si="49"/>
        <v>10393.181259999999</v>
      </c>
      <c r="U504">
        <f t="shared" si="50"/>
        <v>5390.77</v>
      </c>
      <c r="V504" s="4">
        <f t="shared" si="53"/>
        <v>5002.4112599999989</v>
      </c>
      <c r="W504" s="4">
        <f t="shared" si="54"/>
        <v>0.48131665703288229</v>
      </c>
    </row>
    <row r="505" spans="1:23" x14ac:dyDescent="0.3">
      <c r="A505" t="s">
        <v>1107</v>
      </c>
      <c r="B505" s="6">
        <v>45740</v>
      </c>
      <c r="C505" s="2">
        <v>45741</v>
      </c>
      <c r="D505" s="4">
        <f t="shared" si="55"/>
        <v>1</v>
      </c>
      <c r="E505" s="4" t="str">
        <f>TEXT(Data!B505,"MMM-YYYY")</f>
        <v>Mar-2025</v>
      </c>
      <c r="F505" s="4" t="str">
        <f t="shared" si="51"/>
        <v>Q1-2025</v>
      </c>
      <c r="G505" t="s">
        <v>45</v>
      </c>
      <c r="H505" t="s">
        <v>116</v>
      </c>
      <c r="I505" t="s">
        <v>338</v>
      </c>
      <c r="J505" t="s">
        <v>39</v>
      </c>
      <c r="K505" t="s">
        <v>28</v>
      </c>
      <c r="L505" t="s">
        <v>41</v>
      </c>
      <c r="M505" t="s">
        <v>35</v>
      </c>
      <c r="N505" t="s">
        <v>1108</v>
      </c>
      <c r="O505" s="4">
        <v>1133.03</v>
      </c>
      <c r="P505" s="7" t="str">
        <f t="shared" si="52"/>
        <v>High</v>
      </c>
      <c r="Q505" s="4">
        <v>1921.51</v>
      </c>
      <c r="R505" s="4">
        <v>0.10100000000000001</v>
      </c>
      <c r="S505" s="4">
        <v>5</v>
      </c>
      <c r="T505" s="4">
        <f t="shared" si="49"/>
        <v>15022.784449999999</v>
      </c>
      <c r="U505">
        <f t="shared" si="50"/>
        <v>5665.15</v>
      </c>
      <c r="V505" s="4">
        <f t="shared" si="53"/>
        <v>9357.6344499999996</v>
      </c>
      <c r="W505" s="4">
        <f t="shared" si="54"/>
        <v>0.62289614026912299</v>
      </c>
    </row>
    <row r="506" spans="1:23" x14ac:dyDescent="0.3">
      <c r="A506" t="s">
        <v>1109</v>
      </c>
      <c r="B506" s="6">
        <v>45726</v>
      </c>
      <c r="C506" s="2">
        <v>45743</v>
      </c>
      <c r="D506" s="4">
        <f t="shared" si="55"/>
        <v>17</v>
      </c>
      <c r="E506" s="4" t="str">
        <f>TEXT(Data!B506,"MMM-YYYY")</f>
        <v>Apr-2024</v>
      </c>
      <c r="F506" s="4" t="str">
        <f t="shared" si="51"/>
        <v>Q1-2025</v>
      </c>
      <c r="G506" t="s">
        <v>52</v>
      </c>
      <c r="H506" t="s">
        <v>73</v>
      </c>
      <c r="I506" t="s">
        <v>225</v>
      </c>
      <c r="J506" t="s">
        <v>105</v>
      </c>
      <c r="K506" t="s">
        <v>98</v>
      </c>
      <c r="L506" t="s">
        <v>84</v>
      </c>
      <c r="M506" t="s">
        <v>35</v>
      </c>
      <c r="N506" t="s">
        <v>1110</v>
      </c>
      <c r="O506" s="4">
        <v>996.73</v>
      </c>
      <c r="P506" s="7" t="str">
        <f t="shared" si="52"/>
        <v>High</v>
      </c>
      <c r="Q506" s="4">
        <v>1217.43</v>
      </c>
      <c r="R506" s="4">
        <v>7.0000000000000007E-2</v>
      </c>
      <c r="S506" s="4">
        <v>9</v>
      </c>
      <c r="T506" s="4">
        <f t="shared" si="49"/>
        <v>8953.9748999999993</v>
      </c>
      <c r="U506">
        <f t="shared" si="50"/>
        <v>8970.57</v>
      </c>
      <c r="V506" s="4">
        <f t="shared" si="53"/>
        <v>-16.595100000000457</v>
      </c>
      <c r="W506" s="4">
        <f t="shared" si="54"/>
        <v>-1.8533779897015859E-3</v>
      </c>
    </row>
    <row r="507" spans="1:23" x14ac:dyDescent="0.3">
      <c r="A507" t="s">
        <v>1111</v>
      </c>
      <c r="B507" s="6">
        <v>45387</v>
      </c>
      <c r="C507" s="2">
        <v>45391</v>
      </c>
      <c r="D507" s="4">
        <f t="shared" si="55"/>
        <v>4</v>
      </c>
      <c r="E507" s="4" t="str">
        <f>TEXT(Data!B507,"MMM-YYYY")</f>
        <v>Apr-2025</v>
      </c>
      <c r="F507" s="4" t="str">
        <f t="shared" si="51"/>
        <v>Q2-2024</v>
      </c>
      <c r="G507" t="s">
        <v>16</v>
      </c>
      <c r="H507" t="s">
        <v>25</v>
      </c>
      <c r="I507" t="s">
        <v>38</v>
      </c>
      <c r="J507" t="s">
        <v>39</v>
      </c>
      <c r="K507" t="s">
        <v>98</v>
      </c>
      <c r="L507" t="s">
        <v>95</v>
      </c>
      <c r="M507" t="s">
        <v>22</v>
      </c>
      <c r="N507" t="s">
        <v>1112</v>
      </c>
      <c r="O507" s="4">
        <v>395.07</v>
      </c>
      <c r="P507" s="7" t="str">
        <f t="shared" si="52"/>
        <v>High</v>
      </c>
      <c r="Q507" s="4">
        <v>970.27</v>
      </c>
      <c r="R507" s="4">
        <v>0.123</v>
      </c>
      <c r="S507" s="4">
        <v>38</v>
      </c>
      <c r="T507" s="4">
        <f t="shared" si="49"/>
        <v>4692.9673199999997</v>
      </c>
      <c r="U507">
        <f t="shared" si="50"/>
        <v>15012.66</v>
      </c>
      <c r="V507" s="4">
        <f t="shared" si="53"/>
        <v>-10319.69268</v>
      </c>
      <c r="W507" s="4">
        <f t="shared" si="54"/>
        <v>-2.1989696446469185</v>
      </c>
    </row>
    <row r="508" spans="1:23" x14ac:dyDescent="0.3">
      <c r="A508" t="s">
        <v>1113</v>
      </c>
      <c r="B508" s="6">
        <v>45774</v>
      </c>
      <c r="C508" s="2">
        <v>45794</v>
      </c>
      <c r="D508" s="4">
        <f t="shared" si="55"/>
        <v>20</v>
      </c>
      <c r="E508" s="4" t="str">
        <f>TEXT(Data!B508,"MMM-YYYY")</f>
        <v>Oct-2024</v>
      </c>
      <c r="F508" s="4" t="str">
        <f t="shared" si="51"/>
        <v>Q2-2025</v>
      </c>
      <c r="G508" t="s">
        <v>52</v>
      </c>
      <c r="H508" t="s">
        <v>122</v>
      </c>
      <c r="I508" t="s">
        <v>326</v>
      </c>
      <c r="J508" t="s">
        <v>19</v>
      </c>
      <c r="K508" t="s">
        <v>98</v>
      </c>
      <c r="L508" t="s">
        <v>126</v>
      </c>
      <c r="M508" t="s">
        <v>42</v>
      </c>
      <c r="N508" t="s">
        <v>1114</v>
      </c>
      <c r="O508" s="4">
        <v>932.26</v>
      </c>
      <c r="P508" s="7" t="str">
        <f t="shared" si="52"/>
        <v>High</v>
      </c>
      <c r="Q508" s="4">
        <v>1624.67</v>
      </c>
      <c r="R508" s="4">
        <v>0.23499999999999999</v>
      </c>
      <c r="S508" s="4">
        <v>28</v>
      </c>
      <c r="T508" s="4">
        <f t="shared" si="49"/>
        <v>1435.9968000000001</v>
      </c>
      <c r="U508">
        <f t="shared" si="50"/>
        <v>26103.279999999999</v>
      </c>
      <c r="V508" s="4">
        <f t="shared" si="53"/>
        <v>-24667.283199999998</v>
      </c>
      <c r="W508" s="4">
        <f t="shared" si="54"/>
        <v>-17.177812095402995</v>
      </c>
    </row>
    <row r="509" spans="1:23" x14ac:dyDescent="0.3">
      <c r="A509" t="s">
        <v>1115</v>
      </c>
      <c r="B509" s="6">
        <v>45589</v>
      </c>
      <c r="C509" s="2">
        <v>45593</v>
      </c>
      <c r="D509" s="4">
        <f t="shared" si="55"/>
        <v>4</v>
      </c>
      <c r="E509" s="4" t="str">
        <f>TEXT(Data!B509,"MMM-YYYY")</f>
        <v>Apr-2023</v>
      </c>
      <c r="F509" s="4" t="str">
        <f t="shared" si="51"/>
        <v>Q4-2024</v>
      </c>
      <c r="G509" t="s">
        <v>45</v>
      </c>
      <c r="H509" t="s">
        <v>116</v>
      </c>
      <c r="I509" t="s">
        <v>162</v>
      </c>
      <c r="J509" t="s">
        <v>62</v>
      </c>
      <c r="K509" t="s">
        <v>55</v>
      </c>
      <c r="L509" t="s">
        <v>34</v>
      </c>
      <c r="M509" t="s">
        <v>35</v>
      </c>
      <c r="N509" t="s">
        <v>1116</v>
      </c>
      <c r="O509" s="4">
        <v>1331.77</v>
      </c>
      <c r="P509" s="7" t="str">
        <f t="shared" si="52"/>
        <v>High</v>
      </c>
      <c r="Q509" s="4">
        <v>2606.11</v>
      </c>
      <c r="R509" s="4">
        <v>0.02</v>
      </c>
      <c r="S509" s="4">
        <v>6</v>
      </c>
      <c r="T509" s="4">
        <f t="shared" si="49"/>
        <v>7506.8196000000007</v>
      </c>
      <c r="U509">
        <f t="shared" si="50"/>
        <v>7990.62</v>
      </c>
      <c r="V509" s="4">
        <f t="shared" si="53"/>
        <v>-483.80039999999917</v>
      </c>
      <c r="W509" s="4">
        <f t="shared" si="54"/>
        <v>-6.444811861470591E-2</v>
      </c>
    </row>
    <row r="510" spans="1:23" x14ac:dyDescent="0.3">
      <c r="A510" t="s">
        <v>1117</v>
      </c>
      <c r="B510" s="6">
        <v>45029</v>
      </c>
      <c r="C510" s="2">
        <v>45036</v>
      </c>
      <c r="D510" s="4">
        <f t="shared" si="55"/>
        <v>7</v>
      </c>
      <c r="E510" s="4" t="str">
        <f>TEXT(Data!B510,"MMM-YYYY")</f>
        <v>Nov-2024</v>
      </c>
      <c r="F510" s="4" t="str">
        <f t="shared" si="51"/>
        <v>Q2-2023</v>
      </c>
      <c r="G510" t="s">
        <v>78</v>
      </c>
      <c r="H510" t="s">
        <v>90</v>
      </c>
      <c r="I510" t="s">
        <v>138</v>
      </c>
      <c r="J510" t="s">
        <v>62</v>
      </c>
      <c r="K510" t="s">
        <v>28</v>
      </c>
      <c r="L510" t="s">
        <v>75</v>
      </c>
      <c r="M510" t="s">
        <v>57</v>
      </c>
      <c r="N510" t="s">
        <v>1118</v>
      </c>
      <c r="O510" s="4">
        <v>227.02</v>
      </c>
      <c r="P510" s="7" t="str">
        <f t="shared" si="52"/>
        <v>High</v>
      </c>
      <c r="Q510" s="4">
        <v>434.72</v>
      </c>
      <c r="R510" s="4">
        <v>9.8000000000000004E-2</v>
      </c>
      <c r="S510" s="4">
        <v>10</v>
      </c>
      <c r="T510" s="4">
        <f t="shared" si="49"/>
        <v>25448.667200000004</v>
      </c>
      <c r="U510">
        <f t="shared" si="50"/>
        <v>2270.2000000000003</v>
      </c>
      <c r="V510" s="4">
        <f t="shared" si="53"/>
        <v>23178.467200000003</v>
      </c>
      <c r="W510" s="4">
        <f t="shared" si="54"/>
        <v>0.91079297072186161</v>
      </c>
    </row>
    <row r="511" spans="1:23" x14ac:dyDescent="0.3">
      <c r="A511" t="s">
        <v>1119</v>
      </c>
      <c r="B511" s="6">
        <v>45608</v>
      </c>
      <c r="C511" s="2">
        <v>45617</v>
      </c>
      <c r="D511" s="4">
        <f t="shared" si="55"/>
        <v>9</v>
      </c>
      <c r="E511" s="4" t="str">
        <f>TEXT(Data!B511,"MMM-YYYY")</f>
        <v>May-2023</v>
      </c>
      <c r="F511" s="4" t="str">
        <f t="shared" si="51"/>
        <v>Q4-2024</v>
      </c>
      <c r="G511" t="s">
        <v>45</v>
      </c>
      <c r="H511" t="s">
        <v>60</v>
      </c>
      <c r="I511" t="s">
        <v>220</v>
      </c>
      <c r="J511" t="s">
        <v>19</v>
      </c>
      <c r="K511" t="s">
        <v>98</v>
      </c>
      <c r="L511" t="s">
        <v>92</v>
      </c>
      <c r="M511" t="s">
        <v>57</v>
      </c>
      <c r="N511" t="s">
        <v>1120</v>
      </c>
      <c r="O511" s="4">
        <v>903.41</v>
      </c>
      <c r="P511" s="7" t="str">
        <f t="shared" si="52"/>
        <v>High</v>
      </c>
      <c r="Q511" s="4">
        <v>1860.41</v>
      </c>
      <c r="R511" s="4">
        <v>0.108</v>
      </c>
      <c r="S511" s="4">
        <v>5</v>
      </c>
      <c r="T511" s="4">
        <f t="shared" si="49"/>
        <v>6953.9874000000009</v>
      </c>
      <c r="U511">
        <f t="shared" si="50"/>
        <v>4517.05</v>
      </c>
      <c r="V511" s="4">
        <f t="shared" si="53"/>
        <v>2436.9374000000007</v>
      </c>
      <c r="W511" s="4">
        <f t="shared" si="54"/>
        <v>0.35043741954436103</v>
      </c>
    </row>
    <row r="512" spans="1:23" x14ac:dyDescent="0.3">
      <c r="A512" t="s">
        <v>1121</v>
      </c>
      <c r="B512" s="6">
        <v>45056</v>
      </c>
      <c r="C512" s="2">
        <v>45060</v>
      </c>
      <c r="D512" s="4">
        <f t="shared" si="55"/>
        <v>4</v>
      </c>
      <c r="E512" s="4" t="str">
        <f>TEXT(Data!B512,"MMM-YYYY")</f>
        <v>Mar-2024</v>
      </c>
      <c r="F512" s="4" t="str">
        <f t="shared" si="51"/>
        <v>Q2-2023</v>
      </c>
      <c r="G512" t="s">
        <v>45</v>
      </c>
      <c r="H512" t="s">
        <v>60</v>
      </c>
      <c r="I512" t="s">
        <v>141</v>
      </c>
      <c r="J512" t="s">
        <v>39</v>
      </c>
      <c r="K512" t="s">
        <v>55</v>
      </c>
      <c r="L512" t="s">
        <v>21</v>
      </c>
      <c r="M512" t="s">
        <v>64</v>
      </c>
      <c r="N512" t="s">
        <v>1122</v>
      </c>
      <c r="O512" s="4">
        <v>622.6</v>
      </c>
      <c r="P512" s="7" t="str">
        <f t="shared" si="52"/>
        <v>High</v>
      </c>
      <c r="Q512" s="4">
        <v>833.69</v>
      </c>
      <c r="R512" s="4">
        <v>0.20899999999999999</v>
      </c>
      <c r="S512" s="4">
        <v>14</v>
      </c>
      <c r="T512" s="4">
        <f t="shared" si="49"/>
        <v>7271.8528400000005</v>
      </c>
      <c r="U512">
        <f t="shared" si="50"/>
        <v>8716.4</v>
      </c>
      <c r="V512" s="4">
        <f t="shared" si="53"/>
        <v>-1444.5471599999992</v>
      </c>
      <c r="W512" s="4">
        <f t="shared" si="54"/>
        <v>-0.19864911897749557</v>
      </c>
    </row>
    <row r="513" spans="1:23" x14ac:dyDescent="0.3">
      <c r="A513" t="s">
        <v>1123</v>
      </c>
      <c r="B513" s="6">
        <v>45353</v>
      </c>
      <c r="C513" s="2">
        <v>45374</v>
      </c>
      <c r="D513" s="4">
        <f t="shared" si="55"/>
        <v>21</v>
      </c>
      <c r="E513" s="4" t="str">
        <f>TEXT(Data!B513,"MMM-YYYY")</f>
        <v>Oct-2024</v>
      </c>
      <c r="F513" s="4" t="str">
        <f t="shared" si="51"/>
        <v>Q1-2024</v>
      </c>
      <c r="G513" t="s">
        <v>52</v>
      </c>
      <c r="H513" t="s">
        <v>122</v>
      </c>
      <c r="I513" t="s">
        <v>123</v>
      </c>
      <c r="J513" t="s">
        <v>62</v>
      </c>
      <c r="K513" t="s">
        <v>28</v>
      </c>
      <c r="L513" t="s">
        <v>84</v>
      </c>
      <c r="M513" t="s">
        <v>22</v>
      </c>
      <c r="N513" t="s">
        <v>1124</v>
      </c>
      <c r="O513" s="4">
        <v>225.01</v>
      </c>
      <c r="P513" s="7" t="str">
        <f t="shared" si="52"/>
        <v>High</v>
      </c>
      <c r="Q513" s="4">
        <v>333.48</v>
      </c>
      <c r="R513" s="4">
        <v>0.11899999999999999</v>
      </c>
      <c r="S513" s="4">
        <v>12</v>
      </c>
      <c r="T513" s="4">
        <f t="shared" si="49"/>
        <v>28098.68448</v>
      </c>
      <c r="U513">
        <f t="shared" si="50"/>
        <v>2700.12</v>
      </c>
      <c r="V513" s="4">
        <f t="shared" si="53"/>
        <v>25398.564480000001</v>
      </c>
      <c r="W513" s="4">
        <f t="shared" si="54"/>
        <v>0.90390582157246957</v>
      </c>
    </row>
    <row r="514" spans="1:23" x14ac:dyDescent="0.3">
      <c r="A514" t="s">
        <v>1125</v>
      </c>
      <c r="B514" s="6">
        <v>45575</v>
      </c>
      <c r="C514" s="2">
        <v>45576</v>
      </c>
      <c r="D514" s="4">
        <f t="shared" si="55"/>
        <v>1</v>
      </c>
      <c r="E514" s="4" t="str">
        <f>TEXT(Data!B514,"MMM-YYYY")</f>
        <v>Jun-2023</v>
      </c>
      <c r="F514" s="4" t="str">
        <f t="shared" si="51"/>
        <v>Q4-2024</v>
      </c>
      <c r="G514" t="s">
        <v>78</v>
      </c>
      <c r="H514" t="s">
        <v>108</v>
      </c>
      <c r="I514" t="s">
        <v>228</v>
      </c>
      <c r="J514" t="s">
        <v>39</v>
      </c>
      <c r="K514" t="s">
        <v>55</v>
      </c>
      <c r="L514" t="s">
        <v>49</v>
      </c>
      <c r="M514" t="s">
        <v>22</v>
      </c>
      <c r="N514" t="s">
        <v>1126</v>
      </c>
      <c r="O514" s="4">
        <v>1389.46</v>
      </c>
      <c r="P514" s="7" t="str">
        <f t="shared" si="52"/>
        <v>High</v>
      </c>
      <c r="Q514" s="4">
        <v>1784.7</v>
      </c>
      <c r="R514" s="4">
        <v>0.14599999999999999</v>
      </c>
      <c r="S514" s="4">
        <v>33</v>
      </c>
      <c r="T514" s="4">
        <f t="shared" ref="T514:T577" si="56">(Q540*S514)*(1-R514)</f>
        <v>40152.022679999995</v>
      </c>
      <c r="U514">
        <f t="shared" ref="U514:U577" si="57">(O514*S514)</f>
        <v>45852.18</v>
      </c>
      <c r="V514" s="4">
        <f t="shared" si="53"/>
        <v>-5700.1573200000057</v>
      </c>
      <c r="W514" s="4">
        <f t="shared" si="54"/>
        <v>-0.14196438783242904</v>
      </c>
    </row>
    <row r="515" spans="1:23" x14ac:dyDescent="0.3">
      <c r="A515" t="s">
        <v>1127</v>
      </c>
      <c r="B515" s="6">
        <v>45078</v>
      </c>
      <c r="C515" s="2">
        <v>45085</v>
      </c>
      <c r="D515" s="4">
        <f t="shared" si="55"/>
        <v>7</v>
      </c>
      <c r="E515" s="4" t="str">
        <f>TEXT(Data!B515,"MMM-YYYY")</f>
        <v>Jan-2025</v>
      </c>
      <c r="F515" s="4" t="str">
        <f t="shared" ref="F515:F578" si="58">"Q"&amp;ROUNDUP(MONTH(B515)/3,0)&amp;"-"&amp;YEAR(B515)</f>
        <v>Q2-2023</v>
      </c>
      <c r="G515" t="s">
        <v>78</v>
      </c>
      <c r="H515" t="s">
        <v>79</v>
      </c>
      <c r="I515" t="s">
        <v>335</v>
      </c>
      <c r="J515" t="s">
        <v>48</v>
      </c>
      <c r="K515" t="s">
        <v>28</v>
      </c>
      <c r="L515" t="s">
        <v>75</v>
      </c>
      <c r="M515" t="s">
        <v>42</v>
      </c>
      <c r="N515" t="s">
        <v>1128</v>
      </c>
      <c r="O515" s="4">
        <v>804.17</v>
      </c>
      <c r="P515" s="7" t="str">
        <f t="shared" ref="P515:P578" si="59">IF(Q515&lt;50, "Low", IF(Q515&lt;200, "Medium", "High"))</f>
        <v>High</v>
      </c>
      <c r="Q515" s="4">
        <v>1072.29</v>
      </c>
      <c r="R515" s="4">
        <v>3.2000000000000001E-2</v>
      </c>
      <c r="S515" s="4">
        <v>5</v>
      </c>
      <c r="T515" s="4">
        <f t="shared" si="56"/>
        <v>11222.701599999999</v>
      </c>
      <c r="U515">
        <f t="shared" si="57"/>
        <v>4020.85</v>
      </c>
      <c r="V515" s="4">
        <f t="shared" ref="V515:V578" si="60">(T515-U515)</f>
        <v>7201.8515999999981</v>
      </c>
      <c r="W515" s="4">
        <f t="shared" ref="W515:W578" si="61">IF(T515=0, 0, V515/T515)</f>
        <v>0.64172174015568584</v>
      </c>
    </row>
    <row r="516" spans="1:23" x14ac:dyDescent="0.3">
      <c r="A516" t="s">
        <v>1129</v>
      </c>
      <c r="B516" s="6">
        <v>45661</v>
      </c>
      <c r="C516" s="2">
        <v>45662</v>
      </c>
      <c r="D516" s="4">
        <f t="shared" si="55"/>
        <v>1</v>
      </c>
      <c r="E516" s="4" t="str">
        <f>TEXT(Data!B516,"MMM-YYYY")</f>
        <v>Aug-2025</v>
      </c>
      <c r="F516" s="4" t="str">
        <f t="shared" si="58"/>
        <v>Q1-2025</v>
      </c>
      <c r="G516" t="s">
        <v>45</v>
      </c>
      <c r="H516" t="s">
        <v>60</v>
      </c>
      <c r="I516" t="s">
        <v>141</v>
      </c>
      <c r="J516" t="s">
        <v>27</v>
      </c>
      <c r="K516" t="s">
        <v>20</v>
      </c>
      <c r="L516" t="s">
        <v>34</v>
      </c>
      <c r="M516" t="s">
        <v>22</v>
      </c>
      <c r="N516" t="s">
        <v>1130</v>
      </c>
      <c r="O516" s="4">
        <v>1428.33</v>
      </c>
      <c r="P516" s="7" t="str">
        <f t="shared" si="59"/>
        <v>High</v>
      </c>
      <c r="Q516" s="4">
        <v>3028.05</v>
      </c>
      <c r="R516" s="4">
        <v>0</v>
      </c>
      <c r="S516" s="4">
        <v>11</v>
      </c>
      <c r="T516" s="4">
        <f t="shared" si="56"/>
        <v>4033.7</v>
      </c>
      <c r="U516">
        <f t="shared" si="57"/>
        <v>15711.63</v>
      </c>
      <c r="V516" s="4">
        <f t="shared" si="60"/>
        <v>-11677.93</v>
      </c>
      <c r="W516" s="4">
        <f t="shared" si="61"/>
        <v>-2.8950913553313335</v>
      </c>
    </row>
    <row r="517" spans="1:23" x14ac:dyDescent="0.3">
      <c r="A517" t="s">
        <v>1131</v>
      </c>
      <c r="B517" s="6">
        <v>45874</v>
      </c>
      <c r="C517" s="2">
        <v>45897</v>
      </c>
      <c r="D517" s="4">
        <f t="shared" ref="D517:D580" si="62">DATEDIF(B517,C517, "MD")</f>
        <v>23</v>
      </c>
      <c r="E517" s="4" t="str">
        <f>TEXT(Data!B517,"MMM-YYYY")</f>
        <v>Sep-2023</v>
      </c>
      <c r="F517" s="4" t="str">
        <f t="shared" si="58"/>
        <v>Q3-2025</v>
      </c>
      <c r="G517" t="s">
        <v>45</v>
      </c>
      <c r="H517" t="s">
        <v>60</v>
      </c>
      <c r="I517" t="s">
        <v>220</v>
      </c>
      <c r="J517" t="s">
        <v>39</v>
      </c>
      <c r="K517" t="s">
        <v>55</v>
      </c>
      <c r="L517" t="s">
        <v>126</v>
      </c>
      <c r="M517" t="s">
        <v>57</v>
      </c>
      <c r="N517" t="s">
        <v>1132</v>
      </c>
      <c r="O517" s="4">
        <v>638.54</v>
      </c>
      <c r="P517" s="7" t="str">
        <f t="shared" si="59"/>
        <v>High</v>
      </c>
      <c r="Q517" s="4">
        <v>987.24</v>
      </c>
      <c r="R517" s="4">
        <v>0</v>
      </c>
      <c r="S517" s="4">
        <v>11</v>
      </c>
      <c r="T517" s="4">
        <f t="shared" si="56"/>
        <v>30771.51</v>
      </c>
      <c r="U517">
        <f t="shared" si="57"/>
        <v>7023.94</v>
      </c>
      <c r="V517" s="4">
        <f t="shared" si="60"/>
        <v>23747.57</v>
      </c>
      <c r="W517" s="4">
        <f t="shared" si="61"/>
        <v>0.77173885844406076</v>
      </c>
    </row>
    <row r="518" spans="1:23" x14ac:dyDescent="0.3">
      <c r="A518" t="s">
        <v>1133</v>
      </c>
      <c r="B518" s="6">
        <v>45199</v>
      </c>
      <c r="C518" s="2">
        <v>45229</v>
      </c>
      <c r="D518" s="4">
        <f t="shared" si="62"/>
        <v>0</v>
      </c>
      <c r="E518" s="4" t="str">
        <f>TEXT(Data!B518,"MMM-YYYY")</f>
        <v>May-2025</v>
      </c>
      <c r="F518" s="4" t="str">
        <f t="shared" si="58"/>
        <v>Q3-2023</v>
      </c>
      <c r="G518" t="s">
        <v>45</v>
      </c>
      <c r="H518" t="s">
        <v>46</v>
      </c>
      <c r="I518" t="s">
        <v>214</v>
      </c>
      <c r="J518" t="s">
        <v>105</v>
      </c>
      <c r="K518" t="s">
        <v>28</v>
      </c>
      <c r="L518" t="s">
        <v>145</v>
      </c>
      <c r="M518" t="s">
        <v>30</v>
      </c>
      <c r="N518" t="s">
        <v>1134</v>
      </c>
      <c r="O518" s="4">
        <v>649.13</v>
      </c>
      <c r="P518" s="7" t="str">
        <f t="shared" si="59"/>
        <v>High</v>
      </c>
      <c r="Q518" s="4">
        <v>975.43</v>
      </c>
      <c r="R518" s="4">
        <v>0.157</v>
      </c>
      <c r="S518" s="4">
        <v>27</v>
      </c>
      <c r="T518" s="4">
        <f t="shared" si="56"/>
        <v>50294.07125999999</v>
      </c>
      <c r="U518">
        <f t="shared" si="57"/>
        <v>17526.509999999998</v>
      </c>
      <c r="V518" s="4">
        <f t="shared" si="60"/>
        <v>32767.561259999991</v>
      </c>
      <c r="W518" s="4">
        <f t="shared" si="61"/>
        <v>0.65151936280133227</v>
      </c>
    </row>
    <row r="519" spans="1:23" x14ac:dyDescent="0.3">
      <c r="A519" t="s">
        <v>1135</v>
      </c>
      <c r="B519" s="6">
        <v>45794</v>
      </c>
      <c r="C519" s="2">
        <v>45807</v>
      </c>
      <c r="D519" s="4">
        <f t="shared" si="62"/>
        <v>13</v>
      </c>
      <c r="E519" s="4" t="str">
        <f>TEXT(Data!B519,"MMM-YYYY")</f>
        <v>May-2024</v>
      </c>
      <c r="F519" s="4" t="str">
        <f t="shared" si="58"/>
        <v>Q2-2025</v>
      </c>
      <c r="G519" t="s">
        <v>16</v>
      </c>
      <c r="H519" t="s">
        <v>25</v>
      </c>
      <c r="I519" t="s">
        <v>38</v>
      </c>
      <c r="J519" t="s">
        <v>48</v>
      </c>
      <c r="K519" t="s">
        <v>55</v>
      </c>
      <c r="L519" t="s">
        <v>84</v>
      </c>
      <c r="M519" t="s">
        <v>81</v>
      </c>
      <c r="N519" t="s">
        <v>1136</v>
      </c>
      <c r="O519" s="4">
        <v>66.400000000000006</v>
      </c>
      <c r="P519" s="7" t="str">
        <f t="shared" si="59"/>
        <v>Medium</v>
      </c>
      <c r="Q519" s="4">
        <v>141.43</v>
      </c>
      <c r="R519" s="4">
        <v>0.107</v>
      </c>
      <c r="S519" s="4">
        <v>8</v>
      </c>
      <c r="T519" s="4">
        <f t="shared" si="56"/>
        <v>5994.1017599999996</v>
      </c>
      <c r="U519">
        <f t="shared" si="57"/>
        <v>531.20000000000005</v>
      </c>
      <c r="V519" s="4">
        <f t="shared" si="60"/>
        <v>5462.9017599999997</v>
      </c>
      <c r="W519" s="4">
        <f t="shared" si="61"/>
        <v>0.91137954921873066</v>
      </c>
    </row>
    <row r="520" spans="1:23" x14ac:dyDescent="0.3">
      <c r="A520" t="s">
        <v>1137</v>
      </c>
      <c r="B520" s="6">
        <v>45413</v>
      </c>
      <c r="C520" s="2">
        <v>45438</v>
      </c>
      <c r="D520" s="4">
        <f t="shared" si="62"/>
        <v>25</v>
      </c>
      <c r="E520" s="4" t="str">
        <f>TEXT(Data!B520,"MMM-YYYY")</f>
        <v>May-2023</v>
      </c>
      <c r="F520" s="4" t="str">
        <f t="shared" si="58"/>
        <v>Q2-2024</v>
      </c>
      <c r="G520" t="s">
        <v>78</v>
      </c>
      <c r="H520" t="s">
        <v>79</v>
      </c>
      <c r="I520" t="s">
        <v>80</v>
      </c>
      <c r="J520" t="s">
        <v>39</v>
      </c>
      <c r="K520" t="s">
        <v>20</v>
      </c>
      <c r="L520" t="s">
        <v>56</v>
      </c>
      <c r="M520" t="s">
        <v>35</v>
      </c>
      <c r="N520" t="s">
        <v>1138</v>
      </c>
      <c r="O520" s="4">
        <v>930.71</v>
      </c>
      <c r="P520" s="7" t="str">
        <f t="shared" si="59"/>
        <v>High</v>
      </c>
      <c r="Q520" s="4">
        <v>1625.42</v>
      </c>
      <c r="R520" s="4">
        <v>0.13800000000000001</v>
      </c>
      <c r="S520" s="4">
        <v>7</v>
      </c>
      <c r="T520" s="4">
        <f t="shared" si="56"/>
        <v>6873.6311000000005</v>
      </c>
      <c r="U520">
        <f t="shared" si="57"/>
        <v>6514.97</v>
      </c>
      <c r="V520" s="4">
        <f t="shared" si="60"/>
        <v>358.66110000000026</v>
      </c>
      <c r="W520" s="4">
        <f t="shared" si="61"/>
        <v>5.2179276830844216E-2</v>
      </c>
    </row>
    <row r="521" spans="1:23" x14ac:dyDescent="0.3">
      <c r="A521" t="s">
        <v>1139</v>
      </c>
      <c r="B521" s="6">
        <v>45047</v>
      </c>
      <c r="C521" s="2">
        <v>45064</v>
      </c>
      <c r="D521" s="4">
        <f t="shared" si="62"/>
        <v>17</v>
      </c>
      <c r="E521" s="4" t="str">
        <f>TEXT(Data!B521,"MMM-YYYY")</f>
        <v>Jul-2024</v>
      </c>
      <c r="F521" s="4" t="str">
        <f t="shared" si="58"/>
        <v>Q2-2023</v>
      </c>
      <c r="G521" t="s">
        <v>16</v>
      </c>
      <c r="H521" t="s">
        <v>25</v>
      </c>
      <c r="I521" t="s">
        <v>26</v>
      </c>
      <c r="J521" t="s">
        <v>19</v>
      </c>
      <c r="K521" t="s">
        <v>98</v>
      </c>
      <c r="L521" t="s">
        <v>84</v>
      </c>
      <c r="M521" t="s">
        <v>22</v>
      </c>
      <c r="N521" t="s">
        <v>1140</v>
      </c>
      <c r="O521" s="4">
        <v>327.97</v>
      </c>
      <c r="P521" s="7" t="str">
        <f t="shared" si="59"/>
        <v>High</v>
      </c>
      <c r="Q521" s="4">
        <v>299.94</v>
      </c>
      <c r="R521" s="4">
        <v>4.9000000000000002E-2</v>
      </c>
      <c r="S521" s="4">
        <v>3</v>
      </c>
      <c r="T521" s="4">
        <f t="shared" si="56"/>
        <v>4884.4215899999999</v>
      </c>
      <c r="U521">
        <f t="shared" si="57"/>
        <v>983.91000000000008</v>
      </c>
      <c r="V521" s="4">
        <f t="shared" si="60"/>
        <v>3900.5115900000001</v>
      </c>
      <c r="W521" s="4">
        <f t="shared" si="61"/>
        <v>0.79856161433435968</v>
      </c>
    </row>
    <row r="522" spans="1:23" x14ac:dyDescent="0.3">
      <c r="A522" t="s">
        <v>1141</v>
      </c>
      <c r="B522" s="6">
        <v>45482</v>
      </c>
      <c r="C522" s="2">
        <v>45512</v>
      </c>
      <c r="D522" s="4">
        <f t="shared" si="62"/>
        <v>30</v>
      </c>
      <c r="E522" s="4" t="str">
        <f>TEXT(Data!B522,"MMM-YYYY")</f>
        <v>May-2023</v>
      </c>
      <c r="F522" s="4" t="str">
        <f t="shared" si="58"/>
        <v>Q3-2024</v>
      </c>
      <c r="G522" t="s">
        <v>78</v>
      </c>
      <c r="H522" t="s">
        <v>90</v>
      </c>
      <c r="I522" t="s">
        <v>91</v>
      </c>
      <c r="J522" t="s">
        <v>19</v>
      </c>
      <c r="K522" t="s">
        <v>98</v>
      </c>
      <c r="L522" t="s">
        <v>29</v>
      </c>
      <c r="M522" t="s">
        <v>22</v>
      </c>
      <c r="N522" t="s">
        <v>1142</v>
      </c>
      <c r="O522" s="4">
        <v>1062.3800000000001</v>
      </c>
      <c r="P522" s="7" t="str">
        <f t="shared" si="59"/>
        <v>High</v>
      </c>
      <c r="Q522" s="4">
        <v>1503.96</v>
      </c>
      <c r="R522" s="4">
        <v>0.18</v>
      </c>
      <c r="S522" s="4">
        <v>6</v>
      </c>
      <c r="T522" s="4">
        <f t="shared" si="56"/>
        <v>5187.1068000000005</v>
      </c>
      <c r="U522">
        <f t="shared" si="57"/>
        <v>6374.2800000000007</v>
      </c>
      <c r="V522" s="4">
        <f t="shared" si="60"/>
        <v>-1187.1732000000002</v>
      </c>
      <c r="W522" s="4">
        <f t="shared" si="61"/>
        <v>-0.22887001285572142</v>
      </c>
    </row>
    <row r="523" spans="1:23" x14ac:dyDescent="0.3">
      <c r="A523" t="s">
        <v>1143</v>
      </c>
      <c r="B523" s="6">
        <v>45056</v>
      </c>
      <c r="C523" s="2">
        <v>45073</v>
      </c>
      <c r="D523" s="4">
        <f t="shared" si="62"/>
        <v>17</v>
      </c>
      <c r="E523" s="4" t="str">
        <f>TEXT(Data!B523,"MMM-YYYY")</f>
        <v>Jul-2024</v>
      </c>
      <c r="F523" s="4" t="str">
        <f t="shared" si="58"/>
        <v>Q2-2023</v>
      </c>
      <c r="G523" t="s">
        <v>45</v>
      </c>
      <c r="H523" t="s">
        <v>60</v>
      </c>
      <c r="I523" t="s">
        <v>220</v>
      </c>
      <c r="J523" t="s">
        <v>48</v>
      </c>
      <c r="K523" t="s">
        <v>20</v>
      </c>
      <c r="L523" t="s">
        <v>110</v>
      </c>
      <c r="M523" t="s">
        <v>57</v>
      </c>
      <c r="N523" t="s">
        <v>1144</v>
      </c>
      <c r="O523" s="4">
        <v>1286.1600000000001</v>
      </c>
      <c r="P523" s="7" t="str">
        <f t="shared" si="59"/>
        <v>High</v>
      </c>
      <c r="Q523" s="4">
        <v>3101.11</v>
      </c>
      <c r="R523" s="4">
        <v>0.1</v>
      </c>
      <c r="S523" s="4">
        <v>23</v>
      </c>
      <c r="T523" s="4">
        <f t="shared" si="56"/>
        <v>50740.254000000001</v>
      </c>
      <c r="U523">
        <f t="shared" si="57"/>
        <v>29581.68</v>
      </c>
      <c r="V523" s="4">
        <f t="shared" si="60"/>
        <v>21158.574000000001</v>
      </c>
      <c r="W523" s="4">
        <f t="shared" si="61"/>
        <v>0.41699779429562966</v>
      </c>
    </row>
    <row r="524" spans="1:23" x14ac:dyDescent="0.3">
      <c r="A524" t="s">
        <v>1145</v>
      </c>
      <c r="B524" s="6">
        <v>45482</v>
      </c>
      <c r="C524" s="2">
        <v>45485</v>
      </c>
      <c r="D524" s="4">
        <f t="shared" si="62"/>
        <v>3</v>
      </c>
      <c r="E524" s="4" t="str">
        <f>TEXT(Data!B524,"MMM-YYYY")</f>
        <v>Apr-2024</v>
      </c>
      <c r="F524" s="4" t="str">
        <f t="shared" si="58"/>
        <v>Q3-2024</v>
      </c>
      <c r="G524" t="s">
        <v>45</v>
      </c>
      <c r="H524" t="s">
        <v>116</v>
      </c>
      <c r="I524" t="s">
        <v>162</v>
      </c>
      <c r="J524" t="s">
        <v>62</v>
      </c>
      <c r="K524" t="s">
        <v>20</v>
      </c>
      <c r="L524" t="s">
        <v>145</v>
      </c>
      <c r="M524" t="s">
        <v>81</v>
      </c>
      <c r="N524" t="s">
        <v>1146</v>
      </c>
      <c r="O524" s="4">
        <v>748.39</v>
      </c>
      <c r="P524" s="7" t="str">
        <f t="shared" si="59"/>
        <v>High</v>
      </c>
      <c r="Q524" s="4">
        <v>979.42</v>
      </c>
      <c r="R524" s="4">
        <v>0</v>
      </c>
      <c r="S524" s="4">
        <v>23</v>
      </c>
      <c r="T524" s="4">
        <f t="shared" si="56"/>
        <v>28777.83</v>
      </c>
      <c r="U524">
        <f t="shared" si="57"/>
        <v>17212.97</v>
      </c>
      <c r="V524" s="4">
        <f t="shared" si="60"/>
        <v>11564.86</v>
      </c>
      <c r="W524" s="4">
        <f t="shared" si="61"/>
        <v>0.401866992751017</v>
      </c>
    </row>
    <row r="525" spans="1:23" x14ac:dyDescent="0.3">
      <c r="A525" t="s">
        <v>1147</v>
      </c>
      <c r="B525" s="6">
        <v>45406</v>
      </c>
      <c r="C525" s="2">
        <v>45422</v>
      </c>
      <c r="D525" s="4">
        <f t="shared" si="62"/>
        <v>16</v>
      </c>
      <c r="E525" s="4" t="str">
        <f>TEXT(Data!B525,"MMM-YYYY")</f>
        <v>Jan-2024</v>
      </c>
      <c r="F525" s="4" t="str">
        <f t="shared" si="58"/>
        <v>Q2-2024</v>
      </c>
      <c r="G525" t="s">
        <v>16</v>
      </c>
      <c r="H525" t="s">
        <v>17</v>
      </c>
      <c r="I525" t="s">
        <v>18</v>
      </c>
      <c r="J525" t="s">
        <v>39</v>
      </c>
      <c r="K525" t="s">
        <v>28</v>
      </c>
      <c r="L525" t="s">
        <v>126</v>
      </c>
      <c r="M525" t="s">
        <v>64</v>
      </c>
      <c r="N525" t="s">
        <v>1148</v>
      </c>
      <c r="O525" s="4">
        <v>513.30999999999995</v>
      </c>
      <c r="P525" s="7" t="str">
        <f t="shared" si="59"/>
        <v>High</v>
      </c>
      <c r="Q525" s="4">
        <v>1186.26</v>
      </c>
      <c r="R525" s="4">
        <v>9.4E-2</v>
      </c>
      <c r="S525" s="4">
        <v>15</v>
      </c>
      <c r="T525" s="4">
        <f t="shared" si="56"/>
        <v>15014.232</v>
      </c>
      <c r="U525">
        <f t="shared" si="57"/>
        <v>7699.65</v>
      </c>
      <c r="V525" s="4">
        <f t="shared" si="60"/>
        <v>7314.5820000000003</v>
      </c>
      <c r="W525" s="4">
        <f t="shared" si="61"/>
        <v>0.48717656687335059</v>
      </c>
    </row>
    <row r="526" spans="1:23" x14ac:dyDescent="0.3">
      <c r="A526" t="s">
        <v>1149</v>
      </c>
      <c r="B526" s="6">
        <v>45304</v>
      </c>
      <c r="C526" s="2">
        <v>45306</v>
      </c>
      <c r="D526" s="4">
        <f t="shared" si="62"/>
        <v>2</v>
      </c>
      <c r="E526" s="4" t="str">
        <f>TEXT(Data!B526,"MMM-YYYY")</f>
        <v>Apr-2024</v>
      </c>
      <c r="F526" s="4" t="str">
        <f t="shared" si="58"/>
        <v>Q1-2024</v>
      </c>
      <c r="G526" t="s">
        <v>52</v>
      </c>
      <c r="H526" t="s">
        <v>122</v>
      </c>
      <c r="I526" t="s">
        <v>167</v>
      </c>
      <c r="J526" t="s">
        <v>39</v>
      </c>
      <c r="K526" t="s">
        <v>98</v>
      </c>
      <c r="L526" t="s">
        <v>63</v>
      </c>
      <c r="M526" t="s">
        <v>22</v>
      </c>
      <c r="N526" t="s">
        <v>1150</v>
      </c>
      <c r="O526" s="4">
        <v>1061.3699999999999</v>
      </c>
      <c r="P526" s="7" t="str">
        <f t="shared" si="59"/>
        <v>High</v>
      </c>
      <c r="Q526" s="4">
        <v>1938.33</v>
      </c>
      <c r="R526" s="4">
        <v>0.17</v>
      </c>
      <c r="S526" s="4">
        <v>4</v>
      </c>
      <c r="T526" s="4">
        <f t="shared" si="56"/>
        <v>7912.9211999999989</v>
      </c>
      <c r="U526">
        <f t="shared" si="57"/>
        <v>4245.4799999999996</v>
      </c>
      <c r="V526" s="4">
        <f t="shared" si="60"/>
        <v>3667.4411999999993</v>
      </c>
      <c r="W526" s="4">
        <f t="shared" si="61"/>
        <v>0.46347500591816837</v>
      </c>
    </row>
    <row r="527" spans="1:23" x14ac:dyDescent="0.3">
      <c r="A527" t="s">
        <v>1151</v>
      </c>
      <c r="B527" s="6">
        <v>45398</v>
      </c>
      <c r="C527" s="2">
        <v>45409</v>
      </c>
      <c r="D527" s="4">
        <f t="shared" si="62"/>
        <v>11</v>
      </c>
      <c r="E527" s="4" t="str">
        <f>TEXT(Data!B527,"MMM-YYYY")</f>
        <v>Feb-2025</v>
      </c>
      <c r="F527" s="4" t="str">
        <f t="shared" si="58"/>
        <v>Q2-2024</v>
      </c>
      <c r="G527" t="s">
        <v>16</v>
      </c>
      <c r="H527" t="s">
        <v>17</v>
      </c>
      <c r="I527" t="s">
        <v>135</v>
      </c>
      <c r="J527" t="s">
        <v>105</v>
      </c>
      <c r="K527" t="s">
        <v>28</v>
      </c>
      <c r="L527" t="s">
        <v>145</v>
      </c>
      <c r="M527" t="s">
        <v>30</v>
      </c>
      <c r="N527" t="s">
        <v>1152</v>
      </c>
      <c r="O527" s="4">
        <v>401.3</v>
      </c>
      <c r="P527" s="7" t="str">
        <f t="shared" si="59"/>
        <v>High</v>
      </c>
      <c r="Q527" s="4">
        <v>826.47</v>
      </c>
      <c r="R527" s="4">
        <v>0.22500000000000001</v>
      </c>
      <c r="S527" s="4">
        <v>13</v>
      </c>
      <c r="T527" s="4">
        <f t="shared" si="56"/>
        <v>2146.5795000000003</v>
      </c>
      <c r="U527">
        <f t="shared" si="57"/>
        <v>5216.9000000000005</v>
      </c>
      <c r="V527" s="4">
        <f t="shared" si="60"/>
        <v>-3070.3205000000003</v>
      </c>
      <c r="W527" s="4">
        <f t="shared" si="61"/>
        <v>-1.4303316043034977</v>
      </c>
    </row>
    <row r="528" spans="1:23" x14ac:dyDescent="0.3">
      <c r="A528" t="s">
        <v>1153</v>
      </c>
      <c r="B528" s="6">
        <v>45695</v>
      </c>
      <c r="C528" s="2">
        <v>45704</v>
      </c>
      <c r="D528" s="4">
        <f t="shared" si="62"/>
        <v>9</v>
      </c>
      <c r="E528" s="4" t="str">
        <f>TEXT(Data!B528,"MMM-YYYY")</f>
        <v>Jan-2023</v>
      </c>
      <c r="F528" s="4" t="str">
        <f t="shared" si="58"/>
        <v>Q1-2025</v>
      </c>
      <c r="G528" t="s">
        <v>16</v>
      </c>
      <c r="H528" t="s">
        <v>25</v>
      </c>
      <c r="I528" t="s">
        <v>38</v>
      </c>
      <c r="J528" t="s">
        <v>62</v>
      </c>
      <c r="K528" t="s">
        <v>55</v>
      </c>
      <c r="L528" t="s">
        <v>21</v>
      </c>
      <c r="M528" t="s">
        <v>30</v>
      </c>
      <c r="N528" t="s">
        <v>1154</v>
      </c>
      <c r="O528" s="4">
        <v>90.68</v>
      </c>
      <c r="P528" s="7" t="str">
        <f t="shared" si="59"/>
        <v>Medium</v>
      </c>
      <c r="Q528" s="4">
        <v>118.17</v>
      </c>
      <c r="R528" s="4">
        <v>0.13500000000000001</v>
      </c>
      <c r="S528" s="4">
        <v>21</v>
      </c>
      <c r="T528" s="4">
        <f t="shared" si="56"/>
        <v>36886.575600000004</v>
      </c>
      <c r="U528">
        <f t="shared" si="57"/>
        <v>1904.2800000000002</v>
      </c>
      <c r="V528" s="4">
        <f t="shared" si="60"/>
        <v>34982.295600000005</v>
      </c>
      <c r="W528" s="4">
        <f t="shared" si="61"/>
        <v>0.94837471440422894</v>
      </c>
    </row>
    <row r="529" spans="1:23" x14ac:dyDescent="0.3">
      <c r="A529" t="s">
        <v>1155</v>
      </c>
      <c r="B529" s="6">
        <v>44938</v>
      </c>
      <c r="C529" s="2">
        <v>44952</v>
      </c>
      <c r="D529" s="4">
        <f t="shared" si="62"/>
        <v>14</v>
      </c>
      <c r="E529" s="4" t="str">
        <f>TEXT(Data!B529,"MMM-YYYY")</f>
        <v>Jun-2024</v>
      </c>
      <c r="F529" s="4" t="str">
        <f t="shared" si="58"/>
        <v>Q1-2023</v>
      </c>
      <c r="G529" t="s">
        <v>45</v>
      </c>
      <c r="H529" t="s">
        <v>116</v>
      </c>
      <c r="I529" t="s">
        <v>117</v>
      </c>
      <c r="J529" t="s">
        <v>39</v>
      </c>
      <c r="K529" t="s">
        <v>20</v>
      </c>
      <c r="L529" t="s">
        <v>110</v>
      </c>
      <c r="M529" t="s">
        <v>30</v>
      </c>
      <c r="N529" t="s">
        <v>1156</v>
      </c>
      <c r="O529" s="4">
        <v>1083.0899999999999</v>
      </c>
      <c r="P529" s="7" t="str">
        <f t="shared" si="59"/>
        <v>High</v>
      </c>
      <c r="Q529" s="4">
        <v>1425.87</v>
      </c>
      <c r="R529" s="4">
        <v>0</v>
      </c>
      <c r="S529" s="4">
        <v>8</v>
      </c>
      <c r="T529" s="4">
        <f t="shared" si="56"/>
        <v>7653.6</v>
      </c>
      <c r="U529">
        <f t="shared" si="57"/>
        <v>8664.7199999999993</v>
      </c>
      <c r="V529" s="4">
        <f t="shared" si="60"/>
        <v>-1011.119999999999</v>
      </c>
      <c r="W529" s="4">
        <f t="shared" si="61"/>
        <v>-0.13211037942928805</v>
      </c>
    </row>
    <row r="530" spans="1:23" x14ac:dyDescent="0.3">
      <c r="A530" t="s">
        <v>1157</v>
      </c>
      <c r="B530" s="6">
        <v>45448</v>
      </c>
      <c r="C530" s="2">
        <v>45466</v>
      </c>
      <c r="D530" s="4">
        <f t="shared" si="62"/>
        <v>18</v>
      </c>
      <c r="E530" s="4" t="str">
        <f>TEXT(Data!B530,"MMM-YYYY")</f>
        <v>Aug-2023</v>
      </c>
      <c r="F530" s="4" t="str">
        <f t="shared" si="58"/>
        <v>Q2-2024</v>
      </c>
      <c r="G530" t="s">
        <v>16</v>
      </c>
      <c r="H530" t="s">
        <v>17</v>
      </c>
      <c r="I530" t="s">
        <v>33</v>
      </c>
      <c r="J530" t="s">
        <v>48</v>
      </c>
      <c r="K530" t="s">
        <v>55</v>
      </c>
      <c r="L530" t="s">
        <v>145</v>
      </c>
      <c r="M530" t="s">
        <v>57</v>
      </c>
      <c r="N530" t="s">
        <v>1158</v>
      </c>
      <c r="O530" s="4">
        <v>1208.74</v>
      </c>
      <c r="P530" s="7" t="str">
        <f t="shared" si="59"/>
        <v>High</v>
      </c>
      <c r="Q530" s="4">
        <v>1594.78</v>
      </c>
      <c r="R530" s="4">
        <v>5.8999999999999997E-2</v>
      </c>
      <c r="S530" s="4">
        <v>39</v>
      </c>
      <c r="T530" s="4">
        <f t="shared" si="56"/>
        <v>53128.40832000001</v>
      </c>
      <c r="U530">
        <f t="shared" si="57"/>
        <v>47140.86</v>
      </c>
      <c r="V530" s="4">
        <f t="shared" si="60"/>
        <v>5987.548320000009</v>
      </c>
      <c r="W530" s="4">
        <f t="shared" si="61"/>
        <v>0.11269956148387032</v>
      </c>
    </row>
    <row r="531" spans="1:23" x14ac:dyDescent="0.3">
      <c r="A531" t="s">
        <v>1159</v>
      </c>
      <c r="B531" s="6">
        <v>45162</v>
      </c>
      <c r="C531" s="2">
        <v>45189</v>
      </c>
      <c r="D531" s="4">
        <f t="shared" si="62"/>
        <v>27</v>
      </c>
      <c r="E531" s="4" t="str">
        <f>TEXT(Data!B531,"MMM-YYYY")</f>
        <v>Jan-2024</v>
      </c>
      <c r="F531" s="4" t="str">
        <f t="shared" si="58"/>
        <v>Q3-2023</v>
      </c>
      <c r="G531" t="s">
        <v>16</v>
      </c>
      <c r="H531" t="s">
        <v>148</v>
      </c>
      <c r="I531" t="s">
        <v>172</v>
      </c>
      <c r="J531" t="s">
        <v>62</v>
      </c>
      <c r="K531" t="s">
        <v>40</v>
      </c>
      <c r="L531" t="s">
        <v>110</v>
      </c>
      <c r="M531" t="s">
        <v>30</v>
      </c>
      <c r="N531" t="s">
        <v>1160</v>
      </c>
      <c r="O531" s="4">
        <v>1399.64</v>
      </c>
      <c r="P531" s="7" t="str">
        <f t="shared" si="59"/>
        <v>High</v>
      </c>
      <c r="Q531" s="4">
        <v>3342.11</v>
      </c>
      <c r="R531" s="4">
        <v>0</v>
      </c>
      <c r="S531" s="4">
        <v>10</v>
      </c>
      <c r="T531" s="4">
        <f t="shared" si="56"/>
        <v>29496.199999999997</v>
      </c>
      <c r="U531">
        <f t="shared" si="57"/>
        <v>13996.400000000001</v>
      </c>
      <c r="V531" s="4">
        <f t="shared" si="60"/>
        <v>15499.799999999996</v>
      </c>
      <c r="W531" s="4">
        <f t="shared" si="61"/>
        <v>0.52548463869922213</v>
      </c>
    </row>
    <row r="532" spans="1:23" x14ac:dyDescent="0.3">
      <c r="A532" t="s">
        <v>1161</v>
      </c>
      <c r="B532" s="6">
        <v>45316</v>
      </c>
      <c r="C532" s="2">
        <v>45330</v>
      </c>
      <c r="D532" s="4">
        <f t="shared" si="62"/>
        <v>14</v>
      </c>
      <c r="E532" s="4" t="str">
        <f>TEXT(Data!B532,"MMM-YYYY")</f>
        <v>Mar-2025</v>
      </c>
      <c r="F532" s="4" t="str">
        <f t="shared" si="58"/>
        <v>Q1-2024</v>
      </c>
      <c r="G532" t="s">
        <v>45</v>
      </c>
      <c r="H532" t="s">
        <v>46</v>
      </c>
      <c r="I532" t="s">
        <v>47</v>
      </c>
      <c r="J532" t="s">
        <v>48</v>
      </c>
      <c r="K532" t="s">
        <v>40</v>
      </c>
      <c r="L532" t="s">
        <v>34</v>
      </c>
      <c r="M532" t="s">
        <v>35</v>
      </c>
      <c r="N532" t="s">
        <v>1162</v>
      </c>
      <c r="O532" s="4">
        <v>937.16</v>
      </c>
      <c r="P532" s="7" t="str">
        <f t="shared" si="59"/>
        <v>High</v>
      </c>
      <c r="Q532" s="4">
        <v>1069.77</v>
      </c>
      <c r="R532" s="4">
        <v>3.7999999999999999E-2</v>
      </c>
      <c r="S532" s="4">
        <v>9</v>
      </c>
      <c r="T532" s="4">
        <f t="shared" si="56"/>
        <v>22342.575059999999</v>
      </c>
      <c r="U532">
        <f t="shared" si="57"/>
        <v>8434.44</v>
      </c>
      <c r="V532" s="4">
        <f t="shared" si="60"/>
        <v>13908.135059999999</v>
      </c>
      <c r="W532" s="4">
        <f t="shared" si="61"/>
        <v>0.62249472241450754</v>
      </c>
    </row>
    <row r="533" spans="1:23" x14ac:dyDescent="0.3">
      <c r="A533" t="s">
        <v>1163</v>
      </c>
      <c r="B533" s="6">
        <v>45727</v>
      </c>
      <c r="C533" s="2">
        <v>45742</v>
      </c>
      <c r="D533" s="4">
        <f t="shared" si="62"/>
        <v>15</v>
      </c>
      <c r="E533" s="4" t="str">
        <f>TEXT(Data!B533,"MMM-YYYY")</f>
        <v>Apr-2025</v>
      </c>
      <c r="F533" s="4" t="str">
        <f t="shared" si="58"/>
        <v>Q1-2025</v>
      </c>
      <c r="G533" t="s">
        <v>78</v>
      </c>
      <c r="H533" t="s">
        <v>79</v>
      </c>
      <c r="I533" t="s">
        <v>80</v>
      </c>
      <c r="J533" t="s">
        <v>62</v>
      </c>
      <c r="K533" t="s">
        <v>28</v>
      </c>
      <c r="L533" t="s">
        <v>34</v>
      </c>
      <c r="M533" t="s">
        <v>42</v>
      </c>
      <c r="N533" t="s">
        <v>1164</v>
      </c>
      <c r="O533" s="4">
        <v>116.97</v>
      </c>
      <c r="P533" s="7" t="str">
        <f t="shared" si="59"/>
        <v>Medium</v>
      </c>
      <c r="Q533" s="4">
        <v>140.82</v>
      </c>
      <c r="R533" s="4">
        <v>0.122</v>
      </c>
      <c r="S533" s="4">
        <v>5</v>
      </c>
      <c r="T533" s="4">
        <f t="shared" si="56"/>
        <v>8687.4149000000016</v>
      </c>
      <c r="U533">
        <f t="shared" si="57"/>
        <v>584.85</v>
      </c>
      <c r="V533" s="4">
        <f t="shared" si="60"/>
        <v>8102.5649000000012</v>
      </c>
      <c r="W533" s="4">
        <f t="shared" si="61"/>
        <v>0.93267847723032082</v>
      </c>
    </row>
    <row r="534" spans="1:23" x14ac:dyDescent="0.3">
      <c r="A534" t="s">
        <v>1165</v>
      </c>
      <c r="B534" s="6">
        <v>45769</v>
      </c>
      <c r="C534" s="2">
        <v>45789</v>
      </c>
      <c r="D534" s="4">
        <f t="shared" si="62"/>
        <v>20</v>
      </c>
      <c r="E534" s="4" t="str">
        <f>TEXT(Data!B534,"MMM-YYYY")</f>
        <v>Aug-2023</v>
      </c>
      <c r="F534" s="4" t="str">
        <f t="shared" si="58"/>
        <v>Q2-2025</v>
      </c>
      <c r="G534" t="s">
        <v>78</v>
      </c>
      <c r="H534" t="s">
        <v>90</v>
      </c>
      <c r="I534" t="s">
        <v>138</v>
      </c>
      <c r="J534" t="s">
        <v>105</v>
      </c>
      <c r="K534" t="s">
        <v>40</v>
      </c>
      <c r="L534" t="s">
        <v>95</v>
      </c>
      <c r="M534" t="s">
        <v>64</v>
      </c>
      <c r="N534" t="s">
        <v>1166</v>
      </c>
      <c r="O534" s="4">
        <v>59.51</v>
      </c>
      <c r="P534" s="7" t="str">
        <f t="shared" si="59"/>
        <v>Medium</v>
      </c>
      <c r="Q534" s="4">
        <v>67.040000000000006</v>
      </c>
      <c r="R534" s="4">
        <v>0.114</v>
      </c>
      <c r="S534" s="4">
        <v>9</v>
      </c>
      <c r="T534" s="4">
        <f t="shared" si="56"/>
        <v>11813.082300000002</v>
      </c>
      <c r="U534">
        <f t="shared" si="57"/>
        <v>535.59</v>
      </c>
      <c r="V534" s="4">
        <f t="shared" si="60"/>
        <v>11277.492300000002</v>
      </c>
      <c r="W534" s="4">
        <f t="shared" si="61"/>
        <v>0.95466128260191674</v>
      </c>
    </row>
    <row r="535" spans="1:23" x14ac:dyDescent="0.3">
      <c r="A535" t="s">
        <v>1167</v>
      </c>
      <c r="B535" s="6">
        <v>45155</v>
      </c>
      <c r="C535" s="2">
        <v>45172</v>
      </c>
      <c r="D535" s="4">
        <f t="shared" si="62"/>
        <v>17</v>
      </c>
      <c r="E535" s="4" t="str">
        <f>TEXT(Data!B535,"MMM-YYYY")</f>
        <v>Jun-2025</v>
      </c>
      <c r="F535" s="4" t="str">
        <f t="shared" si="58"/>
        <v>Q3-2023</v>
      </c>
      <c r="G535" t="s">
        <v>16</v>
      </c>
      <c r="H535" t="s">
        <v>148</v>
      </c>
      <c r="I535" t="s">
        <v>172</v>
      </c>
      <c r="J535" t="s">
        <v>105</v>
      </c>
      <c r="K535" t="s">
        <v>20</v>
      </c>
      <c r="L535" t="s">
        <v>75</v>
      </c>
      <c r="M535" t="s">
        <v>42</v>
      </c>
      <c r="N535" t="s">
        <v>1168</v>
      </c>
      <c r="O535" s="4">
        <v>676.37</v>
      </c>
      <c r="P535" s="7" t="str">
        <f t="shared" si="59"/>
        <v>High</v>
      </c>
      <c r="Q535" s="4">
        <v>1276.67</v>
      </c>
      <c r="R535" s="4">
        <v>6.6000000000000003E-2</v>
      </c>
      <c r="S535" s="4">
        <v>10</v>
      </c>
      <c r="T535" s="4">
        <f t="shared" si="56"/>
        <v>15494.3128</v>
      </c>
      <c r="U535">
        <f t="shared" si="57"/>
        <v>6763.7</v>
      </c>
      <c r="V535" s="4">
        <f t="shared" si="60"/>
        <v>8730.612799999999</v>
      </c>
      <c r="W535" s="4">
        <f t="shared" si="61"/>
        <v>0.56347208893317291</v>
      </c>
    </row>
    <row r="536" spans="1:23" x14ac:dyDescent="0.3">
      <c r="A536" t="s">
        <v>1169</v>
      </c>
      <c r="B536" s="6">
        <v>45832</v>
      </c>
      <c r="C536" s="2">
        <v>45852</v>
      </c>
      <c r="D536" s="4">
        <f t="shared" si="62"/>
        <v>20</v>
      </c>
      <c r="E536" s="4" t="str">
        <f>TEXT(Data!B536,"MMM-YYYY")</f>
        <v>Jan-2025</v>
      </c>
      <c r="F536" s="4" t="str">
        <f t="shared" si="58"/>
        <v>Q2-2025</v>
      </c>
      <c r="G536" t="s">
        <v>16</v>
      </c>
      <c r="H536" t="s">
        <v>148</v>
      </c>
      <c r="I536" t="s">
        <v>149</v>
      </c>
      <c r="J536" t="s">
        <v>105</v>
      </c>
      <c r="K536" t="s">
        <v>40</v>
      </c>
      <c r="L536" t="s">
        <v>29</v>
      </c>
      <c r="M536" t="s">
        <v>57</v>
      </c>
      <c r="N536" t="s">
        <v>1170</v>
      </c>
      <c r="O536" s="4">
        <v>1151.06</v>
      </c>
      <c r="P536" s="7" t="str">
        <f t="shared" si="59"/>
        <v>High</v>
      </c>
      <c r="Q536" s="4">
        <v>2821.36</v>
      </c>
      <c r="R536" s="4">
        <v>0.248</v>
      </c>
      <c r="S536" s="4">
        <v>20</v>
      </c>
      <c r="T536" s="4">
        <f t="shared" si="56"/>
        <v>9059.1936000000005</v>
      </c>
      <c r="U536">
        <f t="shared" si="57"/>
        <v>23021.199999999997</v>
      </c>
      <c r="V536" s="4">
        <f t="shared" si="60"/>
        <v>-13962.006399999997</v>
      </c>
      <c r="W536" s="4">
        <f t="shared" si="61"/>
        <v>-1.5411974858336173</v>
      </c>
    </row>
    <row r="537" spans="1:23" x14ac:dyDescent="0.3">
      <c r="A537" t="s">
        <v>1171</v>
      </c>
      <c r="B537" s="6">
        <v>45667</v>
      </c>
      <c r="C537" s="2">
        <v>45694</v>
      </c>
      <c r="D537" s="4">
        <f t="shared" si="62"/>
        <v>27</v>
      </c>
      <c r="E537" s="4" t="str">
        <f>TEXT(Data!B537,"MMM-YYYY")</f>
        <v>Jul-2023</v>
      </c>
      <c r="F537" s="4" t="str">
        <f t="shared" si="58"/>
        <v>Q1-2025</v>
      </c>
      <c r="G537" t="s">
        <v>52</v>
      </c>
      <c r="H537" t="s">
        <v>73</v>
      </c>
      <c r="I537" t="s">
        <v>87</v>
      </c>
      <c r="J537" t="s">
        <v>39</v>
      </c>
      <c r="K537" t="s">
        <v>20</v>
      </c>
      <c r="L537" t="s">
        <v>56</v>
      </c>
      <c r="M537" t="s">
        <v>57</v>
      </c>
      <c r="N537" t="s">
        <v>1172</v>
      </c>
      <c r="O537" s="4">
        <v>725.62</v>
      </c>
      <c r="P537" s="7" t="str">
        <f t="shared" si="59"/>
        <v>High</v>
      </c>
      <c r="Q537" s="4">
        <v>1559.19</v>
      </c>
      <c r="R537" s="4">
        <v>0.19</v>
      </c>
      <c r="S537" s="4">
        <v>12</v>
      </c>
      <c r="T537" s="4">
        <f t="shared" si="56"/>
        <v>5128.6608000000006</v>
      </c>
      <c r="U537">
        <f t="shared" si="57"/>
        <v>8707.44</v>
      </c>
      <c r="V537" s="4">
        <f t="shared" si="60"/>
        <v>-3578.7791999999999</v>
      </c>
      <c r="W537" s="4">
        <f t="shared" si="61"/>
        <v>-0.69779994028850567</v>
      </c>
    </row>
    <row r="538" spans="1:23" x14ac:dyDescent="0.3">
      <c r="A538" t="s">
        <v>1173</v>
      </c>
      <c r="B538" s="6">
        <v>45108</v>
      </c>
      <c r="C538" s="2">
        <v>45118</v>
      </c>
      <c r="D538" s="4">
        <f t="shared" si="62"/>
        <v>10</v>
      </c>
      <c r="E538" s="4" t="str">
        <f>TEXT(Data!B538,"MMM-YYYY")</f>
        <v>Aug-2024</v>
      </c>
      <c r="F538" s="4" t="str">
        <f t="shared" si="58"/>
        <v>Q3-2023</v>
      </c>
      <c r="G538" t="s">
        <v>78</v>
      </c>
      <c r="H538" t="s">
        <v>90</v>
      </c>
      <c r="I538" t="s">
        <v>217</v>
      </c>
      <c r="J538" t="s">
        <v>19</v>
      </c>
      <c r="K538" t="s">
        <v>98</v>
      </c>
      <c r="L538" t="s">
        <v>84</v>
      </c>
      <c r="M538" t="s">
        <v>35</v>
      </c>
      <c r="N538" t="s">
        <v>1174</v>
      </c>
      <c r="O538" s="4">
        <v>479.5</v>
      </c>
      <c r="P538" s="7" t="str">
        <f t="shared" si="59"/>
        <v>High</v>
      </c>
      <c r="Q538" s="4">
        <v>656.66</v>
      </c>
      <c r="R538" s="4">
        <v>0.14899999999999999</v>
      </c>
      <c r="S538" s="4">
        <v>14</v>
      </c>
      <c r="T538" s="4">
        <f t="shared" si="56"/>
        <v>21944.3966</v>
      </c>
      <c r="U538">
        <f t="shared" si="57"/>
        <v>6713</v>
      </c>
      <c r="V538" s="4">
        <f t="shared" si="60"/>
        <v>15231.3966</v>
      </c>
      <c r="W538" s="4">
        <f t="shared" si="61"/>
        <v>0.69409047228029042</v>
      </c>
    </row>
    <row r="539" spans="1:23" x14ac:dyDescent="0.3">
      <c r="A539" t="s">
        <v>1175</v>
      </c>
      <c r="B539" s="6">
        <v>45520</v>
      </c>
      <c r="C539" s="2">
        <v>45530</v>
      </c>
      <c r="D539" s="4">
        <f t="shared" si="62"/>
        <v>10</v>
      </c>
      <c r="E539" s="4" t="str">
        <f>TEXT(Data!B539,"MMM-YYYY")</f>
        <v>Jul-2023</v>
      </c>
      <c r="F539" s="4" t="str">
        <f t="shared" si="58"/>
        <v>Q3-2024</v>
      </c>
      <c r="G539" t="s">
        <v>52</v>
      </c>
      <c r="H539" t="s">
        <v>122</v>
      </c>
      <c r="I539" t="s">
        <v>123</v>
      </c>
      <c r="J539" t="s">
        <v>19</v>
      </c>
      <c r="K539" t="s">
        <v>55</v>
      </c>
      <c r="L539" t="s">
        <v>49</v>
      </c>
      <c r="M539" t="s">
        <v>57</v>
      </c>
      <c r="N539" t="s">
        <v>878</v>
      </c>
      <c r="O539" s="4">
        <v>1291.7</v>
      </c>
      <c r="P539" s="7" t="str">
        <f t="shared" si="59"/>
        <v>High</v>
      </c>
      <c r="Q539" s="4">
        <v>2657.84</v>
      </c>
      <c r="R539" s="4">
        <v>8.6999999999999994E-2</v>
      </c>
      <c r="S539" s="4">
        <v>21</v>
      </c>
      <c r="T539" s="4">
        <f t="shared" si="56"/>
        <v>31548.788040000003</v>
      </c>
      <c r="U539">
        <f t="shared" si="57"/>
        <v>27125.7</v>
      </c>
      <c r="V539" s="4">
        <f t="shared" si="60"/>
        <v>4423.0880400000024</v>
      </c>
      <c r="W539" s="4">
        <f t="shared" si="61"/>
        <v>0.14019835038962727</v>
      </c>
    </row>
    <row r="540" spans="1:23" x14ac:dyDescent="0.3">
      <c r="A540" t="s">
        <v>1176</v>
      </c>
      <c r="B540" s="6">
        <v>45114</v>
      </c>
      <c r="C540" s="2">
        <v>45120</v>
      </c>
      <c r="D540" s="4">
        <f t="shared" si="62"/>
        <v>6</v>
      </c>
      <c r="E540" s="4" t="str">
        <f>TEXT(Data!B540,"MMM-YYYY")</f>
        <v>Dec-2023</v>
      </c>
      <c r="F540" s="4" t="str">
        <f t="shared" si="58"/>
        <v>Q3-2023</v>
      </c>
      <c r="G540" t="s">
        <v>16</v>
      </c>
      <c r="H540" t="s">
        <v>148</v>
      </c>
      <c r="I540" t="s">
        <v>258</v>
      </c>
      <c r="J540" t="s">
        <v>62</v>
      </c>
      <c r="K540" t="s">
        <v>40</v>
      </c>
      <c r="L540" t="s">
        <v>56</v>
      </c>
      <c r="M540" t="s">
        <v>81</v>
      </c>
      <c r="N540" t="s">
        <v>1177</v>
      </c>
      <c r="O540" s="4">
        <v>612.59</v>
      </c>
      <c r="P540" s="7" t="str">
        <f t="shared" si="59"/>
        <v>High</v>
      </c>
      <c r="Q540" s="4">
        <v>1424.74</v>
      </c>
      <c r="R540" s="4">
        <v>4.3999999999999997E-2</v>
      </c>
      <c r="S540" s="4">
        <v>15</v>
      </c>
      <c r="T540" s="4">
        <f t="shared" si="56"/>
        <v>10428.334800000001</v>
      </c>
      <c r="U540">
        <f t="shared" si="57"/>
        <v>9188.85</v>
      </c>
      <c r="V540" s="4">
        <f t="shared" si="60"/>
        <v>1239.4848000000002</v>
      </c>
      <c r="W540" s="4">
        <f t="shared" si="61"/>
        <v>0.11885740377265219</v>
      </c>
    </row>
    <row r="541" spans="1:23" x14ac:dyDescent="0.3">
      <c r="A541" t="s">
        <v>1178</v>
      </c>
      <c r="B541" s="6">
        <v>45288</v>
      </c>
      <c r="C541" s="2">
        <v>45292</v>
      </c>
      <c r="D541" s="4">
        <f t="shared" si="62"/>
        <v>4</v>
      </c>
      <c r="E541" s="4" t="str">
        <f>TEXT(Data!B541,"MMM-YYYY")</f>
        <v>Jan-2023</v>
      </c>
      <c r="F541" s="4" t="str">
        <f t="shared" si="58"/>
        <v>Q4-2023</v>
      </c>
      <c r="G541" t="s">
        <v>16</v>
      </c>
      <c r="H541" t="s">
        <v>148</v>
      </c>
      <c r="I541" t="s">
        <v>258</v>
      </c>
      <c r="J541" t="s">
        <v>27</v>
      </c>
      <c r="K541" t="s">
        <v>55</v>
      </c>
      <c r="L541" t="s">
        <v>75</v>
      </c>
      <c r="M541" t="s">
        <v>30</v>
      </c>
      <c r="N541" t="s">
        <v>1179</v>
      </c>
      <c r="O541" s="4">
        <v>1141.8</v>
      </c>
      <c r="P541" s="7" t="str">
        <f t="shared" si="59"/>
        <v>High</v>
      </c>
      <c r="Q541" s="4">
        <v>2318.7399999999998</v>
      </c>
      <c r="R541" s="4">
        <v>0.107</v>
      </c>
      <c r="S541" s="4">
        <v>32</v>
      </c>
      <c r="T541" s="4">
        <f t="shared" si="56"/>
        <v>35256.783040000002</v>
      </c>
      <c r="U541">
        <f t="shared" si="57"/>
        <v>36537.599999999999</v>
      </c>
      <c r="V541" s="4">
        <f t="shared" si="60"/>
        <v>-1280.8169599999965</v>
      </c>
      <c r="W541" s="4">
        <f t="shared" si="61"/>
        <v>-3.6328242385213268E-2</v>
      </c>
    </row>
    <row r="542" spans="1:23" x14ac:dyDescent="0.3">
      <c r="A542" t="s">
        <v>1180</v>
      </c>
      <c r="B542" s="6">
        <v>44952</v>
      </c>
      <c r="C542" s="2">
        <v>44972</v>
      </c>
      <c r="D542" s="4">
        <f t="shared" si="62"/>
        <v>20</v>
      </c>
      <c r="E542" s="4" t="str">
        <f>TEXT(Data!B542,"MMM-YYYY")</f>
        <v>Jul-2023</v>
      </c>
      <c r="F542" s="4" t="str">
        <f t="shared" si="58"/>
        <v>Q1-2023</v>
      </c>
      <c r="G542" t="s">
        <v>78</v>
      </c>
      <c r="H542" t="s">
        <v>79</v>
      </c>
      <c r="I542" t="s">
        <v>80</v>
      </c>
      <c r="J542" t="s">
        <v>62</v>
      </c>
      <c r="K542" t="s">
        <v>28</v>
      </c>
      <c r="L542" t="s">
        <v>68</v>
      </c>
      <c r="M542" t="s">
        <v>35</v>
      </c>
      <c r="N542" t="s">
        <v>1181</v>
      </c>
      <c r="O542" s="4">
        <v>492.62</v>
      </c>
      <c r="P542" s="7" t="str">
        <f t="shared" si="59"/>
        <v>High</v>
      </c>
      <c r="Q542" s="4">
        <v>366.7</v>
      </c>
      <c r="R542" s="4">
        <v>8.8999999999999996E-2</v>
      </c>
      <c r="S542" s="4">
        <v>10</v>
      </c>
      <c r="T542" s="4">
        <f t="shared" si="56"/>
        <v>14063.653600000001</v>
      </c>
      <c r="U542">
        <f t="shared" si="57"/>
        <v>4926.2</v>
      </c>
      <c r="V542" s="4">
        <f t="shared" si="60"/>
        <v>9137.4536000000007</v>
      </c>
      <c r="W542" s="4">
        <f t="shared" si="61"/>
        <v>0.6497211791393952</v>
      </c>
    </row>
    <row r="543" spans="1:23" x14ac:dyDescent="0.3">
      <c r="A543" t="s">
        <v>1182</v>
      </c>
      <c r="B543" s="6">
        <v>45115</v>
      </c>
      <c r="C543" s="2">
        <v>45116</v>
      </c>
      <c r="D543" s="4">
        <f t="shared" si="62"/>
        <v>1</v>
      </c>
      <c r="E543" s="4" t="str">
        <f>TEXT(Data!B543,"MMM-YYYY")</f>
        <v>Jun-2024</v>
      </c>
      <c r="F543" s="4" t="str">
        <f t="shared" si="58"/>
        <v>Q3-2023</v>
      </c>
      <c r="G543" t="s">
        <v>16</v>
      </c>
      <c r="H543" t="s">
        <v>17</v>
      </c>
      <c r="I543" t="s">
        <v>33</v>
      </c>
      <c r="J543" t="s">
        <v>48</v>
      </c>
      <c r="K543" t="s">
        <v>28</v>
      </c>
      <c r="L543" t="s">
        <v>145</v>
      </c>
      <c r="M543" t="s">
        <v>57</v>
      </c>
      <c r="N543" t="s">
        <v>1183</v>
      </c>
      <c r="O543" s="4">
        <v>1258.72</v>
      </c>
      <c r="P543" s="7" t="str">
        <f t="shared" si="59"/>
        <v>High</v>
      </c>
      <c r="Q543" s="4">
        <v>2797.41</v>
      </c>
      <c r="R543" s="4">
        <v>0</v>
      </c>
      <c r="S543" s="4">
        <v>7</v>
      </c>
      <c r="T543" s="4">
        <f t="shared" si="56"/>
        <v>14806.33</v>
      </c>
      <c r="U543">
        <f t="shared" si="57"/>
        <v>8811.0400000000009</v>
      </c>
      <c r="V543" s="4">
        <f t="shared" si="60"/>
        <v>5995.2899999999991</v>
      </c>
      <c r="W543" s="4">
        <f t="shared" si="61"/>
        <v>0.40491397935882822</v>
      </c>
    </row>
    <row r="544" spans="1:23" x14ac:dyDescent="0.3">
      <c r="A544" t="s">
        <v>1184</v>
      </c>
      <c r="B544" s="6">
        <v>45450</v>
      </c>
      <c r="C544" s="2">
        <v>45452</v>
      </c>
      <c r="D544" s="4">
        <f t="shared" si="62"/>
        <v>2</v>
      </c>
      <c r="E544" s="4" t="str">
        <f>TEXT(Data!B544,"MMM-YYYY")</f>
        <v>Feb-2023</v>
      </c>
      <c r="F544" s="4" t="str">
        <f t="shared" si="58"/>
        <v>Q2-2024</v>
      </c>
      <c r="G544" t="s">
        <v>45</v>
      </c>
      <c r="H544" t="s">
        <v>116</v>
      </c>
      <c r="I544" t="s">
        <v>162</v>
      </c>
      <c r="J544" t="s">
        <v>19</v>
      </c>
      <c r="K544" t="s">
        <v>20</v>
      </c>
      <c r="L544" t="s">
        <v>68</v>
      </c>
      <c r="M544" t="s">
        <v>64</v>
      </c>
      <c r="N544" t="s">
        <v>1185</v>
      </c>
      <c r="O544" s="4">
        <v>1370.28</v>
      </c>
      <c r="P544" s="7" t="str">
        <f t="shared" si="59"/>
        <v>High</v>
      </c>
      <c r="Q544" s="4">
        <v>2209.66</v>
      </c>
      <c r="R544" s="4">
        <v>0.13300000000000001</v>
      </c>
      <c r="S544" s="4">
        <v>16</v>
      </c>
      <c r="T544" s="4">
        <f t="shared" si="56"/>
        <v>25485.499680000001</v>
      </c>
      <c r="U544">
        <f t="shared" si="57"/>
        <v>21924.48</v>
      </c>
      <c r="V544" s="4">
        <f t="shared" si="60"/>
        <v>3561.0196800000012</v>
      </c>
      <c r="W544" s="4">
        <f t="shared" si="61"/>
        <v>0.13972728511164123</v>
      </c>
    </row>
    <row r="545" spans="1:23" x14ac:dyDescent="0.3">
      <c r="A545" t="s">
        <v>1186</v>
      </c>
      <c r="B545" s="6">
        <v>44968</v>
      </c>
      <c r="C545" s="2">
        <v>44969</v>
      </c>
      <c r="D545" s="4">
        <f t="shared" si="62"/>
        <v>1</v>
      </c>
      <c r="E545" s="4" t="str">
        <f>TEXT(Data!B545,"MMM-YYYY")</f>
        <v>Jul-2023</v>
      </c>
      <c r="F545" s="4" t="str">
        <f t="shared" si="58"/>
        <v>Q1-2023</v>
      </c>
      <c r="G545" t="s">
        <v>16</v>
      </c>
      <c r="H545" t="s">
        <v>25</v>
      </c>
      <c r="I545" t="s">
        <v>26</v>
      </c>
      <c r="J545" t="s">
        <v>39</v>
      </c>
      <c r="K545" t="s">
        <v>98</v>
      </c>
      <c r="L545" t="s">
        <v>145</v>
      </c>
      <c r="M545" t="s">
        <v>81</v>
      </c>
      <c r="N545" t="s">
        <v>1187</v>
      </c>
      <c r="O545" s="4">
        <v>944.61</v>
      </c>
      <c r="P545" s="7" t="str">
        <f t="shared" si="59"/>
        <v>High</v>
      </c>
      <c r="Q545" s="4">
        <v>839.04</v>
      </c>
      <c r="R545" s="4">
        <v>5.8999999999999997E-2</v>
      </c>
      <c r="S545" s="4">
        <v>6</v>
      </c>
      <c r="T545" s="4">
        <f t="shared" si="56"/>
        <v>16141.518779999999</v>
      </c>
      <c r="U545">
        <f t="shared" si="57"/>
        <v>5667.66</v>
      </c>
      <c r="V545" s="4">
        <f t="shared" si="60"/>
        <v>10473.858779999999</v>
      </c>
      <c r="W545" s="4">
        <f t="shared" si="61"/>
        <v>0.64887690698458544</v>
      </c>
    </row>
    <row r="546" spans="1:23" x14ac:dyDescent="0.3">
      <c r="A546" t="s">
        <v>1188</v>
      </c>
      <c r="B546" s="6">
        <v>45108</v>
      </c>
      <c r="C546" s="2">
        <v>45115</v>
      </c>
      <c r="D546" s="4">
        <f t="shared" si="62"/>
        <v>7</v>
      </c>
      <c r="E546" s="4" t="str">
        <f>TEXT(Data!B546,"MMM-YYYY")</f>
        <v>Aug-2025</v>
      </c>
      <c r="F546" s="4" t="str">
        <f t="shared" si="58"/>
        <v>Q3-2023</v>
      </c>
      <c r="G546" t="s">
        <v>78</v>
      </c>
      <c r="H546" t="s">
        <v>79</v>
      </c>
      <c r="I546" t="s">
        <v>335</v>
      </c>
      <c r="J546" t="s">
        <v>62</v>
      </c>
      <c r="K546" t="s">
        <v>55</v>
      </c>
      <c r="L546" t="s">
        <v>126</v>
      </c>
      <c r="M546" t="s">
        <v>57</v>
      </c>
      <c r="N546" t="s">
        <v>1189</v>
      </c>
      <c r="O546" s="4">
        <v>460.21</v>
      </c>
      <c r="P546" s="7" t="str">
        <f t="shared" si="59"/>
        <v>High</v>
      </c>
      <c r="Q546" s="4">
        <v>1139.1500000000001</v>
      </c>
      <c r="R546" s="4">
        <v>0.115</v>
      </c>
      <c r="S546" s="4">
        <v>14</v>
      </c>
      <c r="T546" s="4">
        <f t="shared" si="56"/>
        <v>3592.1088</v>
      </c>
      <c r="U546">
        <f t="shared" si="57"/>
        <v>6442.94</v>
      </c>
      <c r="V546" s="4">
        <f t="shared" si="60"/>
        <v>-2850.8311999999996</v>
      </c>
      <c r="W546" s="4">
        <f t="shared" si="61"/>
        <v>-0.79363720831618456</v>
      </c>
    </row>
    <row r="547" spans="1:23" x14ac:dyDescent="0.3">
      <c r="A547" t="s">
        <v>1190</v>
      </c>
      <c r="B547" s="6">
        <v>45889</v>
      </c>
      <c r="C547" s="2">
        <v>45895</v>
      </c>
      <c r="D547" s="4">
        <f t="shared" si="62"/>
        <v>6</v>
      </c>
      <c r="E547" s="4" t="str">
        <f>TEXT(Data!B547,"MMM-YYYY")</f>
        <v>Mar-2024</v>
      </c>
      <c r="F547" s="4" t="str">
        <f t="shared" si="58"/>
        <v>Q3-2025</v>
      </c>
      <c r="G547" t="s">
        <v>52</v>
      </c>
      <c r="H547" t="s">
        <v>122</v>
      </c>
      <c r="I547" t="s">
        <v>387</v>
      </c>
      <c r="J547" t="s">
        <v>19</v>
      </c>
      <c r="K547" t="s">
        <v>20</v>
      </c>
      <c r="L547" t="s">
        <v>110</v>
      </c>
      <c r="M547" t="s">
        <v>35</v>
      </c>
      <c r="N547" t="s">
        <v>1191</v>
      </c>
      <c r="O547" s="4">
        <v>1304.95</v>
      </c>
      <c r="P547" s="7" t="str">
        <f t="shared" si="59"/>
        <v>High</v>
      </c>
      <c r="Q547" s="4">
        <v>1712.03</v>
      </c>
      <c r="R547" s="4">
        <v>0.21199999999999999</v>
      </c>
      <c r="S547" s="4">
        <v>8</v>
      </c>
      <c r="T547" s="4">
        <f t="shared" si="56"/>
        <v>6286.3488000000007</v>
      </c>
      <c r="U547">
        <f t="shared" si="57"/>
        <v>10439.6</v>
      </c>
      <c r="V547" s="4">
        <f t="shared" si="60"/>
        <v>-4153.2511999999997</v>
      </c>
      <c r="W547" s="4">
        <f t="shared" si="61"/>
        <v>-0.66067781666839731</v>
      </c>
    </row>
    <row r="548" spans="1:23" x14ac:dyDescent="0.3">
      <c r="A548" t="s">
        <v>1192</v>
      </c>
      <c r="B548" s="6">
        <v>45355</v>
      </c>
      <c r="C548" s="2">
        <v>45367</v>
      </c>
      <c r="D548" s="4">
        <f t="shared" si="62"/>
        <v>12</v>
      </c>
      <c r="E548" s="4" t="str">
        <f>TEXT(Data!B548,"MMM-YYYY")</f>
        <v>Sep-2023</v>
      </c>
      <c r="F548" s="4" t="str">
        <f t="shared" si="58"/>
        <v>Q1-2024</v>
      </c>
      <c r="G548" t="s">
        <v>16</v>
      </c>
      <c r="H548" t="s">
        <v>148</v>
      </c>
      <c r="I548" t="s">
        <v>149</v>
      </c>
      <c r="J548" t="s">
        <v>105</v>
      </c>
      <c r="K548" t="s">
        <v>55</v>
      </c>
      <c r="L548" t="s">
        <v>110</v>
      </c>
      <c r="M548" t="s">
        <v>64</v>
      </c>
      <c r="N548" t="s">
        <v>1193</v>
      </c>
      <c r="O548" s="4">
        <v>441.08</v>
      </c>
      <c r="P548" s="7" t="str">
        <f t="shared" si="59"/>
        <v>High</v>
      </c>
      <c r="Q548" s="4">
        <v>1054.29</v>
      </c>
      <c r="R548" s="4">
        <v>0.23699999999999999</v>
      </c>
      <c r="S548" s="4">
        <v>6</v>
      </c>
      <c r="T548" s="4">
        <f t="shared" si="56"/>
        <v>216.49362000000002</v>
      </c>
      <c r="U548">
        <f t="shared" si="57"/>
        <v>2646.48</v>
      </c>
      <c r="V548" s="4">
        <f t="shared" si="60"/>
        <v>-2429.9863799999998</v>
      </c>
      <c r="W548" s="4">
        <f t="shared" si="61"/>
        <v>-11.224286332317782</v>
      </c>
    </row>
    <row r="549" spans="1:23" x14ac:dyDescent="0.3">
      <c r="A549" t="s">
        <v>1194</v>
      </c>
      <c r="B549" s="6">
        <v>45177</v>
      </c>
      <c r="C549" s="2">
        <v>45201</v>
      </c>
      <c r="D549" s="4">
        <f t="shared" si="62"/>
        <v>24</v>
      </c>
      <c r="E549" s="4" t="str">
        <f>TEXT(Data!B549,"MMM-YYYY")</f>
        <v>Feb-2023</v>
      </c>
      <c r="F549" s="4" t="str">
        <f t="shared" si="58"/>
        <v>Q3-2023</v>
      </c>
      <c r="G549" t="s">
        <v>52</v>
      </c>
      <c r="H549" t="s">
        <v>53</v>
      </c>
      <c r="I549" t="s">
        <v>54</v>
      </c>
      <c r="J549" t="s">
        <v>27</v>
      </c>
      <c r="K549" t="s">
        <v>98</v>
      </c>
      <c r="L549" t="s">
        <v>75</v>
      </c>
      <c r="M549" t="s">
        <v>81</v>
      </c>
      <c r="N549" t="s">
        <v>1195</v>
      </c>
      <c r="O549" s="4">
        <v>1299.03</v>
      </c>
      <c r="P549" s="7" t="str">
        <f t="shared" si="59"/>
        <v>High</v>
      </c>
      <c r="Q549" s="4">
        <v>2451.2199999999998</v>
      </c>
      <c r="R549" s="4">
        <v>0.20799999999999999</v>
      </c>
      <c r="S549" s="4">
        <v>8</v>
      </c>
      <c r="T549" s="4">
        <f t="shared" si="56"/>
        <v>4778.8646400000007</v>
      </c>
      <c r="U549">
        <f t="shared" si="57"/>
        <v>10392.24</v>
      </c>
      <c r="V549" s="4">
        <f t="shared" si="60"/>
        <v>-5613.3753599999991</v>
      </c>
      <c r="W549" s="4">
        <f t="shared" si="61"/>
        <v>-1.1746253101657214</v>
      </c>
    </row>
    <row r="550" spans="1:23" x14ac:dyDescent="0.3">
      <c r="A550" t="s">
        <v>1196</v>
      </c>
      <c r="B550" s="6">
        <v>44985</v>
      </c>
      <c r="C550" s="2">
        <v>44991</v>
      </c>
      <c r="D550" s="4">
        <f t="shared" si="62"/>
        <v>6</v>
      </c>
      <c r="E550" s="4" t="str">
        <f>TEXT(Data!B550,"MMM-YYYY")</f>
        <v>Jul-2024</v>
      </c>
      <c r="F550" s="4" t="str">
        <f t="shared" si="58"/>
        <v>Q1-2023</v>
      </c>
      <c r="G550" t="s">
        <v>78</v>
      </c>
      <c r="H550" t="s">
        <v>79</v>
      </c>
      <c r="I550" t="s">
        <v>335</v>
      </c>
      <c r="J550" t="s">
        <v>62</v>
      </c>
      <c r="K550" t="s">
        <v>40</v>
      </c>
      <c r="L550" t="s">
        <v>145</v>
      </c>
      <c r="M550" t="s">
        <v>30</v>
      </c>
      <c r="N550" t="s">
        <v>1197</v>
      </c>
      <c r="O550" s="4">
        <v>880.02</v>
      </c>
      <c r="P550" s="7" t="str">
        <f t="shared" si="59"/>
        <v>High</v>
      </c>
      <c r="Q550" s="4">
        <v>1251.21</v>
      </c>
      <c r="R550" s="4">
        <v>0.123</v>
      </c>
      <c r="S550" s="4">
        <v>29</v>
      </c>
      <c r="T550" s="4">
        <f t="shared" si="56"/>
        <v>22927.340840000001</v>
      </c>
      <c r="U550">
        <f t="shared" si="57"/>
        <v>25520.579999999998</v>
      </c>
      <c r="V550" s="4">
        <f t="shared" si="60"/>
        <v>-2593.2391599999974</v>
      </c>
      <c r="W550" s="4">
        <f t="shared" si="61"/>
        <v>-0.1131068438375428</v>
      </c>
    </row>
    <row r="551" spans="1:23" x14ac:dyDescent="0.3">
      <c r="A551" t="s">
        <v>1198</v>
      </c>
      <c r="B551" s="6">
        <v>45486</v>
      </c>
      <c r="C551" s="2">
        <v>45507</v>
      </c>
      <c r="D551" s="4">
        <f t="shared" si="62"/>
        <v>21</v>
      </c>
      <c r="E551" s="4" t="str">
        <f>TEXT(Data!B551,"MMM-YYYY")</f>
        <v>Dec-2024</v>
      </c>
      <c r="F551" s="4" t="str">
        <f t="shared" si="58"/>
        <v>Q3-2024</v>
      </c>
      <c r="G551" t="s">
        <v>52</v>
      </c>
      <c r="H551" t="s">
        <v>73</v>
      </c>
      <c r="I551" t="s">
        <v>225</v>
      </c>
      <c r="J551" t="s">
        <v>19</v>
      </c>
      <c r="K551" t="s">
        <v>40</v>
      </c>
      <c r="L551" t="s">
        <v>110</v>
      </c>
      <c r="M551" t="s">
        <v>64</v>
      </c>
      <c r="N551" t="s">
        <v>1199</v>
      </c>
      <c r="O551" s="4">
        <v>702.98</v>
      </c>
      <c r="P551" s="7" t="str">
        <f t="shared" si="59"/>
        <v>High</v>
      </c>
      <c r="Q551" s="4">
        <v>1104.8</v>
      </c>
      <c r="R551" s="4">
        <v>0.17499999999999999</v>
      </c>
      <c r="S551" s="4">
        <v>12</v>
      </c>
      <c r="T551" s="4">
        <f t="shared" si="56"/>
        <v>1119.492</v>
      </c>
      <c r="U551">
        <f t="shared" si="57"/>
        <v>8435.76</v>
      </c>
      <c r="V551" s="4">
        <f t="shared" si="60"/>
        <v>-7316.268</v>
      </c>
      <c r="W551" s="4">
        <f t="shared" si="61"/>
        <v>-6.5353463892551265</v>
      </c>
    </row>
    <row r="552" spans="1:23" x14ac:dyDescent="0.3">
      <c r="A552" t="s">
        <v>1200</v>
      </c>
      <c r="B552" s="6">
        <v>45633</v>
      </c>
      <c r="C552" s="2">
        <v>45652</v>
      </c>
      <c r="D552" s="4">
        <f t="shared" si="62"/>
        <v>19</v>
      </c>
      <c r="E552" s="4" t="str">
        <f>TEXT(Data!B552,"MMM-YYYY")</f>
        <v>Aug-2025</v>
      </c>
      <c r="F552" s="4" t="str">
        <f t="shared" si="58"/>
        <v>Q4-2024</v>
      </c>
      <c r="G552" t="s">
        <v>78</v>
      </c>
      <c r="H552" t="s">
        <v>108</v>
      </c>
      <c r="I552" t="s">
        <v>152</v>
      </c>
      <c r="J552" t="s">
        <v>105</v>
      </c>
      <c r="K552" t="s">
        <v>28</v>
      </c>
      <c r="L552" t="s">
        <v>145</v>
      </c>
      <c r="M552" t="s">
        <v>35</v>
      </c>
      <c r="N552" t="s">
        <v>1201</v>
      </c>
      <c r="O552" s="4">
        <v>1035.24</v>
      </c>
      <c r="P552" s="7" t="str">
        <f t="shared" si="59"/>
        <v>High</v>
      </c>
      <c r="Q552" s="4">
        <v>2383.41</v>
      </c>
      <c r="R552" s="4">
        <v>0.17</v>
      </c>
      <c r="S552" s="4">
        <v>15</v>
      </c>
      <c r="T552" s="4">
        <f t="shared" si="56"/>
        <v>10814.319</v>
      </c>
      <c r="U552">
        <f t="shared" si="57"/>
        <v>15528.6</v>
      </c>
      <c r="V552" s="4">
        <f t="shared" si="60"/>
        <v>-4714.2810000000009</v>
      </c>
      <c r="W552" s="4">
        <f t="shared" si="61"/>
        <v>-0.43592953009801183</v>
      </c>
    </row>
    <row r="553" spans="1:23" x14ac:dyDescent="0.3">
      <c r="A553" t="s">
        <v>1202</v>
      </c>
      <c r="B553" s="6">
        <v>45875</v>
      </c>
      <c r="C553" s="2">
        <v>45892</v>
      </c>
      <c r="D553" s="4">
        <f t="shared" si="62"/>
        <v>17</v>
      </c>
      <c r="E553" s="4" t="str">
        <f>TEXT(Data!B553,"MMM-YYYY")</f>
        <v>Mar-2023</v>
      </c>
      <c r="F553" s="4" t="str">
        <f t="shared" si="58"/>
        <v>Q3-2025</v>
      </c>
      <c r="G553" t="s">
        <v>52</v>
      </c>
      <c r="H553" t="s">
        <v>73</v>
      </c>
      <c r="I553" t="s">
        <v>87</v>
      </c>
      <c r="J553" t="s">
        <v>48</v>
      </c>
      <c r="K553" t="s">
        <v>55</v>
      </c>
      <c r="L553" t="s">
        <v>75</v>
      </c>
      <c r="M553" t="s">
        <v>64</v>
      </c>
      <c r="N553" t="s">
        <v>1203</v>
      </c>
      <c r="O553" s="4">
        <v>86.64</v>
      </c>
      <c r="P553" s="7" t="str">
        <f t="shared" si="59"/>
        <v>High</v>
      </c>
      <c r="Q553" s="4">
        <v>213.06</v>
      </c>
      <c r="R553" s="4">
        <v>0.21199999999999999</v>
      </c>
      <c r="S553" s="4">
        <v>11</v>
      </c>
      <c r="T553" s="4">
        <f t="shared" si="56"/>
        <v>3015.5971999999997</v>
      </c>
      <c r="U553">
        <f t="shared" si="57"/>
        <v>953.04</v>
      </c>
      <c r="V553" s="4">
        <f t="shared" si="60"/>
        <v>2062.5571999999997</v>
      </c>
      <c r="W553" s="4">
        <f t="shared" si="61"/>
        <v>0.68396309692819712</v>
      </c>
    </row>
    <row r="554" spans="1:23" x14ac:dyDescent="0.3">
      <c r="A554" t="s">
        <v>1204</v>
      </c>
      <c r="B554" s="6">
        <v>44988</v>
      </c>
      <c r="C554" s="2">
        <v>45005</v>
      </c>
      <c r="D554" s="4">
        <f t="shared" si="62"/>
        <v>17</v>
      </c>
      <c r="E554" s="4" t="str">
        <f>TEXT(Data!B554,"MMM-YYYY")</f>
        <v>Feb-2025</v>
      </c>
      <c r="F554" s="4" t="str">
        <f t="shared" si="58"/>
        <v>Q1-2023</v>
      </c>
      <c r="G554" t="s">
        <v>45</v>
      </c>
      <c r="H554" t="s">
        <v>46</v>
      </c>
      <c r="I554" t="s">
        <v>231</v>
      </c>
      <c r="J554" t="s">
        <v>62</v>
      </c>
      <c r="K554" t="s">
        <v>28</v>
      </c>
      <c r="L554" t="s">
        <v>145</v>
      </c>
      <c r="M554" t="s">
        <v>35</v>
      </c>
      <c r="N554" t="s">
        <v>1205</v>
      </c>
      <c r="O554" s="4">
        <v>1171.17</v>
      </c>
      <c r="P554" s="7" t="str">
        <f t="shared" si="59"/>
        <v>High</v>
      </c>
      <c r="Q554" s="4">
        <v>2030.64</v>
      </c>
      <c r="R554" s="4">
        <v>0.157</v>
      </c>
      <c r="S554" s="4">
        <v>11</v>
      </c>
      <c r="T554" s="4">
        <f t="shared" si="56"/>
        <v>10310.463239999999</v>
      </c>
      <c r="U554">
        <f t="shared" si="57"/>
        <v>12882.87</v>
      </c>
      <c r="V554" s="4">
        <f t="shared" si="60"/>
        <v>-2572.4067600000017</v>
      </c>
      <c r="W554" s="4">
        <f t="shared" si="61"/>
        <v>-0.24949478021707217</v>
      </c>
    </row>
    <row r="555" spans="1:23" x14ac:dyDescent="0.3">
      <c r="A555" t="s">
        <v>1206</v>
      </c>
      <c r="B555" s="6">
        <v>45704</v>
      </c>
      <c r="C555" s="2">
        <v>45733</v>
      </c>
      <c r="D555" s="4">
        <f t="shared" si="62"/>
        <v>1</v>
      </c>
      <c r="E555" s="4" t="str">
        <f>TEXT(Data!B555,"MMM-YYYY")</f>
        <v>Feb-2025</v>
      </c>
      <c r="F555" s="4" t="str">
        <f t="shared" si="58"/>
        <v>Q1-2025</v>
      </c>
      <c r="G555" t="s">
        <v>78</v>
      </c>
      <c r="H555" t="s">
        <v>79</v>
      </c>
      <c r="I555" t="s">
        <v>159</v>
      </c>
      <c r="J555" t="s">
        <v>48</v>
      </c>
      <c r="K555" t="s">
        <v>20</v>
      </c>
      <c r="L555" t="s">
        <v>49</v>
      </c>
      <c r="M555" t="s">
        <v>81</v>
      </c>
      <c r="N555" t="s">
        <v>1207</v>
      </c>
      <c r="O555" s="4">
        <v>730.42</v>
      </c>
      <c r="P555" s="7" t="str">
        <f t="shared" si="59"/>
        <v>High</v>
      </c>
      <c r="Q555" s="4">
        <v>956.7</v>
      </c>
      <c r="R555" s="4">
        <v>4.2000000000000003E-2</v>
      </c>
      <c r="S555" s="4">
        <v>22</v>
      </c>
      <c r="T555" s="4">
        <f t="shared" si="56"/>
        <v>6907.0267199999998</v>
      </c>
      <c r="U555">
        <f t="shared" si="57"/>
        <v>16069.24</v>
      </c>
      <c r="V555" s="4">
        <f t="shared" si="60"/>
        <v>-9162.2132799999999</v>
      </c>
      <c r="W555" s="4">
        <f t="shared" si="61"/>
        <v>-1.3265061293986133</v>
      </c>
    </row>
    <row r="556" spans="1:23" x14ac:dyDescent="0.3">
      <c r="A556" t="s">
        <v>1208</v>
      </c>
      <c r="B556" s="6">
        <v>45703</v>
      </c>
      <c r="C556" s="2">
        <v>45717</v>
      </c>
      <c r="D556" s="4">
        <f t="shared" si="62"/>
        <v>14</v>
      </c>
      <c r="E556" s="4" t="str">
        <f>TEXT(Data!B556,"MMM-YYYY")</f>
        <v>Aug-2024</v>
      </c>
      <c r="F556" s="4" t="str">
        <f t="shared" si="58"/>
        <v>Q1-2025</v>
      </c>
      <c r="G556" t="s">
        <v>16</v>
      </c>
      <c r="H556" t="s">
        <v>17</v>
      </c>
      <c r="I556" t="s">
        <v>113</v>
      </c>
      <c r="J556" t="s">
        <v>27</v>
      </c>
      <c r="K556" t="s">
        <v>98</v>
      </c>
      <c r="L556" t="s">
        <v>49</v>
      </c>
      <c r="M556" t="s">
        <v>81</v>
      </c>
      <c r="N556" t="s">
        <v>1209</v>
      </c>
      <c r="O556" s="4">
        <v>1162.8599999999999</v>
      </c>
      <c r="P556" s="7" t="str">
        <f t="shared" si="59"/>
        <v>High</v>
      </c>
      <c r="Q556" s="4">
        <v>1447.68</v>
      </c>
      <c r="R556" s="4">
        <v>8.6999999999999994E-2</v>
      </c>
      <c r="S556" s="4">
        <v>12</v>
      </c>
      <c r="T556" s="4">
        <f t="shared" si="56"/>
        <v>5326.0402800000002</v>
      </c>
      <c r="U556">
        <f t="shared" si="57"/>
        <v>13954.32</v>
      </c>
      <c r="V556" s="4">
        <f t="shared" si="60"/>
        <v>-8628.2797199999986</v>
      </c>
      <c r="W556" s="4">
        <f t="shared" si="61"/>
        <v>-1.6200177367040112</v>
      </c>
    </row>
    <row r="557" spans="1:23" x14ac:dyDescent="0.3">
      <c r="A557" t="s">
        <v>1210</v>
      </c>
      <c r="B557" s="6">
        <v>45535</v>
      </c>
      <c r="C557" s="2">
        <v>45561</v>
      </c>
      <c r="D557" s="4">
        <f t="shared" si="62"/>
        <v>26</v>
      </c>
      <c r="E557" s="4" t="str">
        <f>TEXT(Data!B557,"MMM-YYYY")</f>
        <v>May-2023</v>
      </c>
      <c r="F557" s="4" t="str">
        <f t="shared" si="58"/>
        <v>Q3-2024</v>
      </c>
      <c r="G557" t="s">
        <v>45</v>
      </c>
      <c r="H557" t="s">
        <v>46</v>
      </c>
      <c r="I557" t="s">
        <v>214</v>
      </c>
      <c r="J557" t="s">
        <v>27</v>
      </c>
      <c r="K557" t="s">
        <v>28</v>
      </c>
      <c r="L557" t="s">
        <v>34</v>
      </c>
      <c r="M557" t="s">
        <v>42</v>
      </c>
      <c r="N557" t="s">
        <v>1211</v>
      </c>
      <c r="O557" s="4">
        <v>1189.03</v>
      </c>
      <c r="P557" s="7" t="str">
        <f t="shared" si="59"/>
        <v>High</v>
      </c>
      <c r="Q557" s="4">
        <v>2949.62</v>
      </c>
      <c r="R557" s="4">
        <v>0.125</v>
      </c>
      <c r="S557" s="4">
        <v>13</v>
      </c>
      <c r="T557" s="4">
        <f t="shared" si="56"/>
        <v>23507.575000000001</v>
      </c>
      <c r="U557">
        <f t="shared" si="57"/>
        <v>15457.39</v>
      </c>
      <c r="V557" s="4">
        <f t="shared" si="60"/>
        <v>8050.1850000000013</v>
      </c>
      <c r="W557" s="4">
        <f t="shared" si="61"/>
        <v>0.34245067813247437</v>
      </c>
    </row>
    <row r="558" spans="1:23" x14ac:dyDescent="0.3">
      <c r="A558" t="s">
        <v>1212</v>
      </c>
      <c r="B558" s="6">
        <v>45053</v>
      </c>
      <c r="C558" s="2">
        <v>45066</v>
      </c>
      <c r="D558" s="4">
        <f t="shared" si="62"/>
        <v>13</v>
      </c>
      <c r="E558" s="4" t="str">
        <f>TEXT(Data!B558,"MMM-YYYY")</f>
        <v>May-2025</v>
      </c>
      <c r="F558" s="4" t="str">
        <f t="shared" si="58"/>
        <v>Q2-2023</v>
      </c>
      <c r="G558" t="s">
        <v>45</v>
      </c>
      <c r="H558" t="s">
        <v>60</v>
      </c>
      <c r="I558" t="s">
        <v>220</v>
      </c>
      <c r="J558" t="s">
        <v>105</v>
      </c>
      <c r="K558" t="s">
        <v>20</v>
      </c>
      <c r="L558" t="s">
        <v>145</v>
      </c>
      <c r="M558" t="s">
        <v>81</v>
      </c>
      <c r="N558" t="s">
        <v>1213</v>
      </c>
      <c r="O558" s="4">
        <v>1443.28</v>
      </c>
      <c r="P558" s="7" t="str">
        <f t="shared" si="59"/>
        <v>High</v>
      </c>
      <c r="Q558" s="4">
        <v>2580.5700000000002</v>
      </c>
      <c r="R558" s="4">
        <v>0</v>
      </c>
      <c r="S558" s="4">
        <v>18</v>
      </c>
      <c r="T558" s="4">
        <f t="shared" si="56"/>
        <v>1551.6000000000001</v>
      </c>
      <c r="U558">
        <f t="shared" si="57"/>
        <v>25979.040000000001</v>
      </c>
      <c r="V558" s="4">
        <f t="shared" si="60"/>
        <v>-24427.440000000002</v>
      </c>
      <c r="W558" s="4">
        <f t="shared" si="61"/>
        <v>-15.74338747099768</v>
      </c>
    </row>
    <row r="559" spans="1:23" x14ac:dyDescent="0.3">
      <c r="A559" t="s">
        <v>1214</v>
      </c>
      <c r="B559" s="6">
        <v>45791</v>
      </c>
      <c r="C559" s="2">
        <v>45789</v>
      </c>
      <c r="D559" s="4">
        <f>DATEDIF(C559,B559, "MD")</f>
        <v>2</v>
      </c>
      <c r="E559" s="4" t="str">
        <f>TEXT(Data!B559,"MMM-YYYY")</f>
        <v>Mar-2024</v>
      </c>
      <c r="F559" s="4" t="str">
        <f t="shared" si="58"/>
        <v>Q2-2025</v>
      </c>
      <c r="G559" t="s">
        <v>52</v>
      </c>
      <c r="H559" t="s">
        <v>53</v>
      </c>
      <c r="I559" t="s">
        <v>179</v>
      </c>
      <c r="J559" t="s">
        <v>39</v>
      </c>
      <c r="K559" t="s">
        <v>55</v>
      </c>
      <c r="L559" t="s">
        <v>84</v>
      </c>
      <c r="M559" t="s">
        <v>30</v>
      </c>
      <c r="N559" t="s">
        <v>1215</v>
      </c>
      <c r="O559" s="4">
        <v>883.5</v>
      </c>
      <c r="P559" s="7" t="str">
        <f t="shared" si="59"/>
        <v>High</v>
      </c>
      <c r="Q559" s="4">
        <v>1978.91</v>
      </c>
      <c r="R559" s="4">
        <v>5.3999999999999999E-2</v>
      </c>
      <c r="S559" s="4">
        <v>27</v>
      </c>
      <c r="T559" s="4">
        <f t="shared" si="56"/>
        <v>58944.550499999998</v>
      </c>
      <c r="U559">
        <f t="shared" si="57"/>
        <v>23854.5</v>
      </c>
      <c r="V559" s="4">
        <f t="shared" si="60"/>
        <v>35090.050499999998</v>
      </c>
      <c r="W559" s="4">
        <f t="shared" si="61"/>
        <v>0.59530610043416987</v>
      </c>
    </row>
    <row r="560" spans="1:23" x14ac:dyDescent="0.3">
      <c r="A560" t="s">
        <v>1216</v>
      </c>
      <c r="B560" s="6">
        <v>45362</v>
      </c>
      <c r="C560" s="2">
        <v>45380</v>
      </c>
      <c r="D560" s="4">
        <f t="shared" si="62"/>
        <v>18</v>
      </c>
      <c r="E560" s="4" t="str">
        <f>TEXT(Data!B560,"MMM-YYYY")</f>
        <v>May-2024</v>
      </c>
      <c r="F560" s="4" t="str">
        <f t="shared" si="58"/>
        <v>Q1-2024</v>
      </c>
      <c r="G560" t="s">
        <v>52</v>
      </c>
      <c r="H560" t="s">
        <v>122</v>
      </c>
      <c r="I560" t="s">
        <v>387</v>
      </c>
      <c r="J560" t="s">
        <v>19</v>
      </c>
      <c r="K560" t="s">
        <v>20</v>
      </c>
      <c r="L560" t="s">
        <v>110</v>
      </c>
      <c r="M560" t="s">
        <v>64</v>
      </c>
      <c r="N560" t="s">
        <v>1217</v>
      </c>
      <c r="O560" s="4">
        <v>710.98</v>
      </c>
      <c r="P560" s="7" t="str">
        <f t="shared" si="59"/>
        <v>High</v>
      </c>
      <c r="Q560" s="4">
        <v>1481.45</v>
      </c>
      <c r="R560" s="4">
        <v>0.21099999999999999</v>
      </c>
      <c r="S560" s="4">
        <v>9</v>
      </c>
      <c r="T560" s="4">
        <f t="shared" si="56"/>
        <v>7902.0638099999996</v>
      </c>
      <c r="U560">
        <f t="shared" si="57"/>
        <v>6398.82</v>
      </c>
      <c r="V560" s="4">
        <f t="shared" si="60"/>
        <v>1503.2438099999999</v>
      </c>
      <c r="W560" s="4">
        <f t="shared" si="61"/>
        <v>0.19023432942893434</v>
      </c>
    </row>
    <row r="561" spans="1:23" x14ac:dyDescent="0.3">
      <c r="A561" t="s">
        <v>1218</v>
      </c>
      <c r="B561" s="6">
        <v>45430</v>
      </c>
      <c r="C561" s="2">
        <v>45434</v>
      </c>
      <c r="D561" s="4">
        <f t="shared" si="62"/>
        <v>4</v>
      </c>
      <c r="E561" s="4" t="str">
        <f>TEXT(Data!B561,"MMM-YYYY")</f>
        <v>Jan-2024</v>
      </c>
      <c r="F561" s="4" t="str">
        <f t="shared" si="58"/>
        <v>Q2-2024</v>
      </c>
      <c r="G561" t="s">
        <v>16</v>
      </c>
      <c r="H561" t="s">
        <v>17</v>
      </c>
      <c r="I561" t="s">
        <v>33</v>
      </c>
      <c r="J561" t="s">
        <v>19</v>
      </c>
      <c r="K561" t="s">
        <v>98</v>
      </c>
      <c r="L561" t="s">
        <v>92</v>
      </c>
      <c r="M561" t="s">
        <v>81</v>
      </c>
      <c r="N561" t="s">
        <v>1219</v>
      </c>
      <c r="O561" s="4">
        <v>857.42</v>
      </c>
      <c r="P561" s="7" t="str">
        <f t="shared" si="59"/>
        <v>High</v>
      </c>
      <c r="Q561" s="4">
        <v>1658.92</v>
      </c>
      <c r="R561" s="4">
        <v>0.122</v>
      </c>
      <c r="S561" s="4">
        <v>9</v>
      </c>
      <c r="T561" s="4">
        <f t="shared" si="56"/>
        <v>8897.572979999999</v>
      </c>
      <c r="U561">
        <f t="shared" si="57"/>
        <v>7716.78</v>
      </c>
      <c r="V561" s="4">
        <f t="shared" si="60"/>
        <v>1180.7929799999993</v>
      </c>
      <c r="W561" s="4">
        <f t="shared" si="61"/>
        <v>0.13270955828675871</v>
      </c>
    </row>
    <row r="562" spans="1:23" x14ac:dyDescent="0.3">
      <c r="A562" t="s">
        <v>1220</v>
      </c>
      <c r="B562" s="6">
        <v>45299</v>
      </c>
      <c r="C562" s="2">
        <v>45303</v>
      </c>
      <c r="D562" s="4">
        <f t="shared" si="62"/>
        <v>4</v>
      </c>
      <c r="E562" s="4" t="str">
        <f>TEXT(Data!B562,"MMM-YYYY")</f>
        <v>Oct-2024</v>
      </c>
      <c r="F562" s="4" t="str">
        <f t="shared" si="58"/>
        <v>Q1-2024</v>
      </c>
      <c r="G562" t="s">
        <v>45</v>
      </c>
      <c r="H562" t="s">
        <v>60</v>
      </c>
      <c r="I562" t="s">
        <v>61</v>
      </c>
      <c r="J562" t="s">
        <v>19</v>
      </c>
      <c r="K562" t="s">
        <v>98</v>
      </c>
      <c r="L562" t="s">
        <v>63</v>
      </c>
      <c r="M562" t="s">
        <v>30</v>
      </c>
      <c r="N562" t="s">
        <v>1221</v>
      </c>
      <c r="O562" s="4">
        <v>802.32</v>
      </c>
      <c r="P562" s="7" t="str">
        <f t="shared" si="59"/>
        <v>High</v>
      </c>
      <c r="Q562" s="4">
        <v>602.34</v>
      </c>
      <c r="R562" s="4">
        <v>0.12</v>
      </c>
      <c r="S562" s="4">
        <v>25</v>
      </c>
      <c r="T562" s="4">
        <f t="shared" si="56"/>
        <v>2719.64</v>
      </c>
      <c r="U562">
        <f t="shared" si="57"/>
        <v>20058</v>
      </c>
      <c r="V562" s="4">
        <f t="shared" si="60"/>
        <v>-17338.36</v>
      </c>
      <c r="W562" s="4">
        <f t="shared" si="61"/>
        <v>-6.3752408406995045</v>
      </c>
    </row>
    <row r="563" spans="1:23" x14ac:dyDescent="0.3">
      <c r="A563" t="s">
        <v>1222</v>
      </c>
      <c r="B563" s="6">
        <v>45590</v>
      </c>
      <c r="C563" s="2">
        <v>45601</v>
      </c>
      <c r="D563" s="4">
        <f t="shared" si="62"/>
        <v>11</v>
      </c>
      <c r="E563" s="4" t="str">
        <f>TEXT(Data!B563,"MMM-YYYY")</f>
        <v>Nov-2024</v>
      </c>
      <c r="F563" s="4" t="str">
        <f t="shared" si="58"/>
        <v>Q4-2024</v>
      </c>
      <c r="G563" t="s">
        <v>52</v>
      </c>
      <c r="H563" t="s">
        <v>122</v>
      </c>
      <c r="I563" t="s">
        <v>387</v>
      </c>
      <c r="J563" t="s">
        <v>19</v>
      </c>
      <c r="K563" t="s">
        <v>55</v>
      </c>
      <c r="L563" t="s">
        <v>126</v>
      </c>
      <c r="M563" t="s">
        <v>22</v>
      </c>
      <c r="N563" t="s">
        <v>1223</v>
      </c>
      <c r="O563" s="4">
        <v>446.66</v>
      </c>
      <c r="P563" s="7" t="str">
        <f t="shared" si="59"/>
        <v>High</v>
      </c>
      <c r="Q563" s="4">
        <v>527.64</v>
      </c>
      <c r="R563" s="4">
        <v>0.14499999999999999</v>
      </c>
      <c r="S563" s="4">
        <v>15</v>
      </c>
      <c r="T563" s="4">
        <f t="shared" si="56"/>
        <v>22209.693749999999</v>
      </c>
      <c r="U563">
        <f t="shared" si="57"/>
        <v>6699.9000000000005</v>
      </c>
      <c r="V563" s="4">
        <f t="shared" si="60"/>
        <v>15509.793749999997</v>
      </c>
      <c r="W563" s="4">
        <f t="shared" si="61"/>
        <v>0.6983344266059498</v>
      </c>
    </row>
    <row r="564" spans="1:23" x14ac:dyDescent="0.3">
      <c r="A564" t="s">
        <v>1224</v>
      </c>
      <c r="B564" s="6">
        <v>45626</v>
      </c>
      <c r="C564" s="2">
        <v>45645</v>
      </c>
      <c r="D564" s="4">
        <f t="shared" si="62"/>
        <v>19</v>
      </c>
      <c r="E564" s="4" t="str">
        <f>TEXT(Data!B564,"MMM-YYYY")</f>
        <v>Apr-2023</v>
      </c>
      <c r="F564" s="4" t="str">
        <f t="shared" si="58"/>
        <v>Q4-2024</v>
      </c>
      <c r="G564" t="s">
        <v>16</v>
      </c>
      <c r="H564" t="s">
        <v>17</v>
      </c>
      <c r="I564" t="s">
        <v>18</v>
      </c>
      <c r="J564" t="s">
        <v>19</v>
      </c>
      <c r="K564" t="s">
        <v>28</v>
      </c>
      <c r="L564" t="s">
        <v>49</v>
      </c>
      <c r="M564" t="s">
        <v>42</v>
      </c>
      <c r="N564" t="s">
        <v>1225</v>
      </c>
      <c r="O564" s="4">
        <v>1195.98</v>
      </c>
      <c r="P564" s="7" t="str">
        <f t="shared" si="59"/>
        <v>High</v>
      </c>
      <c r="Q564" s="4">
        <v>1841.9</v>
      </c>
      <c r="R564" s="4">
        <v>5.5E-2</v>
      </c>
      <c r="S564" s="4">
        <v>19</v>
      </c>
      <c r="T564" s="4">
        <f t="shared" si="56"/>
        <v>54978.38955</v>
      </c>
      <c r="U564">
        <f t="shared" si="57"/>
        <v>22723.62</v>
      </c>
      <c r="V564" s="4">
        <f t="shared" si="60"/>
        <v>32254.769550000001</v>
      </c>
      <c r="W564" s="4">
        <f t="shared" si="61"/>
        <v>0.58668087250293055</v>
      </c>
    </row>
    <row r="565" spans="1:23" x14ac:dyDescent="0.3">
      <c r="A565" t="s">
        <v>1226</v>
      </c>
      <c r="B565" s="6">
        <v>45029</v>
      </c>
      <c r="C565" s="2">
        <v>45048</v>
      </c>
      <c r="D565" s="4">
        <f t="shared" si="62"/>
        <v>19</v>
      </c>
      <c r="E565" s="4" t="str">
        <f>TEXT(Data!B565,"MMM-YYYY")</f>
        <v>Feb-2025</v>
      </c>
      <c r="F565" s="4" t="str">
        <f t="shared" si="58"/>
        <v>Q2-2023</v>
      </c>
      <c r="G565" t="s">
        <v>52</v>
      </c>
      <c r="H565" t="s">
        <v>53</v>
      </c>
      <c r="I565" t="s">
        <v>144</v>
      </c>
      <c r="J565" t="s">
        <v>48</v>
      </c>
      <c r="K565" t="s">
        <v>55</v>
      </c>
      <c r="L565" t="s">
        <v>63</v>
      </c>
      <c r="M565" t="s">
        <v>64</v>
      </c>
      <c r="N565" t="s">
        <v>1227</v>
      </c>
      <c r="O565" s="4">
        <v>671.05</v>
      </c>
      <c r="P565" s="7" t="str">
        <f t="shared" si="59"/>
        <v>High</v>
      </c>
      <c r="Q565" s="4">
        <v>1645.48</v>
      </c>
      <c r="R565" s="4">
        <v>0.13700000000000001</v>
      </c>
      <c r="S565" s="4">
        <v>6</v>
      </c>
      <c r="T565" s="4">
        <f t="shared" si="56"/>
        <v>11393.722979999999</v>
      </c>
      <c r="U565">
        <f t="shared" si="57"/>
        <v>4026.2999999999997</v>
      </c>
      <c r="V565" s="4">
        <f t="shared" si="60"/>
        <v>7367.4229799999994</v>
      </c>
      <c r="W565" s="4">
        <f t="shared" si="61"/>
        <v>0.64662121353419111</v>
      </c>
    </row>
    <row r="566" spans="1:23" x14ac:dyDescent="0.3">
      <c r="A566" t="s">
        <v>1228</v>
      </c>
      <c r="B566" s="6">
        <v>45692</v>
      </c>
      <c r="C566" s="2">
        <v>45696</v>
      </c>
      <c r="D566" s="4">
        <f t="shared" si="62"/>
        <v>4</v>
      </c>
      <c r="E566" s="4" t="str">
        <f>TEXT(Data!B566,"MMM-YYYY")</f>
        <v>Jan-2024</v>
      </c>
      <c r="F566" s="4" t="str">
        <f t="shared" si="58"/>
        <v>Q1-2025</v>
      </c>
      <c r="G566" t="s">
        <v>78</v>
      </c>
      <c r="H566" t="s">
        <v>108</v>
      </c>
      <c r="I566" t="s">
        <v>228</v>
      </c>
      <c r="J566" t="s">
        <v>105</v>
      </c>
      <c r="K566" t="s">
        <v>40</v>
      </c>
      <c r="L566" t="s">
        <v>49</v>
      </c>
      <c r="M566" t="s">
        <v>35</v>
      </c>
      <c r="N566" t="s">
        <v>1229</v>
      </c>
      <c r="O566" s="4">
        <v>586.21</v>
      </c>
      <c r="P566" s="7" t="str">
        <f t="shared" si="59"/>
        <v>High</v>
      </c>
      <c r="Q566" s="4">
        <v>727.22</v>
      </c>
      <c r="R566" s="4">
        <v>6.8000000000000005E-2</v>
      </c>
      <c r="S566" s="4">
        <v>15</v>
      </c>
      <c r="T566" s="4">
        <f t="shared" si="56"/>
        <v>8408.8302000000003</v>
      </c>
      <c r="U566">
        <f t="shared" si="57"/>
        <v>8793.1500000000015</v>
      </c>
      <c r="V566" s="4">
        <f t="shared" si="60"/>
        <v>-384.31980000000112</v>
      </c>
      <c r="W566" s="4">
        <f t="shared" si="61"/>
        <v>-4.5704312117041096E-2</v>
      </c>
    </row>
    <row r="567" spans="1:23" x14ac:dyDescent="0.3">
      <c r="A567" t="s">
        <v>1230</v>
      </c>
      <c r="B567" s="6">
        <v>45315</v>
      </c>
      <c r="C567" s="2">
        <v>45326</v>
      </c>
      <c r="D567" s="4">
        <f t="shared" si="62"/>
        <v>11</v>
      </c>
      <c r="E567" s="4" t="str">
        <f>TEXT(Data!B567,"MMM-YYYY")</f>
        <v>Feb-2024</v>
      </c>
      <c r="F567" s="4" t="str">
        <f t="shared" si="58"/>
        <v>Q1-2024</v>
      </c>
      <c r="G567" t="s">
        <v>78</v>
      </c>
      <c r="H567" t="s">
        <v>108</v>
      </c>
      <c r="I567" t="s">
        <v>228</v>
      </c>
      <c r="J567" t="s">
        <v>48</v>
      </c>
      <c r="K567" t="s">
        <v>20</v>
      </c>
      <c r="L567" t="s">
        <v>56</v>
      </c>
      <c r="M567" t="s">
        <v>57</v>
      </c>
      <c r="N567" t="s">
        <v>1231</v>
      </c>
      <c r="O567" s="4">
        <v>525.34</v>
      </c>
      <c r="P567" s="7" t="str">
        <f t="shared" si="59"/>
        <v>High</v>
      </c>
      <c r="Q567" s="4">
        <v>1233.79</v>
      </c>
      <c r="R567" s="4">
        <v>0.14299999999999999</v>
      </c>
      <c r="S567" s="4">
        <v>4</v>
      </c>
      <c r="T567" s="4">
        <f t="shared" si="56"/>
        <v>3248.9555599999999</v>
      </c>
      <c r="U567">
        <f t="shared" si="57"/>
        <v>2101.36</v>
      </c>
      <c r="V567" s="4">
        <f t="shared" si="60"/>
        <v>1147.5955599999998</v>
      </c>
      <c r="W567" s="4">
        <f t="shared" si="61"/>
        <v>0.35321983905498533</v>
      </c>
    </row>
    <row r="568" spans="1:23" x14ac:dyDescent="0.3">
      <c r="A568" t="s">
        <v>1232</v>
      </c>
      <c r="B568" s="6">
        <v>45330</v>
      </c>
      <c r="C568" s="2">
        <v>45331</v>
      </c>
      <c r="D568" s="4">
        <f t="shared" si="62"/>
        <v>1</v>
      </c>
      <c r="E568" s="4" t="str">
        <f>TEXT(Data!B568,"MMM-YYYY")</f>
        <v>Jun-2025</v>
      </c>
      <c r="F568" s="4" t="str">
        <f t="shared" si="58"/>
        <v>Q1-2024</v>
      </c>
      <c r="G568" t="s">
        <v>16</v>
      </c>
      <c r="H568" t="s">
        <v>17</v>
      </c>
      <c r="I568" t="s">
        <v>113</v>
      </c>
      <c r="J568" t="s">
        <v>19</v>
      </c>
      <c r="K568" t="s">
        <v>98</v>
      </c>
      <c r="L568" t="s">
        <v>84</v>
      </c>
      <c r="M568" t="s">
        <v>22</v>
      </c>
      <c r="N568" t="s">
        <v>1233</v>
      </c>
      <c r="O568" s="4">
        <v>1233.52</v>
      </c>
      <c r="P568" s="7" t="str">
        <f t="shared" si="59"/>
        <v>High</v>
      </c>
      <c r="Q568" s="4">
        <v>1543.76</v>
      </c>
      <c r="R568" s="4">
        <v>0.126</v>
      </c>
      <c r="S568" s="4">
        <v>13</v>
      </c>
      <c r="T568" s="4">
        <f t="shared" si="56"/>
        <v>26490.27576</v>
      </c>
      <c r="U568">
        <f t="shared" si="57"/>
        <v>16035.76</v>
      </c>
      <c r="V568" s="4">
        <f t="shared" si="60"/>
        <v>10454.51576</v>
      </c>
      <c r="W568" s="4">
        <f t="shared" si="61"/>
        <v>0.39465484824382968</v>
      </c>
    </row>
    <row r="569" spans="1:23" x14ac:dyDescent="0.3">
      <c r="A569" t="s">
        <v>1234</v>
      </c>
      <c r="B569" s="6">
        <v>45834</v>
      </c>
      <c r="C569" s="2">
        <v>45849</v>
      </c>
      <c r="D569" s="4">
        <f t="shared" si="62"/>
        <v>15</v>
      </c>
      <c r="E569" s="4" t="str">
        <f>TEXT(Data!B569,"MMM-YYYY")</f>
        <v>Nov-2024</v>
      </c>
      <c r="F569" s="4" t="str">
        <f t="shared" si="58"/>
        <v>Q2-2025</v>
      </c>
      <c r="G569" t="s">
        <v>16</v>
      </c>
      <c r="H569" t="s">
        <v>25</v>
      </c>
      <c r="I569" t="s">
        <v>26</v>
      </c>
      <c r="J569" t="s">
        <v>62</v>
      </c>
      <c r="K569" t="s">
        <v>28</v>
      </c>
      <c r="L569" t="s">
        <v>75</v>
      </c>
      <c r="M569" t="s">
        <v>57</v>
      </c>
      <c r="N569" t="s">
        <v>1235</v>
      </c>
      <c r="O569" s="4">
        <v>1170.1500000000001</v>
      </c>
      <c r="P569" s="7" t="str">
        <f t="shared" si="59"/>
        <v>High</v>
      </c>
      <c r="Q569" s="4">
        <v>2115.19</v>
      </c>
      <c r="R569" s="4">
        <v>9.1999999999999998E-2</v>
      </c>
      <c r="S569" s="4">
        <v>23</v>
      </c>
      <c r="T569" s="4">
        <f t="shared" si="56"/>
        <v>29597.640160000003</v>
      </c>
      <c r="U569">
        <f t="shared" si="57"/>
        <v>26913.45</v>
      </c>
      <c r="V569" s="4">
        <f t="shared" si="60"/>
        <v>2684.1901600000019</v>
      </c>
      <c r="W569" s="4">
        <f t="shared" si="61"/>
        <v>9.0689330145569333E-2</v>
      </c>
    </row>
    <row r="570" spans="1:23" x14ac:dyDescent="0.3">
      <c r="A570" t="s">
        <v>1236</v>
      </c>
      <c r="B570" s="6">
        <v>45600</v>
      </c>
      <c r="C570" s="2">
        <v>45603</v>
      </c>
      <c r="D570" s="4">
        <f t="shared" si="62"/>
        <v>3</v>
      </c>
      <c r="E570" s="4" t="str">
        <f>TEXT(Data!B570,"MMM-YYYY")</f>
        <v>Feb-2024</v>
      </c>
      <c r="F570" s="4" t="str">
        <f t="shared" si="58"/>
        <v>Q4-2024</v>
      </c>
      <c r="G570" t="s">
        <v>78</v>
      </c>
      <c r="H570" t="s">
        <v>90</v>
      </c>
      <c r="I570" t="s">
        <v>138</v>
      </c>
      <c r="J570" t="s">
        <v>19</v>
      </c>
      <c r="K570" t="s">
        <v>28</v>
      </c>
      <c r="L570" t="s">
        <v>68</v>
      </c>
      <c r="M570" t="s">
        <v>64</v>
      </c>
      <c r="N570" t="s">
        <v>1237</v>
      </c>
      <c r="O570" s="4">
        <v>740.68</v>
      </c>
      <c r="P570" s="7" t="str">
        <f t="shared" si="59"/>
        <v>High</v>
      </c>
      <c r="Q570" s="4">
        <v>1837.19</v>
      </c>
      <c r="R570" s="4">
        <v>0.19700000000000001</v>
      </c>
      <c r="S570" s="4">
        <v>17</v>
      </c>
      <c r="T570" s="4">
        <f t="shared" si="56"/>
        <v>9548.8744999999999</v>
      </c>
      <c r="U570">
        <f t="shared" si="57"/>
        <v>12591.56</v>
      </c>
      <c r="V570" s="4">
        <f t="shared" si="60"/>
        <v>-3042.6854999999996</v>
      </c>
      <c r="W570" s="4">
        <f t="shared" si="61"/>
        <v>-0.31864336472324561</v>
      </c>
    </row>
    <row r="571" spans="1:23" x14ac:dyDescent="0.3">
      <c r="A571" t="s">
        <v>1238</v>
      </c>
      <c r="B571" s="6">
        <v>45342</v>
      </c>
      <c r="C571" s="2">
        <v>45342</v>
      </c>
      <c r="D571" s="4">
        <f t="shared" si="62"/>
        <v>0</v>
      </c>
      <c r="E571" s="4" t="str">
        <f>TEXT(Data!B571,"MMM-YYYY")</f>
        <v>Apr-2025</v>
      </c>
      <c r="F571" s="4" t="str">
        <f t="shared" si="58"/>
        <v>Q1-2024</v>
      </c>
      <c r="G571" t="s">
        <v>52</v>
      </c>
      <c r="H571" t="s">
        <v>122</v>
      </c>
      <c r="I571" t="s">
        <v>387</v>
      </c>
      <c r="J571" t="s">
        <v>105</v>
      </c>
      <c r="K571" t="s">
        <v>28</v>
      </c>
      <c r="L571" t="s">
        <v>21</v>
      </c>
      <c r="M571" t="s">
        <v>35</v>
      </c>
      <c r="N571" t="s">
        <v>1239</v>
      </c>
      <c r="O571" s="4">
        <v>1407.05</v>
      </c>
      <c r="P571" s="7" t="str">
        <f t="shared" si="59"/>
        <v>High</v>
      </c>
      <c r="Q571" s="4">
        <v>2858.93</v>
      </c>
      <c r="R571" s="4">
        <v>0</v>
      </c>
      <c r="S571" s="4">
        <v>12</v>
      </c>
      <c r="T571" s="4">
        <f t="shared" si="56"/>
        <v>21446.400000000001</v>
      </c>
      <c r="U571">
        <f t="shared" si="57"/>
        <v>16884.599999999999</v>
      </c>
      <c r="V571" s="4">
        <f t="shared" si="60"/>
        <v>4561.8000000000029</v>
      </c>
      <c r="W571" s="4">
        <f t="shared" si="61"/>
        <v>0.2127070277529097</v>
      </c>
    </row>
    <row r="572" spans="1:23" x14ac:dyDescent="0.3">
      <c r="A572" t="s">
        <v>1240</v>
      </c>
      <c r="B572" s="6">
        <v>45760</v>
      </c>
      <c r="C572" s="2">
        <v>45761</v>
      </c>
      <c r="D572" s="4">
        <f t="shared" si="62"/>
        <v>1</v>
      </c>
      <c r="E572" s="4" t="str">
        <f>TEXT(Data!B572,"MMM-YYYY")</f>
        <v>Jun-2023</v>
      </c>
      <c r="F572" s="4" t="str">
        <f t="shared" si="58"/>
        <v>Q2-2025</v>
      </c>
      <c r="G572" t="s">
        <v>45</v>
      </c>
      <c r="H572" t="s">
        <v>46</v>
      </c>
      <c r="I572" t="s">
        <v>47</v>
      </c>
      <c r="J572" t="s">
        <v>105</v>
      </c>
      <c r="K572" t="s">
        <v>28</v>
      </c>
      <c r="L572" t="s">
        <v>41</v>
      </c>
      <c r="M572" t="s">
        <v>22</v>
      </c>
      <c r="N572" t="s">
        <v>1241</v>
      </c>
      <c r="O572" s="4">
        <v>138.9</v>
      </c>
      <c r="P572" s="7" t="str">
        <f t="shared" si="59"/>
        <v>High</v>
      </c>
      <c r="Q572" s="4">
        <v>289.92</v>
      </c>
      <c r="R572" s="4">
        <v>2.9000000000000001E-2</v>
      </c>
      <c r="S572" s="4">
        <v>12</v>
      </c>
      <c r="T572" s="4">
        <f t="shared" si="56"/>
        <v>19793.834999999999</v>
      </c>
      <c r="U572">
        <f t="shared" si="57"/>
        <v>1666.8000000000002</v>
      </c>
      <c r="V572" s="4">
        <f t="shared" si="60"/>
        <v>18127.035</v>
      </c>
      <c r="W572" s="4">
        <f t="shared" si="61"/>
        <v>0.91579196249741401</v>
      </c>
    </row>
    <row r="573" spans="1:23" x14ac:dyDescent="0.3">
      <c r="A573" t="s">
        <v>1242</v>
      </c>
      <c r="B573" s="6">
        <v>45078</v>
      </c>
      <c r="C573" s="2">
        <v>45078</v>
      </c>
      <c r="D573" s="4">
        <f t="shared" si="62"/>
        <v>0</v>
      </c>
      <c r="E573" s="4" t="str">
        <f>TEXT(Data!B573,"MMM-YYYY")</f>
        <v>Mar-2025</v>
      </c>
      <c r="F573" s="4" t="str">
        <f t="shared" si="58"/>
        <v>Q2-2023</v>
      </c>
      <c r="G573" t="s">
        <v>45</v>
      </c>
      <c r="H573" t="s">
        <v>60</v>
      </c>
      <c r="I573" t="s">
        <v>61</v>
      </c>
      <c r="J573" t="s">
        <v>19</v>
      </c>
      <c r="K573" t="s">
        <v>20</v>
      </c>
      <c r="L573" t="s">
        <v>63</v>
      </c>
      <c r="M573" t="s">
        <v>81</v>
      </c>
      <c r="N573" t="s">
        <v>1243</v>
      </c>
      <c r="O573" s="4">
        <v>669.37</v>
      </c>
      <c r="P573" s="7" t="str">
        <f t="shared" si="59"/>
        <v>High</v>
      </c>
      <c r="Q573" s="4">
        <v>997.2</v>
      </c>
      <c r="R573" s="4">
        <v>8.2000000000000003E-2</v>
      </c>
      <c r="S573" s="4">
        <v>5</v>
      </c>
      <c r="T573" s="4">
        <f t="shared" si="56"/>
        <v>3326.373</v>
      </c>
      <c r="U573">
        <f t="shared" si="57"/>
        <v>3346.85</v>
      </c>
      <c r="V573" s="4">
        <f t="shared" si="60"/>
        <v>-20.476999999999862</v>
      </c>
      <c r="W573" s="4">
        <f t="shared" si="61"/>
        <v>-6.1559542480653434E-3</v>
      </c>
    </row>
    <row r="574" spans="1:23" x14ac:dyDescent="0.3">
      <c r="A574" t="s">
        <v>1244</v>
      </c>
      <c r="B574" s="6">
        <v>45740</v>
      </c>
      <c r="C574" s="2">
        <v>45751</v>
      </c>
      <c r="D574" s="4">
        <f t="shared" si="62"/>
        <v>11</v>
      </c>
      <c r="E574" s="4" t="str">
        <f>TEXT(Data!B574,"MMM-YYYY")</f>
        <v>Jan-2024</v>
      </c>
      <c r="F574" s="4" t="str">
        <f t="shared" si="58"/>
        <v>Q1-2025</v>
      </c>
      <c r="G574" t="s">
        <v>45</v>
      </c>
      <c r="H574" t="s">
        <v>60</v>
      </c>
      <c r="I574" t="s">
        <v>220</v>
      </c>
      <c r="J574" t="s">
        <v>27</v>
      </c>
      <c r="K574" t="s">
        <v>40</v>
      </c>
      <c r="L574" t="s">
        <v>29</v>
      </c>
      <c r="M574" t="s">
        <v>42</v>
      </c>
      <c r="N574" t="s">
        <v>1245</v>
      </c>
      <c r="O574" s="4">
        <v>23.83</v>
      </c>
      <c r="P574" s="7" t="str">
        <f t="shared" si="59"/>
        <v>Low</v>
      </c>
      <c r="Q574" s="4">
        <v>47.29</v>
      </c>
      <c r="R574" s="4">
        <v>6.4000000000000001E-2</v>
      </c>
      <c r="S574" s="4">
        <v>19</v>
      </c>
      <c r="T574" s="4">
        <f t="shared" si="56"/>
        <v>24114.036959999998</v>
      </c>
      <c r="U574">
        <f t="shared" si="57"/>
        <v>452.77</v>
      </c>
      <c r="V574" s="4">
        <f t="shared" si="60"/>
        <v>23661.266959999997</v>
      </c>
      <c r="W574" s="4">
        <f t="shared" si="61"/>
        <v>0.98122379920247083</v>
      </c>
    </row>
    <row r="575" spans="1:23" x14ac:dyDescent="0.3">
      <c r="A575" t="s">
        <v>1246</v>
      </c>
      <c r="B575" s="6">
        <v>45293</v>
      </c>
      <c r="C575" s="2">
        <v>45293</v>
      </c>
      <c r="D575" s="4">
        <f t="shared" si="62"/>
        <v>0</v>
      </c>
      <c r="E575" s="4" t="str">
        <f>TEXT(Data!B575,"MMM-YYYY")</f>
        <v>Dec-2023</v>
      </c>
      <c r="F575" s="4" t="str">
        <f t="shared" si="58"/>
        <v>Q1-2024</v>
      </c>
      <c r="G575" t="s">
        <v>52</v>
      </c>
      <c r="H575" t="s">
        <v>53</v>
      </c>
      <c r="I575" t="s">
        <v>179</v>
      </c>
      <c r="J575" t="s">
        <v>27</v>
      </c>
      <c r="K575" t="s">
        <v>98</v>
      </c>
      <c r="L575" t="s">
        <v>75</v>
      </c>
      <c r="M575" t="s">
        <v>57</v>
      </c>
      <c r="N575" t="s">
        <v>1247</v>
      </c>
      <c r="O575" s="4">
        <v>444.41</v>
      </c>
      <c r="P575" s="7" t="str">
        <f t="shared" si="59"/>
        <v>High</v>
      </c>
      <c r="Q575" s="4">
        <v>754.24</v>
      </c>
      <c r="R575" s="4">
        <v>0.20699999999999999</v>
      </c>
      <c r="S575" s="4">
        <v>32</v>
      </c>
      <c r="T575" s="4">
        <f t="shared" si="56"/>
        <v>6980.1763200000005</v>
      </c>
      <c r="U575">
        <f t="shared" si="57"/>
        <v>14221.12</v>
      </c>
      <c r="V575" s="4">
        <f t="shared" si="60"/>
        <v>-7240.9436800000003</v>
      </c>
      <c r="W575" s="4">
        <f t="shared" si="61"/>
        <v>-1.0373582769324659</v>
      </c>
    </row>
    <row r="576" spans="1:23" x14ac:dyDescent="0.3">
      <c r="A576" t="s">
        <v>1248</v>
      </c>
      <c r="B576" s="6">
        <v>45279</v>
      </c>
      <c r="C576" s="2">
        <v>45292</v>
      </c>
      <c r="D576" s="4">
        <f t="shared" si="62"/>
        <v>13</v>
      </c>
      <c r="E576" s="4" t="str">
        <f>TEXT(Data!B576,"MMM-YYYY")</f>
        <v>Apr-2023</v>
      </c>
      <c r="F576" s="4" t="str">
        <f t="shared" si="58"/>
        <v>Q4-2023</v>
      </c>
      <c r="G576" t="s">
        <v>52</v>
      </c>
      <c r="H576" t="s">
        <v>53</v>
      </c>
      <c r="I576" t="s">
        <v>54</v>
      </c>
      <c r="J576" t="s">
        <v>105</v>
      </c>
      <c r="K576" t="s">
        <v>20</v>
      </c>
      <c r="L576" t="s">
        <v>95</v>
      </c>
      <c r="M576" t="s">
        <v>64</v>
      </c>
      <c r="N576" t="s">
        <v>1249</v>
      </c>
      <c r="O576" s="4">
        <v>856.1</v>
      </c>
      <c r="P576" s="7" t="str">
        <f t="shared" si="59"/>
        <v>High</v>
      </c>
      <c r="Q576" s="4">
        <v>901.48</v>
      </c>
      <c r="R576" s="4">
        <v>5.6000000000000001E-2</v>
      </c>
      <c r="S576" s="4">
        <v>17</v>
      </c>
      <c r="T576" s="4">
        <f t="shared" si="56"/>
        <v>28925.557119999998</v>
      </c>
      <c r="U576">
        <f t="shared" si="57"/>
        <v>14553.7</v>
      </c>
      <c r="V576" s="4">
        <f t="shared" si="60"/>
        <v>14371.857119999997</v>
      </c>
      <c r="W576" s="4">
        <f t="shared" si="61"/>
        <v>0.49685670911634278</v>
      </c>
    </row>
    <row r="577" spans="1:23" x14ac:dyDescent="0.3">
      <c r="A577" t="s">
        <v>1250</v>
      </c>
      <c r="B577" s="6">
        <v>45042</v>
      </c>
      <c r="C577" s="2">
        <v>45042</v>
      </c>
      <c r="D577" s="4">
        <f t="shared" si="62"/>
        <v>0</v>
      </c>
      <c r="E577" s="4" t="str">
        <f>TEXT(Data!B577,"MMM-YYYY")</f>
        <v>Aug-2025</v>
      </c>
      <c r="F577" s="4" t="str">
        <f t="shared" si="58"/>
        <v>Q2-2023</v>
      </c>
      <c r="G577" t="s">
        <v>78</v>
      </c>
      <c r="H577" t="s">
        <v>90</v>
      </c>
      <c r="I577" t="s">
        <v>91</v>
      </c>
      <c r="J577" t="s">
        <v>48</v>
      </c>
      <c r="K577" t="s">
        <v>98</v>
      </c>
      <c r="L577" t="s">
        <v>110</v>
      </c>
      <c r="M577" t="s">
        <v>22</v>
      </c>
      <c r="N577" t="s">
        <v>1251</v>
      </c>
      <c r="O577" s="4">
        <v>81.489999999999995</v>
      </c>
      <c r="P577" s="7" t="str">
        <f t="shared" si="59"/>
        <v>Medium</v>
      </c>
      <c r="Q577" s="4">
        <v>113.08</v>
      </c>
      <c r="R577" s="4">
        <v>0.121</v>
      </c>
      <c r="S577" s="4">
        <v>5</v>
      </c>
      <c r="T577" s="4">
        <f t="shared" si="56"/>
        <v>5580.6830999999993</v>
      </c>
      <c r="U577">
        <f t="shared" si="57"/>
        <v>407.45</v>
      </c>
      <c r="V577" s="4">
        <f t="shared" si="60"/>
        <v>5173.2330999999995</v>
      </c>
      <c r="W577" s="4">
        <f t="shared" si="61"/>
        <v>0.92698922467036338</v>
      </c>
    </row>
    <row r="578" spans="1:23" x14ac:dyDescent="0.3">
      <c r="A578" t="s">
        <v>1252</v>
      </c>
      <c r="B578" s="6">
        <v>45872</v>
      </c>
      <c r="C578" s="2">
        <v>45885</v>
      </c>
      <c r="D578" s="4">
        <f t="shared" si="62"/>
        <v>13</v>
      </c>
      <c r="E578" s="4" t="str">
        <f>TEXT(Data!B578,"MMM-YYYY")</f>
        <v>Aug-2023</v>
      </c>
      <c r="F578" s="4" t="str">
        <f t="shared" si="58"/>
        <v>Q3-2025</v>
      </c>
      <c r="G578" t="s">
        <v>52</v>
      </c>
      <c r="H578" t="s">
        <v>53</v>
      </c>
      <c r="I578" t="s">
        <v>144</v>
      </c>
      <c r="J578" t="s">
        <v>105</v>
      </c>
      <c r="K578" t="s">
        <v>55</v>
      </c>
      <c r="L578" t="s">
        <v>68</v>
      </c>
      <c r="M578" t="s">
        <v>35</v>
      </c>
      <c r="N578" t="s">
        <v>1253</v>
      </c>
      <c r="O578" s="4">
        <v>698.66</v>
      </c>
      <c r="P578" s="7" t="str">
        <f t="shared" si="59"/>
        <v>High</v>
      </c>
      <c r="Q578" s="4">
        <v>868.62</v>
      </c>
      <c r="R578" s="4">
        <v>7.1999999999999995E-2</v>
      </c>
      <c r="S578" s="4">
        <v>15</v>
      </c>
      <c r="T578" s="4">
        <f t="shared" ref="T578:T633" si="63">(Q604*S578)*(1-R578)</f>
        <v>7960.848</v>
      </c>
      <c r="U578">
        <f t="shared" ref="U578:U633" si="64">(O578*S578)</f>
        <v>10479.9</v>
      </c>
      <c r="V578" s="4">
        <f t="shared" si="60"/>
        <v>-2519.0519999999997</v>
      </c>
      <c r="W578" s="4">
        <f t="shared" si="61"/>
        <v>-0.31643010895321699</v>
      </c>
    </row>
    <row r="579" spans="1:23" x14ac:dyDescent="0.3">
      <c r="A579" t="s">
        <v>1254</v>
      </c>
      <c r="B579" s="6">
        <v>45140</v>
      </c>
      <c r="C579" s="2">
        <v>45157</v>
      </c>
      <c r="D579" s="4">
        <f t="shared" si="62"/>
        <v>17</v>
      </c>
      <c r="E579" s="4" t="str">
        <f>TEXT(Data!B579,"MMM-YYYY")</f>
        <v>Jun-2023</v>
      </c>
      <c r="F579" s="4" t="str">
        <f t="shared" ref="F579:F633" si="65">"Q"&amp;ROUNDUP(MONTH(B579)/3,0)&amp;"-"&amp;YEAR(B579)</f>
        <v>Q3-2023</v>
      </c>
      <c r="G579" t="s">
        <v>52</v>
      </c>
      <c r="H579" t="s">
        <v>53</v>
      </c>
      <c r="I579" t="s">
        <v>179</v>
      </c>
      <c r="J579" t="s">
        <v>19</v>
      </c>
      <c r="K579" t="s">
        <v>28</v>
      </c>
      <c r="L579" t="s">
        <v>84</v>
      </c>
      <c r="M579" t="s">
        <v>35</v>
      </c>
      <c r="N579" t="s">
        <v>1255</v>
      </c>
      <c r="O579" s="4">
        <v>175.38</v>
      </c>
      <c r="P579" s="7" t="str">
        <f t="shared" ref="P579:P633" si="66">IF(Q579&lt;50, "Low", IF(Q579&lt;200, "Medium", "High"))</f>
        <v>High</v>
      </c>
      <c r="Q579" s="4">
        <v>347.9</v>
      </c>
      <c r="R579" s="4">
        <v>7.1999999999999995E-2</v>
      </c>
      <c r="S579" s="4">
        <v>43</v>
      </c>
      <c r="T579" s="4">
        <f t="shared" si="63"/>
        <v>109937.11616000001</v>
      </c>
      <c r="U579">
        <f t="shared" si="64"/>
        <v>7541.34</v>
      </c>
      <c r="V579" s="4">
        <f t="shared" ref="V579:V633" si="67">(T579-U579)</f>
        <v>102395.77616000001</v>
      </c>
      <c r="W579" s="4">
        <f t="shared" ref="W579:W633" si="68">IF(T579=0, 0, V579/T579)</f>
        <v>0.93140314878712571</v>
      </c>
    </row>
    <row r="580" spans="1:23" x14ac:dyDescent="0.3">
      <c r="A580" t="s">
        <v>1256</v>
      </c>
      <c r="B580" s="6">
        <v>45092</v>
      </c>
      <c r="C580" s="2">
        <v>45119</v>
      </c>
      <c r="D580" s="4">
        <f t="shared" si="62"/>
        <v>27</v>
      </c>
      <c r="E580" s="4" t="str">
        <f>TEXT(Data!B580,"MMM-YYYY")</f>
        <v>Nov-2024</v>
      </c>
      <c r="F580" s="4" t="str">
        <f t="shared" si="65"/>
        <v>Q2-2023</v>
      </c>
      <c r="G580" t="s">
        <v>78</v>
      </c>
      <c r="H580" t="s">
        <v>108</v>
      </c>
      <c r="I580" t="s">
        <v>228</v>
      </c>
      <c r="J580" t="s">
        <v>48</v>
      </c>
      <c r="K580" t="s">
        <v>98</v>
      </c>
      <c r="L580" t="s">
        <v>34</v>
      </c>
      <c r="M580" t="s">
        <v>81</v>
      </c>
      <c r="N580" t="s">
        <v>1257</v>
      </c>
      <c r="O580" s="4">
        <v>751.28</v>
      </c>
      <c r="P580" s="7" t="str">
        <f t="shared" si="66"/>
        <v>High</v>
      </c>
      <c r="Q580" s="4">
        <v>1111.8800000000001</v>
      </c>
      <c r="R580" s="4">
        <v>0.13500000000000001</v>
      </c>
      <c r="S580" s="4">
        <v>7</v>
      </c>
      <c r="T580" s="4">
        <f t="shared" si="63"/>
        <v>5827.9980499999992</v>
      </c>
      <c r="U580">
        <f t="shared" si="64"/>
        <v>5258.96</v>
      </c>
      <c r="V580" s="4">
        <f t="shared" si="67"/>
        <v>569.0380499999992</v>
      </c>
      <c r="W580" s="4">
        <f t="shared" si="68"/>
        <v>9.7638682291597417E-2</v>
      </c>
    </row>
    <row r="581" spans="1:23" x14ac:dyDescent="0.3">
      <c r="A581" t="s">
        <v>1258</v>
      </c>
      <c r="B581" s="6">
        <v>45607</v>
      </c>
      <c r="C581" s="2">
        <v>45620</v>
      </c>
      <c r="D581" s="4">
        <f t="shared" ref="D581:D633" si="69">DATEDIF(B581,C581, "MD")</f>
        <v>13</v>
      </c>
      <c r="E581" s="4" t="str">
        <f>TEXT(Data!B581,"MMM-YYYY")</f>
        <v>Jul-2025</v>
      </c>
      <c r="F581" s="4" t="str">
        <f t="shared" si="65"/>
        <v>Q4-2024</v>
      </c>
      <c r="G581" t="s">
        <v>78</v>
      </c>
      <c r="H581" t="s">
        <v>108</v>
      </c>
      <c r="I581" t="s">
        <v>152</v>
      </c>
      <c r="J581" t="s">
        <v>19</v>
      </c>
      <c r="K581" t="s">
        <v>20</v>
      </c>
      <c r="L581" t="s">
        <v>63</v>
      </c>
      <c r="M581" t="s">
        <v>35</v>
      </c>
      <c r="N581" t="s">
        <v>1259</v>
      </c>
      <c r="O581" s="4">
        <v>164.53</v>
      </c>
      <c r="P581" s="7" t="str">
        <f t="shared" si="66"/>
        <v>High</v>
      </c>
      <c r="Q581" s="4">
        <v>327.72</v>
      </c>
      <c r="R581" s="4">
        <v>6.7000000000000004E-2</v>
      </c>
      <c r="S581" s="4">
        <v>14</v>
      </c>
      <c r="T581" s="4">
        <f t="shared" si="63"/>
        <v>8728.9427399999986</v>
      </c>
      <c r="U581">
        <f t="shared" si="64"/>
        <v>2303.42</v>
      </c>
      <c r="V581" s="4">
        <f t="shared" si="67"/>
        <v>6425.5227399999985</v>
      </c>
      <c r="W581" s="4">
        <f t="shared" si="68"/>
        <v>0.73611695383855846</v>
      </c>
    </row>
    <row r="582" spans="1:23" x14ac:dyDescent="0.3">
      <c r="A582" t="s">
        <v>1260</v>
      </c>
      <c r="B582" s="6">
        <v>45849</v>
      </c>
      <c r="C582" s="2">
        <v>45872</v>
      </c>
      <c r="D582" s="4">
        <f t="shared" si="69"/>
        <v>23</v>
      </c>
      <c r="E582" s="4" t="str">
        <f>TEXT(Data!B582,"MMM-YYYY")</f>
        <v>Jun-2023</v>
      </c>
      <c r="F582" s="4" t="str">
        <f t="shared" si="65"/>
        <v>Q3-2025</v>
      </c>
      <c r="G582" t="s">
        <v>16</v>
      </c>
      <c r="H582" t="s">
        <v>17</v>
      </c>
      <c r="I582" t="s">
        <v>135</v>
      </c>
      <c r="J582" t="s">
        <v>62</v>
      </c>
      <c r="K582" t="s">
        <v>20</v>
      </c>
      <c r="L582" t="s">
        <v>21</v>
      </c>
      <c r="M582" t="s">
        <v>42</v>
      </c>
      <c r="N582" t="s">
        <v>1261</v>
      </c>
      <c r="O582" s="4">
        <v>389.93</v>
      </c>
      <c r="P582" s="7" t="str">
        <f t="shared" si="66"/>
        <v>High</v>
      </c>
      <c r="Q582" s="4">
        <v>486.13</v>
      </c>
      <c r="R582" s="4">
        <v>0.13200000000000001</v>
      </c>
      <c r="S582" s="4">
        <v>17</v>
      </c>
      <c r="T582" s="4">
        <f t="shared" si="63"/>
        <v>20722.29348</v>
      </c>
      <c r="U582">
        <f t="shared" si="64"/>
        <v>6628.81</v>
      </c>
      <c r="V582" s="4">
        <f t="shared" si="67"/>
        <v>14093.483479999999</v>
      </c>
      <c r="W582" s="4">
        <f t="shared" si="68"/>
        <v>0.6801121455789747</v>
      </c>
    </row>
    <row r="583" spans="1:23" x14ac:dyDescent="0.3">
      <c r="A583" t="s">
        <v>1262</v>
      </c>
      <c r="B583" s="6">
        <v>45080</v>
      </c>
      <c r="C583" s="2">
        <v>45108</v>
      </c>
      <c r="D583" s="4">
        <f t="shared" si="69"/>
        <v>28</v>
      </c>
      <c r="E583" s="4" t="str">
        <f>TEXT(Data!B583,"MMM-YYYY")</f>
        <v>Jan-2023</v>
      </c>
      <c r="F583" s="4" t="str">
        <f t="shared" si="65"/>
        <v>Q2-2023</v>
      </c>
      <c r="G583" t="s">
        <v>52</v>
      </c>
      <c r="H583" t="s">
        <v>73</v>
      </c>
      <c r="I583" t="s">
        <v>87</v>
      </c>
      <c r="J583" t="s">
        <v>62</v>
      </c>
      <c r="K583" t="s">
        <v>40</v>
      </c>
      <c r="L583" t="s">
        <v>75</v>
      </c>
      <c r="M583" t="s">
        <v>22</v>
      </c>
      <c r="N583" t="s">
        <v>1263</v>
      </c>
      <c r="O583" s="4">
        <v>860.4</v>
      </c>
      <c r="P583" s="7" t="str">
        <f t="shared" si="66"/>
        <v>High</v>
      </c>
      <c r="Q583" s="4">
        <v>2066.6</v>
      </c>
      <c r="R583" s="4">
        <v>0.01</v>
      </c>
      <c r="S583" s="4">
        <v>3</v>
      </c>
      <c r="T583" s="4">
        <f t="shared" si="63"/>
        <v>10661.9733</v>
      </c>
      <c r="U583">
        <f t="shared" si="64"/>
        <v>2581.1999999999998</v>
      </c>
      <c r="V583" s="4">
        <f t="shared" si="67"/>
        <v>8080.7732999999998</v>
      </c>
      <c r="W583" s="4">
        <f t="shared" si="68"/>
        <v>0.7579059778737206</v>
      </c>
    </row>
    <row r="584" spans="1:23" x14ac:dyDescent="0.3">
      <c r="A584" t="s">
        <v>1264</v>
      </c>
      <c r="B584" s="6">
        <v>44955</v>
      </c>
      <c r="C584" s="2">
        <v>44963</v>
      </c>
      <c r="D584" s="4">
        <f t="shared" si="69"/>
        <v>8</v>
      </c>
      <c r="E584" s="4" t="str">
        <f>TEXT(Data!B584,"MMM-YYYY")</f>
        <v>Sep-2024</v>
      </c>
      <c r="F584" s="4" t="str">
        <f t="shared" si="65"/>
        <v>Q1-2023</v>
      </c>
      <c r="G584" t="s">
        <v>52</v>
      </c>
      <c r="H584" t="s">
        <v>73</v>
      </c>
      <c r="I584" t="s">
        <v>87</v>
      </c>
      <c r="J584" t="s">
        <v>19</v>
      </c>
      <c r="K584" t="s">
        <v>40</v>
      </c>
      <c r="L584" t="s">
        <v>145</v>
      </c>
      <c r="M584" t="s">
        <v>64</v>
      </c>
      <c r="N584" t="s">
        <v>1265</v>
      </c>
      <c r="O584" s="4">
        <v>41.84</v>
      </c>
      <c r="P584" s="7" t="str">
        <f t="shared" si="66"/>
        <v>Medium</v>
      </c>
      <c r="Q584" s="4">
        <v>86.2</v>
      </c>
      <c r="R584" s="4">
        <v>0.22600000000000001</v>
      </c>
      <c r="S584" s="4">
        <v>27</v>
      </c>
      <c r="T584" s="4">
        <f t="shared" si="63"/>
        <v>4879.8919799999994</v>
      </c>
      <c r="U584">
        <f t="shared" si="64"/>
        <v>1129.68</v>
      </c>
      <c r="V584" s="4">
        <f t="shared" si="67"/>
        <v>3750.2119799999991</v>
      </c>
      <c r="W584" s="4">
        <f t="shared" si="68"/>
        <v>0.76850307247989524</v>
      </c>
    </row>
    <row r="585" spans="1:23" x14ac:dyDescent="0.3">
      <c r="A585" t="s">
        <v>1266</v>
      </c>
      <c r="B585" s="6">
        <v>45541</v>
      </c>
      <c r="C585" s="2">
        <v>45539</v>
      </c>
      <c r="D585" s="4">
        <f>DATEDIF(C585,B585, "MD")</f>
        <v>2</v>
      </c>
      <c r="E585" s="4" t="str">
        <f>TEXT(Data!B585,"MMM-YYYY")</f>
        <v>Aug-2024</v>
      </c>
      <c r="F585" s="4" t="str">
        <f t="shared" si="65"/>
        <v>Q3-2024</v>
      </c>
      <c r="G585" t="s">
        <v>45</v>
      </c>
      <c r="H585" t="s">
        <v>46</v>
      </c>
      <c r="I585" t="s">
        <v>47</v>
      </c>
      <c r="J585" t="s">
        <v>19</v>
      </c>
      <c r="K585" t="s">
        <v>98</v>
      </c>
      <c r="L585" t="s">
        <v>75</v>
      </c>
      <c r="M585" t="s">
        <v>57</v>
      </c>
      <c r="N585" t="s">
        <v>1267</v>
      </c>
      <c r="O585" s="4">
        <v>1368.17</v>
      </c>
      <c r="P585" s="7" t="str">
        <f t="shared" si="66"/>
        <v>High</v>
      </c>
      <c r="Q585" s="4">
        <v>2307.75</v>
      </c>
      <c r="R585" s="4">
        <v>0.16300000000000001</v>
      </c>
      <c r="S585" s="4">
        <v>21</v>
      </c>
      <c r="T585" s="4">
        <f t="shared" si="63"/>
        <v>2183.9422500000001</v>
      </c>
      <c r="U585">
        <f t="shared" si="64"/>
        <v>28731.57</v>
      </c>
      <c r="V585" s="4">
        <f t="shared" si="67"/>
        <v>-26547.62775</v>
      </c>
      <c r="W585" s="4">
        <f t="shared" si="68"/>
        <v>-12.155828639699607</v>
      </c>
    </row>
    <row r="586" spans="1:23" x14ac:dyDescent="0.3">
      <c r="A586" t="s">
        <v>1268</v>
      </c>
      <c r="B586" s="6">
        <v>45507</v>
      </c>
      <c r="C586" s="2">
        <v>45513</v>
      </c>
      <c r="D586" s="4">
        <f t="shared" si="69"/>
        <v>6</v>
      </c>
      <c r="E586" s="4" t="str">
        <f>TEXT(Data!B586,"MMM-YYYY")</f>
        <v>Apr-2025</v>
      </c>
      <c r="F586" s="4" t="str">
        <f t="shared" si="65"/>
        <v>Q3-2024</v>
      </c>
      <c r="G586" t="s">
        <v>16</v>
      </c>
      <c r="H586" t="s">
        <v>17</v>
      </c>
      <c r="I586" t="s">
        <v>113</v>
      </c>
      <c r="J586" t="s">
        <v>48</v>
      </c>
      <c r="K586" t="s">
        <v>40</v>
      </c>
      <c r="L586" t="s">
        <v>92</v>
      </c>
      <c r="M586" t="s">
        <v>57</v>
      </c>
      <c r="N586" t="s">
        <v>1269</v>
      </c>
      <c r="O586" s="4">
        <v>643.21</v>
      </c>
      <c r="P586" s="7" t="str">
        <f t="shared" si="66"/>
        <v>High</v>
      </c>
      <c r="Q586" s="4">
        <v>1112.81</v>
      </c>
      <c r="R586" s="4">
        <v>0.14099999999999999</v>
      </c>
      <c r="S586" s="4">
        <v>4</v>
      </c>
      <c r="T586" s="4">
        <f t="shared" si="63"/>
        <v>4918.1873199999991</v>
      </c>
      <c r="U586">
        <f t="shared" si="64"/>
        <v>2572.84</v>
      </c>
      <c r="V586" s="4">
        <f t="shared" si="67"/>
        <v>2345.3473199999989</v>
      </c>
      <c r="W586" s="4">
        <f t="shared" si="68"/>
        <v>0.47687230424562183</v>
      </c>
    </row>
    <row r="587" spans="1:23" x14ac:dyDescent="0.3">
      <c r="A587" t="s">
        <v>1270</v>
      </c>
      <c r="B587" s="6">
        <v>45764</v>
      </c>
      <c r="C587" s="2">
        <v>45764</v>
      </c>
      <c r="D587" s="4">
        <f t="shared" si="69"/>
        <v>0</v>
      </c>
      <c r="E587" s="4" t="str">
        <f>TEXT(Data!B587,"MMM-YYYY")</f>
        <v>May-2023</v>
      </c>
      <c r="F587" s="4" t="str">
        <f t="shared" si="65"/>
        <v>Q2-2025</v>
      </c>
      <c r="G587" t="s">
        <v>52</v>
      </c>
      <c r="H587" t="s">
        <v>73</v>
      </c>
      <c r="I587" t="s">
        <v>74</v>
      </c>
      <c r="J587" t="s">
        <v>19</v>
      </c>
      <c r="K587" t="s">
        <v>55</v>
      </c>
      <c r="L587" t="s">
        <v>49</v>
      </c>
      <c r="M587" t="s">
        <v>42</v>
      </c>
      <c r="N587" t="s">
        <v>1271</v>
      </c>
      <c r="O587" s="4">
        <v>719.41</v>
      </c>
      <c r="P587" s="7" t="str">
        <f t="shared" si="66"/>
        <v>High</v>
      </c>
      <c r="Q587" s="4">
        <v>1125.99</v>
      </c>
      <c r="R587" s="4">
        <v>4.1000000000000002E-2</v>
      </c>
      <c r="S587" s="4">
        <v>21</v>
      </c>
      <c r="T587" s="4">
        <f t="shared" si="63"/>
        <v>32132.177279999996</v>
      </c>
      <c r="U587">
        <f t="shared" si="64"/>
        <v>15107.609999999999</v>
      </c>
      <c r="V587" s="4">
        <f t="shared" si="67"/>
        <v>17024.567279999996</v>
      </c>
      <c r="W587" s="4">
        <f t="shared" si="68"/>
        <v>0.52982924660373332</v>
      </c>
    </row>
    <row r="588" spans="1:23" x14ac:dyDescent="0.3">
      <c r="A588" t="s">
        <v>1272</v>
      </c>
      <c r="B588" s="6">
        <v>45049</v>
      </c>
      <c r="C588" s="2">
        <v>45062</v>
      </c>
      <c r="D588" s="4">
        <f t="shared" si="69"/>
        <v>13</v>
      </c>
      <c r="E588" s="4" t="str">
        <f>TEXT(Data!B588,"MMM-YYYY")</f>
        <v>Mar-2024</v>
      </c>
      <c r="F588" s="4" t="str">
        <f t="shared" si="65"/>
        <v>Q2-2023</v>
      </c>
      <c r="G588" t="s">
        <v>52</v>
      </c>
      <c r="H588" t="s">
        <v>122</v>
      </c>
      <c r="I588" t="s">
        <v>387</v>
      </c>
      <c r="J588" t="s">
        <v>19</v>
      </c>
      <c r="K588" t="s">
        <v>40</v>
      </c>
      <c r="L588" t="s">
        <v>49</v>
      </c>
      <c r="M588" t="s">
        <v>42</v>
      </c>
      <c r="N588" t="s">
        <v>1273</v>
      </c>
      <c r="O588" s="4">
        <v>64.5</v>
      </c>
      <c r="P588" s="7" t="str">
        <f t="shared" si="66"/>
        <v>Medium</v>
      </c>
      <c r="Q588" s="4">
        <v>123.62</v>
      </c>
      <c r="R588" s="4">
        <v>0</v>
      </c>
      <c r="S588" s="4">
        <v>3</v>
      </c>
      <c r="T588" s="4">
        <f t="shared" si="63"/>
        <v>3085.38</v>
      </c>
      <c r="U588">
        <f t="shared" si="64"/>
        <v>193.5</v>
      </c>
      <c r="V588" s="4">
        <f t="shared" si="67"/>
        <v>2891.88</v>
      </c>
      <c r="W588" s="4">
        <f t="shared" si="68"/>
        <v>0.93728487252785719</v>
      </c>
    </row>
    <row r="589" spans="1:23" x14ac:dyDescent="0.3">
      <c r="A589" t="s">
        <v>1274</v>
      </c>
      <c r="B589" s="6">
        <v>45364</v>
      </c>
      <c r="C589" s="2">
        <v>45388</v>
      </c>
      <c r="D589" s="4">
        <f t="shared" si="69"/>
        <v>24</v>
      </c>
      <c r="E589" s="4" t="str">
        <f>TEXT(Data!B589,"MMM-YYYY")</f>
        <v>Jun-2024</v>
      </c>
      <c r="F589" s="4" t="str">
        <f t="shared" si="65"/>
        <v>Q1-2024</v>
      </c>
      <c r="G589" t="s">
        <v>16</v>
      </c>
      <c r="H589" t="s">
        <v>25</v>
      </c>
      <c r="I589" t="s">
        <v>67</v>
      </c>
      <c r="J589" t="s">
        <v>48</v>
      </c>
      <c r="K589" t="s">
        <v>55</v>
      </c>
      <c r="L589" t="s">
        <v>49</v>
      </c>
      <c r="M589" t="s">
        <v>22</v>
      </c>
      <c r="N589" t="s">
        <v>1275</v>
      </c>
      <c r="O589" s="4">
        <v>1232.78</v>
      </c>
      <c r="P589" s="7" t="str">
        <f t="shared" si="66"/>
        <v>High</v>
      </c>
      <c r="Q589" s="4">
        <v>1731.75</v>
      </c>
      <c r="R589" s="4">
        <v>9.2999999999999999E-2</v>
      </c>
      <c r="S589" s="4">
        <v>16</v>
      </c>
      <c r="T589" s="4">
        <f t="shared" si="63"/>
        <v>46878.839200000002</v>
      </c>
      <c r="U589">
        <f t="shared" si="64"/>
        <v>19724.48</v>
      </c>
      <c r="V589" s="4">
        <f t="shared" si="67"/>
        <v>27154.359200000003</v>
      </c>
      <c r="W589" s="4">
        <f t="shared" si="68"/>
        <v>0.5792455543566446</v>
      </c>
    </row>
    <row r="590" spans="1:23" x14ac:dyDescent="0.3">
      <c r="A590" t="s">
        <v>1276</v>
      </c>
      <c r="B590" s="6">
        <v>45459</v>
      </c>
      <c r="C590" s="2">
        <v>45464</v>
      </c>
      <c r="D590" s="4">
        <f t="shared" si="69"/>
        <v>5</v>
      </c>
      <c r="E590" s="4" t="str">
        <f>TEXT(Data!B590,"MMM-YYYY")</f>
        <v>Feb-2025</v>
      </c>
      <c r="F590" s="4" t="str">
        <f t="shared" si="65"/>
        <v>Q2-2024</v>
      </c>
      <c r="G590" t="s">
        <v>45</v>
      </c>
      <c r="H590" t="s">
        <v>46</v>
      </c>
      <c r="I590" t="s">
        <v>214</v>
      </c>
      <c r="J590" t="s">
        <v>62</v>
      </c>
      <c r="K590" t="s">
        <v>55</v>
      </c>
      <c r="L590" t="s">
        <v>84</v>
      </c>
      <c r="M590" t="s">
        <v>42</v>
      </c>
      <c r="N590" t="s">
        <v>1277</v>
      </c>
      <c r="O590" s="4">
        <v>1367.13</v>
      </c>
      <c r="P590" s="7" t="str">
        <f t="shared" si="66"/>
        <v>High</v>
      </c>
      <c r="Q590" s="4">
        <v>3062.01</v>
      </c>
      <c r="R590" s="4">
        <v>0.10299999999999999</v>
      </c>
      <c r="S590" s="4">
        <v>25</v>
      </c>
      <c r="T590" s="4">
        <f t="shared" si="63"/>
        <v>62557.004249999998</v>
      </c>
      <c r="U590">
        <f t="shared" si="64"/>
        <v>34178.25</v>
      </c>
      <c r="V590" s="4">
        <f t="shared" si="67"/>
        <v>28378.754249999998</v>
      </c>
      <c r="W590" s="4">
        <f t="shared" si="68"/>
        <v>0.45364631171576603</v>
      </c>
    </row>
    <row r="591" spans="1:23" x14ac:dyDescent="0.3">
      <c r="A591" t="s">
        <v>1278</v>
      </c>
      <c r="B591" s="6">
        <v>45703</v>
      </c>
      <c r="C591" s="2">
        <v>45715</v>
      </c>
      <c r="D591" s="4">
        <f t="shared" si="69"/>
        <v>12</v>
      </c>
      <c r="E591" s="4" t="str">
        <f>TEXT(Data!B591,"MMM-YYYY")</f>
        <v>Apr-2023</v>
      </c>
      <c r="F591" s="4" t="str">
        <f t="shared" si="65"/>
        <v>Q1-2025</v>
      </c>
      <c r="G591" t="s">
        <v>78</v>
      </c>
      <c r="H591" t="s">
        <v>90</v>
      </c>
      <c r="I591" t="s">
        <v>138</v>
      </c>
      <c r="J591" t="s">
        <v>39</v>
      </c>
      <c r="K591" t="s">
        <v>98</v>
      </c>
      <c r="L591" t="s">
        <v>95</v>
      </c>
      <c r="M591" t="s">
        <v>81</v>
      </c>
      <c r="N591" t="s">
        <v>1279</v>
      </c>
      <c r="O591" s="4">
        <v>1027.26</v>
      </c>
      <c r="P591" s="7" t="str">
        <f t="shared" si="66"/>
        <v>High</v>
      </c>
      <c r="Q591" s="4">
        <v>2200.41</v>
      </c>
      <c r="R591" s="4">
        <v>8.7999999999999995E-2</v>
      </c>
      <c r="S591" s="4">
        <v>6</v>
      </c>
      <c r="T591" s="4">
        <f t="shared" si="63"/>
        <v>10384.433280000001</v>
      </c>
      <c r="U591">
        <f t="shared" si="64"/>
        <v>6163.5599999999995</v>
      </c>
      <c r="V591" s="4">
        <f t="shared" si="67"/>
        <v>4220.8732800000016</v>
      </c>
      <c r="W591" s="4">
        <f t="shared" si="68"/>
        <v>0.40646159171047236</v>
      </c>
    </row>
    <row r="592" spans="1:23" x14ac:dyDescent="0.3">
      <c r="A592" t="s">
        <v>1280</v>
      </c>
      <c r="B592" s="6">
        <v>45019</v>
      </c>
      <c r="C592" s="2">
        <v>45032</v>
      </c>
      <c r="D592" s="4">
        <f t="shared" si="69"/>
        <v>13</v>
      </c>
      <c r="E592" s="4" t="str">
        <f>TEXT(Data!B592,"MMM-YYYY")</f>
        <v>Aug-2025</v>
      </c>
      <c r="F592" s="4" t="str">
        <f t="shared" si="65"/>
        <v>Q2-2023</v>
      </c>
      <c r="G592" t="s">
        <v>78</v>
      </c>
      <c r="H592" t="s">
        <v>90</v>
      </c>
      <c r="I592" t="s">
        <v>91</v>
      </c>
      <c r="J592" t="s">
        <v>39</v>
      </c>
      <c r="K592" t="s">
        <v>40</v>
      </c>
      <c r="L592" t="s">
        <v>110</v>
      </c>
      <c r="M592" t="s">
        <v>81</v>
      </c>
      <c r="N592" t="s">
        <v>1281</v>
      </c>
      <c r="O592" s="4">
        <v>790.54</v>
      </c>
      <c r="P592" s="7" t="str">
        <f t="shared" si="66"/>
        <v>High</v>
      </c>
      <c r="Q592" s="4">
        <v>601.49</v>
      </c>
      <c r="R592" s="4">
        <v>0</v>
      </c>
      <c r="S592" s="4">
        <v>15</v>
      </c>
      <c r="T592" s="4">
        <f t="shared" si="63"/>
        <v>13537.050000000001</v>
      </c>
      <c r="U592">
        <f t="shared" si="64"/>
        <v>11858.099999999999</v>
      </c>
      <c r="V592" s="4">
        <f t="shared" si="67"/>
        <v>1678.9500000000025</v>
      </c>
      <c r="W592" s="4">
        <f t="shared" si="68"/>
        <v>0.12402628342216379</v>
      </c>
    </row>
    <row r="593" spans="1:23" x14ac:dyDescent="0.3">
      <c r="A593" t="s">
        <v>1282</v>
      </c>
      <c r="B593" s="6">
        <v>45899</v>
      </c>
      <c r="C593" s="2">
        <v>45922</v>
      </c>
      <c r="D593" s="4">
        <f t="shared" si="69"/>
        <v>23</v>
      </c>
      <c r="E593" s="4" t="str">
        <f>TEXT(Data!B593,"MMM-YYYY")</f>
        <v>Feb-2023</v>
      </c>
      <c r="F593" s="4" t="str">
        <f t="shared" si="65"/>
        <v>Q3-2025</v>
      </c>
      <c r="G593" t="s">
        <v>78</v>
      </c>
      <c r="H593" t="s">
        <v>90</v>
      </c>
      <c r="I593" t="s">
        <v>91</v>
      </c>
      <c r="J593" t="s">
        <v>19</v>
      </c>
      <c r="K593" t="s">
        <v>98</v>
      </c>
      <c r="L593" t="s">
        <v>63</v>
      </c>
      <c r="M593" t="s">
        <v>22</v>
      </c>
      <c r="N593" t="s">
        <v>1283</v>
      </c>
      <c r="O593" s="4">
        <v>663.9</v>
      </c>
      <c r="P593" s="7" t="str">
        <f t="shared" si="66"/>
        <v>High</v>
      </c>
      <c r="Q593" s="4">
        <v>947.77</v>
      </c>
      <c r="R593" s="4">
        <v>0.17399999999999999</v>
      </c>
      <c r="S593" s="4">
        <v>15</v>
      </c>
      <c r="T593" s="4">
        <f t="shared" si="63"/>
        <v>-417.04740000000004</v>
      </c>
      <c r="U593">
        <f t="shared" si="64"/>
        <v>9958.5</v>
      </c>
      <c r="V593" s="4">
        <f t="shared" si="67"/>
        <v>-10375.547399999999</v>
      </c>
      <c r="W593" s="4">
        <f t="shared" si="68"/>
        <v>24.878580708092169</v>
      </c>
    </row>
    <row r="594" spans="1:23" x14ac:dyDescent="0.3">
      <c r="A594" t="s">
        <v>1284</v>
      </c>
      <c r="B594" s="6">
        <v>44984</v>
      </c>
      <c r="C594" s="2">
        <v>44983</v>
      </c>
      <c r="D594" s="4">
        <f>DATEDIF(C594,B594, "MD")</f>
        <v>1</v>
      </c>
      <c r="E594" s="4" t="str">
        <f>TEXT(Data!B594,"MMM-YYYY")</f>
        <v>Jul-2024</v>
      </c>
      <c r="F594" s="4" t="str">
        <f t="shared" si="65"/>
        <v>Q1-2023</v>
      </c>
      <c r="G594" t="s">
        <v>52</v>
      </c>
      <c r="H594" t="s">
        <v>122</v>
      </c>
      <c r="I594" t="s">
        <v>167</v>
      </c>
      <c r="J594" t="s">
        <v>39</v>
      </c>
      <c r="K594" t="s">
        <v>28</v>
      </c>
      <c r="L594" t="s">
        <v>49</v>
      </c>
      <c r="M594" t="s">
        <v>35</v>
      </c>
      <c r="N594" t="s">
        <v>1285</v>
      </c>
      <c r="O594" s="4">
        <v>1015.91</v>
      </c>
      <c r="P594" s="7" t="str">
        <f t="shared" si="66"/>
        <v>High</v>
      </c>
      <c r="Q594" s="4">
        <v>2331.48</v>
      </c>
      <c r="R594" s="4">
        <v>0.14599999999999999</v>
      </c>
      <c r="S594" s="4">
        <v>26</v>
      </c>
      <c r="T594" s="4">
        <f t="shared" si="63"/>
        <v>24128.64272</v>
      </c>
      <c r="U594">
        <f t="shared" si="64"/>
        <v>26413.66</v>
      </c>
      <c r="V594" s="4">
        <f t="shared" si="67"/>
        <v>-2285.01728</v>
      </c>
      <c r="W594" s="4">
        <f t="shared" si="68"/>
        <v>-9.4701442866737429E-2</v>
      </c>
    </row>
    <row r="595" spans="1:23" x14ac:dyDescent="0.3">
      <c r="A595" t="s">
        <v>1286</v>
      </c>
      <c r="B595" s="6">
        <v>45504</v>
      </c>
      <c r="C595" s="2">
        <v>45519</v>
      </c>
      <c r="D595" s="4">
        <f t="shared" si="69"/>
        <v>15</v>
      </c>
      <c r="E595" s="4" t="str">
        <f>TEXT(Data!B595,"MMM-YYYY")</f>
        <v>Jun-2025</v>
      </c>
      <c r="F595" s="4" t="str">
        <f t="shared" si="65"/>
        <v>Q3-2024</v>
      </c>
      <c r="G595" t="s">
        <v>45</v>
      </c>
      <c r="H595" t="s">
        <v>46</v>
      </c>
      <c r="I595" t="s">
        <v>214</v>
      </c>
      <c r="J595" t="s">
        <v>19</v>
      </c>
      <c r="K595" t="s">
        <v>40</v>
      </c>
      <c r="L595" t="s">
        <v>84</v>
      </c>
      <c r="M595" t="s">
        <v>64</v>
      </c>
      <c r="N595" t="s">
        <v>1287</v>
      </c>
      <c r="O595" s="4">
        <v>1252.52</v>
      </c>
      <c r="P595" s="7" t="str">
        <f t="shared" si="66"/>
        <v>High</v>
      </c>
      <c r="Q595" s="4">
        <v>1417.24</v>
      </c>
      <c r="R595" s="4">
        <v>0.192</v>
      </c>
      <c r="S595" s="4">
        <v>5</v>
      </c>
      <c r="T595" s="4">
        <f t="shared" si="63"/>
        <v>4083.4300000000003</v>
      </c>
      <c r="U595">
        <f t="shared" si="64"/>
        <v>6262.6</v>
      </c>
      <c r="V595" s="4">
        <f t="shared" si="67"/>
        <v>-2179.17</v>
      </c>
      <c r="W595" s="4">
        <f t="shared" si="68"/>
        <v>-0.53366165209150151</v>
      </c>
    </row>
    <row r="596" spans="1:23" x14ac:dyDescent="0.3">
      <c r="A596" t="s">
        <v>1288</v>
      </c>
      <c r="B596" s="6">
        <v>45823</v>
      </c>
      <c r="C596" s="2">
        <v>45850</v>
      </c>
      <c r="D596" s="4">
        <f t="shared" si="69"/>
        <v>27</v>
      </c>
      <c r="E596" s="4" t="str">
        <f>TEXT(Data!B596,"MMM-YYYY")</f>
        <v>Jun-2024</v>
      </c>
      <c r="F596" s="4" t="str">
        <f t="shared" si="65"/>
        <v>Q2-2025</v>
      </c>
      <c r="G596" t="s">
        <v>78</v>
      </c>
      <c r="H596" t="s">
        <v>90</v>
      </c>
      <c r="I596" t="s">
        <v>91</v>
      </c>
      <c r="J596" t="s">
        <v>48</v>
      </c>
      <c r="K596" t="s">
        <v>98</v>
      </c>
      <c r="L596" t="s">
        <v>21</v>
      </c>
      <c r="M596" t="s">
        <v>81</v>
      </c>
      <c r="N596" t="s">
        <v>1289</v>
      </c>
      <c r="O596" s="4">
        <v>318.83</v>
      </c>
      <c r="P596" s="7" t="str">
        <f t="shared" si="66"/>
        <v>High</v>
      </c>
      <c r="Q596" s="4">
        <v>699.5</v>
      </c>
      <c r="R596" s="4">
        <v>0.08</v>
      </c>
      <c r="S596" s="4">
        <v>13</v>
      </c>
      <c r="T596" s="4">
        <f t="shared" si="63"/>
        <v>4921.3008</v>
      </c>
      <c r="U596">
        <f t="shared" si="64"/>
        <v>4144.79</v>
      </c>
      <c r="V596" s="4">
        <f t="shared" si="67"/>
        <v>776.51080000000002</v>
      </c>
      <c r="W596" s="4">
        <f t="shared" si="68"/>
        <v>0.15778568137919957</v>
      </c>
    </row>
    <row r="597" spans="1:23" x14ac:dyDescent="0.3">
      <c r="A597" t="s">
        <v>1290</v>
      </c>
      <c r="B597" s="6">
        <v>45473</v>
      </c>
      <c r="C597" s="2">
        <v>45494</v>
      </c>
      <c r="D597" s="4">
        <f t="shared" si="69"/>
        <v>21</v>
      </c>
      <c r="E597" s="4" t="str">
        <f>TEXT(Data!B597,"MMM-YYYY")</f>
        <v>Feb-2025</v>
      </c>
      <c r="F597" s="4" t="str">
        <f t="shared" si="65"/>
        <v>Q2-2024</v>
      </c>
      <c r="G597" t="s">
        <v>16</v>
      </c>
      <c r="H597" t="s">
        <v>17</v>
      </c>
      <c r="I597" t="s">
        <v>18</v>
      </c>
      <c r="J597" t="s">
        <v>62</v>
      </c>
      <c r="K597" t="s">
        <v>20</v>
      </c>
      <c r="L597" t="s">
        <v>95</v>
      </c>
      <c r="M597" t="s">
        <v>57</v>
      </c>
      <c r="N597" t="s">
        <v>1291</v>
      </c>
      <c r="O597" s="4">
        <v>753.43</v>
      </c>
      <c r="P597" s="7" t="str">
        <f t="shared" si="66"/>
        <v>High</v>
      </c>
      <c r="Q597" s="4">
        <v>1787.2</v>
      </c>
      <c r="R597" s="4">
        <v>7.2999999999999995E-2</v>
      </c>
      <c r="S597" s="4">
        <v>9</v>
      </c>
      <c r="T597" s="4">
        <f t="shared" si="63"/>
        <v>3448.4956200000001</v>
      </c>
      <c r="U597">
        <f t="shared" si="64"/>
        <v>6780.87</v>
      </c>
      <c r="V597" s="4">
        <f t="shared" si="67"/>
        <v>-3332.3743799999997</v>
      </c>
      <c r="W597" s="4">
        <f t="shared" si="68"/>
        <v>-0.9663269863744236</v>
      </c>
    </row>
    <row r="598" spans="1:23" x14ac:dyDescent="0.3">
      <c r="A598" t="s">
        <v>1292</v>
      </c>
      <c r="B598" s="6">
        <v>45705</v>
      </c>
      <c r="C598" s="2">
        <v>45703</v>
      </c>
      <c r="D598" s="4">
        <f>DATEDIF(C598,B598, "MD")</f>
        <v>2</v>
      </c>
      <c r="E598" s="4" t="str">
        <f>TEXT(Data!B598,"MMM-YYYY")</f>
        <v>Jan-2023</v>
      </c>
      <c r="F598" s="4" t="str">
        <f t="shared" si="65"/>
        <v>Q1-2025</v>
      </c>
      <c r="G598" t="s">
        <v>52</v>
      </c>
      <c r="H598" t="s">
        <v>53</v>
      </c>
      <c r="I598" t="s">
        <v>54</v>
      </c>
      <c r="J598" t="s">
        <v>62</v>
      </c>
      <c r="K598" t="s">
        <v>20</v>
      </c>
      <c r="L598" t="s">
        <v>145</v>
      </c>
      <c r="M598" t="s">
        <v>22</v>
      </c>
      <c r="N598" t="s">
        <v>1293</v>
      </c>
      <c r="O598" s="4">
        <v>1133.47</v>
      </c>
      <c r="P598" s="7" t="str">
        <f t="shared" si="66"/>
        <v>High</v>
      </c>
      <c r="Q598" s="4">
        <v>1698.75</v>
      </c>
      <c r="R598" s="4">
        <v>4.2999999999999997E-2</v>
      </c>
      <c r="S598" s="4">
        <v>5</v>
      </c>
      <c r="T598" s="4">
        <f t="shared" si="63"/>
        <v>7459.2886500000004</v>
      </c>
      <c r="U598">
        <f t="shared" si="64"/>
        <v>5667.35</v>
      </c>
      <c r="V598" s="4">
        <f t="shared" si="67"/>
        <v>1791.9386500000001</v>
      </c>
      <c r="W598" s="4">
        <f t="shared" si="68"/>
        <v>0.24022916045754578</v>
      </c>
    </row>
    <row r="599" spans="1:23" x14ac:dyDescent="0.3">
      <c r="A599" t="s">
        <v>1294</v>
      </c>
      <c r="B599" s="6">
        <v>44933</v>
      </c>
      <c r="C599" s="2">
        <v>44956</v>
      </c>
      <c r="D599" s="4">
        <f t="shared" si="69"/>
        <v>23</v>
      </c>
      <c r="E599" s="4" t="str">
        <f>TEXT(Data!B599,"MMM-YYYY")</f>
        <v>Mar-2025</v>
      </c>
      <c r="F599" s="4" t="str">
        <f t="shared" si="65"/>
        <v>Q1-2023</v>
      </c>
      <c r="G599" t="s">
        <v>16</v>
      </c>
      <c r="H599" t="s">
        <v>148</v>
      </c>
      <c r="I599" t="s">
        <v>258</v>
      </c>
      <c r="J599" t="s">
        <v>48</v>
      </c>
      <c r="K599" t="s">
        <v>28</v>
      </c>
      <c r="L599" t="s">
        <v>75</v>
      </c>
      <c r="M599" t="s">
        <v>30</v>
      </c>
      <c r="N599" t="s">
        <v>1295</v>
      </c>
      <c r="O599" s="4">
        <v>299.02</v>
      </c>
      <c r="P599" s="7" t="str">
        <f t="shared" si="66"/>
        <v>High</v>
      </c>
      <c r="Q599" s="4">
        <v>724.7</v>
      </c>
      <c r="R599" s="4">
        <v>0.14000000000000001</v>
      </c>
      <c r="S599" s="4">
        <v>5</v>
      </c>
      <c r="T599" s="4">
        <f t="shared" si="63"/>
        <v>3702.9880000000003</v>
      </c>
      <c r="U599">
        <f t="shared" si="64"/>
        <v>1495.1</v>
      </c>
      <c r="V599" s="4">
        <f t="shared" si="67"/>
        <v>2207.8880000000004</v>
      </c>
      <c r="W599" s="4">
        <f t="shared" si="68"/>
        <v>0.59624497837962209</v>
      </c>
    </row>
    <row r="600" spans="1:23" x14ac:dyDescent="0.3">
      <c r="A600" t="s">
        <v>1296</v>
      </c>
      <c r="B600" s="6">
        <v>45726</v>
      </c>
      <c r="C600" s="2">
        <v>45751</v>
      </c>
      <c r="D600" s="4">
        <f t="shared" si="69"/>
        <v>25</v>
      </c>
      <c r="E600" s="4" t="str">
        <f>TEXT(Data!B600,"MMM-YYYY")</f>
        <v>Aug-2024</v>
      </c>
      <c r="F600" s="4" t="str">
        <f t="shared" si="65"/>
        <v>Q1-2025</v>
      </c>
      <c r="G600" t="s">
        <v>45</v>
      </c>
      <c r="H600" t="s">
        <v>46</v>
      </c>
      <c r="I600" t="s">
        <v>47</v>
      </c>
      <c r="J600" t="s">
        <v>19</v>
      </c>
      <c r="K600" t="s">
        <v>98</v>
      </c>
      <c r="L600" t="s">
        <v>92</v>
      </c>
      <c r="M600" t="s">
        <v>30</v>
      </c>
      <c r="N600" t="s">
        <v>1297</v>
      </c>
      <c r="O600" s="4">
        <v>783.72</v>
      </c>
      <c r="P600" s="7" t="str">
        <f t="shared" si="66"/>
        <v>High</v>
      </c>
      <c r="Q600" s="4">
        <v>1355.94</v>
      </c>
      <c r="R600" s="4">
        <v>0.187</v>
      </c>
      <c r="S600" s="4">
        <v>4</v>
      </c>
      <c r="T600" s="4">
        <f t="shared" si="63"/>
        <v>7467.4049999999997</v>
      </c>
      <c r="U600">
        <f t="shared" si="64"/>
        <v>3134.88</v>
      </c>
      <c r="V600" s="4">
        <f t="shared" si="67"/>
        <v>4332.5249999999996</v>
      </c>
      <c r="W600" s="4">
        <f t="shared" si="68"/>
        <v>0.58019151231251009</v>
      </c>
    </row>
    <row r="601" spans="1:23" x14ac:dyDescent="0.3">
      <c r="A601" t="s">
        <v>1298</v>
      </c>
      <c r="B601" s="6">
        <v>45521</v>
      </c>
      <c r="C601" s="2">
        <v>45519</v>
      </c>
      <c r="D601" s="4">
        <f>DATEDIF(C601,B601, "MD")</f>
        <v>2</v>
      </c>
      <c r="E601" s="4" t="str">
        <f>TEXT(Data!B601,"MMM-YYYY")</f>
        <v>Mar-2024</v>
      </c>
      <c r="F601" s="4" t="str">
        <f t="shared" si="65"/>
        <v>Q3-2024</v>
      </c>
      <c r="G601" t="s">
        <v>52</v>
      </c>
      <c r="H601" t="s">
        <v>73</v>
      </c>
      <c r="I601" t="s">
        <v>225</v>
      </c>
      <c r="J601" t="s">
        <v>48</v>
      </c>
      <c r="K601" t="s">
        <v>98</v>
      </c>
      <c r="L601" t="s">
        <v>110</v>
      </c>
      <c r="M601" t="s">
        <v>64</v>
      </c>
      <c r="N601" t="s">
        <v>1299</v>
      </c>
      <c r="O601" s="4">
        <v>165.3</v>
      </c>
      <c r="P601" s="7" t="str">
        <f t="shared" si="66"/>
        <v>High</v>
      </c>
      <c r="Q601" s="4">
        <v>275.07</v>
      </c>
      <c r="R601" s="4">
        <v>0.13300000000000001</v>
      </c>
      <c r="S601" s="4">
        <v>25</v>
      </c>
      <c r="T601" s="4">
        <f t="shared" si="63"/>
        <v>57148.305</v>
      </c>
      <c r="U601">
        <f t="shared" si="64"/>
        <v>4132.5</v>
      </c>
      <c r="V601" s="4">
        <f t="shared" si="67"/>
        <v>53015.805</v>
      </c>
      <c r="W601" s="4">
        <f t="shared" si="68"/>
        <v>0.92768814403156841</v>
      </c>
    </row>
    <row r="602" spans="1:23" x14ac:dyDescent="0.3">
      <c r="A602" t="s">
        <v>1300</v>
      </c>
      <c r="B602" s="6">
        <v>45360</v>
      </c>
      <c r="C602" s="2">
        <v>45373</v>
      </c>
      <c r="D602" s="4">
        <f t="shared" si="69"/>
        <v>13</v>
      </c>
      <c r="E602" s="4" t="str">
        <f>TEXT(Data!B602,"MMM-YYYY")</f>
        <v>Aug-2024</v>
      </c>
      <c r="F602" s="4" t="str">
        <f t="shared" si="65"/>
        <v>Q1-2024</v>
      </c>
      <c r="G602" t="s">
        <v>78</v>
      </c>
      <c r="H602" t="s">
        <v>108</v>
      </c>
      <c r="I602" t="s">
        <v>228</v>
      </c>
      <c r="J602" t="s">
        <v>48</v>
      </c>
      <c r="K602" t="s">
        <v>28</v>
      </c>
      <c r="L602" t="s">
        <v>63</v>
      </c>
      <c r="M602" t="s">
        <v>57</v>
      </c>
      <c r="N602" t="s">
        <v>1301</v>
      </c>
      <c r="O602" s="4">
        <v>985.45</v>
      </c>
      <c r="P602" s="7" t="str">
        <f t="shared" si="66"/>
        <v>High</v>
      </c>
      <c r="Q602" s="4">
        <v>1802.44</v>
      </c>
      <c r="R602" s="4">
        <v>8.9999999999999993E-3</v>
      </c>
      <c r="S602" s="4">
        <v>19</v>
      </c>
      <c r="T602" s="4">
        <f t="shared" si="63"/>
        <v>18416.456609999997</v>
      </c>
      <c r="U602">
        <f t="shared" si="64"/>
        <v>18723.55</v>
      </c>
      <c r="V602" s="4">
        <f t="shared" si="67"/>
        <v>-307.09339000000182</v>
      </c>
      <c r="W602" s="4">
        <f t="shared" si="68"/>
        <v>-1.6674944399089911E-2</v>
      </c>
    </row>
    <row r="603" spans="1:23" x14ac:dyDescent="0.3">
      <c r="A603" t="s">
        <v>1302</v>
      </c>
      <c r="B603" s="6">
        <v>45523</v>
      </c>
      <c r="C603" s="2">
        <v>45537</v>
      </c>
      <c r="D603" s="4">
        <f t="shared" si="69"/>
        <v>14</v>
      </c>
      <c r="E603" s="4" t="str">
        <f>TEXT(Data!B603,"MMM-YYYY")</f>
        <v>Aug-2025</v>
      </c>
      <c r="F603" s="4" t="str">
        <f t="shared" si="65"/>
        <v>Q3-2024</v>
      </c>
      <c r="G603" t="s">
        <v>52</v>
      </c>
      <c r="H603" t="s">
        <v>53</v>
      </c>
      <c r="I603" t="s">
        <v>54</v>
      </c>
      <c r="J603" t="s">
        <v>48</v>
      </c>
      <c r="K603" t="s">
        <v>55</v>
      </c>
      <c r="L603" t="s">
        <v>21</v>
      </c>
      <c r="M603" t="s">
        <v>30</v>
      </c>
      <c r="N603" t="s">
        <v>1303</v>
      </c>
      <c r="O603" s="4">
        <v>1337.01</v>
      </c>
      <c r="P603" s="7" t="str">
        <f t="shared" si="66"/>
        <v>High</v>
      </c>
      <c r="Q603" s="4">
        <v>1269.78</v>
      </c>
      <c r="R603" s="4">
        <v>0.16</v>
      </c>
      <c r="S603" s="4">
        <v>7</v>
      </c>
      <c r="T603" s="4">
        <f t="shared" si="63"/>
        <v>3208.8335999999999</v>
      </c>
      <c r="U603">
        <f t="shared" si="64"/>
        <v>9359.07</v>
      </c>
      <c r="V603" s="4">
        <f t="shared" si="67"/>
        <v>-6150.2363999999998</v>
      </c>
      <c r="W603" s="4">
        <f t="shared" si="68"/>
        <v>-1.916657940754547</v>
      </c>
    </row>
    <row r="604" spans="1:23" x14ac:dyDescent="0.3">
      <c r="A604" t="s">
        <v>1304</v>
      </c>
      <c r="B604" s="6">
        <v>45880</v>
      </c>
      <c r="C604" s="2">
        <v>45897</v>
      </c>
      <c r="D604" s="4">
        <f t="shared" si="69"/>
        <v>17</v>
      </c>
      <c r="E604" s="4" t="str">
        <f>TEXT(Data!B604,"MMM-YYYY")</f>
        <v>May-2025</v>
      </c>
      <c r="F604" s="4" t="str">
        <f t="shared" si="65"/>
        <v>Q3-2025</v>
      </c>
      <c r="G604" t="s">
        <v>78</v>
      </c>
      <c r="H604" t="s">
        <v>90</v>
      </c>
      <c r="I604" t="s">
        <v>217</v>
      </c>
      <c r="J604" t="s">
        <v>27</v>
      </c>
      <c r="K604" t="s">
        <v>28</v>
      </c>
      <c r="L604" t="s">
        <v>84</v>
      </c>
      <c r="M604" t="s">
        <v>35</v>
      </c>
      <c r="N604" t="s">
        <v>1305</v>
      </c>
      <c r="O604" s="4">
        <v>416.16</v>
      </c>
      <c r="P604" s="7" t="str">
        <f t="shared" si="66"/>
        <v>High</v>
      </c>
      <c r="Q604" s="4">
        <v>571.9</v>
      </c>
      <c r="R604" s="4">
        <v>7.0999999999999994E-2</v>
      </c>
      <c r="S604" s="4">
        <v>2</v>
      </c>
      <c r="T604" s="4">
        <f t="shared" si="63"/>
        <v>2667.2333200000003</v>
      </c>
      <c r="U604">
        <f t="shared" si="64"/>
        <v>832.32</v>
      </c>
      <c r="V604" s="4">
        <f t="shared" si="67"/>
        <v>1834.9133200000001</v>
      </c>
      <c r="W604" s="4">
        <f t="shared" si="68"/>
        <v>0.6879463098488886</v>
      </c>
    </row>
    <row r="605" spans="1:23" x14ac:dyDescent="0.3">
      <c r="A605" t="s">
        <v>1306</v>
      </c>
      <c r="B605" s="6">
        <v>45793</v>
      </c>
      <c r="C605" s="2">
        <v>45795</v>
      </c>
      <c r="D605" s="4">
        <f t="shared" si="69"/>
        <v>2</v>
      </c>
      <c r="E605" s="4" t="str">
        <f>TEXT(Data!B605,"MMM-YYYY")</f>
        <v>Apr-2023</v>
      </c>
      <c r="F605" s="4" t="str">
        <f t="shared" si="65"/>
        <v>Q2-2025</v>
      </c>
      <c r="G605" t="s">
        <v>45</v>
      </c>
      <c r="H605" t="s">
        <v>46</v>
      </c>
      <c r="I605" t="s">
        <v>214</v>
      </c>
      <c r="J605" t="s">
        <v>105</v>
      </c>
      <c r="K605" t="s">
        <v>20</v>
      </c>
      <c r="L605" t="s">
        <v>29</v>
      </c>
      <c r="M605" t="s">
        <v>30</v>
      </c>
      <c r="N605" t="s">
        <v>1307</v>
      </c>
      <c r="O605" s="4">
        <v>1144.3800000000001</v>
      </c>
      <c r="P605" s="7" t="str">
        <f t="shared" si="66"/>
        <v>High</v>
      </c>
      <c r="Q605" s="4">
        <v>2755.04</v>
      </c>
      <c r="R605" s="4">
        <v>0.15</v>
      </c>
      <c r="S605" s="4">
        <v>17</v>
      </c>
      <c r="T605" s="4">
        <f t="shared" si="63"/>
        <v>34640.985000000001</v>
      </c>
      <c r="U605">
        <f t="shared" si="64"/>
        <v>19454.460000000003</v>
      </c>
      <c r="V605" s="4">
        <f t="shared" si="67"/>
        <v>15186.524999999998</v>
      </c>
      <c r="W605" s="4">
        <f t="shared" si="68"/>
        <v>0.4383976090749151</v>
      </c>
    </row>
    <row r="606" spans="1:23" x14ac:dyDescent="0.3">
      <c r="A606" t="s">
        <v>1308</v>
      </c>
      <c r="B606" s="6">
        <v>45026</v>
      </c>
      <c r="C606" s="2">
        <v>45041</v>
      </c>
      <c r="D606" s="4">
        <f t="shared" si="69"/>
        <v>15</v>
      </c>
      <c r="E606" s="4" t="str">
        <f>TEXT(Data!B606,"MMM-YYYY")</f>
        <v>Sep-2023</v>
      </c>
      <c r="F606" s="4" t="str">
        <f t="shared" si="65"/>
        <v>Q2-2023</v>
      </c>
      <c r="G606" t="s">
        <v>78</v>
      </c>
      <c r="H606" t="s">
        <v>108</v>
      </c>
      <c r="I606" t="s">
        <v>152</v>
      </c>
      <c r="J606" t="s">
        <v>62</v>
      </c>
      <c r="K606" t="s">
        <v>20</v>
      </c>
      <c r="L606" t="s">
        <v>145</v>
      </c>
      <c r="M606" t="s">
        <v>30</v>
      </c>
      <c r="N606" t="s">
        <v>1309</v>
      </c>
      <c r="O606" s="4">
        <v>405.66</v>
      </c>
      <c r="P606" s="7" t="str">
        <f t="shared" si="66"/>
        <v>High</v>
      </c>
      <c r="Q606" s="4">
        <v>962.51</v>
      </c>
      <c r="R606" s="4">
        <v>0.19</v>
      </c>
      <c r="S606" s="4">
        <v>7</v>
      </c>
      <c r="T606" s="4">
        <f t="shared" si="63"/>
        <v>10511.386199999999</v>
      </c>
      <c r="U606">
        <f t="shared" si="64"/>
        <v>2839.6200000000003</v>
      </c>
      <c r="V606" s="4">
        <f t="shared" si="67"/>
        <v>7671.7661999999982</v>
      </c>
      <c r="W606" s="4">
        <f t="shared" si="68"/>
        <v>0.72985294746377016</v>
      </c>
    </row>
    <row r="607" spans="1:23" x14ac:dyDescent="0.3">
      <c r="A607" t="s">
        <v>1310</v>
      </c>
      <c r="B607" s="6">
        <v>45186</v>
      </c>
      <c r="C607" s="2">
        <v>45201</v>
      </c>
      <c r="D607" s="4">
        <f t="shared" si="69"/>
        <v>15</v>
      </c>
      <c r="E607" s="4" t="str">
        <f>TEXT(Data!B607,"MMM-YYYY")</f>
        <v>Apr-2023</v>
      </c>
      <c r="F607" s="4" t="str">
        <f t="shared" si="65"/>
        <v>Q3-2023</v>
      </c>
      <c r="G607" t="s">
        <v>52</v>
      </c>
      <c r="H607" t="s">
        <v>73</v>
      </c>
      <c r="I607" t="s">
        <v>225</v>
      </c>
      <c r="J607" t="s">
        <v>62</v>
      </c>
      <c r="K607" t="s">
        <v>20</v>
      </c>
      <c r="L607" t="s">
        <v>56</v>
      </c>
      <c r="M607" t="s">
        <v>57</v>
      </c>
      <c r="N607" t="s">
        <v>1311</v>
      </c>
      <c r="O607" s="4">
        <v>689.33</v>
      </c>
      <c r="P607" s="7" t="str">
        <f t="shared" si="66"/>
        <v>High</v>
      </c>
      <c r="Q607" s="4">
        <v>668.27</v>
      </c>
      <c r="R607" s="4">
        <v>0.186</v>
      </c>
      <c r="S607" s="4">
        <v>13</v>
      </c>
      <c r="T607" s="4">
        <f t="shared" si="63"/>
        <v>486.56036000000006</v>
      </c>
      <c r="U607">
        <f t="shared" si="64"/>
        <v>8961.2900000000009</v>
      </c>
      <c r="V607" s="4">
        <f t="shared" si="67"/>
        <v>-8474.7296400000014</v>
      </c>
      <c r="W607" s="4">
        <f t="shared" si="68"/>
        <v>-17.417632706453933</v>
      </c>
    </row>
    <row r="608" spans="1:23" x14ac:dyDescent="0.3">
      <c r="A608" t="s">
        <v>1312</v>
      </c>
      <c r="B608" s="6">
        <v>45038</v>
      </c>
      <c r="C608" s="2">
        <v>45060</v>
      </c>
      <c r="D608" s="4">
        <f t="shared" si="69"/>
        <v>22</v>
      </c>
      <c r="E608" s="4" t="str">
        <f>TEXT(Data!B608,"MMM-YYYY")</f>
        <v>Jun-2025</v>
      </c>
      <c r="F608" s="4" t="str">
        <f t="shared" si="65"/>
        <v>Q2-2023</v>
      </c>
      <c r="G608" t="s">
        <v>45</v>
      </c>
      <c r="H608" t="s">
        <v>46</v>
      </c>
      <c r="I608" t="s">
        <v>231</v>
      </c>
      <c r="J608" t="s">
        <v>105</v>
      </c>
      <c r="K608" t="s">
        <v>20</v>
      </c>
      <c r="L608" t="s">
        <v>75</v>
      </c>
      <c r="M608" t="s">
        <v>81</v>
      </c>
      <c r="N608" t="s">
        <v>1313</v>
      </c>
      <c r="O608" s="4">
        <v>1209.22</v>
      </c>
      <c r="P608" s="7" t="str">
        <f t="shared" si="66"/>
        <v>High</v>
      </c>
      <c r="Q608" s="4">
        <v>1404.33</v>
      </c>
      <c r="R608" s="4">
        <v>0.10299999999999999</v>
      </c>
      <c r="S608" s="4">
        <v>11</v>
      </c>
      <c r="T608" s="4">
        <f t="shared" si="63"/>
        <v>0</v>
      </c>
      <c r="U608">
        <f t="shared" si="64"/>
        <v>13301.42</v>
      </c>
      <c r="V608" s="4">
        <f t="shared" si="67"/>
        <v>-13301.42</v>
      </c>
      <c r="W608" s="4">
        <f t="shared" si="68"/>
        <v>0</v>
      </c>
    </row>
    <row r="609" spans="1:23" x14ac:dyDescent="0.3">
      <c r="A609" t="s">
        <v>1314</v>
      </c>
      <c r="B609" s="6">
        <v>45827</v>
      </c>
      <c r="C609" s="2">
        <v>45829</v>
      </c>
      <c r="D609" s="4">
        <f t="shared" si="69"/>
        <v>2</v>
      </c>
      <c r="E609" s="4" t="str">
        <f>TEXT(Data!B609,"MMM-YYYY")</f>
        <v>Nov-2024</v>
      </c>
      <c r="F609" s="4" t="str">
        <f t="shared" si="65"/>
        <v>Q2-2025</v>
      </c>
      <c r="G609" t="s">
        <v>16</v>
      </c>
      <c r="H609" t="s">
        <v>148</v>
      </c>
      <c r="I609" t="s">
        <v>149</v>
      </c>
      <c r="J609" t="s">
        <v>62</v>
      </c>
      <c r="K609" t="s">
        <v>1364</v>
      </c>
      <c r="L609" t="s">
        <v>92</v>
      </c>
      <c r="M609" t="s">
        <v>42</v>
      </c>
      <c r="N609" t="s">
        <v>1315</v>
      </c>
      <c r="O609" s="4">
        <v>1466.27</v>
      </c>
      <c r="P609" s="7" t="str">
        <f t="shared" si="66"/>
        <v>High</v>
      </c>
      <c r="Q609" s="4">
        <v>3589.89</v>
      </c>
      <c r="R609" s="4">
        <v>9.7000000000000003E-2</v>
      </c>
      <c r="S609" s="4">
        <v>9</v>
      </c>
      <c r="T609" s="4">
        <f t="shared" si="63"/>
        <v>0</v>
      </c>
      <c r="U609">
        <f t="shared" si="64"/>
        <v>13196.43</v>
      </c>
      <c r="V609" s="4">
        <f t="shared" si="67"/>
        <v>-13196.43</v>
      </c>
      <c r="W609" s="4">
        <f t="shared" si="68"/>
        <v>0</v>
      </c>
    </row>
    <row r="610" spans="1:23" x14ac:dyDescent="0.3">
      <c r="A610" t="s">
        <v>1316</v>
      </c>
      <c r="B610" s="6">
        <v>45623</v>
      </c>
      <c r="C610" s="2">
        <v>45650</v>
      </c>
      <c r="D610" s="4">
        <f t="shared" si="69"/>
        <v>27</v>
      </c>
      <c r="E610" s="4" t="str">
        <f>TEXT(Data!B610,"MMM-YYYY")</f>
        <v>Jan-2024</v>
      </c>
      <c r="F610" s="4" t="str">
        <f t="shared" si="65"/>
        <v>Q4-2024</v>
      </c>
      <c r="G610" t="s">
        <v>16</v>
      </c>
      <c r="H610" t="s">
        <v>17</v>
      </c>
      <c r="I610" t="s">
        <v>113</v>
      </c>
      <c r="J610" t="s">
        <v>19</v>
      </c>
      <c r="K610" t="s">
        <v>55</v>
      </c>
      <c r="L610" t="s">
        <v>56</v>
      </c>
      <c r="M610" t="s">
        <v>30</v>
      </c>
      <c r="N610" t="s">
        <v>1317</v>
      </c>
      <c r="O610" s="4">
        <v>143.33000000000001</v>
      </c>
      <c r="P610" s="7" t="str">
        <f t="shared" si="66"/>
        <v>High</v>
      </c>
      <c r="Q610" s="4">
        <v>233.51</v>
      </c>
      <c r="R610" s="4">
        <v>0.16300000000000001</v>
      </c>
      <c r="S610" s="4">
        <v>14</v>
      </c>
      <c r="T610" s="4">
        <f t="shared" si="63"/>
        <v>0</v>
      </c>
      <c r="U610">
        <f t="shared" si="64"/>
        <v>2006.6200000000001</v>
      </c>
      <c r="V610" s="4">
        <f t="shared" si="67"/>
        <v>-2006.6200000000001</v>
      </c>
      <c r="W610" s="4">
        <f t="shared" si="68"/>
        <v>0</v>
      </c>
    </row>
    <row r="611" spans="1:23" x14ac:dyDescent="0.3">
      <c r="A611" t="s">
        <v>1318</v>
      </c>
      <c r="B611" s="6">
        <v>45319</v>
      </c>
      <c r="C611" s="2">
        <v>45318</v>
      </c>
      <c r="D611" s="4">
        <f>DATEDIF(C611,B611, "MD")</f>
        <v>1</v>
      </c>
      <c r="E611" s="4" t="str">
        <f>TEXT(Data!B611,"MMM-YYYY")</f>
        <v>Apr-2023</v>
      </c>
      <c r="F611" s="4" t="str">
        <f t="shared" si="65"/>
        <v>Q1-2024</v>
      </c>
      <c r="G611" t="s">
        <v>16</v>
      </c>
      <c r="H611" t="s">
        <v>148</v>
      </c>
      <c r="I611" t="s">
        <v>258</v>
      </c>
      <c r="J611" t="s">
        <v>105</v>
      </c>
      <c r="K611" t="s">
        <v>98</v>
      </c>
      <c r="L611" t="s">
        <v>68</v>
      </c>
      <c r="M611" t="s">
        <v>22</v>
      </c>
      <c r="N611" t="s">
        <v>1319</v>
      </c>
      <c r="O611" s="4">
        <v>109.75</v>
      </c>
      <c r="P611" s="7" t="str">
        <f t="shared" si="66"/>
        <v>Medium</v>
      </c>
      <c r="Q611" s="4">
        <v>124.25</v>
      </c>
      <c r="R611" s="4">
        <v>0.12</v>
      </c>
      <c r="S611" s="4">
        <v>19</v>
      </c>
      <c r="T611" s="4">
        <f t="shared" si="63"/>
        <v>0</v>
      </c>
      <c r="U611">
        <f t="shared" si="64"/>
        <v>2085.25</v>
      </c>
      <c r="V611" s="4">
        <f t="shared" si="67"/>
        <v>-2085.25</v>
      </c>
      <c r="W611" s="4">
        <f t="shared" si="68"/>
        <v>0</v>
      </c>
    </row>
    <row r="612" spans="1:23" x14ac:dyDescent="0.3">
      <c r="A612" t="s">
        <v>1320</v>
      </c>
      <c r="B612" s="6">
        <v>45032</v>
      </c>
      <c r="C612" s="2">
        <v>45039</v>
      </c>
      <c r="D612" s="4">
        <f t="shared" si="69"/>
        <v>7</v>
      </c>
      <c r="E612" s="4" t="str">
        <f>TEXT(Data!B612,"MMM-YYYY")</f>
        <v>Feb-2024</v>
      </c>
      <c r="F612" s="4" t="str">
        <f t="shared" si="65"/>
        <v>Q2-2023</v>
      </c>
      <c r="G612" t="s">
        <v>52</v>
      </c>
      <c r="H612" t="s">
        <v>122</v>
      </c>
      <c r="I612" t="s">
        <v>326</v>
      </c>
      <c r="J612" t="s">
        <v>19</v>
      </c>
      <c r="K612" t="s">
        <v>55</v>
      </c>
      <c r="L612" t="s">
        <v>68</v>
      </c>
      <c r="M612" t="s">
        <v>30</v>
      </c>
      <c r="N612" t="s">
        <v>1321</v>
      </c>
      <c r="O612" s="4">
        <v>1099.1500000000001</v>
      </c>
      <c r="P612" s="7" t="str">
        <f t="shared" si="66"/>
        <v>High</v>
      </c>
      <c r="Q612" s="4">
        <v>1431.37</v>
      </c>
      <c r="R612" s="4">
        <v>0.104</v>
      </c>
      <c r="S612" s="4">
        <v>8</v>
      </c>
      <c r="T612" s="4">
        <f t="shared" si="63"/>
        <v>0</v>
      </c>
      <c r="U612">
        <f t="shared" si="64"/>
        <v>8793.2000000000007</v>
      </c>
      <c r="V612" s="4">
        <f t="shared" si="67"/>
        <v>-8793.2000000000007</v>
      </c>
      <c r="W612" s="4">
        <f t="shared" si="68"/>
        <v>0</v>
      </c>
    </row>
    <row r="613" spans="1:23" x14ac:dyDescent="0.3">
      <c r="A613" t="s">
        <v>1322</v>
      </c>
      <c r="B613" s="6">
        <v>45323</v>
      </c>
      <c r="C613" s="2">
        <v>45323</v>
      </c>
      <c r="D613" s="4">
        <f t="shared" si="69"/>
        <v>0</v>
      </c>
      <c r="E613" s="4" t="str">
        <f>TEXT(Data!B613,"MMM-YYYY")</f>
        <v>Oct-2024</v>
      </c>
      <c r="F613" s="4" t="str">
        <f t="shared" si="65"/>
        <v>Q1-2024</v>
      </c>
      <c r="G613" t="s">
        <v>52</v>
      </c>
      <c r="H613" t="s">
        <v>122</v>
      </c>
      <c r="I613" t="s">
        <v>326</v>
      </c>
      <c r="J613" t="s">
        <v>48</v>
      </c>
      <c r="K613" t="s">
        <v>55</v>
      </c>
      <c r="L613" t="s">
        <v>92</v>
      </c>
      <c r="M613" t="s">
        <v>30</v>
      </c>
      <c r="N613" t="s">
        <v>1323</v>
      </c>
      <c r="O613" s="4">
        <v>714.43</v>
      </c>
      <c r="P613" s="7" t="str">
        <f t="shared" si="66"/>
        <v>High</v>
      </c>
      <c r="Q613" s="4">
        <v>1595.52</v>
      </c>
      <c r="R613" s="4">
        <v>0.19400000000000001</v>
      </c>
      <c r="S613" s="4">
        <v>14</v>
      </c>
      <c r="T613" s="4">
        <f t="shared" si="63"/>
        <v>0</v>
      </c>
      <c r="U613">
        <f t="shared" si="64"/>
        <v>10002.019999999999</v>
      </c>
      <c r="V613" s="4">
        <f t="shared" si="67"/>
        <v>-10002.019999999999</v>
      </c>
      <c r="W613" s="4">
        <f t="shared" si="68"/>
        <v>0</v>
      </c>
    </row>
    <row r="614" spans="1:23" x14ac:dyDescent="0.3">
      <c r="A614" t="s">
        <v>1324</v>
      </c>
      <c r="B614" s="6">
        <v>45584</v>
      </c>
      <c r="C614" s="2">
        <v>45602</v>
      </c>
      <c r="D614" s="4">
        <f t="shared" si="69"/>
        <v>18</v>
      </c>
      <c r="E614" s="4" t="str">
        <f>TEXT(Data!B614,"MMM-YYYY")</f>
        <v>Jun-2024</v>
      </c>
      <c r="F614" s="4" t="str">
        <f t="shared" si="65"/>
        <v>Q4-2024</v>
      </c>
      <c r="G614" t="s">
        <v>52</v>
      </c>
      <c r="H614" t="s">
        <v>122</v>
      </c>
      <c r="I614" t="s">
        <v>123</v>
      </c>
      <c r="J614" t="s">
        <v>27</v>
      </c>
      <c r="K614" t="s">
        <v>1364</v>
      </c>
      <c r="L614" t="s">
        <v>21</v>
      </c>
      <c r="M614" t="s">
        <v>64</v>
      </c>
      <c r="N614" t="s">
        <v>1325</v>
      </c>
      <c r="O614" s="4">
        <v>942.02</v>
      </c>
      <c r="P614" s="7" t="str">
        <f t="shared" si="66"/>
        <v>High</v>
      </c>
      <c r="Q614" s="4">
        <v>1028.46</v>
      </c>
      <c r="R614" s="4">
        <v>0</v>
      </c>
      <c r="S614" s="4">
        <v>9</v>
      </c>
      <c r="T614" s="4">
        <f t="shared" si="63"/>
        <v>0</v>
      </c>
      <c r="U614">
        <f t="shared" si="64"/>
        <v>8478.18</v>
      </c>
      <c r="V614" s="4">
        <f t="shared" si="67"/>
        <v>-8478.18</v>
      </c>
      <c r="W614" s="4">
        <f t="shared" si="68"/>
        <v>0</v>
      </c>
    </row>
    <row r="615" spans="1:23" x14ac:dyDescent="0.3">
      <c r="A615" t="s">
        <v>1326</v>
      </c>
      <c r="B615" s="6">
        <v>45468</v>
      </c>
      <c r="C615" s="2">
        <v>45473</v>
      </c>
      <c r="D615" s="4">
        <f t="shared" si="69"/>
        <v>5</v>
      </c>
      <c r="E615" s="4" t="str">
        <f>TEXT(Data!B615,"MMM-YYYY")</f>
        <v>Jul-2023</v>
      </c>
      <c r="F615" s="4" t="str">
        <f t="shared" si="65"/>
        <v>Q2-2024</v>
      </c>
      <c r="G615" t="s">
        <v>16</v>
      </c>
      <c r="H615" t="s">
        <v>17</v>
      </c>
      <c r="I615" t="s">
        <v>18</v>
      </c>
      <c r="J615" t="s">
        <v>27</v>
      </c>
      <c r="K615" t="s">
        <v>98</v>
      </c>
      <c r="L615" t="s">
        <v>110</v>
      </c>
      <c r="M615" t="s">
        <v>35</v>
      </c>
      <c r="N615" t="s">
        <v>1327</v>
      </c>
      <c r="O615" s="4">
        <v>1323.55</v>
      </c>
      <c r="P615" s="7" t="str">
        <f t="shared" si="66"/>
        <v>High</v>
      </c>
      <c r="Q615" s="4">
        <v>3230.35</v>
      </c>
      <c r="R615" s="4">
        <v>2.1999999999999999E-2</v>
      </c>
      <c r="S615" s="4">
        <v>26</v>
      </c>
      <c r="T615" s="4">
        <f t="shared" si="63"/>
        <v>0</v>
      </c>
      <c r="U615">
        <f t="shared" si="64"/>
        <v>34412.299999999996</v>
      </c>
      <c r="V615" s="4">
        <f t="shared" si="67"/>
        <v>-34412.299999999996</v>
      </c>
      <c r="W615" s="4">
        <f t="shared" si="68"/>
        <v>0</v>
      </c>
    </row>
    <row r="616" spans="1:23" x14ac:dyDescent="0.3">
      <c r="A616" t="s">
        <v>1328</v>
      </c>
      <c r="B616" s="6">
        <v>45137</v>
      </c>
      <c r="C616" s="2">
        <v>45157</v>
      </c>
      <c r="D616" s="4">
        <f t="shared" si="69"/>
        <v>20</v>
      </c>
      <c r="E616" s="4" t="str">
        <f>TEXT(Data!B616,"MMM-YYYY")</f>
        <v>Mar-2025</v>
      </c>
      <c r="F616" s="4" t="str">
        <f t="shared" si="65"/>
        <v>Q3-2023</v>
      </c>
      <c r="G616" t="s">
        <v>78</v>
      </c>
      <c r="H616" t="s">
        <v>90</v>
      </c>
      <c r="I616" t="s">
        <v>217</v>
      </c>
      <c r="J616" t="s">
        <v>105</v>
      </c>
      <c r="K616" t="s">
        <v>40</v>
      </c>
      <c r="L616" t="s">
        <v>41</v>
      </c>
      <c r="M616" t="s">
        <v>35</v>
      </c>
      <c r="N616" t="s">
        <v>1329</v>
      </c>
      <c r="O616" s="4">
        <v>1418.51</v>
      </c>
      <c r="P616" s="7" t="str">
        <f t="shared" si="66"/>
        <v>High</v>
      </c>
      <c r="Q616" s="4">
        <v>2789.61</v>
      </c>
      <c r="R616" s="4">
        <v>0.17100000000000001</v>
      </c>
      <c r="S616" s="4">
        <v>8</v>
      </c>
      <c r="T616" s="4">
        <f t="shared" si="63"/>
        <v>0</v>
      </c>
      <c r="U616">
        <f t="shared" si="64"/>
        <v>11348.08</v>
      </c>
      <c r="V616" s="4">
        <f t="shared" si="67"/>
        <v>-11348.08</v>
      </c>
      <c r="W616" s="4">
        <f t="shared" si="68"/>
        <v>0</v>
      </c>
    </row>
    <row r="617" spans="1:23" x14ac:dyDescent="0.3">
      <c r="A617" t="s">
        <v>1330</v>
      </c>
      <c r="B617" s="6">
        <v>45727</v>
      </c>
      <c r="C617" s="2">
        <v>45743</v>
      </c>
      <c r="D617" s="4">
        <f t="shared" si="69"/>
        <v>16</v>
      </c>
      <c r="E617" s="4" t="str">
        <f>TEXT(Data!B617,"MMM-YYYY")</f>
        <v>Oct-2023</v>
      </c>
      <c r="F617" s="4" t="str">
        <f t="shared" si="65"/>
        <v>Q1-2025</v>
      </c>
      <c r="G617" t="s">
        <v>45</v>
      </c>
      <c r="H617" t="s">
        <v>46</v>
      </c>
      <c r="I617" t="s">
        <v>214</v>
      </c>
      <c r="J617" t="s">
        <v>105</v>
      </c>
      <c r="K617" t="s">
        <v>55</v>
      </c>
      <c r="L617" t="s">
        <v>56</v>
      </c>
      <c r="M617" t="s">
        <v>30</v>
      </c>
      <c r="N617" t="s">
        <v>1331</v>
      </c>
      <c r="O617" s="4">
        <v>1317.58</v>
      </c>
      <c r="P617" s="7" t="str">
        <f t="shared" si="66"/>
        <v>High</v>
      </c>
      <c r="Q617" s="4">
        <v>1897.74</v>
      </c>
      <c r="R617" s="4">
        <v>8.1000000000000003E-2</v>
      </c>
      <c r="S617" s="4">
        <v>6</v>
      </c>
      <c r="T617" s="4">
        <f t="shared" si="63"/>
        <v>0</v>
      </c>
      <c r="U617">
        <f t="shared" si="64"/>
        <v>7905.48</v>
      </c>
      <c r="V617" s="4">
        <f t="shared" si="67"/>
        <v>-7905.48</v>
      </c>
      <c r="W617" s="4">
        <f t="shared" si="68"/>
        <v>0</v>
      </c>
    </row>
    <row r="618" spans="1:23" x14ac:dyDescent="0.3">
      <c r="A618" t="s">
        <v>1332</v>
      </c>
      <c r="B618" s="6">
        <v>45208</v>
      </c>
      <c r="C618" s="2">
        <v>45210</v>
      </c>
      <c r="D618" s="4">
        <f t="shared" si="69"/>
        <v>2</v>
      </c>
      <c r="E618" s="4" t="str">
        <f>TEXT(Data!B618,"MMM-YYYY")</f>
        <v>Dec-2024</v>
      </c>
      <c r="F618" s="4" t="str">
        <f t="shared" si="65"/>
        <v>Q4-2023</v>
      </c>
      <c r="G618" t="s">
        <v>16</v>
      </c>
      <c r="H618" t="s">
        <v>25</v>
      </c>
      <c r="I618" t="s">
        <v>26</v>
      </c>
      <c r="J618" t="s">
        <v>27</v>
      </c>
      <c r="K618" t="s">
        <v>40</v>
      </c>
      <c r="L618" t="s">
        <v>95</v>
      </c>
      <c r="M618" t="s">
        <v>35</v>
      </c>
      <c r="N618" t="s">
        <v>1333</v>
      </c>
      <c r="O618" s="4">
        <v>391.16</v>
      </c>
      <c r="P618" s="7" t="str">
        <f t="shared" si="66"/>
        <v>High</v>
      </c>
      <c r="Q618" s="4">
        <v>902.47</v>
      </c>
      <c r="R618" s="4">
        <v>4.0000000000000001E-3</v>
      </c>
      <c r="S618" s="4">
        <v>12</v>
      </c>
      <c r="T618" s="4">
        <f t="shared" si="63"/>
        <v>0</v>
      </c>
      <c r="U618">
        <f t="shared" si="64"/>
        <v>4693.92</v>
      </c>
      <c r="V618" s="4">
        <f t="shared" si="67"/>
        <v>-4693.92</v>
      </c>
      <c r="W618" s="4">
        <f t="shared" si="68"/>
        <v>0</v>
      </c>
    </row>
    <row r="619" spans="1:23" x14ac:dyDescent="0.3">
      <c r="A619" t="s">
        <v>1334</v>
      </c>
      <c r="B619" s="6">
        <v>45643</v>
      </c>
      <c r="C619" s="2">
        <v>45673</v>
      </c>
      <c r="D619" s="4">
        <f t="shared" si="69"/>
        <v>30</v>
      </c>
      <c r="E619" s="4" t="str">
        <f>TEXT(Data!B619,"MMM-YYYY")</f>
        <v>Jul-2025</v>
      </c>
      <c r="F619" s="4" t="str">
        <f t="shared" si="65"/>
        <v>Q4-2024</v>
      </c>
      <c r="G619" t="s">
        <v>78</v>
      </c>
      <c r="H619" t="s">
        <v>108</v>
      </c>
      <c r="I619" t="s">
        <v>228</v>
      </c>
      <c r="J619" t="s">
        <v>19</v>
      </c>
      <c r="K619" t="s">
        <v>20</v>
      </c>
      <c r="L619" t="s">
        <v>145</v>
      </c>
      <c r="M619" t="s">
        <v>64</v>
      </c>
      <c r="N619" t="s">
        <v>1335</v>
      </c>
      <c r="O619" s="4">
        <v>722.87</v>
      </c>
      <c r="P619" s="7" t="str">
        <f t="shared" si="66"/>
        <v>Low</v>
      </c>
      <c r="Q619" s="4">
        <v>-33.659999999999997</v>
      </c>
      <c r="R619" s="4">
        <v>0.10199999999999999</v>
      </c>
      <c r="S619" s="4">
        <v>28</v>
      </c>
      <c r="T619" s="4">
        <f t="shared" si="63"/>
        <v>0</v>
      </c>
      <c r="U619">
        <f t="shared" si="64"/>
        <v>20240.36</v>
      </c>
      <c r="V619" s="4">
        <f t="shared" si="67"/>
        <v>-20240.36</v>
      </c>
      <c r="W619" s="4">
        <f t="shared" si="68"/>
        <v>0</v>
      </c>
    </row>
    <row r="620" spans="1:23" x14ac:dyDescent="0.3">
      <c r="A620" t="s">
        <v>1336</v>
      </c>
      <c r="B620" s="6">
        <v>45849</v>
      </c>
      <c r="C620" s="2">
        <v>45854</v>
      </c>
      <c r="D620" s="4">
        <f t="shared" si="69"/>
        <v>5</v>
      </c>
      <c r="E620" s="4" t="str">
        <f>TEXT(Data!B620,"MMM-YYYY")</f>
        <v>Oct-2024</v>
      </c>
      <c r="F620" s="4" t="str">
        <f t="shared" si="65"/>
        <v>Q3-2025</v>
      </c>
      <c r="G620" t="s">
        <v>78</v>
      </c>
      <c r="H620" t="s">
        <v>108</v>
      </c>
      <c r="I620" t="s">
        <v>152</v>
      </c>
      <c r="J620" t="s">
        <v>105</v>
      </c>
      <c r="K620" t="s">
        <v>28</v>
      </c>
      <c r="L620" t="s">
        <v>95</v>
      </c>
      <c r="M620" t="s">
        <v>30</v>
      </c>
      <c r="N620" t="s">
        <v>1337</v>
      </c>
      <c r="O620" s="4">
        <v>930.03</v>
      </c>
      <c r="P620" s="7" t="str">
        <f t="shared" si="66"/>
        <v>High</v>
      </c>
      <c r="Q620" s="4">
        <v>1086.68</v>
      </c>
      <c r="R620" s="4">
        <v>0.109</v>
      </c>
      <c r="S620" s="4">
        <v>26</v>
      </c>
      <c r="T620" s="4">
        <f t="shared" si="63"/>
        <v>0</v>
      </c>
      <c r="U620">
        <f t="shared" si="64"/>
        <v>24180.78</v>
      </c>
      <c r="V620" s="4">
        <f t="shared" si="67"/>
        <v>-24180.78</v>
      </c>
      <c r="W620" s="4">
        <f t="shared" si="68"/>
        <v>0</v>
      </c>
    </row>
    <row r="621" spans="1:23" x14ac:dyDescent="0.3">
      <c r="A621" t="s">
        <v>1338</v>
      </c>
      <c r="B621" s="6">
        <v>45578</v>
      </c>
      <c r="C621" s="2">
        <v>45589</v>
      </c>
      <c r="D621" s="4">
        <f t="shared" si="69"/>
        <v>11</v>
      </c>
      <c r="E621" s="4" t="str">
        <f>TEXT(Data!B621,"MMM-YYYY")</f>
        <v>Sep-2023</v>
      </c>
      <c r="F621" s="4" t="str">
        <f t="shared" si="65"/>
        <v>Q4-2024</v>
      </c>
      <c r="G621" t="s">
        <v>78</v>
      </c>
      <c r="H621" t="s">
        <v>90</v>
      </c>
      <c r="I621" t="s">
        <v>217</v>
      </c>
      <c r="J621" t="s">
        <v>27</v>
      </c>
      <c r="K621" t="s">
        <v>55</v>
      </c>
      <c r="L621" t="s">
        <v>84</v>
      </c>
      <c r="M621" t="s">
        <v>22</v>
      </c>
      <c r="N621" t="s">
        <v>1339</v>
      </c>
      <c r="O621" s="4">
        <v>816.7</v>
      </c>
      <c r="P621" s="7" t="str">
        <f t="shared" si="66"/>
        <v>High</v>
      </c>
      <c r="Q621" s="4">
        <v>1010.75</v>
      </c>
      <c r="R621" s="4">
        <v>4.7E-2</v>
      </c>
      <c r="S621" s="4">
        <v>43</v>
      </c>
      <c r="T621" s="4">
        <f t="shared" si="63"/>
        <v>0</v>
      </c>
      <c r="U621">
        <f t="shared" si="64"/>
        <v>35118.1</v>
      </c>
      <c r="V621" s="4">
        <f t="shared" si="67"/>
        <v>-35118.1</v>
      </c>
      <c r="W621" s="4">
        <f t="shared" si="68"/>
        <v>0</v>
      </c>
    </row>
    <row r="622" spans="1:23" x14ac:dyDescent="0.3">
      <c r="A622" t="s">
        <v>1340</v>
      </c>
      <c r="B622" s="6">
        <v>45177</v>
      </c>
      <c r="C622" s="2">
        <v>45183</v>
      </c>
      <c r="D622" s="4">
        <f t="shared" si="69"/>
        <v>6</v>
      </c>
      <c r="E622" s="4" t="str">
        <f>TEXT(Data!B622,"MMM-YYYY")</f>
        <v>Apr-2025</v>
      </c>
      <c r="F622" s="4" t="str">
        <f t="shared" si="65"/>
        <v>Q3-2023</v>
      </c>
      <c r="G622" t="s">
        <v>16</v>
      </c>
      <c r="H622" t="s">
        <v>17</v>
      </c>
      <c r="I622" t="s">
        <v>135</v>
      </c>
      <c r="J622" t="s">
        <v>27</v>
      </c>
      <c r="K622" t="s">
        <v>98</v>
      </c>
      <c r="L622" t="s">
        <v>34</v>
      </c>
      <c r="M622" t="s">
        <v>81</v>
      </c>
      <c r="N622" t="s">
        <v>1341</v>
      </c>
      <c r="O622" s="4">
        <v>251.03</v>
      </c>
      <c r="P622" s="7" t="str">
        <f t="shared" si="66"/>
        <v>High</v>
      </c>
      <c r="Q622" s="4">
        <v>411.48</v>
      </c>
      <c r="R622" s="4">
        <v>0.16500000000000001</v>
      </c>
      <c r="S622" s="4">
        <v>3</v>
      </c>
      <c r="T622" s="4">
        <f t="shared" si="63"/>
        <v>0</v>
      </c>
      <c r="U622">
        <f t="shared" si="64"/>
        <v>753.09</v>
      </c>
      <c r="V622" s="4">
        <f t="shared" si="67"/>
        <v>-753.09</v>
      </c>
      <c r="W622" s="4">
        <f t="shared" si="68"/>
        <v>0</v>
      </c>
    </row>
    <row r="623" spans="1:23" x14ac:dyDescent="0.3">
      <c r="A623" t="s">
        <v>1342</v>
      </c>
      <c r="B623" s="6">
        <v>45764</v>
      </c>
      <c r="C623" s="2">
        <v>45780</v>
      </c>
      <c r="D623" s="4">
        <f t="shared" si="69"/>
        <v>16</v>
      </c>
      <c r="E623" s="4" t="str">
        <f>TEXT(Data!B623,"MMM-YYYY")</f>
        <v>Jul-2024</v>
      </c>
      <c r="F623" s="4" t="str">
        <f t="shared" si="65"/>
        <v>Q2-2025</v>
      </c>
      <c r="G623" t="s">
        <v>52</v>
      </c>
      <c r="H623" t="s">
        <v>73</v>
      </c>
      <c r="I623" t="s">
        <v>225</v>
      </c>
      <c r="J623" t="s">
        <v>48</v>
      </c>
      <c r="K623" t="s">
        <v>40</v>
      </c>
      <c r="L623" t="s">
        <v>29</v>
      </c>
      <c r="M623" t="s">
        <v>35</v>
      </c>
      <c r="N623" t="s">
        <v>1343</v>
      </c>
      <c r="O623" s="4">
        <v>168.68</v>
      </c>
      <c r="P623" s="7" t="str">
        <f t="shared" si="66"/>
        <v>High</v>
      </c>
      <c r="Q623" s="4">
        <v>413.34</v>
      </c>
      <c r="R623" s="4">
        <v>0.186</v>
      </c>
      <c r="S623" s="4">
        <v>7</v>
      </c>
      <c r="T623" s="4">
        <f t="shared" si="63"/>
        <v>0</v>
      </c>
      <c r="U623">
        <f t="shared" si="64"/>
        <v>1180.76</v>
      </c>
      <c r="V623" s="4">
        <f t="shared" si="67"/>
        <v>-1180.76</v>
      </c>
      <c r="W623" s="4">
        <f t="shared" si="68"/>
        <v>0</v>
      </c>
    </row>
    <row r="624" spans="1:23" x14ac:dyDescent="0.3">
      <c r="A624" t="s">
        <v>1344</v>
      </c>
      <c r="B624" s="6">
        <v>45501</v>
      </c>
      <c r="C624" s="2">
        <v>45527</v>
      </c>
      <c r="D624" s="4">
        <f t="shared" si="69"/>
        <v>26</v>
      </c>
      <c r="E624" s="4" t="str">
        <f>TEXT(Data!B624,"MMM-YYYY")</f>
        <v>Jul-2025</v>
      </c>
      <c r="F624" s="4" t="str">
        <f t="shared" si="65"/>
        <v>Q3-2024</v>
      </c>
      <c r="G624" t="s">
        <v>45</v>
      </c>
      <c r="H624" t="s">
        <v>60</v>
      </c>
      <c r="I624" t="s">
        <v>281</v>
      </c>
      <c r="J624" t="s">
        <v>19</v>
      </c>
      <c r="K624" t="s">
        <v>20</v>
      </c>
      <c r="L624" t="s">
        <v>29</v>
      </c>
      <c r="M624" t="s">
        <v>35</v>
      </c>
      <c r="N624" t="s">
        <v>1345</v>
      </c>
      <c r="O624" s="4">
        <v>1339.24</v>
      </c>
      <c r="P624" s="7" t="str">
        <f t="shared" si="66"/>
        <v>High</v>
      </c>
      <c r="Q624" s="4">
        <v>1558.89</v>
      </c>
      <c r="R624" s="4">
        <v>0.192</v>
      </c>
      <c r="S624" s="4">
        <v>24</v>
      </c>
      <c r="T624" s="4">
        <f t="shared" si="63"/>
        <v>0</v>
      </c>
      <c r="U624">
        <f t="shared" si="64"/>
        <v>32141.760000000002</v>
      </c>
      <c r="V624" s="4">
        <f t="shared" si="67"/>
        <v>-32141.760000000002</v>
      </c>
      <c r="W624" s="4">
        <f t="shared" si="68"/>
        <v>0</v>
      </c>
    </row>
    <row r="625" spans="1:23" x14ac:dyDescent="0.3">
      <c r="A625" t="s">
        <v>1346</v>
      </c>
      <c r="B625" s="6">
        <v>45857</v>
      </c>
      <c r="C625" s="2">
        <v>45869</v>
      </c>
      <c r="D625" s="4">
        <f t="shared" si="69"/>
        <v>12</v>
      </c>
      <c r="E625" s="4" t="str">
        <f>TEXT(Data!B625,"MMM-YYYY")</f>
        <v>Aug-2023</v>
      </c>
      <c r="F625" s="4" t="str">
        <f t="shared" si="65"/>
        <v>Q3-2025</v>
      </c>
      <c r="G625" t="s">
        <v>16</v>
      </c>
      <c r="H625" t="s">
        <v>17</v>
      </c>
      <c r="I625" t="s">
        <v>33</v>
      </c>
      <c r="J625" t="s">
        <v>62</v>
      </c>
      <c r="K625" t="s">
        <v>40</v>
      </c>
      <c r="L625" t="s">
        <v>68</v>
      </c>
      <c r="M625" t="s">
        <v>81</v>
      </c>
      <c r="N625" t="s">
        <v>1347</v>
      </c>
      <c r="O625" s="4">
        <v>619.64</v>
      </c>
      <c r="P625" s="7" t="str">
        <f t="shared" si="66"/>
        <v>High</v>
      </c>
      <c r="Q625" s="4">
        <v>861.16</v>
      </c>
      <c r="R625" s="4">
        <v>0.113</v>
      </c>
      <c r="S625" s="4">
        <v>14</v>
      </c>
      <c r="T625" s="4">
        <f t="shared" si="63"/>
        <v>0</v>
      </c>
      <c r="U625">
        <f t="shared" si="64"/>
        <v>8674.9599999999991</v>
      </c>
      <c r="V625" s="4">
        <f t="shared" si="67"/>
        <v>-8674.9599999999991</v>
      </c>
      <c r="W625" s="4">
        <f t="shared" si="68"/>
        <v>0</v>
      </c>
    </row>
    <row r="626" spans="1:23" x14ac:dyDescent="0.3">
      <c r="A626" t="s">
        <v>1348</v>
      </c>
      <c r="B626" s="6">
        <v>45141</v>
      </c>
      <c r="C626" s="2">
        <v>45140</v>
      </c>
      <c r="D626" s="4">
        <f>DATEDIF(C626,B626, "MD")</f>
        <v>1</v>
      </c>
      <c r="E626" s="4" t="str">
        <f>TEXT(Data!B626,"MMM-YYYY")</f>
        <v>Nov-2023</v>
      </c>
      <c r="F626" s="4" t="str">
        <f t="shared" si="65"/>
        <v>Q3-2023</v>
      </c>
      <c r="G626" t="s">
        <v>45</v>
      </c>
      <c r="H626" t="s">
        <v>116</v>
      </c>
      <c r="I626" t="s">
        <v>162</v>
      </c>
      <c r="J626" t="s">
        <v>39</v>
      </c>
      <c r="K626" t="s">
        <v>98</v>
      </c>
      <c r="L626" t="s">
        <v>29</v>
      </c>
      <c r="M626" t="s">
        <v>35</v>
      </c>
      <c r="N626" t="s">
        <v>1349</v>
      </c>
      <c r="O626" s="4">
        <v>1021.97</v>
      </c>
      <c r="P626" s="7" t="str">
        <f t="shared" si="66"/>
        <v>High</v>
      </c>
      <c r="Q626" s="4">
        <v>2296.25</v>
      </c>
      <c r="R626" s="4">
        <v>0.161</v>
      </c>
      <c r="S626" s="4">
        <v>26</v>
      </c>
      <c r="T626" s="4">
        <f t="shared" si="63"/>
        <v>0</v>
      </c>
      <c r="U626">
        <f t="shared" si="64"/>
        <v>26571.22</v>
      </c>
      <c r="V626" s="4">
        <f t="shared" si="67"/>
        <v>-26571.22</v>
      </c>
      <c r="W626" s="4">
        <f t="shared" si="68"/>
        <v>0</v>
      </c>
    </row>
    <row r="627" spans="1:23" x14ac:dyDescent="0.3">
      <c r="A627" t="s">
        <v>1350</v>
      </c>
      <c r="B627" s="6">
        <v>45249</v>
      </c>
      <c r="C627" s="2">
        <v>45272</v>
      </c>
      <c r="D627" s="4">
        <f t="shared" si="69"/>
        <v>23</v>
      </c>
      <c r="E627" s="4" t="str">
        <f>TEXT(Data!B627,"MMM-YYYY")</f>
        <v>Dec-2023</v>
      </c>
      <c r="F627" s="4" t="str">
        <f t="shared" si="65"/>
        <v>Q4-2023</v>
      </c>
      <c r="G627" t="s">
        <v>45</v>
      </c>
      <c r="H627" t="s">
        <v>60</v>
      </c>
      <c r="I627" t="s">
        <v>141</v>
      </c>
      <c r="J627" t="s">
        <v>62</v>
      </c>
      <c r="K627" t="s">
        <v>98</v>
      </c>
      <c r="L627" t="s">
        <v>21</v>
      </c>
      <c r="M627" t="s">
        <v>35</v>
      </c>
      <c r="N627" t="s">
        <v>1351</v>
      </c>
      <c r="O627" s="4">
        <v>1349.04</v>
      </c>
      <c r="P627" s="7" t="str">
        <f t="shared" si="66"/>
        <v>High</v>
      </c>
      <c r="Q627" s="4">
        <v>2636.6</v>
      </c>
      <c r="R627" s="4">
        <v>0.114</v>
      </c>
      <c r="S627" s="4">
        <v>14</v>
      </c>
      <c r="T627" s="4">
        <f t="shared" si="63"/>
        <v>0</v>
      </c>
      <c r="U627">
        <f t="shared" si="64"/>
        <v>18886.559999999998</v>
      </c>
      <c r="V627" s="4">
        <f t="shared" si="67"/>
        <v>-18886.559999999998</v>
      </c>
      <c r="W627" s="4">
        <f t="shared" si="68"/>
        <v>0</v>
      </c>
    </row>
    <row r="628" spans="1:23" x14ac:dyDescent="0.3">
      <c r="A628" t="s">
        <v>1352</v>
      </c>
      <c r="B628" s="6">
        <v>45282</v>
      </c>
      <c r="C628" s="2">
        <v>45307</v>
      </c>
      <c r="D628" s="4">
        <f t="shared" si="69"/>
        <v>25</v>
      </c>
      <c r="E628" s="4" t="str">
        <f>TEXT(Data!B628,"MMM-YYYY")</f>
        <v>Aug-2023</v>
      </c>
      <c r="F628" s="4" t="str">
        <f t="shared" si="65"/>
        <v>Q4-2023</v>
      </c>
      <c r="G628" t="s">
        <v>45</v>
      </c>
      <c r="H628" t="s">
        <v>60</v>
      </c>
      <c r="I628" t="s">
        <v>281</v>
      </c>
      <c r="J628" t="s">
        <v>62</v>
      </c>
      <c r="K628" t="s">
        <v>20</v>
      </c>
      <c r="L628" t="s">
        <v>75</v>
      </c>
      <c r="M628" t="s">
        <v>22</v>
      </c>
      <c r="N628" t="s">
        <v>1353</v>
      </c>
      <c r="O628" s="4">
        <v>1346.81</v>
      </c>
      <c r="P628" s="7" t="str">
        <f t="shared" si="66"/>
        <v>High</v>
      </c>
      <c r="Q628" s="4">
        <v>978.09</v>
      </c>
      <c r="R628" s="4">
        <v>0.159</v>
      </c>
      <c r="S628" s="4">
        <v>17</v>
      </c>
      <c r="T628" s="4">
        <f t="shared" si="63"/>
        <v>0</v>
      </c>
      <c r="U628">
        <f t="shared" si="64"/>
        <v>22895.77</v>
      </c>
      <c r="V628" s="4">
        <f t="shared" si="67"/>
        <v>-22895.77</v>
      </c>
      <c r="W628" s="4">
        <f t="shared" si="68"/>
        <v>0</v>
      </c>
    </row>
    <row r="629" spans="1:23" x14ac:dyDescent="0.3">
      <c r="A629" t="s">
        <v>1354</v>
      </c>
      <c r="B629" s="6">
        <v>45141</v>
      </c>
      <c r="C629" s="2">
        <v>45168</v>
      </c>
      <c r="D629" s="4">
        <f t="shared" si="69"/>
        <v>27</v>
      </c>
      <c r="E629" s="4" t="str">
        <f>TEXT(Data!B629,"MMM-YYYY")</f>
        <v>Jun-2023</v>
      </c>
      <c r="F629" s="4" t="str">
        <f t="shared" si="65"/>
        <v>Q3-2023</v>
      </c>
      <c r="G629" t="s">
        <v>45</v>
      </c>
      <c r="H629" t="s">
        <v>116</v>
      </c>
      <c r="I629" t="s">
        <v>162</v>
      </c>
      <c r="J629" t="s">
        <v>48</v>
      </c>
      <c r="K629" t="s">
        <v>55</v>
      </c>
      <c r="L629" t="s">
        <v>126</v>
      </c>
      <c r="M629" t="s">
        <v>64</v>
      </c>
      <c r="N629" t="s">
        <v>1355</v>
      </c>
      <c r="O629" s="4">
        <v>226.04</v>
      </c>
      <c r="P629" s="7" t="str">
        <f t="shared" si="66"/>
        <v>High</v>
      </c>
      <c r="Q629" s="4">
        <v>545.72</v>
      </c>
      <c r="R629" s="4">
        <v>0.151</v>
      </c>
      <c r="S629" s="4">
        <v>11</v>
      </c>
      <c r="T629" s="4">
        <f t="shared" si="63"/>
        <v>0</v>
      </c>
      <c r="U629">
        <f t="shared" si="64"/>
        <v>2486.44</v>
      </c>
      <c r="V629" s="4">
        <f t="shared" si="67"/>
        <v>-2486.44</v>
      </c>
      <c r="W629" s="4">
        <f t="shared" si="68"/>
        <v>0</v>
      </c>
    </row>
    <row r="630" spans="1:23" x14ac:dyDescent="0.3">
      <c r="A630" t="s">
        <v>1356</v>
      </c>
      <c r="B630" s="6">
        <v>45100</v>
      </c>
      <c r="C630" s="2">
        <v>45125</v>
      </c>
      <c r="D630" s="4">
        <f t="shared" si="69"/>
        <v>25</v>
      </c>
      <c r="E630" s="4" t="str">
        <f>TEXT(Data!B630,"MMM-YYYY")</f>
        <v>Dec-2023</v>
      </c>
      <c r="F630" s="4" t="str">
        <f t="shared" si="65"/>
        <v>Q2-2023</v>
      </c>
      <c r="G630" t="s">
        <v>52</v>
      </c>
      <c r="H630" t="s">
        <v>53</v>
      </c>
      <c r="I630" t="s">
        <v>179</v>
      </c>
      <c r="J630" t="s">
        <v>105</v>
      </c>
      <c r="K630" t="s">
        <v>28</v>
      </c>
      <c r="L630" t="s">
        <v>126</v>
      </c>
      <c r="M630" t="s">
        <v>42</v>
      </c>
      <c r="N630" t="s">
        <v>1357</v>
      </c>
      <c r="O630" s="4">
        <v>807.02</v>
      </c>
      <c r="P630" s="7" t="str">
        <f t="shared" si="66"/>
        <v>High</v>
      </c>
      <c r="Q630" s="4">
        <v>1435.54</v>
      </c>
      <c r="R630" s="4">
        <v>0</v>
      </c>
      <c r="S630" s="4">
        <v>23</v>
      </c>
      <c r="T630" s="4">
        <f t="shared" si="63"/>
        <v>0</v>
      </c>
      <c r="U630">
        <f t="shared" si="64"/>
        <v>18561.46</v>
      </c>
      <c r="V630" s="4">
        <f t="shared" si="67"/>
        <v>-18561.46</v>
      </c>
      <c r="W630" s="4">
        <f t="shared" si="68"/>
        <v>0</v>
      </c>
    </row>
    <row r="631" spans="1:23" x14ac:dyDescent="0.3">
      <c r="A631" t="s">
        <v>1358</v>
      </c>
      <c r="B631" s="6">
        <v>45267</v>
      </c>
      <c r="C631" s="2">
        <v>45293</v>
      </c>
      <c r="D631" s="4">
        <f t="shared" si="69"/>
        <v>26</v>
      </c>
      <c r="E631" s="4" t="str">
        <f>TEXT(Data!B631,"MMM-YYYY")</f>
        <v>Nov-2023</v>
      </c>
      <c r="F631" s="4" t="str">
        <f t="shared" si="65"/>
        <v>Q4-2023</v>
      </c>
      <c r="G631" t="s">
        <v>78</v>
      </c>
      <c r="H631" t="s">
        <v>79</v>
      </c>
      <c r="I631" t="s">
        <v>335</v>
      </c>
      <c r="J631" t="s">
        <v>105</v>
      </c>
      <c r="K631" t="s">
        <v>55</v>
      </c>
      <c r="L631" t="s">
        <v>63</v>
      </c>
      <c r="M631" t="s">
        <v>22</v>
      </c>
      <c r="N631" t="s">
        <v>1359</v>
      </c>
      <c r="O631" s="4">
        <v>1071.99</v>
      </c>
      <c r="P631" s="7" t="str">
        <f t="shared" si="66"/>
        <v>High</v>
      </c>
      <c r="Q631" s="4">
        <v>2397.3000000000002</v>
      </c>
      <c r="R631" s="4">
        <v>6.2E-2</v>
      </c>
      <c r="S631" s="4">
        <v>18</v>
      </c>
      <c r="T631" s="4">
        <f t="shared" si="63"/>
        <v>0</v>
      </c>
      <c r="U631">
        <f t="shared" si="64"/>
        <v>19295.82</v>
      </c>
      <c r="V631" s="4">
        <f t="shared" si="67"/>
        <v>-19295.82</v>
      </c>
      <c r="W631" s="4">
        <f t="shared" si="68"/>
        <v>0</v>
      </c>
    </row>
    <row r="632" spans="1:23" x14ac:dyDescent="0.3">
      <c r="A632" t="s">
        <v>1360</v>
      </c>
      <c r="B632" s="6">
        <v>45249</v>
      </c>
      <c r="C632" s="2">
        <v>45279</v>
      </c>
      <c r="D632" s="4">
        <f t="shared" si="69"/>
        <v>0</v>
      </c>
      <c r="E632" s="4" t="str">
        <f>TEXT(Data!B632,"MMM-YYYY")</f>
        <v>Feb-2025</v>
      </c>
      <c r="F632" s="4" t="str">
        <f t="shared" si="65"/>
        <v>Q4-2023</v>
      </c>
      <c r="G632" t="s">
        <v>45</v>
      </c>
      <c r="H632" t="s">
        <v>46</v>
      </c>
      <c r="I632" t="s">
        <v>231</v>
      </c>
      <c r="J632" t="s">
        <v>48</v>
      </c>
      <c r="K632" t="s">
        <v>20</v>
      </c>
      <c r="L632" t="s">
        <v>1364</v>
      </c>
      <c r="M632" t="s">
        <v>42</v>
      </c>
      <c r="N632" t="s">
        <v>1361</v>
      </c>
      <c r="O632" s="4">
        <v>807.11</v>
      </c>
      <c r="P632" s="7" t="str">
        <f t="shared" si="66"/>
        <v>High</v>
      </c>
      <c r="Q632" s="4">
        <v>1853.86</v>
      </c>
      <c r="R632" s="4">
        <v>0.13900000000000001</v>
      </c>
      <c r="S632" s="4">
        <v>8</v>
      </c>
      <c r="T632" s="4">
        <f t="shared" si="63"/>
        <v>0</v>
      </c>
      <c r="U632">
        <f t="shared" si="64"/>
        <v>6456.88</v>
      </c>
      <c r="V632" s="4">
        <f t="shared" si="67"/>
        <v>-6456.88</v>
      </c>
      <c r="W632" s="4">
        <f t="shared" si="68"/>
        <v>0</v>
      </c>
    </row>
    <row r="633" spans="1:23" x14ac:dyDescent="0.3">
      <c r="A633" t="s">
        <v>1362</v>
      </c>
      <c r="B633" s="6">
        <v>45716</v>
      </c>
      <c r="C633" s="2">
        <v>45726</v>
      </c>
      <c r="D633" s="4">
        <f t="shared" si="69"/>
        <v>10</v>
      </c>
      <c r="E633" s="4" t="str">
        <f>TEXT(Data!B633,"MMM-YYYY")</f>
        <v>Feb-2025</v>
      </c>
      <c r="F633" s="4" t="str">
        <f t="shared" si="65"/>
        <v>Q1-2025</v>
      </c>
      <c r="G633" t="s">
        <v>45</v>
      </c>
      <c r="H633" t="s">
        <v>46</v>
      </c>
      <c r="I633" t="s">
        <v>47</v>
      </c>
      <c r="J633" t="s">
        <v>27</v>
      </c>
      <c r="K633" t="s">
        <v>55</v>
      </c>
      <c r="L633" t="s">
        <v>126</v>
      </c>
      <c r="M633" t="s">
        <v>57</v>
      </c>
      <c r="N633" t="s">
        <v>1363</v>
      </c>
      <c r="O633" s="4">
        <v>51.86</v>
      </c>
      <c r="P633" s="7" t="str">
        <f t="shared" si="66"/>
        <v>Low</v>
      </c>
      <c r="Q633" s="4">
        <v>45.98</v>
      </c>
      <c r="R633" s="4">
        <v>0.17299999999999999</v>
      </c>
      <c r="S633" s="4">
        <v>7</v>
      </c>
      <c r="T633" s="4">
        <f t="shared" si="63"/>
        <v>0</v>
      </c>
      <c r="U633">
        <f t="shared" si="64"/>
        <v>363.02</v>
      </c>
      <c r="V633" s="4">
        <f t="shared" si="67"/>
        <v>-363.02</v>
      </c>
      <c r="W633" s="4">
        <f t="shared" si="68"/>
        <v>0</v>
      </c>
    </row>
  </sheetData>
  <conditionalFormatting sqref="Q1:Q1048576">
    <cfRule type="cellIs" dxfId="19" priority="1" operator="lessThan">
      <formula>0</formula>
    </cfRule>
  </conditionalFormatting>
  <dataValidations count="1">
    <dataValidation type="date" operator="greaterThanOrEqual" allowBlank="1" showInputMessage="1" showErrorMessage="1" error="Invalid Date ;Required date cannot be before the order date" sqref="C2:C633" xr:uid="{F6F73C27-4808-409F-93E0-D66714D5E35F}">
      <formula1>B2</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BEAD-8480-46A0-A467-40F37AD67571}">
  <dimension ref="A3:E28"/>
  <sheetViews>
    <sheetView workbookViewId="0">
      <selection activeCell="P6" sqref="P6"/>
    </sheetView>
  </sheetViews>
  <sheetFormatPr defaultRowHeight="14.4" x14ac:dyDescent="0.3"/>
  <cols>
    <col min="1" max="1" width="15.33203125" bestFit="1" customWidth="1"/>
    <col min="2" max="2" width="15.44140625" bestFit="1" customWidth="1"/>
    <col min="3" max="3" width="19.77734375" bestFit="1" customWidth="1"/>
    <col min="4" max="4" width="15.77734375" style="16" customWidth="1"/>
    <col min="5" max="5" width="18.77734375" customWidth="1"/>
  </cols>
  <sheetData>
    <row r="3" spans="1:5" x14ac:dyDescent="0.3">
      <c r="A3" s="8" t="s">
        <v>1376</v>
      </c>
      <c r="B3" t="s">
        <v>1421</v>
      </c>
      <c r="C3" t="s">
        <v>1432</v>
      </c>
      <c r="D3" s="17" t="s">
        <v>1433</v>
      </c>
      <c r="E3" s="14" t="s">
        <v>1434</v>
      </c>
    </row>
    <row r="4" spans="1:5" x14ac:dyDescent="0.3">
      <c r="A4" s="9" t="s">
        <v>73</v>
      </c>
      <c r="B4" s="49">
        <v>62</v>
      </c>
      <c r="C4" s="49">
        <v>851</v>
      </c>
    </row>
    <row r="5" spans="1:5" x14ac:dyDescent="0.3">
      <c r="A5" s="10" t="s">
        <v>81</v>
      </c>
      <c r="B5" s="49">
        <v>10</v>
      </c>
      <c r="C5" s="49">
        <v>126</v>
      </c>
      <c r="D5" s="16">
        <f>GETPIVOTDATA("Sum of Leadtime days",$A$3,"Country","Brazil","ProductCategory","Accessories")/GETPIVOTDATA("Count of OrderID",$A$3,"Country","Brazil","ProductCategory","Accessories")/100</f>
        <v>0.126</v>
      </c>
      <c r="E5" t="str" cm="1">
        <f t="array" ref="E5:E26">IF(D5:D26&gt;0.9, "Excellent", IF(D5:D26&gt;=0.8, "Good", IF(D5:D26&gt;=0.7,"Fair", "Poor")))</f>
        <v>Poor</v>
      </c>
    </row>
    <row r="6" spans="1:5" x14ac:dyDescent="0.3">
      <c r="A6" s="10" t="s">
        <v>22</v>
      </c>
      <c r="B6" s="49">
        <v>7</v>
      </c>
      <c r="C6" s="49">
        <v>142</v>
      </c>
      <c r="D6" s="16">
        <v>0</v>
      </c>
      <c r="E6" t="str">
        <v>Poor</v>
      </c>
    </row>
    <row r="7" spans="1:5" x14ac:dyDescent="0.3">
      <c r="A7" s="10" t="s">
        <v>57</v>
      </c>
      <c r="B7" s="49">
        <v>5</v>
      </c>
      <c r="C7" s="49">
        <v>91</v>
      </c>
      <c r="D7" s="16">
        <f>GETPIVOTDATA("Sum of Leadtime days",$A$3,"Country","Brazil","ProductCategory","Laptops")/GETPIVOTDATA("Count of OrderID",$A$3,"Country","Brazil","ProductCategory","Laptops")/100</f>
        <v>0.182</v>
      </c>
      <c r="E7" t="str">
        <v>Poor</v>
      </c>
    </row>
    <row r="8" spans="1:5" x14ac:dyDescent="0.3">
      <c r="A8" s="10" t="s">
        <v>64</v>
      </c>
      <c r="B8" s="49">
        <v>12</v>
      </c>
      <c r="C8" s="49">
        <v>161</v>
      </c>
      <c r="D8" s="16">
        <v>0</v>
      </c>
      <c r="E8" t="str">
        <v>Poor</v>
      </c>
    </row>
    <row r="9" spans="1:5" x14ac:dyDescent="0.3">
      <c r="A9" s="10" t="s">
        <v>35</v>
      </c>
      <c r="B9" s="49">
        <v>12</v>
      </c>
      <c r="C9" s="49">
        <v>169</v>
      </c>
      <c r="D9" s="16">
        <f>GETPIVOTDATA("Sum of Leadtime days",$A$3,"Country","Brazil","ProductCategory","Networking")/GETPIVOTDATA("Count of OrderID",$A$3,"Country","Brazil","ProductCategory","Networking")/100</f>
        <v>0.14083333333333334</v>
      </c>
      <c r="E9" t="str">
        <v>Poor</v>
      </c>
    </row>
    <row r="10" spans="1:5" x14ac:dyDescent="0.3">
      <c r="A10" s="10" t="s">
        <v>42</v>
      </c>
      <c r="B10" s="49">
        <v>9</v>
      </c>
      <c r="C10" s="49">
        <v>65</v>
      </c>
      <c r="D10" s="16">
        <f>GETPIVOTDATA("Sum of Leadtime days",$A$3,"Country","Brazil","ProductCategory","Phones")/GETPIVOTDATA("Count of OrderID",$A$3,"Country","Brazil","ProductCategory","Phones")/100</f>
        <v>7.2222222222222229E-2</v>
      </c>
      <c r="E10" t="str">
        <v>Poor</v>
      </c>
    </row>
    <row r="11" spans="1:5" x14ac:dyDescent="0.3">
      <c r="A11" s="10" t="s">
        <v>30</v>
      </c>
      <c r="B11" s="49">
        <v>7</v>
      </c>
      <c r="C11" s="49">
        <v>97</v>
      </c>
      <c r="D11" s="16">
        <f>GETPIVOTDATA("Sum of Leadtime days",$A$3,"Country","Brazil","ProductCategory","Printers")/GETPIVOTDATA("Count of OrderID",$A$3,"Country","Brazil","ProductCategory","Printers")/100</f>
        <v>0.13857142857142857</v>
      </c>
      <c r="E11" t="str">
        <v>Poor</v>
      </c>
    </row>
    <row r="12" spans="1:5" x14ac:dyDescent="0.3">
      <c r="A12" s="9" t="s">
        <v>53</v>
      </c>
      <c r="B12" s="49">
        <v>44</v>
      </c>
      <c r="C12" s="49">
        <v>611</v>
      </c>
      <c r="E12" t="str">
        <v>Poor</v>
      </c>
    </row>
    <row r="13" spans="1:5" x14ac:dyDescent="0.3">
      <c r="A13" s="10" t="s">
        <v>81</v>
      </c>
      <c r="B13" s="49">
        <v>6</v>
      </c>
      <c r="C13" s="49">
        <v>75</v>
      </c>
      <c r="D13" s="16">
        <f>GETPIVOTDATA("Sum of Leadtime days",$A$3,"Country","Canada","ProductCategory","Accessories")/GETPIVOTDATA("Count of OrderID",$A$3,"Country","Canada","ProductCategory","Accessories")/100</f>
        <v>0.125</v>
      </c>
      <c r="E13" t="str">
        <v>Poor</v>
      </c>
    </row>
    <row r="14" spans="1:5" x14ac:dyDescent="0.3">
      <c r="A14" s="10" t="s">
        <v>22</v>
      </c>
      <c r="B14" s="49">
        <v>6</v>
      </c>
      <c r="C14" s="49">
        <v>55</v>
      </c>
      <c r="D14" s="16">
        <f>GETPIVOTDATA("Sum of Leadtime days",$A$3,"Country","Canada","ProductCategory","Components")/GETPIVOTDATA("Count of OrderID",$A$3,"Country","Canada","ProductCategory","Components")/100</f>
        <v>9.166666666666666E-2</v>
      </c>
      <c r="E14" t="str">
        <v>Poor</v>
      </c>
    </row>
    <row r="15" spans="1:5" x14ac:dyDescent="0.3">
      <c r="A15" s="10" t="s">
        <v>57</v>
      </c>
      <c r="B15" s="49">
        <v>6</v>
      </c>
      <c r="C15" s="49">
        <v>74</v>
      </c>
      <c r="D15" s="16">
        <f>GETPIVOTDATA("Sum of Leadtime days",$A$3,"Country","Canada","ProductCategory","Laptops")/GETPIVOTDATA("Count of OrderID",$A$3,"Country","Canada","ProductCategory","Laptops")/100</f>
        <v>0.12333333333333334</v>
      </c>
      <c r="E15" t="str">
        <v>Poor</v>
      </c>
    </row>
    <row r="16" spans="1:5" x14ac:dyDescent="0.3">
      <c r="A16" s="10" t="s">
        <v>64</v>
      </c>
      <c r="B16" s="49">
        <v>7</v>
      </c>
      <c r="C16" s="49">
        <v>130</v>
      </c>
      <c r="D16" s="16">
        <f>GETPIVOTDATA("Sum of Leadtime days",$A$3,"Country","Canada","ProductCategory","Monitors")/GETPIVOTDATA("Count of OrderID",$A$3,"Country","Canada","ProductCategory","Monitors")/100</f>
        <v>0.18571428571428572</v>
      </c>
      <c r="E16" t="str">
        <v>Poor</v>
      </c>
    </row>
    <row r="17" spans="1:5" x14ac:dyDescent="0.3">
      <c r="A17" s="10" t="s">
        <v>35</v>
      </c>
      <c r="B17" s="49">
        <v>3</v>
      </c>
      <c r="C17" s="49">
        <v>60</v>
      </c>
      <c r="D17" s="16">
        <f>GETPIVOTDATA("Sum of Leadtime days",$A$3,"Country","Canada","ProductCategory","Networking")/GETPIVOTDATA("Count of OrderID",$A$3,"Country","Canada","ProductCategory","Networking")/100</f>
        <v>0.2</v>
      </c>
      <c r="E17" t="str">
        <v>Poor</v>
      </c>
    </row>
    <row r="18" spans="1:5" x14ac:dyDescent="0.3">
      <c r="A18" s="10" t="s">
        <v>42</v>
      </c>
      <c r="B18" s="49">
        <v>3</v>
      </c>
      <c r="C18" s="49">
        <v>52</v>
      </c>
      <c r="D18" s="16">
        <f>GETPIVOTDATA("Sum of Leadtime days",$A$3,"Country","Canada","ProductCategory","Phones")/GETPIVOTDATA("Count of OrderID",$A$3,"Country","Canada","ProductCategory","Phones")/100</f>
        <v>0.17333333333333331</v>
      </c>
      <c r="E18" t="str">
        <v>Poor</v>
      </c>
    </row>
    <row r="19" spans="1:5" x14ac:dyDescent="0.3">
      <c r="A19" s="10" t="s">
        <v>30</v>
      </c>
      <c r="B19" s="49">
        <v>13</v>
      </c>
      <c r="C19" s="49">
        <v>165</v>
      </c>
      <c r="D19" s="16">
        <f>GETPIVOTDATA("Sum of Leadtime days",$A$3,"Country","Canada","ProductCategory","Printers")/GETPIVOTDATA("Count of OrderID",$A$3,"Country","Canada","ProductCategory","Printers")/100</f>
        <v>0.12692307692307692</v>
      </c>
      <c r="E19" t="str">
        <v>Poor</v>
      </c>
    </row>
    <row r="20" spans="1:5" x14ac:dyDescent="0.3">
      <c r="A20" s="9" t="s">
        <v>116</v>
      </c>
      <c r="B20" s="49">
        <v>51</v>
      </c>
      <c r="C20" s="49">
        <v>802</v>
      </c>
      <c r="E20" t="str">
        <v>Poor</v>
      </c>
    </row>
    <row r="21" spans="1:5" x14ac:dyDescent="0.3">
      <c r="A21" s="10" t="s">
        <v>81</v>
      </c>
      <c r="B21" s="49">
        <v>4</v>
      </c>
      <c r="C21" s="49">
        <v>18</v>
      </c>
      <c r="D21" s="16">
        <f>GETPIVOTDATA("Sum of Leadtime days",$A$3,"Country","China","ProductCategory","Accessories")/GETPIVOTDATA("Count of OrderID",$A$3,"Country","China","ProductCategory","Accessories")/100</f>
        <v>4.4999999999999998E-2</v>
      </c>
      <c r="E21" t="str">
        <v>Poor</v>
      </c>
    </row>
    <row r="22" spans="1:5" x14ac:dyDescent="0.3">
      <c r="A22" s="10" t="s">
        <v>22</v>
      </c>
      <c r="B22" s="49">
        <v>10</v>
      </c>
      <c r="C22" s="49">
        <v>216</v>
      </c>
      <c r="D22" s="16">
        <f>GETPIVOTDATA("Sum of Leadtime days",$A$3,"Country","China","ProductCategory","Components")/GETPIVOTDATA("Count of OrderID",$A$3,"Country","China","ProductCategory","Components")/100</f>
        <v>0.21600000000000003</v>
      </c>
      <c r="E22" t="str">
        <v>Poor</v>
      </c>
    </row>
    <row r="23" spans="1:5" x14ac:dyDescent="0.3">
      <c r="A23" s="10" t="s">
        <v>57</v>
      </c>
      <c r="B23" s="49">
        <v>5</v>
      </c>
      <c r="C23" s="49">
        <v>51</v>
      </c>
      <c r="D23" s="16">
        <f>GETPIVOTDATA("Sum of Leadtime days",$A$3,"Country","China","ProductCategory","Laptops")/GETPIVOTDATA("Count of OrderID",$A$3,"Country","China","ProductCategory","Laptops")/100</f>
        <v>0.10199999999999999</v>
      </c>
      <c r="E23" t="str">
        <v>Poor</v>
      </c>
    </row>
    <row r="24" spans="1:5" x14ac:dyDescent="0.3">
      <c r="A24" s="10" t="s">
        <v>64</v>
      </c>
      <c r="B24" s="49">
        <v>6</v>
      </c>
      <c r="C24" s="49">
        <v>102</v>
      </c>
      <c r="D24" s="16">
        <f>GETPIVOTDATA("Sum of Leadtime days",$A$3,"Country","China","ProductCategory","Monitors")/GETPIVOTDATA("Count of OrderID",$A$3,"Country","China","ProductCategory","Monitors")/100</f>
        <v>0.17</v>
      </c>
      <c r="E24" t="str">
        <v>Poor</v>
      </c>
    </row>
    <row r="25" spans="1:5" x14ac:dyDescent="0.3">
      <c r="A25" s="10" t="s">
        <v>35</v>
      </c>
      <c r="B25" s="49">
        <v>8</v>
      </c>
      <c r="C25" s="49">
        <v>80</v>
      </c>
      <c r="D25" s="16">
        <f>GETPIVOTDATA("Sum of Leadtime days",$A$3,"Country","China","ProductCategory","Networking")/GETPIVOTDATA("Count of OrderID",$A$3,"Country","China","ProductCategory","Networking")/100</f>
        <v>0.1</v>
      </c>
      <c r="E25" t="str">
        <v>Poor</v>
      </c>
    </row>
    <row r="26" spans="1:5" x14ac:dyDescent="0.3">
      <c r="A26" s="10" t="s">
        <v>42</v>
      </c>
      <c r="B26" s="49">
        <v>7</v>
      </c>
      <c r="C26" s="49">
        <v>100</v>
      </c>
      <c r="D26" s="16">
        <f>GETPIVOTDATA("Sum of Leadtime days",$A$3,"Country","China","ProductCategory","Phones")/GETPIVOTDATA("Count of OrderID",$A$3,"Country","China","ProductCategory","Phones")/100</f>
        <v>0.14285714285714288</v>
      </c>
      <c r="E26" t="str">
        <v>Poor</v>
      </c>
    </row>
    <row r="27" spans="1:5" x14ac:dyDescent="0.3">
      <c r="A27" s="10" t="s">
        <v>30</v>
      </c>
      <c r="B27" s="49">
        <v>11</v>
      </c>
      <c r="C27" s="49">
        <v>235</v>
      </c>
    </row>
    <row r="28" spans="1:5" x14ac:dyDescent="0.3">
      <c r="A28" s="9" t="s">
        <v>1377</v>
      </c>
      <c r="B28" s="49">
        <v>157</v>
      </c>
      <c r="C28" s="49">
        <v>2264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1259-FE57-4008-A3BF-51BCE05473BC}">
  <dimension ref="A1:X633"/>
  <sheetViews>
    <sheetView workbookViewId="0">
      <selection activeCell="H2" sqref="H2"/>
    </sheetView>
  </sheetViews>
  <sheetFormatPr defaultRowHeight="14.4" x14ac:dyDescent="0.3"/>
  <cols>
    <col min="1" max="1" width="16.21875" bestFit="1" customWidth="1"/>
    <col min="2" max="2" width="10.21875" style="6" bestFit="1" customWidth="1"/>
    <col min="3" max="3" width="12.44140625" bestFit="1" customWidth="1"/>
    <col min="4" max="7" width="14.44140625" style="4" customWidth="1"/>
    <col min="8" max="8" width="8.44140625" bestFit="1" customWidth="1"/>
    <col min="9" max="9" width="14" bestFit="1" customWidth="1"/>
    <col min="10" max="10" width="12.44140625" bestFit="1" customWidth="1"/>
    <col min="11" max="11" width="16.77734375" bestFit="1" customWidth="1"/>
    <col min="12" max="12" width="11.21875" bestFit="1" customWidth="1"/>
    <col min="13" max="13" width="11" bestFit="1" customWidth="1"/>
    <col min="14" max="14" width="15.21875" bestFit="1" customWidth="1"/>
    <col min="15" max="15" width="10" bestFit="1" customWidth="1"/>
    <col min="16" max="16" width="8.21875" style="4" bestFit="1" customWidth="1"/>
    <col min="17" max="17" width="8.21875" style="4" customWidth="1"/>
    <col min="18" max="18" width="8.77734375" style="4" bestFit="1" customWidth="1"/>
    <col min="19" max="19" width="11" style="4" bestFit="1" customWidth="1"/>
    <col min="20" max="20" width="8.21875" style="4" bestFit="1" customWidth="1"/>
    <col min="21" max="21" width="14.5546875" customWidth="1"/>
    <col min="22" max="22" width="13.77734375" customWidth="1"/>
    <col min="23" max="23" width="11.77734375" customWidth="1"/>
    <col min="24" max="24" width="16.21875" customWidth="1"/>
  </cols>
  <sheetData>
    <row r="1" spans="1:24" x14ac:dyDescent="0.3">
      <c r="A1" s="1" t="s">
        <v>0</v>
      </c>
      <c r="B1" s="5" t="s">
        <v>1</v>
      </c>
      <c r="C1" s="1" t="s">
        <v>2</v>
      </c>
      <c r="D1" s="3" t="s">
        <v>1365</v>
      </c>
      <c r="E1" s="3" t="s">
        <v>1471</v>
      </c>
      <c r="F1" s="3" t="s">
        <v>1371</v>
      </c>
      <c r="G1" s="3" t="s">
        <v>1370</v>
      </c>
      <c r="H1" s="1" t="s">
        <v>3</v>
      </c>
      <c r="I1" s="1" t="s">
        <v>4</v>
      </c>
      <c r="J1" s="1" t="s">
        <v>5</v>
      </c>
      <c r="K1" s="1" t="s">
        <v>6</v>
      </c>
      <c r="L1" s="1" t="s">
        <v>7</v>
      </c>
      <c r="M1" s="1" t="s">
        <v>8</v>
      </c>
      <c r="N1" s="1" t="s">
        <v>9</v>
      </c>
      <c r="O1" s="1" t="s">
        <v>10</v>
      </c>
      <c r="P1" s="3" t="s">
        <v>11</v>
      </c>
      <c r="Q1" s="3" t="s">
        <v>1375</v>
      </c>
      <c r="R1" s="3" t="s">
        <v>12</v>
      </c>
      <c r="S1" s="3" t="s">
        <v>13</v>
      </c>
      <c r="T1" s="3" t="s">
        <v>14</v>
      </c>
      <c r="U1" s="3" t="s">
        <v>1366</v>
      </c>
      <c r="V1" s="3" t="s">
        <v>1367</v>
      </c>
      <c r="W1" s="3" t="s">
        <v>1368</v>
      </c>
      <c r="X1" s="3" t="s">
        <v>1369</v>
      </c>
    </row>
    <row r="2" spans="1:24" x14ac:dyDescent="0.3">
      <c r="A2" t="s">
        <v>15</v>
      </c>
      <c r="B2" s="6">
        <v>45362</v>
      </c>
      <c r="C2" s="2">
        <v>45388</v>
      </c>
      <c r="D2" s="4">
        <f>DATEDIF(B2,C2, "MD")</f>
        <v>26</v>
      </c>
      <c r="E2" s="46" t="b">
        <f>IF(D2&lt;=7, "Yes")</f>
        <v>0</v>
      </c>
      <c r="F2" s="4" t="str">
        <f>TEXT(Data!B2,"MMM-YYYY")</f>
        <v>Oct-2024</v>
      </c>
      <c r="G2" s="4" t="str">
        <f>"Q"&amp;ROUNDUP(MONTH(B2)/3,0)&amp;"-"&amp;YEAR(B2)</f>
        <v>Q1-2024</v>
      </c>
      <c r="H2" t="s">
        <v>16</v>
      </c>
      <c r="I2" t="s">
        <v>17</v>
      </c>
      <c r="J2" t="s">
        <v>18</v>
      </c>
      <c r="K2" t="s">
        <v>19</v>
      </c>
      <c r="L2" t="s">
        <v>20</v>
      </c>
      <c r="M2" t="s">
        <v>21</v>
      </c>
      <c r="N2" t="s">
        <v>22</v>
      </c>
      <c r="O2" t="s">
        <v>23</v>
      </c>
      <c r="P2" s="4">
        <v>279.24</v>
      </c>
      <c r="Q2" s="7" t="str">
        <f>IF(R2&lt;50, "Low", IF(R2&lt;200, "Medium", "High"))</f>
        <v>High</v>
      </c>
      <c r="R2" s="4">
        <v>608.9</v>
      </c>
      <c r="S2" s="4">
        <v>0.112</v>
      </c>
      <c r="T2" s="4">
        <v>9</v>
      </c>
      <c r="U2" s="4">
        <f t="shared" ref="U2:U65" si="0">(R28*T2)*(1-S2)</f>
        <v>1403.9546399999999</v>
      </c>
      <c r="V2">
        <f t="shared" ref="V2:V65" si="1">(P2*T2)</f>
        <v>2513.16</v>
      </c>
      <c r="W2" s="4">
        <f>(U2-V2)</f>
        <v>-1109.2053599999999</v>
      </c>
      <c r="X2" s="4">
        <f>IF(U2=0, 0, W2/U2)</f>
        <v>-0.79005783263766982</v>
      </c>
    </row>
    <row r="3" spans="1:24" x14ac:dyDescent="0.3">
      <c r="A3" t="s">
        <v>24</v>
      </c>
      <c r="B3" s="6">
        <v>45588</v>
      </c>
      <c r="C3" s="2">
        <v>45587</v>
      </c>
      <c r="D3" s="4">
        <f>DATEDIF(C3, B3, "MD")</f>
        <v>1</v>
      </c>
      <c r="E3" s="46" t="str">
        <f t="shared" ref="E3:E66" si="2">IF(D3&lt;=7, "Yes")</f>
        <v>Yes</v>
      </c>
      <c r="F3" s="4" t="str">
        <f>TEXT(Data!B3,"MMM-YYYY")</f>
        <v>Feb-2023</v>
      </c>
      <c r="G3" s="4" t="str">
        <f t="shared" ref="G3:G66" si="3">"Q"&amp;ROUNDUP(MONTH(B3)/3,0)&amp;"-"&amp;YEAR(B3)</f>
        <v>Q4-2024</v>
      </c>
      <c r="H3" t="s">
        <v>16</v>
      </c>
      <c r="I3" t="s">
        <v>25</v>
      </c>
      <c r="J3" t="s">
        <v>26</v>
      </c>
      <c r="K3" t="s">
        <v>27</v>
      </c>
      <c r="L3" t="s">
        <v>28</v>
      </c>
      <c r="M3" t="s">
        <v>29</v>
      </c>
      <c r="N3" t="s">
        <v>30</v>
      </c>
      <c r="O3" t="s">
        <v>31</v>
      </c>
      <c r="P3" s="4">
        <v>1084.3900000000001</v>
      </c>
      <c r="Q3" s="7" t="str">
        <f t="shared" ref="Q3:Q66" si="4">IF(R3&lt;50, "Low", IF(R3&lt;200, "Medium", "High"))</f>
        <v>High</v>
      </c>
      <c r="R3" s="4">
        <v>759.33</v>
      </c>
      <c r="S3" s="4">
        <v>0.23699999999999999</v>
      </c>
      <c r="T3" s="4">
        <v>31</v>
      </c>
      <c r="U3" s="4">
        <f t="shared" si="0"/>
        <v>17934.41419</v>
      </c>
      <c r="V3">
        <f t="shared" si="1"/>
        <v>33616.090000000004</v>
      </c>
      <c r="W3" s="4">
        <f t="shared" ref="W3:W66" si="5">(U3-V3)</f>
        <v>-15681.675810000004</v>
      </c>
      <c r="X3" s="4">
        <f t="shared" ref="X3:X66" si="6">IF(U3=0, 0, W3/U3)</f>
        <v>-0.87439018882166253</v>
      </c>
    </row>
    <row r="4" spans="1:24" x14ac:dyDescent="0.3">
      <c r="A4" t="s">
        <v>32</v>
      </c>
      <c r="B4" s="6">
        <v>44985</v>
      </c>
      <c r="C4" s="2">
        <v>45010</v>
      </c>
      <c r="D4" s="4">
        <f t="shared" ref="D4:D67" si="7">DATEDIF(B4,C4, "MD")</f>
        <v>25</v>
      </c>
      <c r="E4" s="46" t="b">
        <f t="shared" si="2"/>
        <v>0</v>
      </c>
      <c r="F4" s="4" t="str">
        <f>TEXT(Data!B4,"MMM-YYYY")</f>
        <v>Mar-2025</v>
      </c>
      <c r="G4" s="4" t="str">
        <f t="shared" si="3"/>
        <v>Q1-2023</v>
      </c>
      <c r="H4" t="s">
        <v>16</v>
      </c>
      <c r="I4" t="s">
        <v>17</v>
      </c>
      <c r="J4" t="s">
        <v>33</v>
      </c>
      <c r="K4" t="s">
        <v>19</v>
      </c>
      <c r="L4" t="s">
        <v>20</v>
      </c>
      <c r="M4" t="s">
        <v>34</v>
      </c>
      <c r="N4" t="s">
        <v>35</v>
      </c>
      <c r="O4" t="s">
        <v>36</v>
      </c>
      <c r="P4" s="4">
        <v>1460.76</v>
      </c>
      <c r="Q4" s="7" t="str">
        <f t="shared" si="4"/>
        <v>Low</v>
      </c>
      <c r="R4" s="4">
        <v>-30.66</v>
      </c>
      <c r="S4" s="4">
        <v>0.13100000000000001</v>
      </c>
      <c r="T4" s="4">
        <v>12</v>
      </c>
      <c r="U4" s="4">
        <f t="shared" si="0"/>
        <v>4534.0944</v>
      </c>
      <c r="V4">
        <f t="shared" si="1"/>
        <v>17529.12</v>
      </c>
      <c r="W4" s="4">
        <f t="shared" si="5"/>
        <v>-12995.025599999999</v>
      </c>
      <c r="X4" s="4">
        <f t="shared" si="6"/>
        <v>-2.8660686023652264</v>
      </c>
    </row>
    <row r="5" spans="1:24" x14ac:dyDescent="0.3">
      <c r="A5" t="s">
        <v>37</v>
      </c>
      <c r="B5" s="6">
        <v>45745</v>
      </c>
      <c r="C5" s="2">
        <v>45749</v>
      </c>
      <c r="D5" s="4">
        <f t="shared" si="7"/>
        <v>4</v>
      </c>
      <c r="E5" s="46" t="str">
        <f t="shared" si="2"/>
        <v>Yes</v>
      </c>
      <c r="F5" s="4" t="str">
        <f>TEXT(Data!B5,"MMM-YYYY")</f>
        <v>Dec-2023</v>
      </c>
      <c r="G5" s="4" t="str">
        <f t="shared" si="3"/>
        <v>Q1-2025</v>
      </c>
      <c r="H5" t="s">
        <v>16</v>
      </c>
      <c r="I5" t="s">
        <v>25</v>
      </c>
      <c r="J5" t="s">
        <v>38</v>
      </c>
      <c r="K5" t="s">
        <v>39</v>
      </c>
      <c r="L5" t="s">
        <v>40</v>
      </c>
      <c r="M5" t="s">
        <v>41</v>
      </c>
      <c r="N5" t="s">
        <v>42</v>
      </c>
      <c r="O5" t="s">
        <v>43</v>
      </c>
      <c r="P5" s="4">
        <v>259.93</v>
      </c>
      <c r="Q5" s="7" t="str">
        <f t="shared" si="4"/>
        <v>High</v>
      </c>
      <c r="R5" s="4">
        <v>255.94</v>
      </c>
      <c r="S5" s="4">
        <v>7.1999999999999995E-2</v>
      </c>
      <c r="T5" s="4">
        <v>22</v>
      </c>
      <c r="U5" s="4">
        <f t="shared" si="0"/>
        <v>34016.730880000003</v>
      </c>
      <c r="V5">
        <f t="shared" si="1"/>
        <v>5718.46</v>
      </c>
      <c r="W5" s="4">
        <f t="shared" si="5"/>
        <v>28298.270880000004</v>
      </c>
      <c r="X5" s="4">
        <f t="shared" si="6"/>
        <v>0.83189272301994943</v>
      </c>
    </row>
    <row r="6" spans="1:24" x14ac:dyDescent="0.3">
      <c r="A6" t="s">
        <v>44</v>
      </c>
      <c r="B6" s="6">
        <v>45266</v>
      </c>
      <c r="C6" s="2">
        <v>45291</v>
      </c>
      <c r="D6" s="4">
        <f t="shared" si="7"/>
        <v>25</v>
      </c>
      <c r="E6" s="46" t="b">
        <f t="shared" si="2"/>
        <v>0</v>
      </c>
      <c r="F6" s="4" t="str">
        <f>TEXT(Data!B6,"MMM-YYYY")</f>
        <v>Jan-2023</v>
      </c>
      <c r="G6" s="4" t="str">
        <f t="shared" si="3"/>
        <v>Q4-2023</v>
      </c>
      <c r="H6" t="s">
        <v>45</v>
      </c>
      <c r="I6" t="s">
        <v>46</v>
      </c>
      <c r="J6" t="s">
        <v>47</v>
      </c>
      <c r="K6" t="s">
        <v>48</v>
      </c>
      <c r="L6" t="s">
        <v>20</v>
      </c>
      <c r="M6" t="s">
        <v>49</v>
      </c>
      <c r="N6" t="s">
        <v>30</v>
      </c>
      <c r="O6" t="s">
        <v>50</v>
      </c>
      <c r="P6" s="4">
        <v>663.03</v>
      </c>
      <c r="Q6" s="7" t="str">
        <f t="shared" si="4"/>
        <v>High</v>
      </c>
      <c r="R6" s="4">
        <v>813.51</v>
      </c>
      <c r="S6" s="4">
        <v>0.10199999999999999</v>
      </c>
      <c r="T6" s="4">
        <v>15</v>
      </c>
      <c r="U6" s="4">
        <f t="shared" si="0"/>
        <v>8510.0765999999985</v>
      </c>
      <c r="V6">
        <f t="shared" si="1"/>
        <v>9945.4499999999989</v>
      </c>
      <c r="W6" s="4">
        <f t="shared" si="5"/>
        <v>-1435.3734000000004</v>
      </c>
      <c r="X6" s="4">
        <f t="shared" si="6"/>
        <v>-0.16866750647109341</v>
      </c>
    </row>
    <row r="7" spans="1:24" x14ac:dyDescent="0.3">
      <c r="A7" t="s">
        <v>51</v>
      </c>
      <c r="B7" s="6">
        <v>44928</v>
      </c>
      <c r="C7" s="2">
        <v>44931</v>
      </c>
      <c r="D7" s="4">
        <f t="shared" si="7"/>
        <v>3</v>
      </c>
      <c r="E7" s="46" t="str">
        <f t="shared" si="2"/>
        <v>Yes</v>
      </c>
      <c r="F7" s="4" t="str">
        <f>TEXT(Data!B7,"MMM-YYYY")</f>
        <v>Dec-2024</v>
      </c>
      <c r="G7" s="4" t="str">
        <f t="shared" si="3"/>
        <v>Q1-2023</v>
      </c>
      <c r="H7" t="s">
        <v>52</v>
      </c>
      <c r="I7" t="s">
        <v>53</v>
      </c>
      <c r="J7" t="s">
        <v>54</v>
      </c>
      <c r="K7" t="s">
        <v>19</v>
      </c>
      <c r="L7" t="s">
        <v>55</v>
      </c>
      <c r="M7" t="s">
        <v>56</v>
      </c>
      <c r="N7" t="s">
        <v>57</v>
      </c>
      <c r="O7" t="s">
        <v>58</v>
      </c>
      <c r="P7" s="4">
        <v>315.87</v>
      </c>
      <c r="Q7" s="7" t="str">
        <f t="shared" si="4"/>
        <v>High</v>
      </c>
      <c r="R7" s="4">
        <v>591.67999999999995</v>
      </c>
      <c r="S7" s="4">
        <v>0</v>
      </c>
      <c r="T7" s="4">
        <v>7</v>
      </c>
      <c r="U7" s="4">
        <f t="shared" si="0"/>
        <v>12558.49</v>
      </c>
      <c r="V7">
        <f t="shared" si="1"/>
        <v>2211.09</v>
      </c>
      <c r="W7" s="4">
        <f t="shared" si="5"/>
        <v>10347.4</v>
      </c>
      <c r="X7" s="4">
        <f t="shared" si="6"/>
        <v>0.82393663569425946</v>
      </c>
    </row>
    <row r="8" spans="1:24" x14ac:dyDescent="0.3">
      <c r="A8" t="s">
        <v>59</v>
      </c>
      <c r="B8" s="6">
        <v>45653</v>
      </c>
      <c r="C8" s="2">
        <v>45671</v>
      </c>
      <c r="D8" s="4">
        <f t="shared" si="7"/>
        <v>18</v>
      </c>
      <c r="E8" s="46" t="b">
        <f t="shared" si="2"/>
        <v>0</v>
      </c>
      <c r="F8" s="4" t="str">
        <f>TEXT(Data!B8,"MMM-YYYY")</f>
        <v>Jan-2023</v>
      </c>
      <c r="G8" s="4" t="str">
        <f t="shared" si="3"/>
        <v>Q4-2024</v>
      </c>
      <c r="H8" t="s">
        <v>45</v>
      </c>
      <c r="I8" t="s">
        <v>60</v>
      </c>
      <c r="J8" t="s">
        <v>61</v>
      </c>
      <c r="K8" t="s">
        <v>62</v>
      </c>
      <c r="L8" t="s">
        <v>40</v>
      </c>
      <c r="M8" t="s">
        <v>63</v>
      </c>
      <c r="N8" t="s">
        <v>64</v>
      </c>
      <c r="O8" t="s">
        <v>65</v>
      </c>
      <c r="P8" s="4">
        <v>586.07000000000005</v>
      </c>
      <c r="Q8" s="7" t="str">
        <f t="shared" si="4"/>
        <v>High</v>
      </c>
      <c r="R8" s="4">
        <v>845.97</v>
      </c>
      <c r="S8" s="4">
        <v>0.14699999999999999</v>
      </c>
      <c r="T8" s="4">
        <v>4</v>
      </c>
      <c r="U8" s="4">
        <f t="shared" si="0"/>
        <v>8983.864239999999</v>
      </c>
      <c r="V8">
        <f t="shared" si="1"/>
        <v>2344.2800000000002</v>
      </c>
      <c r="W8" s="4">
        <f t="shared" si="5"/>
        <v>6639.5842399999983</v>
      </c>
      <c r="X8" s="4">
        <f t="shared" si="6"/>
        <v>0.73905660889639613</v>
      </c>
    </row>
    <row r="9" spans="1:24" x14ac:dyDescent="0.3">
      <c r="A9" t="s">
        <v>66</v>
      </c>
      <c r="B9" s="6">
        <v>44941</v>
      </c>
      <c r="C9" s="2">
        <v>44939</v>
      </c>
      <c r="D9" s="4">
        <f>DATEDIF(C9,B9, "MD")</f>
        <v>2</v>
      </c>
      <c r="E9" s="46" t="str">
        <f t="shared" si="2"/>
        <v>Yes</v>
      </c>
      <c r="F9" s="4" t="str">
        <f>TEXT(Data!B9,"MMM-YYYY")</f>
        <v>May-2024</v>
      </c>
      <c r="G9" s="4" t="str">
        <f t="shared" si="3"/>
        <v>Q1-2023</v>
      </c>
      <c r="H9" t="s">
        <v>16</v>
      </c>
      <c r="I9" t="s">
        <v>25</v>
      </c>
      <c r="J9" t="s">
        <v>67</v>
      </c>
      <c r="K9" t="s">
        <v>27</v>
      </c>
      <c r="L9" t="s">
        <v>28</v>
      </c>
      <c r="M9" t="s">
        <v>68</v>
      </c>
      <c r="N9" t="s">
        <v>30</v>
      </c>
      <c r="O9" t="s">
        <v>69</v>
      </c>
      <c r="P9" s="4">
        <v>28.38</v>
      </c>
      <c r="Q9" s="7" t="str">
        <f t="shared" si="4"/>
        <v>Low</v>
      </c>
      <c r="R9" s="4">
        <v>47.22</v>
      </c>
      <c r="S9" s="4">
        <v>0.19400000000000001</v>
      </c>
      <c r="T9" s="4">
        <v>18</v>
      </c>
      <c r="U9" s="4">
        <f t="shared" si="0"/>
        <v>19177.399799999999</v>
      </c>
      <c r="V9">
        <f t="shared" si="1"/>
        <v>510.84</v>
      </c>
      <c r="W9" s="4">
        <f t="shared" si="5"/>
        <v>18666.559799999999</v>
      </c>
      <c r="X9" s="4">
        <f t="shared" si="6"/>
        <v>0.97336239504168864</v>
      </c>
    </row>
    <row r="10" spans="1:24" x14ac:dyDescent="0.3">
      <c r="A10" t="s">
        <v>70</v>
      </c>
      <c r="B10" s="6">
        <v>45416</v>
      </c>
      <c r="C10" s="2">
        <v>45441</v>
      </c>
      <c r="D10" s="4">
        <f t="shared" si="7"/>
        <v>25</v>
      </c>
      <c r="E10" s="46" t="b">
        <f t="shared" si="2"/>
        <v>0</v>
      </c>
      <c r="F10" s="4" t="str">
        <f>TEXT(Data!B10,"MMM-YYYY")</f>
        <v>May-2025</v>
      </c>
      <c r="G10" s="4" t="str">
        <f t="shared" si="3"/>
        <v>Q2-2024</v>
      </c>
      <c r="H10" t="s">
        <v>16</v>
      </c>
      <c r="I10" t="s">
        <v>25</v>
      </c>
      <c r="J10" t="s">
        <v>67</v>
      </c>
      <c r="K10" t="s">
        <v>39</v>
      </c>
      <c r="L10" t="s">
        <v>40</v>
      </c>
      <c r="M10" t="s">
        <v>68</v>
      </c>
      <c r="N10" t="s">
        <v>64</v>
      </c>
      <c r="O10" t="s">
        <v>71</v>
      </c>
      <c r="P10" s="4">
        <v>1295.3399999999999</v>
      </c>
      <c r="Q10" s="7" t="str">
        <f t="shared" si="4"/>
        <v>High</v>
      </c>
      <c r="R10" s="4">
        <v>2530.81</v>
      </c>
      <c r="S10" s="4">
        <v>3.1E-2</v>
      </c>
      <c r="T10" s="4">
        <v>6</v>
      </c>
      <c r="U10" s="4">
        <f t="shared" si="0"/>
        <v>17656.36218</v>
      </c>
      <c r="V10">
        <f t="shared" si="1"/>
        <v>7772.0399999999991</v>
      </c>
      <c r="W10" s="4">
        <f t="shared" si="5"/>
        <v>9884.322180000001</v>
      </c>
      <c r="X10" s="4">
        <f t="shared" si="6"/>
        <v>0.55981646044825306</v>
      </c>
    </row>
    <row r="11" spans="1:24" x14ac:dyDescent="0.3">
      <c r="A11" t="s">
        <v>72</v>
      </c>
      <c r="B11" s="6">
        <v>45798</v>
      </c>
      <c r="C11" s="2">
        <v>45817</v>
      </c>
      <c r="D11" s="4">
        <f t="shared" si="7"/>
        <v>19</v>
      </c>
      <c r="E11" s="46" t="b">
        <f t="shared" si="2"/>
        <v>0</v>
      </c>
      <c r="F11" s="4" t="str">
        <f>TEXT(Data!B11,"MMM-YYYY")</f>
        <v>Jan-2024</v>
      </c>
      <c r="G11" s="4" t="str">
        <f t="shared" si="3"/>
        <v>Q2-2025</v>
      </c>
      <c r="H11" t="s">
        <v>52</v>
      </c>
      <c r="I11" t="s">
        <v>73</v>
      </c>
      <c r="J11" t="s">
        <v>74</v>
      </c>
      <c r="K11" t="s">
        <v>39</v>
      </c>
      <c r="L11" t="s">
        <v>28</v>
      </c>
      <c r="M11" t="s">
        <v>75</v>
      </c>
      <c r="N11" t="s">
        <v>22</v>
      </c>
      <c r="O11" t="s">
        <v>76</v>
      </c>
      <c r="P11" s="4">
        <v>1331.38</v>
      </c>
      <c r="Q11" s="7" t="str">
        <f t="shared" si="4"/>
        <v>High</v>
      </c>
      <c r="R11" s="4">
        <v>2309.56</v>
      </c>
      <c r="S11" s="4">
        <v>0.14899999999999999</v>
      </c>
      <c r="T11" s="4">
        <v>31</v>
      </c>
      <c r="U11" s="4">
        <f t="shared" si="0"/>
        <v>5259.5799699999998</v>
      </c>
      <c r="V11">
        <f t="shared" si="1"/>
        <v>41272.780000000006</v>
      </c>
      <c r="W11" s="4">
        <f t="shared" si="5"/>
        <v>-36013.200030000007</v>
      </c>
      <c r="X11" s="4">
        <f t="shared" si="6"/>
        <v>-6.8471627459635354</v>
      </c>
    </row>
    <row r="12" spans="1:24" x14ac:dyDescent="0.3">
      <c r="A12" t="s">
        <v>77</v>
      </c>
      <c r="B12" s="6">
        <v>45319</v>
      </c>
      <c r="C12" s="2">
        <v>45331</v>
      </c>
      <c r="D12" s="4">
        <f t="shared" si="7"/>
        <v>12</v>
      </c>
      <c r="E12" s="46" t="b">
        <f t="shared" si="2"/>
        <v>0</v>
      </c>
      <c r="F12" s="4" t="str">
        <f>TEXT(Data!B12,"MMM-YYYY")</f>
        <v>Jan-2025</v>
      </c>
      <c r="G12" s="4" t="str">
        <f t="shared" si="3"/>
        <v>Q1-2024</v>
      </c>
      <c r="H12" t="s">
        <v>78</v>
      </c>
      <c r="I12" t="s">
        <v>79</v>
      </c>
      <c r="J12" t="s">
        <v>80</v>
      </c>
      <c r="K12" t="s">
        <v>19</v>
      </c>
      <c r="L12" t="s">
        <v>28</v>
      </c>
      <c r="M12" t="s">
        <v>41</v>
      </c>
      <c r="N12" t="s">
        <v>81</v>
      </c>
      <c r="O12" t="s">
        <v>82</v>
      </c>
      <c r="P12" s="4">
        <v>644.16999999999996</v>
      </c>
      <c r="Q12" s="7" t="str">
        <f t="shared" si="4"/>
        <v>High</v>
      </c>
      <c r="R12" s="4">
        <v>700.12</v>
      </c>
      <c r="S12" s="4">
        <v>6.0000000000000001E-3</v>
      </c>
      <c r="T12" s="4">
        <v>23</v>
      </c>
      <c r="U12" s="4">
        <f t="shared" si="0"/>
        <v>21204.733619999999</v>
      </c>
      <c r="V12">
        <f t="shared" si="1"/>
        <v>14815.91</v>
      </c>
      <c r="W12" s="4">
        <f t="shared" si="5"/>
        <v>6388.8236199999992</v>
      </c>
      <c r="X12" s="4">
        <f t="shared" si="6"/>
        <v>0.30129233097152197</v>
      </c>
    </row>
    <row r="13" spans="1:24" x14ac:dyDescent="0.3">
      <c r="A13" t="s">
        <v>83</v>
      </c>
      <c r="B13" s="6">
        <v>45660</v>
      </c>
      <c r="C13" s="2">
        <v>45680</v>
      </c>
      <c r="D13" s="4">
        <f t="shared" si="7"/>
        <v>20</v>
      </c>
      <c r="E13" s="46" t="b">
        <f t="shared" si="2"/>
        <v>0</v>
      </c>
      <c r="F13" s="4" t="str">
        <f>TEXT(Data!B13,"MMM-YYYY")</f>
        <v>Mar-2025</v>
      </c>
      <c r="G13" s="4" t="str">
        <f t="shared" si="3"/>
        <v>Q1-2025</v>
      </c>
      <c r="H13" t="s">
        <v>45</v>
      </c>
      <c r="I13" t="s">
        <v>46</v>
      </c>
      <c r="J13" t="s">
        <v>47</v>
      </c>
      <c r="K13" t="s">
        <v>19</v>
      </c>
      <c r="L13" t="s">
        <v>55</v>
      </c>
      <c r="M13" t="s">
        <v>84</v>
      </c>
      <c r="N13" t="s">
        <v>42</v>
      </c>
      <c r="O13" t="s">
        <v>85</v>
      </c>
      <c r="P13" s="4">
        <v>908.6</v>
      </c>
      <c r="Q13" s="7" t="str">
        <f t="shared" si="4"/>
        <v>High</v>
      </c>
      <c r="R13" s="4">
        <v>691.37</v>
      </c>
      <c r="S13" s="4">
        <v>0.25</v>
      </c>
      <c r="T13" s="4">
        <v>20</v>
      </c>
      <c r="U13" s="4">
        <f t="shared" si="0"/>
        <v>26031.15</v>
      </c>
      <c r="V13">
        <f t="shared" si="1"/>
        <v>18172</v>
      </c>
      <c r="W13" s="4">
        <f t="shared" si="5"/>
        <v>7859.1500000000015</v>
      </c>
      <c r="X13" s="4">
        <f t="shared" si="6"/>
        <v>0.30191328466087747</v>
      </c>
    </row>
    <row r="14" spans="1:24" x14ac:dyDescent="0.3">
      <c r="A14" t="s">
        <v>86</v>
      </c>
      <c r="B14" s="6">
        <v>45722</v>
      </c>
      <c r="C14" s="2">
        <v>45747</v>
      </c>
      <c r="D14" s="4">
        <f t="shared" si="7"/>
        <v>25</v>
      </c>
      <c r="E14" s="46" t="b">
        <f t="shared" si="2"/>
        <v>0</v>
      </c>
      <c r="F14" s="4" t="str">
        <f>TEXT(Data!B14,"MMM-YYYY")</f>
        <v>Jan-2024</v>
      </c>
      <c r="G14" s="4" t="str">
        <f t="shared" si="3"/>
        <v>Q1-2025</v>
      </c>
      <c r="H14" t="s">
        <v>52</v>
      </c>
      <c r="I14" t="s">
        <v>73</v>
      </c>
      <c r="J14" t="s">
        <v>87</v>
      </c>
      <c r="K14" t="s">
        <v>39</v>
      </c>
      <c r="L14" t="s">
        <v>28</v>
      </c>
      <c r="M14" t="s">
        <v>29</v>
      </c>
      <c r="N14" t="s">
        <v>22</v>
      </c>
      <c r="O14" t="s">
        <v>88</v>
      </c>
      <c r="P14" s="4">
        <v>331.57</v>
      </c>
      <c r="Q14" s="7" t="str">
        <f t="shared" si="4"/>
        <v>High</v>
      </c>
      <c r="R14" s="4">
        <v>548.4</v>
      </c>
      <c r="S14" s="4">
        <v>9.4E-2</v>
      </c>
      <c r="T14" s="4">
        <v>10</v>
      </c>
      <c r="U14" s="4">
        <f t="shared" si="0"/>
        <v>12644.498400000002</v>
      </c>
      <c r="V14">
        <f t="shared" si="1"/>
        <v>3315.7</v>
      </c>
      <c r="W14" s="4">
        <f t="shared" si="5"/>
        <v>9328.7984000000033</v>
      </c>
      <c r="X14" s="4">
        <f t="shared" si="6"/>
        <v>0.73777528415045723</v>
      </c>
    </row>
    <row r="15" spans="1:24" x14ac:dyDescent="0.3">
      <c r="A15" t="s">
        <v>89</v>
      </c>
      <c r="B15" s="6">
        <v>45311</v>
      </c>
      <c r="C15" s="2">
        <v>45335</v>
      </c>
      <c r="D15" s="4">
        <f t="shared" si="7"/>
        <v>24</v>
      </c>
      <c r="E15" s="46" t="b">
        <f t="shared" si="2"/>
        <v>0</v>
      </c>
      <c r="F15" s="4" t="str">
        <f>TEXT(Data!B15,"MMM-YYYY")</f>
        <v>Sep-2025</v>
      </c>
      <c r="G15" s="4" t="str">
        <f t="shared" si="3"/>
        <v>Q1-2024</v>
      </c>
      <c r="H15" t="s">
        <v>78</v>
      </c>
      <c r="I15" t="s">
        <v>90</v>
      </c>
      <c r="J15" t="s">
        <v>91</v>
      </c>
      <c r="K15" t="s">
        <v>19</v>
      </c>
      <c r="L15" t="s">
        <v>20</v>
      </c>
      <c r="M15" t="s">
        <v>92</v>
      </c>
      <c r="N15" t="s">
        <v>30</v>
      </c>
      <c r="O15" t="s">
        <v>93</v>
      </c>
      <c r="P15" s="4">
        <v>643.53</v>
      </c>
      <c r="Q15" s="7" t="str">
        <f t="shared" si="4"/>
        <v>High</v>
      </c>
      <c r="R15" s="4">
        <v>1439.01</v>
      </c>
      <c r="S15" s="4">
        <v>0</v>
      </c>
      <c r="T15" s="4">
        <v>15</v>
      </c>
      <c r="U15" s="4">
        <f t="shared" si="0"/>
        <v>6816.3</v>
      </c>
      <c r="V15">
        <f t="shared" si="1"/>
        <v>9652.9499999999989</v>
      </c>
      <c r="W15" s="4">
        <f t="shared" si="5"/>
        <v>-2836.6499999999987</v>
      </c>
      <c r="X15" s="4">
        <f t="shared" si="6"/>
        <v>-0.4161568592931647</v>
      </c>
    </row>
    <row r="16" spans="1:24" x14ac:dyDescent="0.3">
      <c r="A16" t="s">
        <v>94</v>
      </c>
      <c r="B16" s="6">
        <v>45901</v>
      </c>
      <c r="C16" s="2">
        <v>45930</v>
      </c>
      <c r="D16" s="4">
        <f t="shared" si="7"/>
        <v>29</v>
      </c>
      <c r="E16" s="46" t="b">
        <f t="shared" si="2"/>
        <v>0</v>
      </c>
      <c r="F16" s="4" t="str">
        <f>TEXT(Data!B16,"MMM-YYYY")</f>
        <v>Apr-2023</v>
      </c>
      <c r="G16" s="4" t="str">
        <f t="shared" si="3"/>
        <v>Q3-2025</v>
      </c>
      <c r="H16" t="s">
        <v>52</v>
      </c>
      <c r="I16" t="s">
        <v>73</v>
      </c>
      <c r="J16" t="s">
        <v>87</v>
      </c>
      <c r="K16" t="s">
        <v>27</v>
      </c>
      <c r="L16" t="s">
        <v>20</v>
      </c>
      <c r="M16" t="s">
        <v>95</v>
      </c>
      <c r="N16" t="s">
        <v>81</v>
      </c>
      <c r="O16" t="s">
        <v>96</v>
      </c>
      <c r="P16" s="4">
        <v>780.59</v>
      </c>
      <c r="Q16" s="7" t="str">
        <f t="shared" si="4"/>
        <v>High</v>
      </c>
      <c r="R16" s="4">
        <v>631.57000000000005</v>
      </c>
      <c r="S16" s="4">
        <v>0</v>
      </c>
      <c r="T16" s="4">
        <v>12</v>
      </c>
      <c r="U16" s="4">
        <f t="shared" si="0"/>
        <v>18971.64</v>
      </c>
      <c r="V16">
        <f t="shared" si="1"/>
        <v>9367.08</v>
      </c>
      <c r="W16" s="4">
        <f t="shared" si="5"/>
        <v>9604.56</v>
      </c>
      <c r="X16" s="4">
        <f t="shared" si="6"/>
        <v>0.50625881579030596</v>
      </c>
    </row>
    <row r="17" spans="1:24" x14ac:dyDescent="0.3">
      <c r="A17" t="s">
        <v>97</v>
      </c>
      <c r="B17" s="6">
        <v>45039</v>
      </c>
      <c r="C17" s="2">
        <v>45038</v>
      </c>
      <c r="D17" s="4">
        <f>DATEDIF(C17, B17, "MD")</f>
        <v>1</v>
      </c>
      <c r="E17" s="46" t="str">
        <f t="shared" si="2"/>
        <v>Yes</v>
      </c>
      <c r="F17" s="4" t="str">
        <f>TEXT(Data!B17,"MMM-YYYY")</f>
        <v>Dec-2024</v>
      </c>
      <c r="G17" s="4" t="str">
        <f t="shared" si="3"/>
        <v>Q2-2023</v>
      </c>
      <c r="H17" t="s">
        <v>16</v>
      </c>
      <c r="I17" t="s">
        <v>17</v>
      </c>
      <c r="J17" t="s">
        <v>33</v>
      </c>
      <c r="K17" t="s">
        <v>62</v>
      </c>
      <c r="L17" t="s">
        <v>98</v>
      </c>
      <c r="M17" t="s">
        <v>63</v>
      </c>
      <c r="N17" t="s">
        <v>57</v>
      </c>
      <c r="O17" t="s">
        <v>99</v>
      </c>
      <c r="P17" s="4">
        <v>756.51</v>
      </c>
      <c r="Q17" s="7" t="str">
        <f t="shared" si="4"/>
        <v>High</v>
      </c>
      <c r="R17" s="4">
        <v>850.8</v>
      </c>
      <c r="S17" s="4">
        <v>7.3999999999999996E-2</v>
      </c>
      <c r="T17" s="4">
        <v>9</v>
      </c>
      <c r="U17" s="4">
        <f t="shared" si="0"/>
        <v>14666.089860000002</v>
      </c>
      <c r="V17">
        <f t="shared" si="1"/>
        <v>6808.59</v>
      </c>
      <c r="W17" s="4">
        <f t="shared" si="5"/>
        <v>7857.4998600000017</v>
      </c>
      <c r="X17" s="4">
        <f t="shared" si="6"/>
        <v>0.53575969702943038</v>
      </c>
    </row>
    <row r="18" spans="1:24" x14ac:dyDescent="0.3">
      <c r="A18" t="s">
        <v>100</v>
      </c>
      <c r="B18" s="6">
        <v>45636</v>
      </c>
      <c r="C18" s="2">
        <v>45665</v>
      </c>
      <c r="D18" s="4">
        <f t="shared" si="7"/>
        <v>29</v>
      </c>
      <c r="E18" s="46" t="b">
        <f t="shared" si="2"/>
        <v>0</v>
      </c>
      <c r="F18" s="4" t="str">
        <f>TEXT(Data!B18,"MMM-YYYY")</f>
        <v>Sep-2025</v>
      </c>
      <c r="G18" s="4" t="str">
        <f t="shared" si="3"/>
        <v>Q4-2024</v>
      </c>
      <c r="H18" t="s">
        <v>78</v>
      </c>
      <c r="I18" t="s">
        <v>90</v>
      </c>
      <c r="J18" t="s">
        <v>91</v>
      </c>
      <c r="K18" t="s">
        <v>62</v>
      </c>
      <c r="L18" t="s">
        <v>20</v>
      </c>
      <c r="M18" t="s">
        <v>95</v>
      </c>
      <c r="N18" t="s">
        <v>30</v>
      </c>
      <c r="O18" t="s">
        <v>101</v>
      </c>
      <c r="P18" s="4">
        <v>891.08</v>
      </c>
      <c r="Q18" s="7" t="str">
        <f t="shared" si="4"/>
        <v>High</v>
      </c>
      <c r="R18" s="4">
        <v>1040.0999999999999</v>
      </c>
      <c r="S18" s="4">
        <v>0.109</v>
      </c>
      <c r="T18" s="4">
        <v>28</v>
      </c>
      <c r="U18" s="4">
        <f t="shared" si="0"/>
        <v>79945.865999999995</v>
      </c>
      <c r="V18">
        <f t="shared" si="1"/>
        <v>24950.240000000002</v>
      </c>
      <c r="W18" s="4">
        <f t="shared" si="5"/>
        <v>54995.625999999989</v>
      </c>
      <c r="X18" s="4">
        <f t="shared" si="6"/>
        <v>0.68791081705212864</v>
      </c>
    </row>
    <row r="19" spans="1:24" x14ac:dyDescent="0.3">
      <c r="A19" t="s">
        <v>102</v>
      </c>
      <c r="B19" s="6">
        <v>45908</v>
      </c>
      <c r="C19" s="2">
        <v>45916</v>
      </c>
      <c r="D19" s="4">
        <f t="shared" si="7"/>
        <v>8</v>
      </c>
      <c r="E19" s="46" t="b">
        <f t="shared" si="2"/>
        <v>0</v>
      </c>
      <c r="F19" s="4" t="str">
        <f>TEXT(Data!B19,"MMM-YYYY")</f>
        <v>Jul-2025</v>
      </c>
      <c r="G19" s="4" t="str">
        <f t="shared" si="3"/>
        <v>Q3-2025</v>
      </c>
      <c r="H19" t="s">
        <v>45</v>
      </c>
      <c r="I19" t="s">
        <v>46</v>
      </c>
      <c r="J19" t="s">
        <v>47</v>
      </c>
      <c r="K19" t="s">
        <v>19</v>
      </c>
      <c r="L19" t="s">
        <v>55</v>
      </c>
      <c r="M19" t="s">
        <v>21</v>
      </c>
      <c r="N19" t="s">
        <v>42</v>
      </c>
      <c r="O19" t="s">
        <v>103</v>
      </c>
      <c r="P19" s="4">
        <v>1225.57</v>
      </c>
      <c r="Q19" s="7" t="str">
        <f t="shared" si="4"/>
        <v>High</v>
      </c>
      <c r="R19" s="4">
        <v>2705.57</v>
      </c>
      <c r="S19" s="4">
        <v>0.183</v>
      </c>
      <c r="T19" s="4">
        <v>16</v>
      </c>
      <c r="U19" s="4">
        <f t="shared" si="0"/>
        <v>14842.34096</v>
      </c>
      <c r="V19">
        <f t="shared" si="1"/>
        <v>19609.12</v>
      </c>
      <c r="W19" s="4">
        <f t="shared" si="5"/>
        <v>-4766.7790399999994</v>
      </c>
      <c r="X19" s="4">
        <f t="shared" si="6"/>
        <v>-0.32116086356232038</v>
      </c>
    </row>
    <row r="20" spans="1:24" x14ac:dyDescent="0.3">
      <c r="A20" t="s">
        <v>104</v>
      </c>
      <c r="B20" s="6">
        <v>45858</v>
      </c>
      <c r="C20" s="2">
        <v>45874</v>
      </c>
      <c r="D20" s="4">
        <f t="shared" si="7"/>
        <v>16</v>
      </c>
      <c r="E20" s="46" t="b">
        <f t="shared" si="2"/>
        <v>0</v>
      </c>
      <c r="F20" s="4" t="str">
        <f>TEXT(Data!B20,"MMM-YYYY")</f>
        <v>May-2025</v>
      </c>
      <c r="G20" s="4" t="str">
        <f t="shared" si="3"/>
        <v>Q3-2025</v>
      </c>
      <c r="H20" t="s">
        <v>52</v>
      </c>
      <c r="I20" t="s">
        <v>73</v>
      </c>
      <c r="J20" t="s">
        <v>87</v>
      </c>
      <c r="K20" t="s">
        <v>105</v>
      </c>
      <c r="L20" t="s">
        <v>40</v>
      </c>
      <c r="M20" t="s">
        <v>41</v>
      </c>
      <c r="N20" t="s">
        <v>81</v>
      </c>
      <c r="O20" t="s">
        <v>106</v>
      </c>
      <c r="P20" s="4">
        <v>1068.17</v>
      </c>
      <c r="Q20" s="7" t="str">
        <f t="shared" si="4"/>
        <v>High</v>
      </c>
      <c r="R20" s="4">
        <v>2375.37</v>
      </c>
      <c r="S20" s="4">
        <v>0.109</v>
      </c>
      <c r="T20" s="4">
        <v>18</v>
      </c>
      <c r="U20" s="4">
        <f t="shared" si="0"/>
        <v>15979.62168</v>
      </c>
      <c r="V20">
        <f t="shared" si="1"/>
        <v>19227.060000000001</v>
      </c>
      <c r="W20" s="4">
        <f t="shared" si="5"/>
        <v>-3247.4383200000011</v>
      </c>
      <c r="X20" s="4">
        <f t="shared" si="6"/>
        <v>-0.20322372988745258</v>
      </c>
    </row>
    <row r="21" spans="1:24" x14ac:dyDescent="0.3">
      <c r="A21" t="s">
        <v>107</v>
      </c>
      <c r="B21" s="6">
        <v>45798</v>
      </c>
      <c r="C21" s="2">
        <v>45796</v>
      </c>
      <c r="D21" s="4">
        <f>DATEDIF(C21,B21, "MD")</f>
        <v>2</v>
      </c>
      <c r="E21" s="46" t="str">
        <f t="shared" si="2"/>
        <v>Yes</v>
      </c>
      <c r="F21" s="4" t="str">
        <f>TEXT(Data!B21,"MMM-YYYY")</f>
        <v>Jul-2024</v>
      </c>
      <c r="G21" s="4" t="str">
        <f t="shared" si="3"/>
        <v>Q2-2025</v>
      </c>
      <c r="H21" t="s">
        <v>78</v>
      </c>
      <c r="I21" t="s">
        <v>108</v>
      </c>
      <c r="J21" t="s">
        <v>109</v>
      </c>
      <c r="K21" t="s">
        <v>105</v>
      </c>
      <c r="L21" t="s">
        <v>28</v>
      </c>
      <c r="M21" t="s">
        <v>110</v>
      </c>
      <c r="N21" t="s">
        <v>57</v>
      </c>
      <c r="O21" t="s">
        <v>111</v>
      </c>
      <c r="P21" s="4">
        <v>1015.16</v>
      </c>
      <c r="Q21" s="7" t="str">
        <f t="shared" si="4"/>
        <v>High</v>
      </c>
      <c r="R21" s="4">
        <v>2148.14</v>
      </c>
      <c r="S21" s="4">
        <v>3.7999999999999999E-2</v>
      </c>
      <c r="T21" s="4">
        <v>19</v>
      </c>
      <c r="U21" s="4">
        <f t="shared" si="0"/>
        <v>25535.279900000001</v>
      </c>
      <c r="V21">
        <f t="shared" si="1"/>
        <v>19288.04</v>
      </c>
      <c r="W21" s="4">
        <f t="shared" si="5"/>
        <v>6247.2399000000005</v>
      </c>
      <c r="X21" s="4">
        <f t="shared" si="6"/>
        <v>0.24465131866441769</v>
      </c>
    </row>
    <row r="22" spans="1:24" x14ac:dyDescent="0.3">
      <c r="A22" t="s">
        <v>112</v>
      </c>
      <c r="B22" s="6">
        <v>45498</v>
      </c>
      <c r="C22" s="2">
        <v>45497</v>
      </c>
      <c r="D22" s="4">
        <f>DATEDIF(C22,B22, "MD")</f>
        <v>1</v>
      </c>
      <c r="E22" s="46" t="str">
        <f t="shared" si="2"/>
        <v>Yes</v>
      </c>
      <c r="F22" s="4" t="str">
        <f>TEXT(Data!B22,"MMM-YYYY")</f>
        <v>May-2023</v>
      </c>
      <c r="G22" s="4" t="str">
        <f t="shared" si="3"/>
        <v>Q3-2024</v>
      </c>
      <c r="H22" t="s">
        <v>16</v>
      </c>
      <c r="I22" t="s">
        <v>17</v>
      </c>
      <c r="J22" t="s">
        <v>113</v>
      </c>
      <c r="K22" t="s">
        <v>39</v>
      </c>
      <c r="L22" t="s">
        <v>98</v>
      </c>
      <c r="M22" t="s">
        <v>29</v>
      </c>
      <c r="N22" t="s">
        <v>57</v>
      </c>
      <c r="O22" t="s">
        <v>114</v>
      </c>
      <c r="P22" s="4">
        <v>1494.4</v>
      </c>
      <c r="Q22" s="7" t="str">
        <f t="shared" si="4"/>
        <v>High</v>
      </c>
      <c r="R22" s="4">
        <v>3661.07</v>
      </c>
      <c r="S22" s="4">
        <v>7.1999999999999995E-2</v>
      </c>
      <c r="T22" s="4">
        <v>7</v>
      </c>
      <c r="U22" s="4">
        <f t="shared" si="0"/>
        <v>3565.5894400000002</v>
      </c>
      <c r="V22">
        <f t="shared" si="1"/>
        <v>10460.800000000001</v>
      </c>
      <c r="W22" s="4">
        <f t="shared" si="5"/>
        <v>-6895.2105600000014</v>
      </c>
      <c r="X22" s="4">
        <f t="shared" si="6"/>
        <v>-1.9338206700544864</v>
      </c>
    </row>
    <row r="23" spans="1:24" x14ac:dyDescent="0.3">
      <c r="A23" t="s">
        <v>115</v>
      </c>
      <c r="B23" s="6">
        <v>45057</v>
      </c>
      <c r="C23" s="2">
        <v>45074</v>
      </c>
      <c r="D23" s="4">
        <f t="shared" si="7"/>
        <v>17</v>
      </c>
      <c r="E23" s="46" t="b">
        <f t="shared" si="2"/>
        <v>0</v>
      </c>
      <c r="F23" s="4" t="str">
        <f>TEXT(Data!B23,"MMM-YYYY")</f>
        <v>Jun-2025</v>
      </c>
      <c r="G23" s="4" t="str">
        <f t="shared" si="3"/>
        <v>Q2-2023</v>
      </c>
      <c r="H23" t="s">
        <v>45</v>
      </c>
      <c r="I23" t="s">
        <v>116</v>
      </c>
      <c r="J23" t="s">
        <v>117</v>
      </c>
      <c r="K23" t="s">
        <v>105</v>
      </c>
      <c r="L23" t="s">
        <v>40</v>
      </c>
      <c r="M23" t="s">
        <v>63</v>
      </c>
      <c r="N23" t="s">
        <v>35</v>
      </c>
      <c r="O23" t="s">
        <v>118</v>
      </c>
      <c r="P23" s="4">
        <v>1331.19</v>
      </c>
      <c r="Q23" s="7" t="str">
        <f t="shared" si="4"/>
        <v>High</v>
      </c>
      <c r="R23" s="4">
        <v>2903.09</v>
      </c>
      <c r="S23" s="4">
        <v>0.14299999999999999</v>
      </c>
      <c r="T23" s="4">
        <v>8</v>
      </c>
      <c r="U23" s="4">
        <f t="shared" si="0"/>
        <v>24160.543999999998</v>
      </c>
      <c r="V23">
        <f t="shared" si="1"/>
        <v>10649.52</v>
      </c>
      <c r="W23" s="4">
        <f t="shared" si="5"/>
        <v>13511.023999999998</v>
      </c>
      <c r="X23" s="4">
        <f t="shared" si="6"/>
        <v>0.55921853415221112</v>
      </c>
    </row>
    <row r="24" spans="1:24" x14ac:dyDescent="0.3">
      <c r="A24" t="s">
        <v>119</v>
      </c>
      <c r="B24" s="6">
        <v>45822</v>
      </c>
      <c r="C24" s="2">
        <v>45837</v>
      </c>
      <c r="D24" s="4">
        <f t="shared" si="7"/>
        <v>15</v>
      </c>
      <c r="E24" s="46" t="b">
        <f t="shared" si="2"/>
        <v>0</v>
      </c>
      <c r="F24" s="4" t="str">
        <f>TEXT(Data!B24,"MMM-YYYY")</f>
        <v>May-2024</v>
      </c>
      <c r="G24" s="4" t="str">
        <f t="shared" si="3"/>
        <v>Q2-2025</v>
      </c>
      <c r="H24" t="s">
        <v>16</v>
      </c>
      <c r="I24" t="s">
        <v>25</v>
      </c>
      <c r="J24" t="s">
        <v>26</v>
      </c>
      <c r="K24" t="s">
        <v>48</v>
      </c>
      <c r="L24" t="s">
        <v>40</v>
      </c>
      <c r="M24" t="s">
        <v>110</v>
      </c>
      <c r="N24" t="s">
        <v>81</v>
      </c>
      <c r="O24" t="s">
        <v>120</v>
      </c>
      <c r="P24" s="4">
        <v>730.99</v>
      </c>
      <c r="Q24" s="7" t="str">
        <f t="shared" si="4"/>
        <v>High</v>
      </c>
      <c r="R24" s="4">
        <v>1242.8399999999999</v>
      </c>
      <c r="S24" s="4">
        <v>0.12</v>
      </c>
      <c r="T24" s="4">
        <v>10</v>
      </c>
      <c r="U24" s="4">
        <f t="shared" si="0"/>
        <v>16065.367999999999</v>
      </c>
      <c r="V24">
        <f t="shared" si="1"/>
        <v>7309.9</v>
      </c>
      <c r="W24" s="4">
        <f t="shared" si="5"/>
        <v>8755.4679999999989</v>
      </c>
      <c r="X24" s="4">
        <f t="shared" si="6"/>
        <v>0.54499019256826231</v>
      </c>
    </row>
    <row r="25" spans="1:24" x14ac:dyDescent="0.3">
      <c r="A25" t="s">
        <v>121</v>
      </c>
      <c r="B25" s="6">
        <v>45430</v>
      </c>
      <c r="C25" s="2">
        <v>45435</v>
      </c>
      <c r="D25" s="4">
        <f t="shared" si="7"/>
        <v>5</v>
      </c>
      <c r="E25" s="46" t="str">
        <f t="shared" si="2"/>
        <v>Yes</v>
      </c>
      <c r="F25" s="4" t="str">
        <f>TEXT(Data!B25,"MMM-YYYY")</f>
        <v>Feb-2023</v>
      </c>
      <c r="G25" s="4" t="str">
        <f t="shared" si="3"/>
        <v>Q2-2024</v>
      </c>
      <c r="H25" t="s">
        <v>52</v>
      </c>
      <c r="I25" t="s">
        <v>122</v>
      </c>
      <c r="J25" t="s">
        <v>123</v>
      </c>
      <c r="K25" t="s">
        <v>105</v>
      </c>
      <c r="L25" t="s">
        <v>20</v>
      </c>
      <c r="M25" t="s">
        <v>92</v>
      </c>
      <c r="N25" t="s">
        <v>57</v>
      </c>
      <c r="O25" t="s">
        <v>124</v>
      </c>
      <c r="P25" s="4">
        <v>1274.5899999999999</v>
      </c>
      <c r="Q25" s="7" t="str">
        <f t="shared" si="4"/>
        <v>High</v>
      </c>
      <c r="R25" s="4">
        <v>2553.69</v>
      </c>
      <c r="S25" s="4">
        <v>0.01</v>
      </c>
      <c r="T25" s="4">
        <v>8</v>
      </c>
      <c r="U25" s="4">
        <f t="shared" si="0"/>
        <v>14187.650399999999</v>
      </c>
      <c r="V25">
        <f t="shared" si="1"/>
        <v>10196.719999999999</v>
      </c>
      <c r="W25" s="4">
        <f t="shared" si="5"/>
        <v>3990.9303999999993</v>
      </c>
      <c r="X25" s="4">
        <f t="shared" si="6"/>
        <v>0.28129607704458237</v>
      </c>
    </row>
    <row r="26" spans="1:24" x14ac:dyDescent="0.3">
      <c r="A26" t="s">
        <v>125</v>
      </c>
      <c r="B26" s="6">
        <v>44964</v>
      </c>
      <c r="C26" s="2">
        <v>44969</v>
      </c>
      <c r="D26" s="4">
        <f t="shared" si="7"/>
        <v>5</v>
      </c>
      <c r="E26" s="46" t="str">
        <f t="shared" si="2"/>
        <v>Yes</v>
      </c>
      <c r="F26" s="4" t="str">
        <f>TEXT(Data!B26,"MMM-YYYY")</f>
        <v>Jun-2024</v>
      </c>
      <c r="G26" s="4" t="str">
        <f t="shared" si="3"/>
        <v>Q1-2023</v>
      </c>
      <c r="H26" t="s">
        <v>52</v>
      </c>
      <c r="I26" t="s">
        <v>73</v>
      </c>
      <c r="J26" t="s">
        <v>74</v>
      </c>
      <c r="K26" t="s">
        <v>27</v>
      </c>
      <c r="L26" t="s">
        <v>28</v>
      </c>
      <c r="M26" t="s">
        <v>126</v>
      </c>
      <c r="N26" t="s">
        <v>22</v>
      </c>
      <c r="O26" t="s">
        <v>127</v>
      </c>
      <c r="P26" s="4">
        <v>948.55</v>
      </c>
      <c r="Q26" s="7" t="str">
        <f t="shared" si="4"/>
        <v>High</v>
      </c>
      <c r="R26" s="4">
        <v>2089.16</v>
      </c>
      <c r="S26" s="4">
        <v>7.0000000000000001E-3</v>
      </c>
      <c r="T26" s="4">
        <v>12</v>
      </c>
      <c r="U26" s="4">
        <f t="shared" si="0"/>
        <v>31336.100999999999</v>
      </c>
      <c r="V26">
        <f t="shared" si="1"/>
        <v>11382.599999999999</v>
      </c>
      <c r="W26" s="4">
        <f t="shared" si="5"/>
        <v>19953.501</v>
      </c>
      <c r="X26" s="4">
        <f t="shared" si="6"/>
        <v>0.63675761703729516</v>
      </c>
    </row>
    <row r="27" spans="1:24" x14ac:dyDescent="0.3">
      <c r="A27" t="s">
        <v>128</v>
      </c>
      <c r="B27" s="6">
        <v>45473</v>
      </c>
      <c r="C27" s="2">
        <v>45487</v>
      </c>
      <c r="D27" s="4">
        <f t="shared" si="7"/>
        <v>14</v>
      </c>
      <c r="E27" s="46" t="b">
        <f t="shared" si="2"/>
        <v>0</v>
      </c>
      <c r="F27" s="4" t="str">
        <f>TEXT(Data!B27,"MMM-YYYY")</f>
        <v>Nov-2024</v>
      </c>
      <c r="G27" s="4" t="str">
        <f t="shared" si="3"/>
        <v>Q2-2024</v>
      </c>
      <c r="H27" t="s">
        <v>52</v>
      </c>
      <c r="I27" t="s">
        <v>73</v>
      </c>
      <c r="J27" t="s">
        <v>87</v>
      </c>
      <c r="K27" t="s">
        <v>27</v>
      </c>
      <c r="L27" t="s">
        <v>20</v>
      </c>
      <c r="M27" t="s">
        <v>21</v>
      </c>
      <c r="N27" t="s">
        <v>81</v>
      </c>
      <c r="O27" t="s">
        <v>129</v>
      </c>
      <c r="P27" s="4">
        <v>1491.85</v>
      </c>
      <c r="Q27" s="7" t="str">
        <f t="shared" si="4"/>
        <v>High</v>
      </c>
      <c r="R27" s="4">
        <v>2583.02</v>
      </c>
      <c r="S27" s="4">
        <v>0.16800000000000001</v>
      </c>
      <c r="T27" s="4">
        <v>4</v>
      </c>
      <c r="U27" s="4">
        <f t="shared" si="0"/>
        <v>353.76639999999998</v>
      </c>
      <c r="V27">
        <f t="shared" si="1"/>
        <v>5967.4</v>
      </c>
      <c r="W27" s="4">
        <f t="shared" si="5"/>
        <v>-5613.6335999999992</v>
      </c>
      <c r="X27" s="4">
        <f t="shared" si="6"/>
        <v>-15.868193248426079</v>
      </c>
    </row>
    <row r="28" spans="1:24" x14ac:dyDescent="0.3">
      <c r="A28" t="s">
        <v>130</v>
      </c>
      <c r="B28" s="6">
        <v>45626</v>
      </c>
      <c r="C28" s="2">
        <v>45656</v>
      </c>
      <c r="D28" s="4">
        <f t="shared" si="7"/>
        <v>0</v>
      </c>
      <c r="E28" s="46" t="str">
        <f t="shared" si="2"/>
        <v>Yes</v>
      </c>
      <c r="F28" s="4" t="str">
        <f>TEXT(Data!B28,"MMM-YYYY")</f>
        <v>Jul-2024</v>
      </c>
      <c r="G28" s="4" t="str">
        <f t="shared" si="3"/>
        <v>Q4-2024</v>
      </c>
      <c r="H28" t="s">
        <v>78</v>
      </c>
      <c r="I28" t="s">
        <v>90</v>
      </c>
      <c r="J28" t="s">
        <v>91</v>
      </c>
      <c r="K28" t="s">
        <v>48</v>
      </c>
      <c r="L28" t="s">
        <v>40</v>
      </c>
      <c r="M28" t="s">
        <v>84</v>
      </c>
      <c r="N28" t="s">
        <v>30</v>
      </c>
      <c r="O28" t="s">
        <v>131</v>
      </c>
      <c r="P28" s="4">
        <v>117.64</v>
      </c>
      <c r="Q28" s="7" t="str">
        <f t="shared" si="4"/>
        <v>Medium</v>
      </c>
      <c r="R28" s="4">
        <v>175.67</v>
      </c>
      <c r="S28" s="4">
        <v>0</v>
      </c>
      <c r="T28" s="4">
        <v>10</v>
      </c>
      <c r="U28" s="4">
        <f t="shared" si="0"/>
        <v>3857.2000000000003</v>
      </c>
      <c r="V28">
        <f t="shared" si="1"/>
        <v>1176.4000000000001</v>
      </c>
      <c r="W28" s="4">
        <f t="shared" si="5"/>
        <v>2680.8</v>
      </c>
      <c r="X28" s="4">
        <f t="shared" si="6"/>
        <v>0.69501192574924819</v>
      </c>
    </row>
    <row r="29" spans="1:24" x14ac:dyDescent="0.3">
      <c r="A29" t="s">
        <v>132</v>
      </c>
      <c r="B29" s="6">
        <v>45492</v>
      </c>
      <c r="C29" s="2">
        <v>45492</v>
      </c>
      <c r="D29" s="4">
        <f t="shared" si="7"/>
        <v>0</v>
      </c>
      <c r="E29" s="46" t="str">
        <f t="shared" si="2"/>
        <v>Yes</v>
      </c>
      <c r="F29" s="4" t="str">
        <f>TEXT(Data!B29,"MMM-YYYY")</f>
        <v>Apr-2023</v>
      </c>
      <c r="G29" s="4" t="str">
        <f t="shared" si="3"/>
        <v>Q3-2024</v>
      </c>
      <c r="H29" t="s">
        <v>16</v>
      </c>
      <c r="I29" t="s">
        <v>17</v>
      </c>
      <c r="J29" t="s">
        <v>18</v>
      </c>
      <c r="K29" t="s">
        <v>62</v>
      </c>
      <c r="L29" t="s">
        <v>20</v>
      </c>
      <c r="M29" t="s">
        <v>75</v>
      </c>
      <c r="N29" t="s">
        <v>42</v>
      </c>
      <c r="O29" t="s">
        <v>133</v>
      </c>
      <c r="P29" s="4">
        <v>857.24</v>
      </c>
      <c r="Q29" s="7" t="str">
        <f t="shared" si="4"/>
        <v>High</v>
      </c>
      <c r="R29" s="4">
        <v>758.23</v>
      </c>
      <c r="S29" s="4">
        <v>0.125</v>
      </c>
      <c r="T29" s="4">
        <v>6</v>
      </c>
      <c r="U29" s="4">
        <f t="shared" si="0"/>
        <v>1243.5675000000001</v>
      </c>
      <c r="V29">
        <f t="shared" si="1"/>
        <v>5143.4400000000005</v>
      </c>
      <c r="W29" s="4">
        <f t="shared" si="5"/>
        <v>-3899.8725000000004</v>
      </c>
      <c r="X29" s="4">
        <f t="shared" si="6"/>
        <v>-3.1360360414694015</v>
      </c>
    </row>
    <row r="30" spans="1:24" x14ac:dyDescent="0.3">
      <c r="A30" t="s">
        <v>134</v>
      </c>
      <c r="B30" s="6">
        <v>45030</v>
      </c>
      <c r="C30" s="2">
        <v>45060</v>
      </c>
      <c r="D30" s="4">
        <f t="shared" si="7"/>
        <v>0</v>
      </c>
      <c r="E30" s="46" t="str">
        <f t="shared" si="2"/>
        <v>Yes</v>
      </c>
      <c r="F30" s="4" t="str">
        <f>TEXT(Data!B30,"MMM-YYYY")</f>
        <v>Apr-2025</v>
      </c>
      <c r="G30" s="4" t="str">
        <f t="shared" si="3"/>
        <v>Q2-2023</v>
      </c>
      <c r="H30" t="s">
        <v>16</v>
      </c>
      <c r="I30" t="s">
        <v>17</v>
      </c>
      <c r="J30" t="s">
        <v>135</v>
      </c>
      <c r="K30" t="s">
        <v>48</v>
      </c>
      <c r="L30" t="s">
        <v>40</v>
      </c>
      <c r="M30" t="s">
        <v>110</v>
      </c>
      <c r="N30" t="s">
        <v>42</v>
      </c>
      <c r="O30" t="s">
        <v>136</v>
      </c>
      <c r="P30" s="4">
        <v>209.25</v>
      </c>
      <c r="Q30" s="7" t="str">
        <f t="shared" si="4"/>
        <v>High</v>
      </c>
      <c r="R30" s="4">
        <v>434.8</v>
      </c>
      <c r="S30" s="4">
        <v>0</v>
      </c>
      <c r="T30" s="4">
        <v>9</v>
      </c>
      <c r="U30" s="4">
        <f t="shared" si="0"/>
        <v>377.09999999999997</v>
      </c>
      <c r="V30">
        <f t="shared" si="1"/>
        <v>1883.25</v>
      </c>
      <c r="W30" s="4">
        <f t="shared" si="5"/>
        <v>-1506.15</v>
      </c>
      <c r="X30" s="4">
        <f t="shared" si="6"/>
        <v>-3.9940334128878288</v>
      </c>
    </row>
    <row r="31" spans="1:24" x14ac:dyDescent="0.3">
      <c r="A31" t="s">
        <v>137</v>
      </c>
      <c r="B31" s="6">
        <v>45754</v>
      </c>
      <c r="C31" s="2">
        <v>45758</v>
      </c>
      <c r="D31" s="4">
        <f t="shared" si="7"/>
        <v>4</v>
      </c>
      <c r="E31" s="46" t="str">
        <f t="shared" si="2"/>
        <v>Yes</v>
      </c>
      <c r="F31" s="4" t="str">
        <f>TEXT(Data!B31,"MMM-YYYY")</f>
        <v>Dec-2024</v>
      </c>
      <c r="G31" s="4" t="str">
        <f t="shared" si="3"/>
        <v>Q2-2025</v>
      </c>
      <c r="H31" t="s">
        <v>78</v>
      </c>
      <c r="I31" t="s">
        <v>90</v>
      </c>
      <c r="J31" t="s">
        <v>138</v>
      </c>
      <c r="K31" t="s">
        <v>27</v>
      </c>
      <c r="L31" t="s">
        <v>20</v>
      </c>
      <c r="M31" t="s">
        <v>63</v>
      </c>
      <c r="N31" t="s">
        <v>35</v>
      </c>
      <c r="O31" t="s">
        <v>139</v>
      </c>
      <c r="P31" s="4">
        <v>754.77</v>
      </c>
      <c r="Q31" s="7" t="str">
        <f t="shared" si="4"/>
        <v>High</v>
      </c>
      <c r="R31" s="4">
        <v>1666.18</v>
      </c>
      <c r="S31" s="4">
        <v>0.13900000000000001</v>
      </c>
      <c r="T31" s="4">
        <v>14</v>
      </c>
      <c r="U31" s="4">
        <f t="shared" si="0"/>
        <v>11781.338519999999</v>
      </c>
      <c r="V31">
        <f t="shared" si="1"/>
        <v>10566.779999999999</v>
      </c>
      <c r="W31" s="4">
        <f t="shared" si="5"/>
        <v>1214.5585200000005</v>
      </c>
      <c r="X31" s="4">
        <f t="shared" si="6"/>
        <v>0.10309172577786183</v>
      </c>
    </row>
    <row r="32" spans="1:24" x14ac:dyDescent="0.3">
      <c r="A32" t="s">
        <v>140</v>
      </c>
      <c r="B32" s="6">
        <v>45653</v>
      </c>
      <c r="C32" s="2">
        <v>45672</v>
      </c>
      <c r="D32" s="4">
        <f t="shared" si="7"/>
        <v>19</v>
      </c>
      <c r="E32" s="46" t="b">
        <f t="shared" si="2"/>
        <v>0</v>
      </c>
      <c r="F32" s="4" t="str">
        <f>TEXT(Data!B32,"MMM-YYYY")</f>
        <v>Feb-2023</v>
      </c>
      <c r="G32" s="4" t="str">
        <f t="shared" si="3"/>
        <v>Q4-2024</v>
      </c>
      <c r="H32" t="s">
        <v>45</v>
      </c>
      <c r="I32" t="s">
        <v>60</v>
      </c>
      <c r="J32" t="s">
        <v>141</v>
      </c>
      <c r="K32" t="s">
        <v>39</v>
      </c>
      <c r="L32" t="s">
        <v>55</v>
      </c>
      <c r="M32" t="s">
        <v>41</v>
      </c>
      <c r="N32" t="s">
        <v>22</v>
      </c>
      <c r="O32" t="s">
        <v>142</v>
      </c>
      <c r="P32" s="4">
        <v>495.59</v>
      </c>
      <c r="Q32" s="7" t="str">
        <f t="shared" si="4"/>
        <v>High</v>
      </c>
      <c r="R32" s="4">
        <v>631.78</v>
      </c>
      <c r="S32" s="4">
        <v>8.6999999999999994E-2</v>
      </c>
      <c r="T32" s="4">
        <v>17</v>
      </c>
      <c r="U32" s="4">
        <f t="shared" si="0"/>
        <v>43367.691729999999</v>
      </c>
      <c r="V32">
        <f t="shared" si="1"/>
        <v>8425.0299999999988</v>
      </c>
      <c r="W32" s="4">
        <f t="shared" si="5"/>
        <v>34942.66173</v>
      </c>
      <c r="X32" s="4">
        <f t="shared" si="6"/>
        <v>0.8057302645376464</v>
      </c>
    </row>
    <row r="33" spans="1:24" x14ac:dyDescent="0.3">
      <c r="A33" t="s">
        <v>143</v>
      </c>
      <c r="B33" s="6">
        <v>44980</v>
      </c>
      <c r="C33" s="2">
        <v>45010</v>
      </c>
      <c r="D33" s="4">
        <f t="shared" si="7"/>
        <v>2</v>
      </c>
      <c r="E33" s="46" t="str">
        <f t="shared" si="2"/>
        <v>Yes</v>
      </c>
      <c r="F33" s="4" t="str">
        <f>TEXT(Data!B33,"MMM-YYYY")</f>
        <v>Jul-2025</v>
      </c>
      <c r="G33" s="4" t="str">
        <f t="shared" si="3"/>
        <v>Q1-2023</v>
      </c>
      <c r="H33" t="s">
        <v>52</v>
      </c>
      <c r="I33" t="s">
        <v>53</v>
      </c>
      <c r="J33" t="s">
        <v>144</v>
      </c>
      <c r="K33" t="s">
        <v>105</v>
      </c>
      <c r="L33" t="s">
        <v>28</v>
      </c>
      <c r="M33" t="s">
        <v>145</v>
      </c>
      <c r="N33" t="s">
        <v>42</v>
      </c>
      <c r="O33" t="s">
        <v>146</v>
      </c>
      <c r="P33" s="4">
        <v>1242.6600000000001</v>
      </c>
      <c r="Q33" s="7" t="str">
        <f t="shared" si="4"/>
        <v>High</v>
      </c>
      <c r="R33" s="4">
        <v>1794.07</v>
      </c>
      <c r="S33" s="4">
        <v>8.8999999999999996E-2</v>
      </c>
      <c r="T33" s="4">
        <v>16</v>
      </c>
      <c r="U33" s="4">
        <f t="shared" si="0"/>
        <v>10231.623200000002</v>
      </c>
      <c r="V33">
        <f t="shared" si="1"/>
        <v>19882.560000000001</v>
      </c>
      <c r="W33" s="4">
        <f t="shared" si="5"/>
        <v>-9650.9367999999995</v>
      </c>
      <c r="X33" s="4">
        <f t="shared" si="6"/>
        <v>-0.94324591624914389</v>
      </c>
    </row>
    <row r="34" spans="1:24" x14ac:dyDescent="0.3">
      <c r="A34" t="s">
        <v>147</v>
      </c>
      <c r="B34" s="6">
        <v>45862</v>
      </c>
      <c r="C34" s="2">
        <v>45875</v>
      </c>
      <c r="D34" s="4">
        <f t="shared" si="7"/>
        <v>13</v>
      </c>
      <c r="E34" s="46" t="b">
        <f t="shared" si="2"/>
        <v>0</v>
      </c>
      <c r="F34" s="4" t="str">
        <f>TEXT(Data!B34,"MMM-YYYY")</f>
        <v>Apr-2024</v>
      </c>
      <c r="G34" s="4" t="str">
        <f t="shared" si="3"/>
        <v>Q3-2025</v>
      </c>
      <c r="H34" t="s">
        <v>16</v>
      </c>
      <c r="I34" t="s">
        <v>148</v>
      </c>
      <c r="J34" t="s">
        <v>149</v>
      </c>
      <c r="K34" t="s">
        <v>27</v>
      </c>
      <c r="L34" t="s">
        <v>40</v>
      </c>
      <c r="M34" t="s">
        <v>145</v>
      </c>
      <c r="N34" t="s">
        <v>35</v>
      </c>
      <c r="O34" t="s">
        <v>150</v>
      </c>
      <c r="P34" s="4">
        <v>1463.9</v>
      </c>
      <c r="Q34" s="7" t="str">
        <f t="shared" si="4"/>
        <v>High</v>
      </c>
      <c r="R34" s="4">
        <v>2633.02</v>
      </c>
      <c r="S34" s="4">
        <v>8.4000000000000005E-2</v>
      </c>
      <c r="T34" s="4">
        <v>4</v>
      </c>
      <c r="U34" s="4">
        <f t="shared" si="0"/>
        <v>-19.309279999999998</v>
      </c>
      <c r="V34">
        <f t="shared" si="1"/>
        <v>5855.6</v>
      </c>
      <c r="W34" s="4">
        <f t="shared" si="5"/>
        <v>-5874.9092800000008</v>
      </c>
      <c r="X34" s="4">
        <f t="shared" si="6"/>
        <v>304.25315081660227</v>
      </c>
    </row>
    <row r="35" spans="1:24" x14ac:dyDescent="0.3">
      <c r="A35" t="s">
        <v>151</v>
      </c>
      <c r="B35" s="6">
        <v>45400</v>
      </c>
      <c r="C35" s="2">
        <v>45420</v>
      </c>
      <c r="D35" s="4">
        <f t="shared" si="7"/>
        <v>20</v>
      </c>
      <c r="E35" s="46" t="b">
        <f t="shared" si="2"/>
        <v>0</v>
      </c>
      <c r="F35" s="4" t="str">
        <f>TEXT(Data!B35,"MMM-YYYY")</f>
        <v>Aug-2024</v>
      </c>
      <c r="G35" s="4" t="str">
        <f t="shared" si="3"/>
        <v>Q2-2024</v>
      </c>
      <c r="H35" t="s">
        <v>78</v>
      </c>
      <c r="I35" t="s">
        <v>108</v>
      </c>
      <c r="J35" t="s">
        <v>152</v>
      </c>
      <c r="K35" t="s">
        <v>39</v>
      </c>
      <c r="L35" t="s">
        <v>1364</v>
      </c>
      <c r="M35" t="s">
        <v>145</v>
      </c>
      <c r="N35" t="s">
        <v>57</v>
      </c>
      <c r="O35" t="s">
        <v>153</v>
      </c>
      <c r="P35" s="4">
        <v>645.33000000000004</v>
      </c>
      <c r="Q35" s="7" t="str">
        <f t="shared" si="4"/>
        <v>High</v>
      </c>
      <c r="R35" s="4">
        <v>1321.85</v>
      </c>
      <c r="S35" s="4">
        <v>0</v>
      </c>
      <c r="T35" s="4">
        <v>10</v>
      </c>
      <c r="U35" s="4">
        <f t="shared" si="0"/>
        <v>14370.599999999999</v>
      </c>
      <c r="V35">
        <f t="shared" si="1"/>
        <v>6453.3</v>
      </c>
      <c r="W35" s="4">
        <f t="shared" si="5"/>
        <v>7917.2999999999984</v>
      </c>
      <c r="X35" s="4">
        <f t="shared" si="6"/>
        <v>0.55093733038286496</v>
      </c>
    </row>
    <row r="36" spans="1:24" x14ac:dyDescent="0.3">
      <c r="A36" t="s">
        <v>154</v>
      </c>
      <c r="B36" s="6">
        <v>45527</v>
      </c>
      <c r="C36" s="2">
        <v>45525</v>
      </c>
      <c r="D36" s="4">
        <f>DATEDIF(C36,B36, "MD")</f>
        <v>2</v>
      </c>
      <c r="E36" s="46" t="str">
        <f t="shared" si="2"/>
        <v>Yes</v>
      </c>
      <c r="F36" s="4" t="str">
        <f>TEXT(Data!B36,"MMM-YYYY")</f>
        <v>Mar-2023</v>
      </c>
      <c r="G36" s="4" t="str">
        <f t="shared" si="3"/>
        <v>Q3-2024</v>
      </c>
      <c r="H36" t="s">
        <v>16</v>
      </c>
      <c r="I36" t="s">
        <v>148</v>
      </c>
      <c r="J36" t="s">
        <v>149</v>
      </c>
      <c r="K36" t="s">
        <v>27</v>
      </c>
      <c r="L36" t="s">
        <v>20</v>
      </c>
      <c r="M36" t="s">
        <v>63</v>
      </c>
      <c r="N36" t="s">
        <v>22</v>
      </c>
      <c r="O36" t="s">
        <v>155</v>
      </c>
      <c r="P36" s="4">
        <v>1432.52</v>
      </c>
      <c r="Q36" s="7" t="str">
        <f t="shared" si="4"/>
        <v>High</v>
      </c>
      <c r="R36" s="4">
        <v>3036.87</v>
      </c>
      <c r="S36" s="4">
        <v>0</v>
      </c>
      <c r="T36" s="4">
        <v>9</v>
      </c>
      <c r="U36" s="4">
        <f t="shared" si="0"/>
        <v>17207.010000000002</v>
      </c>
      <c r="V36">
        <f t="shared" si="1"/>
        <v>12892.68</v>
      </c>
      <c r="W36" s="4">
        <f t="shared" si="5"/>
        <v>4314.3300000000017</v>
      </c>
      <c r="X36" s="4">
        <f t="shared" si="6"/>
        <v>0.25073095209452434</v>
      </c>
    </row>
    <row r="37" spans="1:24" x14ac:dyDescent="0.3">
      <c r="A37" t="s">
        <v>156</v>
      </c>
      <c r="B37" s="6">
        <v>45012</v>
      </c>
      <c r="C37" s="2">
        <v>45038</v>
      </c>
      <c r="D37" s="4">
        <f t="shared" si="7"/>
        <v>26</v>
      </c>
      <c r="E37" s="46" t="b">
        <f t="shared" si="2"/>
        <v>0</v>
      </c>
      <c r="F37" s="4" t="str">
        <f>TEXT(Data!B37,"MMM-YYYY")</f>
        <v>Mar-2024</v>
      </c>
      <c r="G37" s="4" t="str">
        <f t="shared" si="3"/>
        <v>Q1-2023</v>
      </c>
      <c r="H37" t="s">
        <v>45</v>
      </c>
      <c r="I37" t="s">
        <v>60</v>
      </c>
      <c r="J37" t="s">
        <v>141</v>
      </c>
      <c r="K37" t="s">
        <v>39</v>
      </c>
      <c r="L37" t="s">
        <v>40</v>
      </c>
      <c r="M37" t="s">
        <v>29</v>
      </c>
      <c r="N37" t="s">
        <v>30</v>
      </c>
      <c r="O37" t="s">
        <v>157</v>
      </c>
      <c r="P37" s="4">
        <v>178.53</v>
      </c>
      <c r="Q37" s="7" t="str">
        <f t="shared" si="4"/>
        <v>Medium</v>
      </c>
      <c r="R37" s="4">
        <v>199.37</v>
      </c>
      <c r="S37" s="4">
        <v>0.10100000000000001</v>
      </c>
      <c r="T37" s="4">
        <v>37</v>
      </c>
      <c r="U37" s="4">
        <f t="shared" si="0"/>
        <v>86276.904139999999</v>
      </c>
      <c r="V37">
        <f t="shared" si="1"/>
        <v>6605.61</v>
      </c>
      <c r="W37" s="4">
        <f t="shared" si="5"/>
        <v>79671.294139999998</v>
      </c>
      <c r="X37" s="4">
        <f t="shared" si="6"/>
        <v>0.92343709981432354</v>
      </c>
    </row>
    <row r="38" spans="1:24" x14ac:dyDescent="0.3">
      <c r="A38" t="s">
        <v>158</v>
      </c>
      <c r="B38" s="6">
        <v>45358</v>
      </c>
      <c r="C38" s="2">
        <v>45376</v>
      </c>
      <c r="D38" s="4">
        <f t="shared" si="7"/>
        <v>18</v>
      </c>
      <c r="E38" s="46" t="b">
        <f t="shared" si="2"/>
        <v>0</v>
      </c>
      <c r="F38" s="4" t="str">
        <f>TEXT(Data!B38,"MMM-YYYY")</f>
        <v>Jun-2025</v>
      </c>
      <c r="G38" s="4" t="str">
        <f t="shared" si="3"/>
        <v>Q1-2024</v>
      </c>
      <c r="H38" t="s">
        <v>78</v>
      </c>
      <c r="I38" t="s">
        <v>79</v>
      </c>
      <c r="J38" t="s">
        <v>159</v>
      </c>
      <c r="K38" t="s">
        <v>19</v>
      </c>
      <c r="L38" t="s">
        <v>28</v>
      </c>
      <c r="M38" t="s">
        <v>56</v>
      </c>
      <c r="N38" t="s">
        <v>22</v>
      </c>
      <c r="O38" t="s">
        <v>160</v>
      </c>
      <c r="P38" s="4">
        <v>712.84</v>
      </c>
      <c r="Q38" s="7" t="str">
        <f t="shared" si="4"/>
        <v>High</v>
      </c>
      <c r="R38" s="4">
        <v>927.51</v>
      </c>
      <c r="S38" s="4">
        <v>0.24299999999999999</v>
      </c>
      <c r="T38" s="4">
        <v>27</v>
      </c>
      <c r="U38" s="4">
        <f t="shared" si="0"/>
        <v>25427.751119999997</v>
      </c>
      <c r="V38">
        <f t="shared" si="1"/>
        <v>19246.68</v>
      </c>
      <c r="W38" s="4">
        <f t="shared" si="5"/>
        <v>6181.0711199999969</v>
      </c>
      <c r="X38" s="4">
        <f t="shared" si="6"/>
        <v>0.24308367227718869</v>
      </c>
    </row>
    <row r="39" spans="1:24" x14ac:dyDescent="0.3">
      <c r="A39" t="s">
        <v>161</v>
      </c>
      <c r="B39" s="6">
        <v>45832</v>
      </c>
      <c r="C39" s="2">
        <v>45848</v>
      </c>
      <c r="D39" s="4">
        <f t="shared" si="7"/>
        <v>16</v>
      </c>
      <c r="E39" s="46" t="b">
        <f t="shared" si="2"/>
        <v>0</v>
      </c>
      <c r="F39" s="4" t="str">
        <f>TEXT(Data!B39,"MMM-YYYY")</f>
        <v>Apr-2024</v>
      </c>
      <c r="G39" s="4" t="str">
        <f t="shared" si="3"/>
        <v>Q2-2025</v>
      </c>
      <c r="H39" t="s">
        <v>45</v>
      </c>
      <c r="I39" t="s">
        <v>116</v>
      </c>
      <c r="J39" t="s">
        <v>162</v>
      </c>
      <c r="K39" t="s">
        <v>105</v>
      </c>
      <c r="L39" t="s">
        <v>98</v>
      </c>
      <c r="M39" t="s">
        <v>126</v>
      </c>
      <c r="N39" t="s">
        <v>22</v>
      </c>
      <c r="O39" t="s">
        <v>163</v>
      </c>
      <c r="P39" s="4">
        <v>757.19</v>
      </c>
      <c r="Q39" s="7" t="str">
        <f t="shared" si="4"/>
        <v>High</v>
      </c>
      <c r="R39" s="4">
        <v>1735.41</v>
      </c>
      <c r="S39" s="4">
        <v>0.13600000000000001</v>
      </c>
      <c r="T39" s="4">
        <v>8</v>
      </c>
      <c r="U39" s="4">
        <f t="shared" si="0"/>
        <v>13219.269119999999</v>
      </c>
      <c r="V39">
        <f t="shared" si="1"/>
        <v>6057.52</v>
      </c>
      <c r="W39" s="4">
        <f t="shared" si="5"/>
        <v>7161.7491199999986</v>
      </c>
      <c r="X39" s="4">
        <f t="shared" si="6"/>
        <v>0.54176589151700383</v>
      </c>
    </row>
    <row r="40" spans="1:24" x14ac:dyDescent="0.3">
      <c r="A40" t="s">
        <v>164</v>
      </c>
      <c r="B40" s="6">
        <v>45401</v>
      </c>
      <c r="C40" s="2">
        <v>45418</v>
      </c>
      <c r="D40" s="4">
        <f t="shared" si="7"/>
        <v>17</v>
      </c>
      <c r="E40" s="46" t="b">
        <f t="shared" si="2"/>
        <v>0</v>
      </c>
      <c r="F40" s="4" t="str">
        <f>TEXT(Data!B40,"MMM-YYYY")</f>
        <v>Jun-2023</v>
      </c>
      <c r="G40" s="4" t="str">
        <f t="shared" si="3"/>
        <v>Q2-2024</v>
      </c>
      <c r="H40" t="s">
        <v>16</v>
      </c>
      <c r="I40" t="s">
        <v>25</v>
      </c>
      <c r="J40" t="s">
        <v>26</v>
      </c>
      <c r="K40" t="s">
        <v>39</v>
      </c>
      <c r="L40" t="s">
        <v>28</v>
      </c>
      <c r="M40" t="s">
        <v>75</v>
      </c>
      <c r="N40" t="s">
        <v>30</v>
      </c>
      <c r="O40" t="s">
        <v>165</v>
      </c>
      <c r="P40" s="4">
        <v>865.33</v>
      </c>
      <c r="Q40" s="7" t="str">
        <f t="shared" si="4"/>
        <v>High</v>
      </c>
      <c r="R40" s="4">
        <v>1395.64</v>
      </c>
      <c r="S40" s="4">
        <v>0.17499999999999999</v>
      </c>
      <c r="T40" s="4">
        <v>13</v>
      </c>
      <c r="U40" s="4">
        <f t="shared" si="0"/>
        <v>8106.7057499999992</v>
      </c>
      <c r="V40">
        <f t="shared" si="1"/>
        <v>11249.29</v>
      </c>
      <c r="W40" s="4">
        <f t="shared" si="5"/>
        <v>-3142.5842500000017</v>
      </c>
      <c r="X40" s="4">
        <f t="shared" si="6"/>
        <v>-0.38765243822991874</v>
      </c>
    </row>
    <row r="41" spans="1:24" x14ac:dyDescent="0.3">
      <c r="A41" t="s">
        <v>166</v>
      </c>
      <c r="B41" s="6">
        <v>45094</v>
      </c>
      <c r="C41" s="2">
        <v>45101</v>
      </c>
      <c r="D41" s="4">
        <f t="shared" si="7"/>
        <v>7</v>
      </c>
      <c r="E41" s="46" t="str">
        <f t="shared" si="2"/>
        <v>Yes</v>
      </c>
      <c r="F41" s="4" t="str">
        <f>TEXT(Data!B41,"MMM-YYYY")</f>
        <v>Aug-2024</v>
      </c>
      <c r="G41" s="4" t="str">
        <f t="shared" si="3"/>
        <v>Q2-2023</v>
      </c>
      <c r="H41" t="s">
        <v>52</v>
      </c>
      <c r="I41" t="s">
        <v>122</v>
      </c>
      <c r="J41" t="s">
        <v>167</v>
      </c>
      <c r="K41" t="s">
        <v>19</v>
      </c>
      <c r="L41" t="s">
        <v>20</v>
      </c>
      <c r="M41" t="s">
        <v>34</v>
      </c>
      <c r="N41" t="s">
        <v>30</v>
      </c>
      <c r="O41" t="s">
        <v>168</v>
      </c>
      <c r="P41" s="4">
        <v>313.99</v>
      </c>
      <c r="Q41" s="7" t="str">
        <f t="shared" si="4"/>
        <v>High</v>
      </c>
      <c r="R41" s="4">
        <v>454.42</v>
      </c>
      <c r="S41" s="4">
        <v>0.129</v>
      </c>
      <c r="T41" s="4">
        <v>9</v>
      </c>
      <c r="U41" s="4">
        <f t="shared" si="0"/>
        <v>8980.9071300000014</v>
      </c>
      <c r="V41">
        <f t="shared" si="1"/>
        <v>2825.91</v>
      </c>
      <c r="W41" s="4">
        <f t="shared" si="5"/>
        <v>6154.9971300000016</v>
      </c>
      <c r="X41" s="4">
        <f t="shared" si="6"/>
        <v>0.68534247608904963</v>
      </c>
    </row>
    <row r="42" spans="1:24" x14ac:dyDescent="0.3">
      <c r="A42" t="s">
        <v>169</v>
      </c>
      <c r="B42" s="6">
        <v>45531</v>
      </c>
      <c r="C42" s="2">
        <v>45554</v>
      </c>
      <c r="D42" s="4">
        <f t="shared" si="7"/>
        <v>23</v>
      </c>
      <c r="E42" s="46" t="b">
        <f t="shared" si="2"/>
        <v>0</v>
      </c>
      <c r="F42" s="4" t="str">
        <f>TEXT(Data!B42,"MMM-YYYY")</f>
        <v>Jan-2024</v>
      </c>
      <c r="G42" s="4" t="str">
        <f t="shared" si="3"/>
        <v>Q3-2024</v>
      </c>
      <c r="H42" t="s">
        <v>78</v>
      </c>
      <c r="I42" t="s">
        <v>79</v>
      </c>
      <c r="J42" t="s">
        <v>80</v>
      </c>
      <c r="K42" t="s">
        <v>62</v>
      </c>
      <c r="L42" t="s">
        <v>98</v>
      </c>
      <c r="M42" t="s">
        <v>145</v>
      </c>
      <c r="N42" t="s">
        <v>64</v>
      </c>
      <c r="O42" t="s">
        <v>170</v>
      </c>
      <c r="P42" s="4">
        <v>1024.01</v>
      </c>
      <c r="Q42" s="7" t="str">
        <f t="shared" si="4"/>
        <v>High</v>
      </c>
      <c r="R42" s="4">
        <v>1580.97</v>
      </c>
      <c r="S42" s="4">
        <v>3.6999999999999998E-2</v>
      </c>
      <c r="T42" s="4">
        <v>27</v>
      </c>
      <c r="U42" s="4">
        <f t="shared" si="0"/>
        <v>32087.834099999996</v>
      </c>
      <c r="V42">
        <f t="shared" si="1"/>
        <v>27648.27</v>
      </c>
      <c r="W42" s="4">
        <f t="shared" si="5"/>
        <v>4439.564099999996</v>
      </c>
      <c r="X42" s="4">
        <f t="shared" si="6"/>
        <v>0.13835661472707492</v>
      </c>
    </row>
    <row r="43" spans="1:24" x14ac:dyDescent="0.3">
      <c r="A43" t="s">
        <v>171</v>
      </c>
      <c r="B43" s="6">
        <v>45302</v>
      </c>
      <c r="C43" s="2">
        <v>45324</v>
      </c>
      <c r="D43" s="4">
        <f t="shared" si="7"/>
        <v>22</v>
      </c>
      <c r="E43" s="46" t="b">
        <f t="shared" si="2"/>
        <v>0</v>
      </c>
      <c r="F43" s="4" t="str">
        <f>TEXT(Data!B43,"MMM-YYYY")</f>
        <v>Oct-2024</v>
      </c>
      <c r="G43" s="4" t="str">
        <f t="shared" si="3"/>
        <v>Q1-2024</v>
      </c>
      <c r="H43" t="s">
        <v>16</v>
      </c>
      <c r="I43" t="s">
        <v>148</v>
      </c>
      <c r="J43" t="s">
        <v>172</v>
      </c>
      <c r="K43" t="s">
        <v>48</v>
      </c>
      <c r="L43" t="s">
        <v>28</v>
      </c>
      <c r="M43" t="s">
        <v>95</v>
      </c>
      <c r="N43" t="s">
        <v>35</v>
      </c>
      <c r="O43" t="s">
        <v>173</v>
      </c>
      <c r="P43" s="4">
        <v>1206.2</v>
      </c>
      <c r="Q43" s="7" t="str">
        <f t="shared" si="4"/>
        <v>High</v>
      </c>
      <c r="R43" s="4">
        <v>1759.79</v>
      </c>
      <c r="S43" s="4">
        <v>0</v>
      </c>
      <c r="T43" s="4">
        <v>6</v>
      </c>
      <c r="U43" s="4">
        <f t="shared" si="0"/>
        <v>7368.0599999999995</v>
      </c>
      <c r="V43">
        <f t="shared" si="1"/>
        <v>7237.2000000000007</v>
      </c>
      <c r="W43" s="4">
        <f t="shared" si="5"/>
        <v>130.85999999999876</v>
      </c>
      <c r="X43" s="4">
        <f t="shared" si="6"/>
        <v>1.7760441690214082E-2</v>
      </c>
    </row>
    <row r="44" spans="1:24" x14ac:dyDescent="0.3">
      <c r="A44" t="s">
        <v>174</v>
      </c>
      <c r="B44" s="6">
        <v>45590</v>
      </c>
      <c r="C44" s="2">
        <v>45610</v>
      </c>
      <c r="D44" s="4">
        <f t="shared" si="7"/>
        <v>20</v>
      </c>
      <c r="E44" s="46" t="b">
        <f t="shared" si="2"/>
        <v>0</v>
      </c>
      <c r="F44" s="4" t="str">
        <f>TEXT(Data!B44,"MMM-YYYY")</f>
        <v>May-2025</v>
      </c>
      <c r="G44" s="4" t="str">
        <f t="shared" si="3"/>
        <v>Q4-2024</v>
      </c>
      <c r="H44" t="s">
        <v>16</v>
      </c>
      <c r="I44" t="s">
        <v>17</v>
      </c>
      <c r="J44" t="s">
        <v>113</v>
      </c>
      <c r="K44" t="s">
        <v>19</v>
      </c>
      <c r="L44" t="s">
        <v>98</v>
      </c>
      <c r="M44" t="s">
        <v>92</v>
      </c>
      <c r="N44" t="s">
        <v>30</v>
      </c>
      <c r="O44" t="s">
        <v>175</v>
      </c>
      <c r="P44" s="4">
        <v>1396.48</v>
      </c>
      <c r="Q44" s="7" t="str">
        <f t="shared" si="4"/>
        <v>High</v>
      </c>
      <c r="R44" s="4">
        <v>3204.5</v>
      </c>
      <c r="S44" s="4">
        <v>0.318</v>
      </c>
      <c r="T44" s="4">
        <v>14</v>
      </c>
      <c r="U44" s="4">
        <f t="shared" si="0"/>
        <v>5778.7360400000007</v>
      </c>
      <c r="V44">
        <f t="shared" si="1"/>
        <v>19550.72</v>
      </c>
      <c r="W44" s="4">
        <f t="shared" si="5"/>
        <v>-13771.983960000001</v>
      </c>
      <c r="X44" s="4">
        <f t="shared" si="6"/>
        <v>-2.3832173445319715</v>
      </c>
    </row>
    <row r="45" spans="1:24" x14ac:dyDescent="0.3">
      <c r="A45" t="s">
        <v>176</v>
      </c>
      <c r="B45" s="6">
        <v>45806</v>
      </c>
      <c r="C45" s="2">
        <v>45828</v>
      </c>
      <c r="D45" s="4">
        <f t="shared" si="7"/>
        <v>22</v>
      </c>
      <c r="E45" s="46" t="b">
        <f t="shared" si="2"/>
        <v>0</v>
      </c>
      <c r="F45" s="4" t="str">
        <f>TEXT(Data!B45,"MMM-YYYY")</f>
        <v>May-2024</v>
      </c>
      <c r="G45" s="4" t="str">
        <f t="shared" si="3"/>
        <v>Q2-2025</v>
      </c>
      <c r="H45" t="s">
        <v>78</v>
      </c>
      <c r="I45" t="s">
        <v>79</v>
      </c>
      <c r="J45" t="s">
        <v>80</v>
      </c>
      <c r="K45" t="s">
        <v>19</v>
      </c>
      <c r="L45" t="s">
        <v>98</v>
      </c>
      <c r="M45" t="s">
        <v>75</v>
      </c>
      <c r="N45" t="s">
        <v>30</v>
      </c>
      <c r="O45" t="s">
        <v>177</v>
      </c>
      <c r="P45" s="4">
        <v>483.47</v>
      </c>
      <c r="Q45" s="7" t="str">
        <f t="shared" si="4"/>
        <v>High</v>
      </c>
      <c r="R45" s="4">
        <v>1135.43</v>
      </c>
      <c r="S45" s="4">
        <v>0.14599999999999999</v>
      </c>
      <c r="T45" s="4">
        <v>11</v>
      </c>
      <c r="U45" s="4">
        <f t="shared" si="0"/>
        <v>17662.129100000002</v>
      </c>
      <c r="V45">
        <f t="shared" si="1"/>
        <v>5318.17</v>
      </c>
      <c r="W45" s="4">
        <f t="shared" si="5"/>
        <v>12343.959100000002</v>
      </c>
      <c r="X45" s="4">
        <f t="shared" si="6"/>
        <v>0.6988941723905755</v>
      </c>
    </row>
    <row r="46" spans="1:24" x14ac:dyDescent="0.3">
      <c r="A46" t="s">
        <v>178</v>
      </c>
      <c r="B46" s="6">
        <v>45432</v>
      </c>
      <c r="C46" s="2">
        <v>45445</v>
      </c>
      <c r="D46" s="4">
        <f t="shared" si="7"/>
        <v>13</v>
      </c>
      <c r="E46" s="46" t="b">
        <f t="shared" si="2"/>
        <v>0</v>
      </c>
      <c r="F46" s="4" t="str">
        <f>TEXT(Data!B46,"MMM-YYYY")</f>
        <v>Apr-2023</v>
      </c>
      <c r="G46" s="4" t="str">
        <f t="shared" si="3"/>
        <v>Q2-2024</v>
      </c>
      <c r="H46" t="s">
        <v>52</v>
      </c>
      <c r="I46" t="s">
        <v>53</v>
      </c>
      <c r="J46" t="s">
        <v>179</v>
      </c>
      <c r="K46" t="s">
        <v>105</v>
      </c>
      <c r="L46" t="s">
        <v>40</v>
      </c>
      <c r="M46" t="s">
        <v>95</v>
      </c>
      <c r="N46" t="s">
        <v>22</v>
      </c>
      <c r="O46" t="s">
        <v>180</v>
      </c>
      <c r="P46" s="4">
        <v>675.43</v>
      </c>
      <c r="Q46" s="7" t="str">
        <f t="shared" si="4"/>
        <v>High</v>
      </c>
      <c r="R46" s="4">
        <v>996.36</v>
      </c>
      <c r="S46" s="4">
        <v>0.182</v>
      </c>
      <c r="T46" s="4">
        <v>22</v>
      </c>
      <c r="U46" s="4">
        <f t="shared" si="0"/>
        <v>22844.122400000004</v>
      </c>
      <c r="V46">
        <f t="shared" si="1"/>
        <v>14859.46</v>
      </c>
      <c r="W46" s="4">
        <f t="shared" si="5"/>
        <v>7984.6624000000047</v>
      </c>
      <c r="X46" s="4">
        <f t="shared" si="6"/>
        <v>0.34952808692707771</v>
      </c>
    </row>
    <row r="47" spans="1:24" x14ac:dyDescent="0.3">
      <c r="A47" t="s">
        <v>181</v>
      </c>
      <c r="B47" s="6">
        <v>45035</v>
      </c>
      <c r="C47" s="2">
        <v>45046</v>
      </c>
      <c r="D47" s="4">
        <f t="shared" si="7"/>
        <v>11</v>
      </c>
      <c r="E47" s="46" t="b">
        <f t="shared" si="2"/>
        <v>0</v>
      </c>
      <c r="F47" s="4" t="str">
        <f>TEXT(Data!B47,"MMM-YYYY")</f>
        <v>Jun-2023</v>
      </c>
      <c r="G47" s="4" t="str">
        <f t="shared" si="3"/>
        <v>Q2-2023</v>
      </c>
      <c r="H47" t="s">
        <v>45</v>
      </c>
      <c r="I47" t="s">
        <v>60</v>
      </c>
      <c r="J47" t="s">
        <v>141</v>
      </c>
      <c r="K47" t="s">
        <v>62</v>
      </c>
      <c r="L47" t="s">
        <v>20</v>
      </c>
      <c r="M47" t="s">
        <v>75</v>
      </c>
      <c r="N47" t="s">
        <v>35</v>
      </c>
      <c r="O47" t="s">
        <v>182</v>
      </c>
      <c r="P47" s="4">
        <v>826.55</v>
      </c>
      <c r="Q47" s="7" t="str">
        <f t="shared" si="4"/>
        <v>High</v>
      </c>
      <c r="R47" s="4">
        <v>1397.05</v>
      </c>
      <c r="S47" s="4">
        <v>0.16900000000000001</v>
      </c>
      <c r="T47" s="4">
        <v>28</v>
      </c>
      <c r="U47" s="4">
        <f t="shared" si="0"/>
        <v>14447.799239999997</v>
      </c>
      <c r="V47">
        <f t="shared" si="1"/>
        <v>23143.399999999998</v>
      </c>
      <c r="W47" s="4">
        <f t="shared" si="5"/>
        <v>-8695.6007600000012</v>
      </c>
      <c r="X47" s="4">
        <f t="shared" si="6"/>
        <v>-0.6018633437212686</v>
      </c>
    </row>
    <row r="48" spans="1:24" x14ac:dyDescent="0.3">
      <c r="A48" t="s">
        <v>183</v>
      </c>
      <c r="B48" s="6">
        <v>45100</v>
      </c>
      <c r="C48" s="2">
        <v>45110</v>
      </c>
      <c r="D48" s="4">
        <f t="shared" si="7"/>
        <v>10</v>
      </c>
      <c r="E48" s="46" t="b">
        <f t="shared" si="2"/>
        <v>0</v>
      </c>
      <c r="F48" s="4" t="str">
        <f>TEXT(Data!B48,"MMM-YYYY")</f>
        <v>May-2024</v>
      </c>
      <c r="G48" s="4" t="str">
        <f t="shared" si="3"/>
        <v>Q2-2023</v>
      </c>
      <c r="H48" t="s">
        <v>16</v>
      </c>
      <c r="I48" t="s">
        <v>25</v>
      </c>
      <c r="J48" t="s">
        <v>67</v>
      </c>
      <c r="K48" t="s">
        <v>48</v>
      </c>
      <c r="L48" t="s">
        <v>28</v>
      </c>
      <c r="M48" t="s">
        <v>29</v>
      </c>
      <c r="N48" t="s">
        <v>30</v>
      </c>
      <c r="O48" t="s">
        <v>184</v>
      </c>
      <c r="P48" s="4">
        <v>337.75</v>
      </c>
      <c r="Q48" s="7" t="str">
        <f t="shared" si="4"/>
        <v>High</v>
      </c>
      <c r="R48" s="4">
        <v>548.89</v>
      </c>
      <c r="S48" s="4">
        <v>0</v>
      </c>
      <c r="T48" s="4">
        <v>13</v>
      </c>
      <c r="U48" s="4">
        <f t="shared" si="0"/>
        <v>18926.830000000002</v>
      </c>
      <c r="V48">
        <f t="shared" si="1"/>
        <v>4390.75</v>
      </c>
      <c r="W48" s="4">
        <f t="shared" si="5"/>
        <v>14536.080000000002</v>
      </c>
      <c r="X48" s="4">
        <f t="shared" si="6"/>
        <v>0.76801450639119173</v>
      </c>
    </row>
    <row r="49" spans="1:24" x14ac:dyDescent="0.3">
      <c r="A49" t="s">
        <v>185</v>
      </c>
      <c r="B49" s="6">
        <v>45426</v>
      </c>
      <c r="C49" s="2">
        <v>45440</v>
      </c>
      <c r="D49" s="4">
        <f t="shared" si="7"/>
        <v>14</v>
      </c>
      <c r="E49" s="46" t="b">
        <f t="shared" si="2"/>
        <v>0</v>
      </c>
      <c r="F49" s="4" t="str">
        <f>TEXT(Data!B49,"MMM-YYYY")</f>
        <v>Oct-2024</v>
      </c>
      <c r="G49" s="4" t="str">
        <f t="shared" si="3"/>
        <v>Q2-2024</v>
      </c>
      <c r="H49" t="s">
        <v>78</v>
      </c>
      <c r="I49" t="s">
        <v>108</v>
      </c>
      <c r="J49" t="s">
        <v>109</v>
      </c>
      <c r="K49" t="s">
        <v>48</v>
      </c>
      <c r="L49" t="s">
        <v>20</v>
      </c>
      <c r="M49" t="s">
        <v>56</v>
      </c>
      <c r="N49" t="s">
        <v>35</v>
      </c>
      <c r="O49" t="s">
        <v>186</v>
      </c>
      <c r="P49" s="4">
        <v>1421.14</v>
      </c>
      <c r="Q49" s="7" t="str">
        <f t="shared" si="4"/>
        <v>High</v>
      </c>
      <c r="R49" s="4">
        <v>3524</v>
      </c>
      <c r="S49" s="4">
        <v>0</v>
      </c>
      <c r="T49" s="4">
        <v>31</v>
      </c>
      <c r="U49" s="4">
        <f t="shared" si="0"/>
        <v>16939.329999999998</v>
      </c>
      <c r="V49">
        <f t="shared" si="1"/>
        <v>44055.340000000004</v>
      </c>
      <c r="W49" s="4">
        <f t="shared" si="5"/>
        <v>-27116.010000000006</v>
      </c>
      <c r="X49" s="4">
        <f t="shared" si="6"/>
        <v>-1.6007722855626527</v>
      </c>
    </row>
    <row r="50" spans="1:24" x14ac:dyDescent="0.3">
      <c r="A50" t="s">
        <v>187</v>
      </c>
      <c r="B50" s="6">
        <v>45579</v>
      </c>
      <c r="C50" s="2">
        <v>45604</v>
      </c>
      <c r="D50" s="4">
        <f t="shared" si="7"/>
        <v>25</v>
      </c>
      <c r="E50" s="46" t="b">
        <f t="shared" si="2"/>
        <v>0</v>
      </c>
      <c r="F50" s="4" t="str">
        <f>TEXT(Data!B50,"MMM-YYYY")</f>
        <v>Jul-2023</v>
      </c>
      <c r="G50" s="4" t="str">
        <f t="shared" si="3"/>
        <v>Q4-2024</v>
      </c>
      <c r="H50" t="s">
        <v>16</v>
      </c>
      <c r="I50" t="s">
        <v>25</v>
      </c>
      <c r="J50" t="s">
        <v>38</v>
      </c>
      <c r="K50" t="s">
        <v>105</v>
      </c>
      <c r="L50" t="s">
        <v>28</v>
      </c>
      <c r="M50" t="s">
        <v>68</v>
      </c>
      <c r="N50" t="s">
        <v>35</v>
      </c>
      <c r="O50" t="s">
        <v>188</v>
      </c>
      <c r="P50" s="4">
        <v>859.35</v>
      </c>
      <c r="Q50" s="7" t="str">
        <f t="shared" si="4"/>
        <v>High</v>
      </c>
      <c r="R50" s="4">
        <v>1825.61</v>
      </c>
      <c r="S50" s="4">
        <v>0.187</v>
      </c>
      <c r="T50" s="4">
        <v>24</v>
      </c>
      <c r="U50" s="4">
        <f t="shared" si="0"/>
        <v>26300.615040000001</v>
      </c>
      <c r="V50">
        <f t="shared" si="1"/>
        <v>20624.400000000001</v>
      </c>
      <c r="W50" s="4">
        <f t="shared" si="5"/>
        <v>5676.2150399999991</v>
      </c>
      <c r="X50" s="4">
        <f t="shared" si="6"/>
        <v>0.21582061983596865</v>
      </c>
    </row>
    <row r="51" spans="1:24" x14ac:dyDescent="0.3">
      <c r="A51" t="s">
        <v>189</v>
      </c>
      <c r="B51" s="6">
        <v>45117</v>
      </c>
      <c r="C51" s="2">
        <v>45139</v>
      </c>
      <c r="D51" s="4">
        <f t="shared" si="7"/>
        <v>22</v>
      </c>
      <c r="E51" s="46" t="b">
        <f t="shared" si="2"/>
        <v>0</v>
      </c>
      <c r="F51" s="4" t="str">
        <f>TEXT(Data!B51,"MMM-YYYY")</f>
        <v>Nov-2024</v>
      </c>
      <c r="G51" s="4" t="str">
        <f t="shared" si="3"/>
        <v>Q3-2023</v>
      </c>
      <c r="H51" t="s">
        <v>78</v>
      </c>
      <c r="I51" t="s">
        <v>90</v>
      </c>
      <c r="J51" t="s">
        <v>91</v>
      </c>
      <c r="K51" t="s">
        <v>48</v>
      </c>
      <c r="L51" t="s">
        <v>40</v>
      </c>
      <c r="M51" t="s">
        <v>56</v>
      </c>
      <c r="N51" t="s">
        <v>30</v>
      </c>
      <c r="O51" t="s">
        <v>190</v>
      </c>
      <c r="P51" s="4">
        <v>1303.56</v>
      </c>
      <c r="Q51" s="7" t="str">
        <f t="shared" si="4"/>
        <v>High</v>
      </c>
      <c r="R51" s="4">
        <v>1791.37</v>
      </c>
      <c r="S51" s="4">
        <v>0.126</v>
      </c>
      <c r="T51" s="4">
        <v>22</v>
      </c>
      <c r="U51" s="4">
        <f t="shared" si="0"/>
        <v>21312.892040000002</v>
      </c>
      <c r="V51">
        <f t="shared" si="1"/>
        <v>28678.32</v>
      </c>
      <c r="W51" s="4">
        <f t="shared" si="5"/>
        <v>-7365.4279599999973</v>
      </c>
      <c r="X51" s="4">
        <f t="shared" si="6"/>
        <v>-0.34558557075110097</v>
      </c>
    </row>
    <row r="52" spans="1:24" x14ac:dyDescent="0.3">
      <c r="A52" t="s">
        <v>191</v>
      </c>
      <c r="B52" s="6">
        <v>45602</v>
      </c>
      <c r="C52" s="2">
        <v>45618</v>
      </c>
      <c r="D52" s="4">
        <f t="shared" si="7"/>
        <v>16</v>
      </c>
      <c r="E52" s="46" t="b">
        <f t="shared" si="2"/>
        <v>0</v>
      </c>
      <c r="F52" s="4" t="str">
        <f>TEXT(Data!B52,"MMM-YYYY")</f>
        <v>Oct-2024</v>
      </c>
      <c r="G52" s="4" t="str">
        <f t="shared" si="3"/>
        <v>Q4-2024</v>
      </c>
      <c r="H52" t="s">
        <v>52</v>
      </c>
      <c r="I52" t="s">
        <v>53</v>
      </c>
      <c r="J52" t="s">
        <v>54</v>
      </c>
      <c r="K52" t="s">
        <v>39</v>
      </c>
      <c r="L52" t="s">
        <v>55</v>
      </c>
      <c r="M52" t="s">
        <v>145</v>
      </c>
      <c r="N52" t="s">
        <v>81</v>
      </c>
      <c r="O52" t="s">
        <v>192</v>
      </c>
      <c r="P52" s="4">
        <v>1454.11</v>
      </c>
      <c r="Q52" s="7" t="str">
        <f t="shared" si="4"/>
        <v>High</v>
      </c>
      <c r="R52" s="4">
        <v>2629.75</v>
      </c>
      <c r="S52" s="4">
        <v>0.29199999999999998</v>
      </c>
      <c r="T52" s="4">
        <v>8</v>
      </c>
      <c r="U52" s="4">
        <f t="shared" si="0"/>
        <v>17808.182399999998</v>
      </c>
      <c r="V52">
        <f t="shared" si="1"/>
        <v>11632.88</v>
      </c>
      <c r="W52" s="4">
        <f t="shared" si="5"/>
        <v>6175.3023999999987</v>
      </c>
      <c r="X52" s="4">
        <f t="shared" si="6"/>
        <v>0.34676769707839467</v>
      </c>
    </row>
    <row r="53" spans="1:24" x14ac:dyDescent="0.3">
      <c r="A53" t="s">
        <v>193</v>
      </c>
      <c r="B53" s="6">
        <v>45582</v>
      </c>
      <c r="C53" s="2">
        <v>45602</v>
      </c>
      <c r="D53" s="4">
        <f t="shared" si="7"/>
        <v>20</v>
      </c>
      <c r="E53" s="46" t="b">
        <f t="shared" si="2"/>
        <v>0</v>
      </c>
      <c r="F53" s="4" t="str">
        <f>TEXT(Data!B53,"MMM-YYYY")</f>
        <v>Mar-2023</v>
      </c>
      <c r="G53" s="4" t="str">
        <f t="shared" si="3"/>
        <v>Q4-2024</v>
      </c>
      <c r="H53" t="s">
        <v>45</v>
      </c>
      <c r="I53" t="s">
        <v>60</v>
      </c>
      <c r="J53" t="s">
        <v>61</v>
      </c>
      <c r="K53" t="s">
        <v>105</v>
      </c>
      <c r="L53" t="s">
        <v>55</v>
      </c>
      <c r="M53" t="s">
        <v>68</v>
      </c>
      <c r="N53" t="s">
        <v>64</v>
      </c>
      <c r="O53" t="s">
        <v>194</v>
      </c>
      <c r="P53" s="4">
        <v>72.94</v>
      </c>
      <c r="Q53" s="7" t="str">
        <f t="shared" si="4"/>
        <v>Medium</v>
      </c>
      <c r="R53" s="4">
        <v>106.3</v>
      </c>
      <c r="S53" s="4">
        <v>0.29499999999999998</v>
      </c>
      <c r="T53" s="4">
        <v>8</v>
      </c>
      <c r="U53" s="4">
        <f t="shared" si="0"/>
        <v>11819.917200000002</v>
      </c>
      <c r="V53">
        <f t="shared" si="1"/>
        <v>583.52</v>
      </c>
      <c r="W53" s="4">
        <f t="shared" si="5"/>
        <v>11236.397200000001</v>
      </c>
      <c r="X53" s="4">
        <f t="shared" si="6"/>
        <v>0.95063247989588284</v>
      </c>
    </row>
    <row r="54" spans="1:24" x14ac:dyDescent="0.3">
      <c r="A54" t="s">
        <v>195</v>
      </c>
      <c r="B54" s="6">
        <v>45016</v>
      </c>
      <c r="C54" s="2">
        <v>45021</v>
      </c>
      <c r="D54" s="4">
        <f t="shared" si="7"/>
        <v>5</v>
      </c>
      <c r="E54" s="46" t="str">
        <f t="shared" si="2"/>
        <v>Yes</v>
      </c>
      <c r="F54" s="4" t="str">
        <f>TEXT(Data!B54,"MMM-YYYY")</f>
        <v>Jan-2025</v>
      </c>
      <c r="G54" s="4" t="str">
        <f t="shared" si="3"/>
        <v>Q1-2023</v>
      </c>
      <c r="H54" t="s">
        <v>16</v>
      </c>
      <c r="I54" t="s">
        <v>17</v>
      </c>
      <c r="J54" t="s">
        <v>135</v>
      </c>
      <c r="K54" t="s">
        <v>27</v>
      </c>
      <c r="L54" t="s">
        <v>40</v>
      </c>
      <c r="M54" t="s">
        <v>56</v>
      </c>
      <c r="N54" t="s">
        <v>57</v>
      </c>
      <c r="O54" t="s">
        <v>196</v>
      </c>
      <c r="P54" s="4">
        <v>533.26</v>
      </c>
      <c r="Q54" s="7" t="str">
        <f t="shared" si="4"/>
        <v>High</v>
      </c>
      <c r="R54" s="4">
        <v>385.72</v>
      </c>
      <c r="S54" s="4">
        <v>0</v>
      </c>
      <c r="T54" s="4">
        <v>15</v>
      </c>
      <c r="U54" s="4">
        <f t="shared" si="0"/>
        <v>10554.3</v>
      </c>
      <c r="V54">
        <f t="shared" si="1"/>
        <v>7998.9</v>
      </c>
      <c r="W54" s="4">
        <f t="shared" si="5"/>
        <v>2555.3999999999996</v>
      </c>
      <c r="X54" s="4">
        <f t="shared" si="6"/>
        <v>0.24211932577243397</v>
      </c>
    </row>
    <row r="55" spans="1:24" x14ac:dyDescent="0.3">
      <c r="A55" t="s">
        <v>197</v>
      </c>
      <c r="B55" s="6">
        <v>45678</v>
      </c>
      <c r="C55" s="2">
        <v>45704</v>
      </c>
      <c r="D55" s="4">
        <f t="shared" si="7"/>
        <v>26</v>
      </c>
      <c r="E55" s="46" t="b">
        <f t="shared" si="2"/>
        <v>0</v>
      </c>
      <c r="F55" s="4" t="str">
        <f>TEXT(Data!B55,"MMM-YYYY")</f>
        <v>Aug-2023</v>
      </c>
      <c r="G55" s="4" t="str">
        <f t="shared" si="3"/>
        <v>Q1-2025</v>
      </c>
      <c r="H55" t="s">
        <v>78</v>
      </c>
      <c r="I55" t="s">
        <v>90</v>
      </c>
      <c r="J55" t="s">
        <v>138</v>
      </c>
      <c r="K55" t="s">
        <v>19</v>
      </c>
      <c r="L55" t="s">
        <v>55</v>
      </c>
      <c r="M55" t="s">
        <v>68</v>
      </c>
      <c r="N55" t="s">
        <v>57</v>
      </c>
      <c r="O55" t="s">
        <v>198</v>
      </c>
      <c r="P55" s="4">
        <v>204.11</v>
      </c>
      <c r="Q55" s="7" t="str">
        <f t="shared" si="4"/>
        <v>High</v>
      </c>
      <c r="R55" s="4">
        <v>236.87</v>
      </c>
      <c r="S55" s="4">
        <v>0.182</v>
      </c>
      <c r="T55" s="4">
        <v>13</v>
      </c>
      <c r="U55" s="4">
        <f t="shared" si="0"/>
        <v>21238.118460000002</v>
      </c>
      <c r="V55">
        <f t="shared" si="1"/>
        <v>2653.4300000000003</v>
      </c>
      <c r="W55" s="4">
        <f t="shared" si="5"/>
        <v>18584.688460000001</v>
      </c>
      <c r="X55" s="4">
        <f t="shared" si="6"/>
        <v>0.87506284961177294</v>
      </c>
    </row>
    <row r="56" spans="1:24" x14ac:dyDescent="0.3">
      <c r="A56" t="s">
        <v>199</v>
      </c>
      <c r="B56" s="6">
        <v>45168</v>
      </c>
      <c r="C56" s="2">
        <v>45170</v>
      </c>
      <c r="D56" s="4">
        <f t="shared" si="7"/>
        <v>2</v>
      </c>
      <c r="E56" s="46" t="str">
        <f t="shared" si="2"/>
        <v>Yes</v>
      </c>
      <c r="F56" s="4" t="str">
        <f>TEXT(Data!B56,"MMM-YYYY")</f>
        <v>Apr-2025</v>
      </c>
      <c r="G56" s="4" t="str">
        <f t="shared" si="3"/>
        <v>Q3-2023</v>
      </c>
      <c r="H56" t="s">
        <v>78</v>
      </c>
      <c r="I56" t="s">
        <v>79</v>
      </c>
      <c r="J56" t="s">
        <v>159</v>
      </c>
      <c r="K56" t="s">
        <v>19</v>
      </c>
      <c r="L56" t="s">
        <v>98</v>
      </c>
      <c r="M56" t="s">
        <v>126</v>
      </c>
      <c r="N56" t="s">
        <v>35</v>
      </c>
      <c r="O56" t="s">
        <v>200</v>
      </c>
      <c r="P56" s="4">
        <v>44.42</v>
      </c>
      <c r="Q56" s="7" t="str">
        <f t="shared" si="4"/>
        <v>Low</v>
      </c>
      <c r="R56" s="4">
        <v>41.9</v>
      </c>
      <c r="S56" s="4">
        <v>0.14399999999999999</v>
      </c>
      <c r="T56" s="4">
        <v>6</v>
      </c>
      <c r="U56" s="4">
        <f t="shared" si="0"/>
        <v>14195.647199999998</v>
      </c>
      <c r="V56">
        <f t="shared" si="1"/>
        <v>266.52</v>
      </c>
      <c r="W56" s="4">
        <f t="shared" si="5"/>
        <v>13929.127199999997</v>
      </c>
      <c r="X56" s="4">
        <f t="shared" si="6"/>
        <v>0.9812252307876459</v>
      </c>
    </row>
    <row r="57" spans="1:24" x14ac:dyDescent="0.3">
      <c r="A57" t="s">
        <v>201</v>
      </c>
      <c r="B57" s="6">
        <v>45753</v>
      </c>
      <c r="C57" s="2">
        <v>45777</v>
      </c>
      <c r="D57" s="4">
        <f t="shared" si="7"/>
        <v>24</v>
      </c>
      <c r="E57" s="46" t="b">
        <f t="shared" si="2"/>
        <v>0</v>
      </c>
      <c r="F57" s="4" t="str">
        <f>TEXT(Data!B57,"MMM-YYYY")</f>
        <v>Feb-2025</v>
      </c>
      <c r="G57" s="4" t="str">
        <f t="shared" si="3"/>
        <v>Q2-2025</v>
      </c>
      <c r="H57" t="s">
        <v>52</v>
      </c>
      <c r="I57" t="s">
        <v>73</v>
      </c>
      <c r="J57" t="s">
        <v>87</v>
      </c>
      <c r="K57" t="s">
        <v>27</v>
      </c>
      <c r="L57" t="s">
        <v>28</v>
      </c>
      <c r="M57" t="s">
        <v>95</v>
      </c>
      <c r="N57" t="s">
        <v>64</v>
      </c>
      <c r="O57" t="s">
        <v>202</v>
      </c>
      <c r="P57" s="4">
        <v>855.78</v>
      </c>
      <c r="Q57" s="7" t="str">
        <f t="shared" si="4"/>
        <v>High</v>
      </c>
      <c r="R57" s="4">
        <v>977.38</v>
      </c>
      <c r="S57" s="4">
        <v>0.14699999999999999</v>
      </c>
      <c r="T57" s="4">
        <v>38</v>
      </c>
      <c r="U57" s="4">
        <f t="shared" si="0"/>
        <v>48735.421419999999</v>
      </c>
      <c r="V57">
        <f t="shared" si="1"/>
        <v>32519.64</v>
      </c>
      <c r="W57" s="4">
        <f t="shared" si="5"/>
        <v>16215.781419999999</v>
      </c>
      <c r="X57" s="4">
        <f t="shared" si="6"/>
        <v>0.33273091619036216</v>
      </c>
    </row>
    <row r="58" spans="1:24" x14ac:dyDescent="0.3">
      <c r="A58" t="s">
        <v>203</v>
      </c>
      <c r="B58" s="6">
        <v>45697</v>
      </c>
      <c r="C58" s="2">
        <v>45717</v>
      </c>
      <c r="D58" s="4">
        <f t="shared" si="7"/>
        <v>20</v>
      </c>
      <c r="E58" s="46" t="b">
        <f t="shared" si="2"/>
        <v>0</v>
      </c>
      <c r="F58" s="4" t="str">
        <f>TEXT(Data!B58,"MMM-YYYY")</f>
        <v>Dec-2024</v>
      </c>
      <c r="G58" s="4" t="str">
        <f t="shared" si="3"/>
        <v>Q1-2025</v>
      </c>
      <c r="H58" t="s">
        <v>52</v>
      </c>
      <c r="I58" t="s">
        <v>73</v>
      </c>
      <c r="J58" t="s">
        <v>74</v>
      </c>
      <c r="K58" t="s">
        <v>19</v>
      </c>
      <c r="L58" t="s">
        <v>55</v>
      </c>
      <c r="M58" t="s">
        <v>56</v>
      </c>
      <c r="N58" t="s">
        <v>57</v>
      </c>
      <c r="O58" t="s">
        <v>204</v>
      </c>
      <c r="P58" s="4">
        <v>1154.6400000000001</v>
      </c>
      <c r="Q58" s="7" t="str">
        <f t="shared" si="4"/>
        <v>High</v>
      </c>
      <c r="R58" s="4">
        <v>2794.13</v>
      </c>
      <c r="S58" s="4">
        <v>3.5000000000000003E-2</v>
      </c>
      <c r="T58" s="4">
        <v>11</v>
      </c>
      <c r="U58" s="4">
        <f t="shared" si="0"/>
        <v>4119.0446000000002</v>
      </c>
      <c r="V58">
        <f t="shared" si="1"/>
        <v>12701.04</v>
      </c>
      <c r="W58" s="4">
        <f t="shared" si="5"/>
        <v>-8581.9953999999998</v>
      </c>
      <c r="X58" s="4">
        <f t="shared" si="6"/>
        <v>-2.0834917398078185</v>
      </c>
    </row>
    <row r="59" spans="1:24" x14ac:dyDescent="0.3">
      <c r="A59" t="s">
        <v>205</v>
      </c>
      <c r="B59" s="6">
        <v>45643</v>
      </c>
      <c r="C59" s="2">
        <v>45644</v>
      </c>
      <c r="D59" s="4">
        <f t="shared" si="7"/>
        <v>1</v>
      </c>
      <c r="E59" s="46" t="str">
        <f t="shared" si="2"/>
        <v>Yes</v>
      </c>
      <c r="F59" s="4" t="str">
        <f>TEXT(Data!B59,"MMM-YYYY")</f>
        <v>Jun-2025</v>
      </c>
      <c r="G59" s="4" t="str">
        <f t="shared" si="3"/>
        <v>Q4-2024</v>
      </c>
      <c r="H59" t="s">
        <v>78</v>
      </c>
      <c r="I59" t="s">
        <v>79</v>
      </c>
      <c r="J59" t="s">
        <v>159</v>
      </c>
      <c r="K59" t="s">
        <v>27</v>
      </c>
      <c r="L59" t="s">
        <v>20</v>
      </c>
      <c r="M59" t="s">
        <v>49</v>
      </c>
      <c r="N59" t="s">
        <v>81</v>
      </c>
      <c r="O59" t="s">
        <v>206</v>
      </c>
      <c r="P59" s="4">
        <v>346.82</v>
      </c>
      <c r="Q59" s="7" t="str">
        <f t="shared" si="4"/>
        <v>High</v>
      </c>
      <c r="R59" s="4">
        <v>701.95</v>
      </c>
      <c r="S59" s="4">
        <v>0.14699999999999999</v>
      </c>
      <c r="T59" s="4">
        <v>8</v>
      </c>
      <c r="U59" s="4">
        <f t="shared" si="0"/>
        <v>304.14567999999997</v>
      </c>
      <c r="V59">
        <f t="shared" si="1"/>
        <v>2774.56</v>
      </c>
      <c r="W59" s="4">
        <f t="shared" si="5"/>
        <v>-2470.4143199999999</v>
      </c>
      <c r="X59" s="4">
        <f t="shared" si="6"/>
        <v>-8.122470521363315</v>
      </c>
    </row>
    <row r="60" spans="1:24" x14ac:dyDescent="0.3">
      <c r="A60" t="s">
        <v>207</v>
      </c>
      <c r="B60" s="6">
        <v>45817</v>
      </c>
      <c r="C60" s="2">
        <v>45826</v>
      </c>
      <c r="D60" s="4">
        <f t="shared" si="7"/>
        <v>9</v>
      </c>
      <c r="E60" s="46" t="b">
        <f t="shared" si="2"/>
        <v>0</v>
      </c>
      <c r="F60" s="4" t="str">
        <f>TEXT(Data!B60,"MMM-YYYY")</f>
        <v>May-2025</v>
      </c>
      <c r="G60" s="4" t="str">
        <f t="shared" si="3"/>
        <v>Q2-2025</v>
      </c>
      <c r="H60" t="s">
        <v>78</v>
      </c>
      <c r="I60" t="s">
        <v>90</v>
      </c>
      <c r="J60" t="s">
        <v>91</v>
      </c>
      <c r="K60" t="s">
        <v>62</v>
      </c>
      <c r="L60" t="s">
        <v>40</v>
      </c>
      <c r="M60" t="s">
        <v>92</v>
      </c>
      <c r="N60" t="s">
        <v>81</v>
      </c>
      <c r="O60" t="s">
        <v>208</v>
      </c>
      <c r="P60" s="4">
        <v>1225.5</v>
      </c>
      <c r="Q60" s="7" t="str">
        <f t="shared" si="4"/>
        <v>Low</v>
      </c>
      <c r="R60" s="4">
        <v>-5.27</v>
      </c>
      <c r="S60" s="4">
        <v>7.4999999999999997E-2</v>
      </c>
      <c r="T60" s="4">
        <v>56</v>
      </c>
      <c r="U60" s="4">
        <f t="shared" si="0"/>
        <v>93667.868000000002</v>
      </c>
      <c r="V60">
        <f t="shared" si="1"/>
        <v>68628</v>
      </c>
      <c r="W60" s="4">
        <f t="shared" si="5"/>
        <v>25039.868000000002</v>
      </c>
      <c r="X60" s="4">
        <f t="shared" si="6"/>
        <v>0.2673261229774121</v>
      </c>
    </row>
    <row r="61" spans="1:24" x14ac:dyDescent="0.3">
      <c r="A61" t="s">
        <v>209</v>
      </c>
      <c r="B61" s="6">
        <v>45779</v>
      </c>
      <c r="C61" s="2">
        <v>45790</v>
      </c>
      <c r="D61" s="4">
        <f t="shared" si="7"/>
        <v>11</v>
      </c>
      <c r="E61" s="46" t="b">
        <f t="shared" si="2"/>
        <v>0</v>
      </c>
      <c r="F61" s="4" t="str">
        <f>TEXT(Data!B61,"MMM-YYYY")</f>
        <v>Mar-2024</v>
      </c>
      <c r="G61" s="4" t="str">
        <f t="shared" si="3"/>
        <v>Q2-2025</v>
      </c>
      <c r="H61" t="s">
        <v>16</v>
      </c>
      <c r="I61" t="s">
        <v>17</v>
      </c>
      <c r="J61" t="s">
        <v>135</v>
      </c>
      <c r="K61" t="s">
        <v>62</v>
      </c>
      <c r="L61" t="s">
        <v>28</v>
      </c>
      <c r="M61" t="s">
        <v>75</v>
      </c>
      <c r="N61" t="s">
        <v>81</v>
      </c>
      <c r="O61" t="s">
        <v>210</v>
      </c>
      <c r="P61" s="4">
        <v>1057.5999999999999</v>
      </c>
      <c r="Q61" s="7" t="str">
        <f t="shared" si="4"/>
        <v>High</v>
      </c>
      <c r="R61" s="4">
        <v>1437.06</v>
      </c>
      <c r="S61" s="4">
        <v>0.20499999999999999</v>
      </c>
      <c r="T61" s="4">
        <v>4</v>
      </c>
      <c r="U61" s="4">
        <f t="shared" si="0"/>
        <v>4086.5861999999997</v>
      </c>
      <c r="V61">
        <f t="shared" si="1"/>
        <v>4230.3999999999996</v>
      </c>
      <c r="W61" s="4">
        <f t="shared" si="5"/>
        <v>-143.8137999999999</v>
      </c>
      <c r="X61" s="4">
        <f t="shared" si="6"/>
        <v>-3.5191671718560573E-2</v>
      </c>
    </row>
    <row r="62" spans="1:24" x14ac:dyDescent="0.3">
      <c r="A62" t="s">
        <v>211</v>
      </c>
      <c r="B62" s="6">
        <v>45361</v>
      </c>
      <c r="C62" s="2">
        <v>45391</v>
      </c>
      <c r="D62" s="4">
        <f t="shared" si="7"/>
        <v>30</v>
      </c>
      <c r="E62" s="46" t="b">
        <f t="shared" si="2"/>
        <v>0</v>
      </c>
      <c r="F62" s="4" t="str">
        <f>TEXT(Data!B62,"MMM-YYYY")</f>
        <v>Sep-2025</v>
      </c>
      <c r="G62" s="4" t="str">
        <f t="shared" si="3"/>
        <v>Q1-2024</v>
      </c>
      <c r="H62" t="s">
        <v>78</v>
      </c>
      <c r="I62" t="s">
        <v>90</v>
      </c>
      <c r="J62" t="s">
        <v>138</v>
      </c>
      <c r="K62" t="s">
        <v>19</v>
      </c>
      <c r="L62" t="s">
        <v>98</v>
      </c>
      <c r="M62" t="s">
        <v>34</v>
      </c>
      <c r="N62" t="s">
        <v>22</v>
      </c>
      <c r="O62" t="s">
        <v>212</v>
      </c>
      <c r="P62" s="4">
        <v>1176.56</v>
      </c>
      <c r="Q62" s="7" t="str">
        <f t="shared" si="4"/>
        <v>High</v>
      </c>
      <c r="R62" s="4">
        <v>1911.89</v>
      </c>
      <c r="S62" s="4">
        <v>0.11899999999999999</v>
      </c>
      <c r="T62" s="4">
        <v>20</v>
      </c>
      <c r="U62" s="4">
        <f t="shared" si="0"/>
        <v>29568.826800000003</v>
      </c>
      <c r="V62">
        <f t="shared" si="1"/>
        <v>23531.199999999997</v>
      </c>
      <c r="W62" s="4">
        <f t="shared" si="5"/>
        <v>6037.6268000000055</v>
      </c>
      <c r="X62" s="4">
        <f t="shared" si="6"/>
        <v>0.20418891966319086</v>
      </c>
    </row>
    <row r="63" spans="1:24" x14ac:dyDescent="0.3">
      <c r="A63" t="s">
        <v>213</v>
      </c>
      <c r="B63" s="6">
        <v>45910</v>
      </c>
      <c r="C63" s="2">
        <v>45912</v>
      </c>
      <c r="D63" s="4">
        <f t="shared" si="7"/>
        <v>2</v>
      </c>
      <c r="E63" s="46" t="str">
        <f t="shared" si="2"/>
        <v>Yes</v>
      </c>
      <c r="F63" s="4" t="str">
        <f>TEXT(Data!B63,"MMM-YYYY")</f>
        <v>Apr-2025</v>
      </c>
      <c r="G63" s="4" t="str">
        <f t="shared" si="3"/>
        <v>Q3-2025</v>
      </c>
      <c r="H63" t="s">
        <v>45</v>
      </c>
      <c r="I63" t="s">
        <v>46</v>
      </c>
      <c r="J63" t="s">
        <v>214</v>
      </c>
      <c r="K63" t="s">
        <v>48</v>
      </c>
      <c r="L63" t="s">
        <v>28</v>
      </c>
      <c r="M63" t="s">
        <v>68</v>
      </c>
      <c r="N63" t="s">
        <v>22</v>
      </c>
      <c r="O63" t="s">
        <v>215</v>
      </c>
      <c r="P63" s="4">
        <v>1470.15</v>
      </c>
      <c r="Q63" s="7" t="str">
        <f t="shared" si="4"/>
        <v>High</v>
      </c>
      <c r="R63" s="4">
        <v>2593.7800000000002</v>
      </c>
      <c r="S63" s="4">
        <v>0.11</v>
      </c>
      <c r="T63" s="4">
        <v>12</v>
      </c>
      <c r="U63" s="4">
        <f t="shared" si="0"/>
        <v>7255.4580000000005</v>
      </c>
      <c r="V63">
        <f t="shared" si="1"/>
        <v>17641.800000000003</v>
      </c>
      <c r="W63" s="4">
        <f t="shared" si="5"/>
        <v>-10386.342000000002</v>
      </c>
      <c r="X63" s="4">
        <f t="shared" si="6"/>
        <v>-1.4315212078961799</v>
      </c>
    </row>
    <row r="64" spans="1:24" x14ac:dyDescent="0.3">
      <c r="A64" t="s">
        <v>216</v>
      </c>
      <c r="B64" s="6">
        <v>45774</v>
      </c>
      <c r="C64" s="2">
        <v>45802</v>
      </c>
      <c r="D64" s="4">
        <f t="shared" si="7"/>
        <v>28</v>
      </c>
      <c r="E64" s="46" t="b">
        <f t="shared" si="2"/>
        <v>0</v>
      </c>
      <c r="F64" s="4" t="str">
        <f>TEXT(Data!B64,"MMM-YYYY")</f>
        <v>Nov-2024</v>
      </c>
      <c r="G64" s="4" t="str">
        <f t="shared" si="3"/>
        <v>Q2-2025</v>
      </c>
      <c r="H64" t="s">
        <v>78</v>
      </c>
      <c r="I64" t="s">
        <v>90</v>
      </c>
      <c r="J64" t="s">
        <v>217</v>
      </c>
      <c r="K64" t="s">
        <v>62</v>
      </c>
      <c r="L64" t="s">
        <v>40</v>
      </c>
      <c r="M64" t="s">
        <v>34</v>
      </c>
      <c r="N64" t="s">
        <v>42</v>
      </c>
      <c r="O64" t="s">
        <v>218</v>
      </c>
      <c r="P64" s="4">
        <v>603.45000000000005</v>
      </c>
      <c r="Q64" s="7" t="str">
        <f t="shared" si="4"/>
        <v>High</v>
      </c>
      <c r="R64" s="4">
        <v>1244.08</v>
      </c>
      <c r="S64" s="4">
        <v>0.2</v>
      </c>
      <c r="T64" s="4">
        <v>11</v>
      </c>
      <c r="U64" s="4">
        <f t="shared" si="0"/>
        <v>9767.2960000000003</v>
      </c>
      <c r="V64">
        <f t="shared" si="1"/>
        <v>6637.9500000000007</v>
      </c>
      <c r="W64" s="4">
        <f t="shared" si="5"/>
        <v>3129.3459999999995</v>
      </c>
      <c r="X64" s="4">
        <f t="shared" si="6"/>
        <v>0.32039020830330106</v>
      </c>
    </row>
    <row r="65" spans="1:24" x14ac:dyDescent="0.3">
      <c r="A65" t="s">
        <v>219</v>
      </c>
      <c r="B65" s="6">
        <v>45598</v>
      </c>
      <c r="C65" s="2">
        <v>45614</v>
      </c>
      <c r="D65" s="4">
        <f t="shared" si="7"/>
        <v>16</v>
      </c>
      <c r="E65" s="46" t="b">
        <f t="shared" si="2"/>
        <v>0</v>
      </c>
      <c r="F65" s="4" t="str">
        <f>TEXT(Data!B65,"MMM-YYYY")</f>
        <v>Feb-2023</v>
      </c>
      <c r="G65" s="4" t="str">
        <f t="shared" si="3"/>
        <v>Q4-2024</v>
      </c>
      <c r="H65" t="s">
        <v>45</v>
      </c>
      <c r="I65" t="s">
        <v>60</v>
      </c>
      <c r="J65" t="s">
        <v>220</v>
      </c>
      <c r="K65" t="s">
        <v>62</v>
      </c>
      <c r="L65" t="s">
        <v>55</v>
      </c>
      <c r="M65" t="s">
        <v>68</v>
      </c>
      <c r="N65" t="s">
        <v>64</v>
      </c>
      <c r="O65" t="s">
        <v>221</v>
      </c>
      <c r="P65" s="4">
        <v>1233.58</v>
      </c>
      <c r="Q65" s="7" t="str">
        <f t="shared" si="4"/>
        <v>High</v>
      </c>
      <c r="R65" s="4">
        <v>1912.51</v>
      </c>
      <c r="S65" s="4">
        <v>0.255</v>
      </c>
      <c r="T65" s="4">
        <v>51</v>
      </c>
      <c r="U65" s="4">
        <f t="shared" si="0"/>
        <v>3175.2421499999996</v>
      </c>
      <c r="V65">
        <f t="shared" si="1"/>
        <v>62912.579999999994</v>
      </c>
      <c r="W65" s="4">
        <f t="shared" si="5"/>
        <v>-59737.337849999996</v>
      </c>
      <c r="X65" s="4">
        <f t="shared" si="6"/>
        <v>-18.813474698299782</v>
      </c>
    </row>
    <row r="66" spans="1:24" x14ac:dyDescent="0.3">
      <c r="A66" t="s">
        <v>222</v>
      </c>
      <c r="B66" s="6">
        <v>44972</v>
      </c>
      <c r="C66" s="2">
        <v>44983</v>
      </c>
      <c r="D66" s="4">
        <f t="shared" si="7"/>
        <v>11</v>
      </c>
      <c r="E66" s="46" t="b">
        <f t="shared" si="2"/>
        <v>0</v>
      </c>
      <c r="F66" s="4" t="str">
        <f>TEXT(Data!B66,"MMM-YYYY")</f>
        <v>Dec-2023</v>
      </c>
      <c r="G66" s="4" t="str">
        <f t="shared" si="3"/>
        <v>Q1-2023</v>
      </c>
      <c r="H66" t="s">
        <v>16</v>
      </c>
      <c r="I66" t="s">
        <v>148</v>
      </c>
      <c r="J66" t="s">
        <v>149</v>
      </c>
      <c r="K66" t="s">
        <v>39</v>
      </c>
      <c r="L66" t="s">
        <v>20</v>
      </c>
      <c r="M66" t="s">
        <v>95</v>
      </c>
      <c r="N66" t="s">
        <v>57</v>
      </c>
      <c r="O66" t="s">
        <v>223</v>
      </c>
      <c r="P66" s="4">
        <v>498.5</v>
      </c>
      <c r="Q66" s="7" t="str">
        <f t="shared" si="4"/>
        <v>High</v>
      </c>
      <c r="R66" s="4">
        <v>755.87</v>
      </c>
      <c r="S66" s="4">
        <v>0.13</v>
      </c>
      <c r="T66" s="4">
        <v>40</v>
      </c>
      <c r="U66" s="4">
        <f t="shared" ref="U66:U129" si="8">(R92*T66)*(1-S66)</f>
        <v>44693.64</v>
      </c>
      <c r="V66">
        <f t="shared" ref="V66:V129" si="9">(P66*T66)</f>
        <v>19940</v>
      </c>
      <c r="W66" s="4">
        <f t="shared" si="5"/>
        <v>24753.64</v>
      </c>
      <c r="X66" s="4">
        <f t="shared" si="6"/>
        <v>0.55385150996875621</v>
      </c>
    </row>
    <row r="67" spans="1:24" x14ac:dyDescent="0.3">
      <c r="A67" t="s">
        <v>224</v>
      </c>
      <c r="B67" s="6">
        <v>45263</v>
      </c>
      <c r="C67" s="2">
        <v>45286</v>
      </c>
      <c r="D67" s="4">
        <f t="shared" si="7"/>
        <v>23</v>
      </c>
      <c r="E67" s="46" t="b">
        <f t="shared" ref="E67:E130" si="10">IF(D67&lt;=7, "Yes")</f>
        <v>0</v>
      </c>
      <c r="F67" s="4" t="str">
        <f>TEXT(Data!B67,"MMM-YYYY")</f>
        <v>Mar-2023</v>
      </c>
      <c r="G67" s="4" t="str">
        <f t="shared" ref="G67:G130" si="11">"Q"&amp;ROUNDUP(MONTH(B67)/3,0)&amp;"-"&amp;YEAR(B67)</f>
        <v>Q4-2023</v>
      </c>
      <c r="H67" t="s">
        <v>52</v>
      </c>
      <c r="I67" t="s">
        <v>73</v>
      </c>
      <c r="J67" t="s">
        <v>225</v>
      </c>
      <c r="K67" t="s">
        <v>27</v>
      </c>
      <c r="L67" t="s">
        <v>20</v>
      </c>
      <c r="M67" t="s">
        <v>68</v>
      </c>
      <c r="N67" t="s">
        <v>42</v>
      </c>
      <c r="O67" t="s">
        <v>226</v>
      </c>
      <c r="P67" s="4">
        <v>1303.1099999999999</v>
      </c>
      <c r="Q67" s="7" t="str">
        <f t="shared" ref="Q67:Q130" si="12">IF(R67&lt;50, "Low", IF(R67&lt;200, "Medium", "High"))</f>
        <v>High</v>
      </c>
      <c r="R67" s="4">
        <v>1145.67</v>
      </c>
      <c r="S67" s="4">
        <v>0.184</v>
      </c>
      <c r="T67" s="4">
        <v>13</v>
      </c>
      <c r="U67" s="4">
        <f t="shared" si="8"/>
        <v>9671.5257600000004</v>
      </c>
      <c r="V67">
        <f t="shared" si="9"/>
        <v>16940.43</v>
      </c>
      <c r="W67" s="4">
        <f t="shared" ref="W67:W130" si="13">(U67-V67)</f>
        <v>-7268.9042399999998</v>
      </c>
      <c r="X67" s="4">
        <f t="shared" ref="X67:X130" si="14">IF(U67=0, 0, W67/U67)</f>
        <v>-0.75157781929952694</v>
      </c>
    </row>
    <row r="68" spans="1:24" x14ac:dyDescent="0.3">
      <c r="A68" t="s">
        <v>227</v>
      </c>
      <c r="B68" s="6">
        <v>45004</v>
      </c>
      <c r="C68" s="2">
        <v>45025</v>
      </c>
      <c r="D68" s="4">
        <f t="shared" ref="D68:D131" si="15">DATEDIF(B68,C68, "MD")</f>
        <v>21</v>
      </c>
      <c r="E68" s="46" t="b">
        <f t="shared" si="10"/>
        <v>0</v>
      </c>
      <c r="F68" s="4" t="str">
        <f>TEXT(Data!B68,"MMM-YYYY")</f>
        <v>May-2024</v>
      </c>
      <c r="G68" s="4" t="str">
        <f t="shared" si="11"/>
        <v>Q1-2023</v>
      </c>
      <c r="H68" t="s">
        <v>78</v>
      </c>
      <c r="I68" t="s">
        <v>108</v>
      </c>
      <c r="J68" t="s">
        <v>228</v>
      </c>
      <c r="K68" t="s">
        <v>48</v>
      </c>
      <c r="L68" t="s">
        <v>20</v>
      </c>
      <c r="M68" t="s">
        <v>49</v>
      </c>
      <c r="N68" t="s">
        <v>81</v>
      </c>
      <c r="O68" t="s">
        <v>229</v>
      </c>
      <c r="P68" s="4">
        <v>1082.17</v>
      </c>
      <c r="Q68" s="7" t="str">
        <f t="shared" si="12"/>
        <v>High</v>
      </c>
      <c r="R68" s="4">
        <v>1234.0999999999999</v>
      </c>
      <c r="S68" s="4">
        <v>0.189</v>
      </c>
      <c r="T68" s="4">
        <v>16</v>
      </c>
      <c r="U68" s="4">
        <f t="shared" si="8"/>
        <v>18232.188319999997</v>
      </c>
      <c r="V68">
        <f t="shared" si="9"/>
        <v>17314.72</v>
      </c>
      <c r="W68" s="4">
        <f t="shared" si="13"/>
        <v>917.46831999999631</v>
      </c>
      <c r="X68" s="4">
        <f t="shared" si="14"/>
        <v>5.0321349467061474E-2</v>
      </c>
    </row>
    <row r="69" spans="1:24" x14ac:dyDescent="0.3">
      <c r="A69" t="s">
        <v>230</v>
      </c>
      <c r="B69" s="6">
        <v>45434</v>
      </c>
      <c r="C69" s="2">
        <v>45449</v>
      </c>
      <c r="D69" s="4">
        <f t="shared" si="15"/>
        <v>15</v>
      </c>
      <c r="E69" s="46" t="b">
        <f t="shared" si="10"/>
        <v>0</v>
      </c>
      <c r="F69" s="4" t="str">
        <f>TEXT(Data!B69,"MMM-YYYY")</f>
        <v>Aug-2023</v>
      </c>
      <c r="G69" s="4" t="str">
        <f t="shared" si="11"/>
        <v>Q2-2024</v>
      </c>
      <c r="H69" t="s">
        <v>45</v>
      </c>
      <c r="I69" t="s">
        <v>46</v>
      </c>
      <c r="J69" t="s">
        <v>231</v>
      </c>
      <c r="K69" t="s">
        <v>19</v>
      </c>
      <c r="L69" t="s">
        <v>55</v>
      </c>
      <c r="M69" t="s">
        <v>21</v>
      </c>
      <c r="N69" t="s">
        <v>64</v>
      </c>
      <c r="O69" t="s">
        <v>232</v>
      </c>
      <c r="P69" s="4">
        <v>673.88</v>
      </c>
      <c r="Q69" s="7" t="str">
        <f t="shared" si="12"/>
        <v>High</v>
      </c>
      <c r="R69" s="4">
        <v>1228.01</v>
      </c>
      <c r="S69" s="4">
        <v>0.105</v>
      </c>
      <c r="T69" s="4">
        <v>13</v>
      </c>
      <c r="U69" s="4">
        <f t="shared" si="8"/>
        <v>11273.616900000001</v>
      </c>
      <c r="V69">
        <f t="shared" si="9"/>
        <v>8760.44</v>
      </c>
      <c r="W69" s="4">
        <f t="shared" si="13"/>
        <v>2513.1769000000004</v>
      </c>
      <c r="X69" s="4">
        <f t="shared" si="14"/>
        <v>0.22292551913840536</v>
      </c>
    </row>
    <row r="70" spans="1:24" x14ac:dyDescent="0.3">
      <c r="A70" t="s">
        <v>233</v>
      </c>
      <c r="B70" s="6">
        <v>45157</v>
      </c>
      <c r="C70" s="2">
        <v>45176</v>
      </c>
      <c r="D70" s="4">
        <f t="shared" si="15"/>
        <v>19</v>
      </c>
      <c r="E70" s="46" t="b">
        <f t="shared" si="10"/>
        <v>0</v>
      </c>
      <c r="F70" s="4" t="str">
        <f>TEXT(Data!B70,"MMM-YYYY")</f>
        <v>Apr-2023</v>
      </c>
      <c r="G70" s="4" t="str">
        <f t="shared" si="11"/>
        <v>Q3-2023</v>
      </c>
      <c r="H70" t="s">
        <v>16</v>
      </c>
      <c r="I70" t="s">
        <v>148</v>
      </c>
      <c r="J70" t="s">
        <v>149</v>
      </c>
      <c r="K70" t="s">
        <v>105</v>
      </c>
      <c r="L70" t="s">
        <v>20</v>
      </c>
      <c r="M70" t="s">
        <v>145</v>
      </c>
      <c r="N70" t="s">
        <v>64</v>
      </c>
      <c r="O70" t="s">
        <v>234</v>
      </c>
      <c r="P70" s="4">
        <v>494.61</v>
      </c>
      <c r="Q70" s="7" t="str">
        <f t="shared" si="12"/>
        <v>High</v>
      </c>
      <c r="R70" s="4">
        <v>605.23</v>
      </c>
      <c r="S70" s="4">
        <v>0.20399999999999999</v>
      </c>
      <c r="T70" s="4">
        <v>18</v>
      </c>
      <c r="U70" s="4">
        <f t="shared" si="8"/>
        <v>15600.46968</v>
      </c>
      <c r="V70">
        <f t="shared" si="9"/>
        <v>8902.98</v>
      </c>
      <c r="W70" s="4">
        <f t="shared" si="13"/>
        <v>6697.4896800000006</v>
      </c>
      <c r="X70" s="4">
        <f t="shared" si="14"/>
        <v>0.42931333590464055</v>
      </c>
    </row>
    <row r="71" spans="1:24" x14ac:dyDescent="0.3">
      <c r="A71" t="s">
        <v>235</v>
      </c>
      <c r="B71" s="6">
        <v>45037</v>
      </c>
      <c r="C71" s="2">
        <v>45056</v>
      </c>
      <c r="D71" s="4">
        <f t="shared" si="15"/>
        <v>19</v>
      </c>
      <c r="E71" s="46" t="b">
        <f t="shared" si="10"/>
        <v>0</v>
      </c>
      <c r="F71" s="4" t="str">
        <f>TEXT(Data!B71,"MMM-YYYY")</f>
        <v>Mar-2024</v>
      </c>
      <c r="G71" s="4" t="str">
        <f t="shared" si="11"/>
        <v>Q2-2023</v>
      </c>
      <c r="H71" t="s">
        <v>45</v>
      </c>
      <c r="I71" t="s">
        <v>116</v>
      </c>
      <c r="J71" t="s">
        <v>162</v>
      </c>
      <c r="K71" t="s">
        <v>19</v>
      </c>
      <c r="L71" t="s">
        <v>20</v>
      </c>
      <c r="M71" t="s">
        <v>75</v>
      </c>
      <c r="N71" t="s">
        <v>22</v>
      </c>
      <c r="O71" t="s">
        <v>236</v>
      </c>
      <c r="P71" s="4">
        <v>882.33</v>
      </c>
      <c r="Q71" s="7" t="str">
        <f t="shared" si="12"/>
        <v>High</v>
      </c>
      <c r="R71" s="4">
        <v>1880.15</v>
      </c>
      <c r="S71" s="4">
        <v>0.05</v>
      </c>
      <c r="T71" s="4">
        <v>5</v>
      </c>
      <c r="U71" s="4">
        <f t="shared" si="8"/>
        <v>11803.702499999998</v>
      </c>
      <c r="V71">
        <f t="shared" si="9"/>
        <v>4411.6500000000005</v>
      </c>
      <c r="W71" s="4">
        <f t="shared" si="13"/>
        <v>7392.0524999999971</v>
      </c>
      <c r="X71" s="4">
        <f t="shared" si="14"/>
        <v>0.6262486283435218</v>
      </c>
    </row>
    <row r="72" spans="1:24" x14ac:dyDescent="0.3">
      <c r="A72" t="s">
        <v>237</v>
      </c>
      <c r="B72" s="6">
        <v>45369</v>
      </c>
      <c r="C72" s="2">
        <v>45372</v>
      </c>
      <c r="D72" s="4">
        <f t="shared" si="15"/>
        <v>3</v>
      </c>
      <c r="E72" s="46" t="str">
        <f t="shared" si="10"/>
        <v>Yes</v>
      </c>
      <c r="F72" s="4" t="str">
        <f>TEXT(Data!B72,"MMM-YYYY")</f>
        <v>Apr-2025</v>
      </c>
      <c r="G72" s="4" t="str">
        <f t="shared" si="11"/>
        <v>Q1-2024</v>
      </c>
      <c r="H72" t="s">
        <v>78</v>
      </c>
      <c r="I72" t="s">
        <v>79</v>
      </c>
      <c r="J72" t="s">
        <v>159</v>
      </c>
      <c r="K72" t="s">
        <v>62</v>
      </c>
      <c r="L72" t="s">
        <v>28</v>
      </c>
      <c r="M72" t="s">
        <v>110</v>
      </c>
      <c r="N72" t="s">
        <v>81</v>
      </c>
      <c r="O72" t="s">
        <v>238</v>
      </c>
      <c r="P72" s="4">
        <v>910.63</v>
      </c>
      <c r="Q72" s="7" t="str">
        <f t="shared" si="12"/>
        <v>High</v>
      </c>
      <c r="R72" s="4">
        <v>1269.4000000000001</v>
      </c>
      <c r="S72" s="4">
        <v>6.8000000000000005E-2</v>
      </c>
      <c r="T72" s="4">
        <v>9</v>
      </c>
      <c r="U72" s="4">
        <f t="shared" si="8"/>
        <v>240.65172000000001</v>
      </c>
      <c r="V72">
        <f t="shared" si="9"/>
        <v>8195.67</v>
      </c>
      <c r="W72" s="4">
        <f t="shared" si="13"/>
        <v>-7955.0182800000002</v>
      </c>
      <c r="X72" s="4">
        <f t="shared" si="14"/>
        <v>-33.05614553679483</v>
      </c>
    </row>
    <row r="73" spans="1:24" x14ac:dyDescent="0.3">
      <c r="A73" t="s">
        <v>239</v>
      </c>
      <c r="B73" s="6">
        <v>45756</v>
      </c>
      <c r="C73" s="2">
        <v>45783</v>
      </c>
      <c r="D73" s="4">
        <f t="shared" si="15"/>
        <v>27</v>
      </c>
      <c r="E73" s="46" t="b">
        <f t="shared" si="10"/>
        <v>0</v>
      </c>
      <c r="F73" s="4" t="str">
        <f>TEXT(Data!B73,"MMM-YYYY")</f>
        <v>Apr-2024</v>
      </c>
      <c r="G73" s="4" t="str">
        <f t="shared" si="11"/>
        <v>Q2-2025</v>
      </c>
      <c r="H73" t="s">
        <v>52</v>
      </c>
      <c r="I73" t="s">
        <v>73</v>
      </c>
      <c r="J73" t="s">
        <v>87</v>
      </c>
      <c r="K73" t="s">
        <v>105</v>
      </c>
      <c r="L73" t="s">
        <v>40</v>
      </c>
      <c r="M73" t="s">
        <v>84</v>
      </c>
      <c r="N73" t="s">
        <v>57</v>
      </c>
      <c r="O73" t="s">
        <v>240</v>
      </c>
      <c r="P73" s="4">
        <v>264.19</v>
      </c>
      <c r="Q73" s="7" t="str">
        <f t="shared" si="12"/>
        <v>High</v>
      </c>
      <c r="R73" s="4">
        <v>620.92999999999995</v>
      </c>
      <c r="S73" s="4">
        <v>0.14199999999999999</v>
      </c>
      <c r="T73" s="4">
        <v>12</v>
      </c>
      <c r="U73" s="4">
        <f t="shared" si="8"/>
        <v>19527.59952</v>
      </c>
      <c r="V73">
        <f t="shared" si="9"/>
        <v>3170.2799999999997</v>
      </c>
      <c r="W73" s="4">
        <f t="shared" si="13"/>
        <v>16357.319520000001</v>
      </c>
      <c r="X73" s="4">
        <f t="shared" si="14"/>
        <v>0.83765132028885447</v>
      </c>
    </row>
    <row r="74" spans="1:24" x14ac:dyDescent="0.3">
      <c r="A74" t="s">
        <v>241</v>
      </c>
      <c r="B74" s="6">
        <v>45394</v>
      </c>
      <c r="C74" s="2">
        <v>45419</v>
      </c>
      <c r="D74" s="4">
        <f t="shared" si="15"/>
        <v>25</v>
      </c>
      <c r="E74" s="46" t="b">
        <f t="shared" si="10"/>
        <v>0</v>
      </c>
      <c r="F74" s="4" t="str">
        <f>TEXT(Data!B74,"MMM-YYYY")</f>
        <v>Dec-2024</v>
      </c>
      <c r="G74" s="4" t="str">
        <f t="shared" si="11"/>
        <v>Q2-2024</v>
      </c>
      <c r="H74" t="s">
        <v>16</v>
      </c>
      <c r="I74" t="s">
        <v>148</v>
      </c>
      <c r="J74" t="s">
        <v>149</v>
      </c>
      <c r="K74" t="s">
        <v>27</v>
      </c>
      <c r="L74" t="s">
        <v>55</v>
      </c>
      <c r="M74" t="s">
        <v>75</v>
      </c>
      <c r="N74" t="s">
        <v>57</v>
      </c>
      <c r="O74" t="s">
        <v>242</v>
      </c>
      <c r="P74" s="4">
        <v>1376.51</v>
      </c>
      <c r="Q74" s="7" t="str">
        <f t="shared" si="12"/>
        <v>High</v>
      </c>
      <c r="R74" s="4">
        <v>1455.91</v>
      </c>
      <c r="S74" s="4">
        <v>0.185</v>
      </c>
      <c r="T74" s="4">
        <v>17</v>
      </c>
      <c r="U74" s="4">
        <f t="shared" si="8"/>
        <v>5807.6003499999997</v>
      </c>
      <c r="V74">
        <f t="shared" si="9"/>
        <v>23400.67</v>
      </c>
      <c r="W74" s="4">
        <f t="shared" si="13"/>
        <v>-17593.069649999998</v>
      </c>
      <c r="X74" s="4">
        <f t="shared" si="14"/>
        <v>-3.0293182364037841</v>
      </c>
    </row>
    <row r="75" spans="1:24" x14ac:dyDescent="0.3">
      <c r="A75" t="s">
        <v>243</v>
      </c>
      <c r="B75" s="6">
        <v>45641</v>
      </c>
      <c r="C75" s="2">
        <v>45646</v>
      </c>
      <c r="D75" s="4">
        <f t="shared" si="15"/>
        <v>5</v>
      </c>
      <c r="E75" s="46" t="str">
        <f t="shared" si="10"/>
        <v>Yes</v>
      </c>
      <c r="F75" s="4" t="str">
        <f>TEXT(Data!B75,"MMM-YYYY")</f>
        <v>May-2023</v>
      </c>
      <c r="G75" s="4" t="str">
        <f t="shared" si="11"/>
        <v>Q4-2024</v>
      </c>
      <c r="H75" t="s">
        <v>45</v>
      </c>
      <c r="I75" t="s">
        <v>116</v>
      </c>
      <c r="J75" t="s">
        <v>117</v>
      </c>
      <c r="K75" t="s">
        <v>62</v>
      </c>
      <c r="L75" t="s">
        <v>98</v>
      </c>
      <c r="M75" t="s">
        <v>29</v>
      </c>
      <c r="N75" t="s">
        <v>35</v>
      </c>
      <c r="O75" t="s">
        <v>244</v>
      </c>
      <c r="P75" s="4">
        <v>717.55</v>
      </c>
      <c r="Q75" s="7" t="str">
        <f t="shared" si="12"/>
        <v>High</v>
      </c>
      <c r="R75" s="4">
        <v>546.42999999999995</v>
      </c>
      <c r="S75" s="4">
        <v>4.7E-2</v>
      </c>
      <c r="T75" s="4">
        <v>18</v>
      </c>
      <c r="U75" s="4">
        <f t="shared" si="8"/>
        <v>34328.070179999995</v>
      </c>
      <c r="V75">
        <f t="shared" si="9"/>
        <v>12915.9</v>
      </c>
      <c r="W75" s="4">
        <f t="shared" si="13"/>
        <v>21412.170179999994</v>
      </c>
      <c r="X75" s="4">
        <f t="shared" si="14"/>
        <v>0.62375106050893059</v>
      </c>
    </row>
    <row r="76" spans="1:24" x14ac:dyDescent="0.3">
      <c r="A76" t="s">
        <v>245</v>
      </c>
      <c r="B76" s="6">
        <v>45066</v>
      </c>
      <c r="C76" s="2">
        <v>45064</v>
      </c>
      <c r="D76" s="4">
        <f>DATEDIF(C76,B76, "MD")</f>
        <v>2</v>
      </c>
      <c r="E76" s="46" t="str">
        <f t="shared" si="10"/>
        <v>Yes</v>
      </c>
      <c r="F76" s="4" t="str">
        <f>TEXT(Data!B76,"MMM-YYYY")</f>
        <v>Sep-2023</v>
      </c>
      <c r="G76" s="4" t="str">
        <f t="shared" si="11"/>
        <v>Q2-2023</v>
      </c>
      <c r="H76" t="s">
        <v>16</v>
      </c>
      <c r="I76" t="s">
        <v>148</v>
      </c>
      <c r="J76" t="s">
        <v>172</v>
      </c>
      <c r="K76" t="s">
        <v>19</v>
      </c>
      <c r="L76" t="s">
        <v>55</v>
      </c>
      <c r="M76" t="s">
        <v>75</v>
      </c>
      <c r="N76" t="s">
        <v>22</v>
      </c>
      <c r="O76" t="s">
        <v>246</v>
      </c>
      <c r="P76" s="4">
        <v>917.88</v>
      </c>
      <c r="Q76" s="7" t="str">
        <f t="shared" si="12"/>
        <v>High</v>
      </c>
      <c r="R76" s="4">
        <v>1347.92</v>
      </c>
      <c r="S76" s="4">
        <v>0.34300000000000003</v>
      </c>
      <c r="T76" s="4">
        <v>5</v>
      </c>
      <c r="U76" s="4">
        <f t="shared" si="8"/>
        <v>10198.97235</v>
      </c>
      <c r="V76">
        <f t="shared" si="9"/>
        <v>4589.3999999999996</v>
      </c>
      <c r="W76" s="4">
        <f t="shared" si="13"/>
        <v>5609.5723500000004</v>
      </c>
      <c r="X76" s="4">
        <f t="shared" si="14"/>
        <v>0.55001348738826616</v>
      </c>
    </row>
    <row r="77" spans="1:24" x14ac:dyDescent="0.3">
      <c r="A77" t="s">
        <v>247</v>
      </c>
      <c r="B77" s="6">
        <v>45187</v>
      </c>
      <c r="C77" s="2">
        <v>45207</v>
      </c>
      <c r="D77" s="4">
        <f t="shared" si="15"/>
        <v>20</v>
      </c>
      <c r="E77" s="46" t="b">
        <f t="shared" si="10"/>
        <v>0</v>
      </c>
      <c r="F77" s="4" t="str">
        <f>TEXT(Data!B77,"MMM-YYYY")</f>
        <v>Aug-2024</v>
      </c>
      <c r="G77" s="4" t="str">
        <f t="shared" si="11"/>
        <v>Q3-2023</v>
      </c>
      <c r="H77" t="s">
        <v>45</v>
      </c>
      <c r="I77" t="s">
        <v>60</v>
      </c>
      <c r="J77" t="s">
        <v>141</v>
      </c>
      <c r="K77" t="s">
        <v>62</v>
      </c>
      <c r="L77" t="s">
        <v>98</v>
      </c>
      <c r="M77" t="s">
        <v>56</v>
      </c>
      <c r="N77" t="s">
        <v>22</v>
      </c>
      <c r="O77" t="s">
        <v>248</v>
      </c>
      <c r="P77" s="4">
        <v>825.64</v>
      </c>
      <c r="Q77" s="7" t="str">
        <f t="shared" si="12"/>
        <v>High</v>
      </c>
      <c r="R77" s="4">
        <v>1108.43</v>
      </c>
      <c r="S77" s="4">
        <v>0.114</v>
      </c>
      <c r="T77" s="4">
        <v>7</v>
      </c>
      <c r="U77" s="4">
        <f t="shared" si="8"/>
        <v>2073.2045600000001</v>
      </c>
      <c r="V77">
        <f t="shared" si="9"/>
        <v>5779.48</v>
      </c>
      <c r="W77" s="4">
        <f t="shared" si="13"/>
        <v>-3706.2754399999994</v>
      </c>
      <c r="X77" s="4">
        <f t="shared" si="14"/>
        <v>-1.7877036890175464</v>
      </c>
    </row>
    <row r="78" spans="1:24" x14ac:dyDescent="0.3">
      <c r="A78" t="s">
        <v>249</v>
      </c>
      <c r="B78" s="6">
        <v>45532</v>
      </c>
      <c r="C78" s="2">
        <v>45560</v>
      </c>
      <c r="D78" s="4">
        <f t="shared" si="15"/>
        <v>28</v>
      </c>
      <c r="E78" s="46" t="b">
        <f t="shared" si="10"/>
        <v>0</v>
      </c>
      <c r="F78" s="4" t="str">
        <f>TEXT(Data!B78,"MMM-YYYY")</f>
        <v>Jun-2024</v>
      </c>
      <c r="G78" s="4" t="str">
        <f t="shared" si="11"/>
        <v>Q3-2024</v>
      </c>
      <c r="H78" t="s">
        <v>52</v>
      </c>
      <c r="I78" t="s">
        <v>73</v>
      </c>
      <c r="J78" t="s">
        <v>225</v>
      </c>
      <c r="K78" t="s">
        <v>39</v>
      </c>
      <c r="L78" t="s">
        <v>28</v>
      </c>
      <c r="M78" t="s">
        <v>1364</v>
      </c>
      <c r="N78" t="s">
        <v>81</v>
      </c>
      <c r="O78" t="s">
        <v>250</v>
      </c>
      <c r="P78" s="4">
        <v>1394.65</v>
      </c>
      <c r="Q78" s="7" t="str">
        <f t="shared" si="12"/>
        <v>High</v>
      </c>
      <c r="R78" s="4">
        <v>3144.1</v>
      </c>
      <c r="S78" s="4">
        <v>0.13400000000000001</v>
      </c>
      <c r="T78" s="4">
        <v>13</v>
      </c>
      <c r="U78" s="4">
        <f t="shared" si="8"/>
        <v>21984.960139999999</v>
      </c>
      <c r="V78">
        <f t="shared" si="9"/>
        <v>18130.45</v>
      </c>
      <c r="W78" s="4">
        <f t="shared" si="13"/>
        <v>3854.5101399999985</v>
      </c>
      <c r="X78" s="4">
        <f t="shared" si="14"/>
        <v>0.17532486370020767</v>
      </c>
    </row>
    <row r="79" spans="1:24" x14ac:dyDescent="0.3">
      <c r="A79" t="s">
        <v>251</v>
      </c>
      <c r="B79" s="6">
        <v>45473</v>
      </c>
      <c r="C79" s="2">
        <v>45471</v>
      </c>
      <c r="D79" s="4">
        <f>DATEDIF(C79,B79, "MD")</f>
        <v>2</v>
      </c>
      <c r="E79" s="46" t="str">
        <f t="shared" si="10"/>
        <v>Yes</v>
      </c>
      <c r="F79" s="4" t="str">
        <f>TEXT(Data!B79,"MMM-YYYY")</f>
        <v>Jun-2023</v>
      </c>
      <c r="G79" s="4" t="str">
        <f t="shared" si="11"/>
        <v>Q2-2024</v>
      </c>
      <c r="H79" t="s">
        <v>52</v>
      </c>
      <c r="I79" t="s">
        <v>73</v>
      </c>
      <c r="J79" t="s">
        <v>225</v>
      </c>
      <c r="K79" t="s">
        <v>62</v>
      </c>
      <c r="L79" t="s">
        <v>98</v>
      </c>
      <c r="M79" t="s">
        <v>49</v>
      </c>
      <c r="N79" t="s">
        <v>81</v>
      </c>
      <c r="O79" t="s">
        <v>252</v>
      </c>
      <c r="P79" s="4">
        <v>1112.98</v>
      </c>
      <c r="Q79" s="7" t="str">
        <f t="shared" si="12"/>
        <v>High</v>
      </c>
      <c r="R79" s="4">
        <v>2095.73</v>
      </c>
      <c r="S79" s="4">
        <v>7.1999999999999995E-2</v>
      </c>
      <c r="T79" s="4">
        <v>17</v>
      </c>
      <c r="U79" s="4">
        <f t="shared" si="8"/>
        <v>3822.3670400000005</v>
      </c>
      <c r="V79">
        <f t="shared" si="9"/>
        <v>18920.66</v>
      </c>
      <c r="W79" s="4">
        <f t="shared" si="13"/>
        <v>-15098.292959999999</v>
      </c>
      <c r="X79" s="4">
        <f t="shared" si="14"/>
        <v>-3.9499851275402365</v>
      </c>
    </row>
    <row r="80" spans="1:24" x14ac:dyDescent="0.3">
      <c r="A80" t="s">
        <v>253</v>
      </c>
      <c r="B80" s="6">
        <v>45091</v>
      </c>
      <c r="C80" s="2">
        <v>45093</v>
      </c>
      <c r="D80" s="4">
        <f t="shared" si="15"/>
        <v>2</v>
      </c>
      <c r="E80" s="46" t="str">
        <f t="shared" si="10"/>
        <v>Yes</v>
      </c>
      <c r="F80" s="4" t="str">
        <f>TEXT(Data!B80,"MMM-YYYY")</f>
        <v>Nov-2024</v>
      </c>
      <c r="G80" s="4" t="str">
        <f t="shared" si="11"/>
        <v>Q2-2023</v>
      </c>
      <c r="H80" t="s">
        <v>78</v>
      </c>
      <c r="I80" t="s">
        <v>108</v>
      </c>
      <c r="J80" t="s">
        <v>228</v>
      </c>
      <c r="K80" t="s">
        <v>39</v>
      </c>
      <c r="L80" t="s">
        <v>98</v>
      </c>
      <c r="M80" t="s">
        <v>95</v>
      </c>
      <c r="N80" t="s">
        <v>22</v>
      </c>
      <c r="O80" t="s">
        <v>254</v>
      </c>
      <c r="P80" s="4">
        <v>357.36</v>
      </c>
      <c r="Q80" s="7" t="str">
        <f t="shared" si="12"/>
        <v>High</v>
      </c>
      <c r="R80" s="4">
        <v>703.62</v>
      </c>
      <c r="S80" s="4">
        <v>0.25700000000000001</v>
      </c>
      <c r="T80" s="4">
        <v>20</v>
      </c>
      <c r="U80" s="4">
        <f t="shared" si="8"/>
        <v>44117.408199999998</v>
      </c>
      <c r="V80">
        <f t="shared" si="9"/>
        <v>7147.2000000000007</v>
      </c>
      <c r="W80" s="4">
        <f t="shared" si="13"/>
        <v>36970.208199999994</v>
      </c>
      <c r="X80" s="4">
        <f t="shared" si="14"/>
        <v>0.83799592288832592</v>
      </c>
    </row>
    <row r="81" spans="1:24" x14ac:dyDescent="0.3">
      <c r="A81" t="s">
        <v>255</v>
      </c>
      <c r="B81" s="6">
        <v>45617</v>
      </c>
      <c r="C81" s="2">
        <v>45647</v>
      </c>
      <c r="D81" s="4">
        <f t="shared" si="15"/>
        <v>0</v>
      </c>
      <c r="E81" s="46" t="str">
        <f t="shared" si="10"/>
        <v>Yes</v>
      </c>
      <c r="F81" s="4" t="str">
        <f>TEXT(Data!B81,"MMM-YYYY")</f>
        <v>Feb-2023</v>
      </c>
      <c r="G81" s="4" t="str">
        <f t="shared" si="11"/>
        <v>Q4-2024</v>
      </c>
      <c r="H81" t="s">
        <v>78</v>
      </c>
      <c r="I81" t="s">
        <v>90</v>
      </c>
      <c r="J81" t="s">
        <v>91</v>
      </c>
      <c r="K81" t="s">
        <v>62</v>
      </c>
      <c r="L81" t="s">
        <v>98</v>
      </c>
      <c r="M81" t="s">
        <v>34</v>
      </c>
      <c r="N81" t="s">
        <v>64</v>
      </c>
      <c r="O81" t="s">
        <v>256</v>
      </c>
      <c r="P81" s="4">
        <v>1122.68</v>
      </c>
      <c r="Q81" s="7" t="str">
        <f t="shared" si="12"/>
        <v>High</v>
      </c>
      <c r="R81" s="4">
        <v>1997.19</v>
      </c>
      <c r="S81" s="4">
        <v>0.186</v>
      </c>
      <c r="T81" s="4">
        <v>3</v>
      </c>
      <c r="U81" s="4">
        <f t="shared" si="8"/>
        <v>3404.8806</v>
      </c>
      <c r="V81">
        <f t="shared" si="9"/>
        <v>3368.04</v>
      </c>
      <c r="W81" s="4">
        <f t="shared" si="13"/>
        <v>36.840599999999995</v>
      </c>
      <c r="X81" s="4">
        <f t="shared" si="14"/>
        <v>1.081993888420052E-2</v>
      </c>
    </row>
    <row r="82" spans="1:24" x14ac:dyDescent="0.3">
      <c r="A82" t="s">
        <v>257</v>
      </c>
      <c r="B82" s="6">
        <v>44965</v>
      </c>
      <c r="C82" s="2">
        <v>44968</v>
      </c>
      <c r="D82" s="4">
        <f t="shared" si="15"/>
        <v>3</v>
      </c>
      <c r="E82" s="46" t="str">
        <f t="shared" si="10"/>
        <v>Yes</v>
      </c>
      <c r="F82" s="4" t="str">
        <f>TEXT(Data!B82,"MMM-YYYY")</f>
        <v>Aug-2023</v>
      </c>
      <c r="G82" s="4" t="str">
        <f t="shared" si="11"/>
        <v>Q1-2023</v>
      </c>
      <c r="H82" t="s">
        <v>16</v>
      </c>
      <c r="I82" t="s">
        <v>148</v>
      </c>
      <c r="J82" t="s">
        <v>258</v>
      </c>
      <c r="K82" t="s">
        <v>19</v>
      </c>
      <c r="L82" t="s">
        <v>98</v>
      </c>
      <c r="M82" t="s">
        <v>110</v>
      </c>
      <c r="N82" t="s">
        <v>35</v>
      </c>
      <c r="O82" t="s">
        <v>259</v>
      </c>
      <c r="P82" s="4">
        <v>1410.05</v>
      </c>
      <c r="Q82" s="7" t="str">
        <f t="shared" si="12"/>
        <v>High</v>
      </c>
      <c r="R82" s="4">
        <v>2763.95</v>
      </c>
      <c r="S82" s="4">
        <v>0.161</v>
      </c>
      <c r="T82" s="4">
        <v>26</v>
      </c>
      <c r="U82" s="4">
        <f t="shared" si="8"/>
        <v>336.15374000000003</v>
      </c>
      <c r="V82">
        <f t="shared" si="9"/>
        <v>36661.299999999996</v>
      </c>
      <c r="W82" s="4">
        <f t="shared" si="13"/>
        <v>-36325.146259999994</v>
      </c>
      <c r="X82" s="4">
        <f t="shared" si="14"/>
        <v>-108.06110995522462</v>
      </c>
    </row>
    <row r="83" spans="1:24" x14ac:dyDescent="0.3">
      <c r="A83" t="s">
        <v>260</v>
      </c>
      <c r="B83" s="6">
        <v>45157</v>
      </c>
      <c r="C83" s="2">
        <v>45181</v>
      </c>
      <c r="D83" s="4">
        <f t="shared" si="15"/>
        <v>24</v>
      </c>
      <c r="E83" s="46" t="b">
        <f t="shared" si="10"/>
        <v>0</v>
      </c>
      <c r="F83" s="4" t="str">
        <f>TEXT(Data!B83,"MMM-YYYY")</f>
        <v>May-2025</v>
      </c>
      <c r="G83" s="4" t="str">
        <f t="shared" si="11"/>
        <v>Q3-2023</v>
      </c>
      <c r="H83" t="s">
        <v>52</v>
      </c>
      <c r="I83" t="s">
        <v>53</v>
      </c>
      <c r="J83" t="s">
        <v>179</v>
      </c>
      <c r="K83" t="s">
        <v>105</v>
      </c>
      <c r="L83" t="s">
        <v>20</v>
      </c>
      <c r="M83" t="s">
        <v>34</v>
      </c>
      <c r="N83" t="s">
        <v>30</v>
      </c>
      <c r="O83" t="s">
        <v>261</v>
      </c>
      <c r="P83" s="4">
        <v>1183.95</v>
      </c>
      <c r="Q83" s="7" t="str">
        <f t="shared" si="12"/>
        <v>High</v>
      </c>
      <c r="R83" s="4">
        <v>1503.53</v>
      </c>
      <c r="S83" s="4">
        <v>0.24099999999999999</v>
      </c>
      <c r="T83" s="4">
        <v>16</v>
      </c>
      <c r="U83" s="4">
        <f t="shared" si="8"/>
        <v>27333.836640000001</v>
      </c>
      <c r="V83">
        <f t="shared" si="9"/>
        <v>18943.2</v>
      </c>
      <c r="W83" s="4">
        <f t="shared" si="13"/>
        <v>8390.6366400000006</v>
      </c>
      <c r="X83" s="4">
        <f t="shared" si="14"/>
        <v>0.30696885879976488</v>
      </c>
    </row>
    <row r="84" spans="1:24" x14ac:dyDescent="0.3">
      <c r="A84" t="s">
        <v>262</v>
      </c>
      <c r="B84" s="6">
        <v>45791</v>
      </c>
      <c r="C84" s="2">
        <v>45801</v>
      </c>
      <c r="D84" s="4">
        <f t="shared" si="15"/>
        <v>10</v>
      </c>
      <c r="E84" s="46" t="b">
        <f t="shared" si="10"/>
        <v>0</v>
      </c>
      <c r="F84" s="4" t="str">
        <f>TEXT(Data!B84,"MMM-YYYY")</f>
        <v>Apr-2025</v>
      </c>
      <c r="G84" s="4" t="str">
        <f t="shared" si="11"/>
        <v>Q2-2025</v>
      </c>
      <c r="H84" t="s">
        <v>78</v>
      </c>
      <c r="I84" t="s">
        <v>90</v>
      </c>
      <c r="J84" t="s">
        <v>217</v>
      </c>
      <c r="K84" t="s">
        <v>62</v>
      </c>
      <c r="L84" t="s">
        <v>40</v>
      </c>
      <c r="M84" t="s">
        <v>95</v>
      </c>
      <c r="N84" t="s">
        <v>22</v>
      </c>
      <c r="O84" t="s">
        <v>263</v>
      </c>
      <c r="P84" s="4">
        <v>170.39</v>
      </c>
      <c r="Q84" s="7" t="str">
        <f t="shared" si="12"/>
        <v>High</v>
      </c>
      <c r="R84" s="4">
        <v>388.04</v>
      </c>
      <c r="S84" s="4">
        <v>8.4000000000000005E-2</v>
      </c>
      <c r="T84" s="4">
        <v>15</v>
      </c>
      <c r="U84" s="4">
        <f t="shared" si="8"/>
        <v>2281.3896</v>
      </c>
      <c r="V84">
        <f t="shared" si="9"/>
        <v>2555.85</v>
      </c>
      <c r="W84" s="4">
        <f t="shared" si="13"/>
        <v>-274.46039999999994</v>
      </c>
      <c r="X84" s="4">
        <f t="shared" si="14"/>
        <v>-0.12030404627074653</v>
      </c>
    </row>
    <row r="85" spans="1:24" x14ac:dyDescent="0.3">
      <c r="A85" t="s">
        <v>264</v>
      </c>
      <c r="B85" s="6">
        <v>45770</v>
      </c>
      <c r="C85" s="2">
        <v>45769</v>
      </c>
      <c r="D85" s="4">
        <f>DATEDIF(C85,B85, "MD")</f>
        <v>1</v>
      </c>
      <c r="E85" s="46" t="str">
        <f t="shared" si="10"/>
        <v>Yes</v>
      </c>
      <c r="F85" s="4" t="str">
        <f>TEXT(Data!B85,"MMM-YYYY")</f>
        <v>Mar-2025</v>
      </c>
      <c r="G85" s="4" t="str">
        <f t="shared" si="11"/>
        <v>Q2-2025</v>
      </c>
      <c r="H85" t="s">
        <v>52</v>
      </c>
      <c r="I85" t="s">
        <v>122</v>
      </c>
      <c r="J85" t="s">
        <v>167</v>
      </c>
      <c r="K85" t="s">
        <v>39</v>
      </c>
      <c r="L85" t="s">
        <v>55</v>
      </c>
      <c r="M85" t="s">
        <v>145</v>
      </c>
      <c r="N85" t="s">
        <v>64</v>
      </c>
      <c r="O85" t="s">
        <v>265</v>
      </c>
      <c r="P85" s="4">
        <v>23.24</v>
      </c>
      <c r="Q85" s="7" t="str">
        <f t="shared" si="12"/>
        <v>Low</v>
      </c>
      <c r="R85" s="4">
        <v>44.57</v>
      </c>
      <c r="S85" s="4">
        <v>0.215</v>
      </c>
      <c r="T85" s="4">
        <v>15</v>
      </c>
      <c r="U85" s="4">
        <f t="shared" si="8"/>
        <v>4198.3762500000003</v>
      </c>
      <c r="V85">
        <f t="shared" si="9"/>
        <v>348.59999999999997</v>
      </c>
      <c r="W85" s="4">
        <f t="shared" si="13"/>
        <v>3849.7762500000003</v>
      </c>
      <c r="X85" s="4">
        <f t="shared" si="14"/>
        <v>0.91696789919674304</v>
      </c>
    </row>
    <row r="86" spans="1:24" x14ac:dyDescent="0.3">
      <c r="A86" t="s">
        <v>266</v>
      </c>
      <c r="B86" s="6">
        <v>45741</v>
      </c>
      <c r="C86" s="2">
        <v>45764</v>
      </c>
      <c r="D86" s="4">
        <f t="shared" si="15"/>
        <v>23</v>
      </c>
      <c r="E86" s="46" t="b">
        <f t="shared" si="10"/>
        <v>0</v>
      </c>
      <c r="F86" s="4" t="str">
        <f>TEXT(Data!B86,"MMM-YYYY")</f>
        <v>Dec-2023</v>
      </c>
      <c r="G86" s="4" t="str">
        <f t="shared" si="11"/>
        <v>Q1-2025</v>
      </c>
      <c r="H86" t="s">
        <v>78</v>
      </c>
      <c r="I86" t="s">
        <v>108</v>
      </c>
      <c r="J86" t="s">
        <v>152</v>
      </c>
      <c r="K86" t="s">
        <v>48</v>
      </c>
      <c r="L86" t="s">
        <v>20</v>
      </c>
      <c r="M86" t="s">
        <v>92</v>
      </c>
      <c r="N86" t="s">
        <v>35</v>
      </c>
      <c r="O86" t="s">
        <v>267</v>
      </c>
      <c r="P86" s="4">
        <v>1421.19</v>
      </c>
      <c r="Q86" s="7" t="str">
        <f t="shared" si="12"/>
        <v>High</v>
      </c>
      <c r="R86" s="4">
        <v>1808.26</v>
      </c>
      <c r="S86" s="4">
        <v>0.104</v>
      </c>
      <c r="T86" s="4">
        <v>13</v>
      </c>
      <c r="U86" s="4">
        <f t="shared" si="8"/>
        <v>11939.7824</v>
      </c>
      <c r="V86">
        <f t="shared" si="9"/>
        <v>18475.47</v>
      </c>
      <c r="W86" s="4">
        <f t="shared" si="13"/>
        <v>-6535.6876000000011</v>
      </c>
      <c r="X86" s="4">
        <f t="shared" si="14"/>
        <v>-0.54738749677716081</v>
      </c>
    </row>
    <row r="87" spans="1:24" x14ac:dyDescent="0.3">
      <c r="A87" t="s">
        <v>268</v>
      </c>
      <c r="B87" s="6">
        <v>45282</v>
      </c>
      <c r="C87" s="2">
        <v>45283</v>
      </c>
      <c r="D87" s="4">
        <f t="shared" si="15"/>
        <v>1</v>
      </c>
      <c r="E87" s="46" t="str">
        <f t="shared" si="10"/>
        <v>Yes</v>
      </c>
      <c r="F87" s="4" t="str">
        <f>TEXT(Data!B87,"MMM-YYYY")</f>
        <v>Apr-2024</v>
      </c>
      <c r="G87" s="4" t="str">
        <f t="shared" si="11"/>
        <v>Q4-2023</v>
      </c>
      <c r="H87" t="s">
        <v>16</v>
      </c>
      <c r="I87" t="s">
        <v>148</v>
      </c>
      <c r="J87" t="s">
        <v>258</v>
      </c>
      <c r="K87" t="s">
        <v>39</v>
      </c>
      <c r="L87" t="s">
        <v>40</v>
      </c>
      <c r="M87" t="s">
        <v>145</v>
      </c>
      <c r="N87" t="s">
        <v>22</v>
      </c>
      <c r="O87" t="s">
        <v>269</v>
      </c>
      <c r="P87" s="4">
        <v>1186.18</v>
      </c>
      <c r="Q87" s="7" t="str">
        <f t="shared" si="12"/>
        <v>High</v>
      </c>
      <c r="R87" s="4">
        <v>1285.0899999999999</v>
      </c>
      <c r="S87" s="4">
        <v>7.0000000000000007E-2</v>
      </c>
      <c r="T87" s="4">
        <v>11</v>
      </c>
      <c r="U87" s="4">
        <f t="shared" si="8"/>
        <v>18364.589100000001</v>
      </c>
      <c r="V87">
        <f t="shared" si="9"/>
        <v>13047.980000000001</v>
      </c>
      <c r="W87" s="4">
        <f t="shared" si="13"/>
        <v>5316.6090999999997</v>
      </c>
      <c r="X87" s="4">
        <f t="shared" si="14"/>
        <v>0.28950329740838032</v>
      </c>
    </row>
    <row r="88" spans="1:24" x14ac:dyDescent="0.3">
      <c r="A88" t="s">
        <v>270</v>
      </c>
      <c r="B88" s="6">
        <v>45388</v>
      </c>
      <c r="C88" s="2">
        <v>45407</v>
      </c>
      <c r="D88" s="4">
        <f t="shared" si="15"/>
        <v>19</v>
      </c>
      <c r="E88" s="46" t="b">
        <f t="shared" si="10"/>
        <v>0</v>
      </c>
      <c r="F88" s="4" t="str">
        <f>TEXT(Data!B88,"MMM-YYYY")</f>
        <v>Aug-2025</v>
      </c>
      <c r="G88" s="4" t="str">
        <f t="shared" si="11"/>
        <v>Q2-2024</v>
      </c>
      <c r="H88" t="s">
        <v>45</v>
      </c>
      <c r="I88" t="s">
        <v>116</v>
      </c>
      <c r="J88" t="s">
        <v>162</v>
      </c>
      <c r="K88" t="s">
        <v>19</v>
      </c>
      <c r="L88" t="s">
        <v>20</v>
      </c>
      <c r="M88" t="s">
        <v>95</v>
      </c>
      <c r="N88" t="s">
        <v>22</v>
      </c>
      <c r="O88" t="s">
        <v>271</v>
      </c>
      <c r="P88" s="4">
        <v>1366.48</v>
      </c>
      <c r="Q88" s="7" t="str">
        <f t="shared" si="12"/>
        <v>High</v>
      </c>
      <c r="R88" s="4">
        <v>1678.14</v>
      </c>
      <c r="S88" s="4">
        <v>0.154</v>
      </c>
      <c r="T88" s="4">
        <v>10</v>
      </c>
      <c r="U88" s="4">
        <f t="shared" si="8"/>
        <v>36.970199999999998</v>
      </c>
      <c r="V88">
        <f t="shared" si="9"/>
        <v>13664.8</v>
      </c>
      <c r="W88" s="4">
        <f t="shared" si="13"/>
        <v>-13627.8298</v>
      </c>
      <c r="X88" s="4">
        <f t="shared" si="14"/>
        <v>-368.61661013464897</v>
      </c>
    </row>
    <row r="89" spans="1:24" x14ac:dyDescent="0.3">
      <c r="A89" t="s">
        <v>272</v>
      </c>
      <c r="B89" s="6">
        <v>45876</v>
      </c>
      <c r="C89" s="2">
        <v>45888</v>
      </c>
      <c r="D89" s="4">
        <f t="shared" si="15"/>
        <v>12</v>
      </c>
      <c r="E89" s="46" t="b">
        <f t="shared" si="10"/>
        <v>0</v>
      </c>
      <c r="F89" s="4" t="str">
        <f>TEXT(Data!B89,"MMM-YYYY")</f>
        <v>Jan-2024</v>
      </c>
      <c r="G89" s="4" t="str">
        <f t="shared" si="11"/>
        <v>Q3-2025</v>
      </c>
      <c r="H89" t="s">
        <v>16</v>
      </c>
      <c r="I89" t="s">
        <v>17</v>
      </c>
      <c r="J89" t="s">
        <v>135</v>
      </c>
      <c r="K89" t="s">
        <v>19</v>
      </c>
      <c r="L89" t="s">
        <v>1364</v>
      </c>
      <c r="M89" t="s">
        <v>110</v>
      </c>
      <c r="N89" t="s">
        <v>22</v>
      </c>
      <c r="O89" t="s">
        <v>273</v>
      </c>
      <c r="P89" s="4">
        <v>601.51</v>
      </c>
      <c r="Q89" s="7" t="str">
        <f t="shared" si="12"/>
        <v>High</v>
      </c>
      <c r="R89" s="4">
        <v>679.35</v>
      </c>
      <c r="S89" s="4">
        <v>0.188</v>
      </c>
      <c r="T89" s="4">
        <v>3</v>
      </c>
      <c r="U89" s="4">
        <f t="shared" si="8"/>
        <v>532.26600000000008</v>
      </c>
      <c r="V89">
        <f t="shared" si="9"/>
        <v>1804.53</v>
      </c>
      <c r="W89" s="4">
        <f t="shared" si="13"/>
        <v>-1272.2639999999999</v>
      </c>
      <c r="X89" s="4">
        <f t="shared" si="14"/>
        <v>-2.3902785449380568</v>
      </c>
    </row>
    <row r="90" spans="1:24" x14ac:dyDescent="0.3">
      <c r="A90" t="s">
        <v>274</v>
      </c>
      <c r="B90" s="6">
        <v>45312</v>
      </c>
      <c r="C90" s="2">
        <v>45316</v>
      </c>
      <c r="D90" s="4">
        <f t="shared" si="15"/>
        <v>4</v>
      </c>
      <c r="E90" s="46" t="str">
        <f t="shared" si="10"/>
        <v>Yes</v>
      </c>
      <c r="F90" s="4" t="str">
        <f>TEXT(Data!B90,"MMM-YYYY")</f>
        <v>Jun-2023</v>
      </c>
      <c r="G90" s="4" t="str">
        <f t="shared" si="11"/>
        <v>Q1-2024</v>
      </c>
      <c r="H90" t="s">
        <v>45</v>
      </c>
      <c r="I90" t="s">
        <v>60</v>
      </c>
      <c r="J90" t="s">
        <v>141</v>
      </c>
      <c r="K90" t="s">
        <v>48</v>
      </c>
      <c r="L90" t="s">
        <v>98</v>
      </c>
      <c r="M90" t="s">
        <v>21</v>
      </c>
      <c r="N90" t="s">
        <v>64</v>
      </c>
      <c r="O90" t="s">
        <v>275</v>
      </c>
      <c r="P90" s="4">
        <v>523.70000000000005</v>
      </c>
      <c r="Q90" s="7" t="str">
        <f t="shared" si="12"/>
        <v>High</v>
      </c>
      <c r="R90" s="4">
        <v>1109.92</v>
      </c>
      <c r="S90" s="4">
        <v>0.03</v>
      </c>
      <c r="T90" s="4">
        <v>11</v>
      </c>
      <c r="U90" s="4">
        <f t="shared" si="8"/>
        <v>2666.1129000000001</v>
      </c>
      <c r="V90">
        <f t="shared" si="9"/>
        <v>5760.7000000000007</v>
      </c>
      <c r="W90" s="4">
        <f t="shared" si="13"/>
        <v>-3094.5871000000006</v>
      </c>
      <c r="X90" s="4">
        <f t="shared" si="14"/>
        <v>-1.160711198689298</v>
      </c>
    </row>
    <row r="91" spans="1:24" x14ac:dyDescent="0.3">
      <c r="A91" t="s">
        <v>276</v>
      </c>
      <c r="B91" s="6">
        <v>45106</v>
      </c>
      <c r="C91" s="2">
        <v>45109</v>
      </c>
      <c r="D91" s="4">
        <f t="shared" si="15"/>
        <v>3</v>
      </c>
      <c r="E91" s="46" t="str">
        <f t="shared" si="10"/>
        <v>Yes</v>
      </c>
      <c r="F91" s="4" t="str">
        <f>TEXT(Data!B91,"MMM-YYYY")</f>
        <v>Apr-2025</v>
      </c>
      <c r="G91" s="4" t="str">
        <f t="shared" si="11"/>
        <v>Q2-2023</v>
      </c>
      <c r="H91" t="s">
        <v>45</v>
      </c>
      <c r="I91" t="s">
        <v>46</v>
      </c>
      <c r="J91" t="s">
        <v>231</v>
      </c>
      <c r="K91" t="s">
        <v>27</v>
      </c>
      <c r="L91" t="s">
        <v>40</v>
      </c>
      <c r="M91" t="s">
        <v>84</v>
      </c>
      <c r="N91" t="s">
        <v>64</v>
      </c>
      <c r="O91" t="s">
        <v>277</v>
      </c>
      <c r="P91" s="4">
        <v>55.65</v>
      </c>
      <c r="Q91" s="7" t="str">
        <f t="shared" si="12"/>
        <v>Medium</v>
      </c>
      <c r="R91" s="4">
        <v>83.57</v>
      </c>
      <c r="S91" s="4">
        <v>6.6000000000000003E-2</v>
      </c>
      <c r="T91" s="4">
        <v>8</v>
      </c>
      <c r="U91" s="4">
        <f t="shared" si="8"/>
        <v>25677.677439999999</v>
      </c>
      <c r="V91">
        <f t="shared" si="9"/>
        <v>445.2</v>
      </c>
      <c r="W91" s="4">
        <f t="shared" si="13"/>
        <v>25232.477439999999</v>
      </c>
      <c r="X91" s="4">
        <f t="shared" si="14"/>
        <v>0.98266198331059018</v>
      </c>
    </row>
    <row r="92" spans="1:24" x14ac:dyDescent="0.3">
      <c r="A92" t="s">
        <v>278</v>
      </c>
      <c r="B92" s="6">
        <v>45775</v>
      </c>
      <c r="C92" s="2">
        <v>45792</v>
      </c>
      <c r="D92" s="4">
        <f t="shared" si="15"/>
        <v>17</v>
      </c>
      <c r="E92" s="46" t="b">
        <f t="shared" si="10"/>
        <v>0</v>
      </c>
      <c r="F92" s="4" t="str">
        <f>TEXT(Data!B92,"MMM-YYYY")</f>
        <v>Jun-2025</v>
      </c>
      <c r="G92" s="4" t="str">
        <f t="shared" si="11"/>
        <v>Q2-2025</v>
      </c>
      <c r="H92" t="s">
        <v>45</v>
      </c>
      <c r="I92" t="s">
        <v>46</v>
      </c>
      <c r="J92" t="s">
        <v>231</v>
      </c>
      <c r="K92" t="s">
        <v>27</v>
      </c>
      <c r="L92" t="s">
        <v>98</v>
      </c>
      <c r="M92" t="s">
        <v>126</v>
      </c>
      <c r="N92" t="s">
        <v>35</v>
      </c>
      <c r="O92" t="s">
        <v>279</v>
      </c>
      <c r="P92" s="4">
        <v>691.19</v>
      </c>
      <c r="Q92" s="7" t="str">
        <f t="shared" si="12"/>
        <v>High</v>
      </c>
      <c r="R92" s="4">
        <v>1284.3</v>
      </c>
      <c r="S92" s="4">
        <v>7.3999999999999996E-2</v>
      </c>
      <c r="T92" s="4">
        <v>7</v>
      </c>
      <c r="U92" s="4">
        <f t="shared" si="8"/>
        <v>346.46290000000005</v>
      </c>
      <c r="V92">
        <f t="shared" si="9"/>
        <v>4838.33</v>
      </c>
      <c r="W92" s="4">
        <f t="shared" si="13"/>
        <v>-4491.8670999999995</v>
      </c>
      <c r="X92" s="4">
        <f t="shared" si="14"/>
        <v>-12.964929578318483</v>
      </c>
    </row>
    <row r="93" spans="1:24" x14ac:dyDescent="0.3">
      <c r="A93" t="s">
        <v>280</v>
      </c>
      <c r="B93" s="6">
        <v>45817</v>
      </c>
      <c r="C93" s="2">
        <v>45833</v>
      </c>
      <c r="D93" s="4">
        <f t="shared" si="15"/>
        <v>16</v>
      </c>
      <c r="E93" s="46" t="b">
        <f t="shared" si="10"/>
        <v>0</v>
      </c>
      <c r="F93" s="4" t="str">
        <f>TEXT(Data!B93,"MMM-YYYY")</f>
        <v>Jun-2023</v>
      </c>
      <c r="G93" s="4" t="str">
        <f t="shared" si="11"/>
        <v>Q2-2025</v>
      </c>
      <c r="H93" t="s">
        <v>45</v>
      </c>
      <c r="I93" t="s">
        <v>60</v>
      </c>
      <c r="J93" t="s">
        <v>281</v>
      </c>
      <c r="K93" t="s">
        <v>105</v>
      </c>
      <c r="L93" t="s">
        <v>55</v>
      </c>
      <c r="M93" t="s">
        <v>110</v>
      </c>
      <c r="N93" t="s">
        <v>42</v>
      </c>
      <c r="O93" t="s">
        <v>282</v>
      </c>
      <c r="P93" s="4">
        <v>527.33000000000004</v>
      </c>
      <c r="Q93" s="7" t="str">
        <f t="shared" si="12"/>
        <v>High</v>
      </c>
      <c r="R93" s="4">
        <v>911.72</v>
      </c>
      <c r="S93" s="4">
        <v>0.14399999999999999</v>
      </c>
      <c r="T93" s="4">
        <v>25</v>
      </c>
      <c r="U93" s="4">
        <f t="shared" si="8"/>
        <v>74251.58</v>
      </c>
      <c r="V93">
        <f t="shared" si="9"/>
        <v>13183.250000000002</v>
      </c>
      <c r="W93" s="4">
        <f t="shared" si="13"/>
        <v>61068.33</v>
      </c>
      <c r="X93" s="4">
        <f t="shared" si="14"/>
        <v>0.82245158958233622</v>
      </c>
    </row>
    <row r="94" spans="1:24" x14ac:dyDescent="0.3">
      <c r="A94" t="s">
        <v>283</v>
      </c>
      <c r="B94" s="6">
        <v>45101</v>
      </c>
      <c r="C94" s="2">
        <v>45100</v>
      </c>
      <c r="D94" s="4">
        <f>DATEDIF(C94,B94, "MD")</f>
        <v>1</v>
      </c>
      <c r="E94" s="46" t="str">
        <f t="shared" si="10"/>
        <v>Yes</v>
      </c>
      <c r="F94" s="4" t="str">
        <f>TEXT(Data!B94,"MMM-YYYY")</f>
        <v>Oct-2024</v>
      </c>
      <c r="G94" s="4" t="str">
        <f t="shared" si="11"/>
        <v>Q2-2023</v>
      </c>
      <c r="H94" t="s">
        <v>52</v>
      </c>
      <c r="I94" t="s">
        <v>73</v>
      </c>
      <c r="J94" t="s">
        <v>225</v>
      </c>
      <c r="K94" t="s">
        <v>39</v>
      </c>
      <c r="L94" t="s">
        <v>20</v>
      </c>
      <c r="M94" t="s">
        <v>63</v>
      </c>
      <c r="N94" t="s">
        <v>30</v>
      </c>
      <c r="O94" t="s">
        <v>284</v>
      </c>
      <c r="P94" s="4">
        <v>804.01</v>
      </c>
      <c r="Q94" s="7" t="str">
        <f t="shared" si="12"/>
        <v>High</v>
      </c>
      <c r="R94" s="4">
        <v>1405.07</v>
      </c>
      <c r="S94" s="4">
        <v>9.6000000000000002E-2</v>
      </c>
      <c r="T94" s="4">
        <v>8</v>
      </c>
      <c r="U94" s="4">
        <f t="shared" si="8"/>
        <v>4491.2166399999996</v>
      </c>
      <c r="V94">
        <f t="shared" si="9"/>
        <v>6432.08</v>
      </c>
      <c r="W94" s="4">
        <f t="shared" si="13"/>
        <v>-1940.8633600000003</v>
      </c>
      <c r="X94" s="4">
        <f t="shared" si="14"/>
        <v>-0.43214645731273393</v>
      </c>
    </row>
    <row r="95" spans="1:24" x14ac:dyDescent="0.3">
      <c r="A95" t="s">
        <v>285</v>
      </c>
      <c r="B95" s="6">
        <v>45569</v>
      </c>
      <c r="C95" s="2">
        <v>45598</v>
      </c>
      <c r="D95" s="4">
        <f t="shared" si="15"/>
        <v>29</v>
      </c>
      <c r="E95" s="46" t="b">
        <f t="shared" si="10"/>
        <v>0</v>
      </c>
      <c r="F95" s="4" t="str">
        <f>TEXT(Data!B95,"MMM-YYYY")</f>
        <v>Sep-2025</v>
      </c>
      <c r="G95" s="4" t="str">
        <f t="shared" si="11"/>
        <v>Q4-2024</v>
      </c>
      <c r="H95" t="s">
        <v>16</v>
      </c>
      <c r="I95" t="s">
        <v>25</v>
      </c>
      <c r="J95" t="s">
        <v>67</v>
      </c>
      <c r="K95" t="s">
        <v>19</v>
      </c>
      <c r="L95" t="s">
        <v>55</v>
      </c>
      <c r="M95" t="s">
        <v>84</v>
      </c>
      <c r="N95" t="s">
        <v>81</v>
      </c>
      <c r="O95" t="s">
        <v>286</v>
      </c>
      <c r="P95" s="4">
        <v>412.09</v>
      </c>
      <c r="Q95" s="7" t="str">
        <f t="shared" si="12"/>
        <v>High</v>
      </c>
      <c r="R95" s="4">
        <v>968.94</v>
      </c>
      <c r="S95" s="4">
        <v>9.9000000000000005E-2</v>
      </c>
      <c r="T95" s="4">
        <v>23</v>
      </c>
      <c r="U95" s="4">
        <f t="shared" si="8"/>
        <v>1834.19273</v>
      </c>
      <c r="V95">
        <f t="shared" si="9"/>
        <v>9478.07</v>
      </c>
      <c r="W95" s="4">
        <f t="shared" si="13"/>
        <v>-7643.87727</v>
      </c>
      <c r="X95" s="4">
        <f t="shared" si="14"/>
        <v>-4.1674340678473847</v>
      </c>
    </row>
    <row r="96" spans="1:24" x14ac:dyDescent="0.3">
      <c r="A96" t="s">
        <v>287</v>
      </c>
      <c r="B96" s="6">
        <v>45910</v>
      </c>
      <c r="C96" s="2">
        <v>45930</v>
      </c>
      <c r="D96" s="4">
        <f t="shared" si="15"/>
        <v>20</v>
      </c>
      <c r="E96" s="46" t="b">
        <f t="shared" si="10"/>
        <v>0</v>
      </c>
      <c r="F96" s="4" t="str">
        <f>TEXT(Data!B96,"MMM-YYYY")</f>
        <v>Apr-2023</v>
      </c>
      <c r="G96" s="4" t="str">
        <f t="shared" si="11"/>
        <v>Q3-2025</v>
      </c>
      <c r="H96" t="s">
        <v>16</v>
      </c>
      <c r="I96" t="s">
        <v>17</v>
      </c>
      <c r="J96" t="s">
        <v>113</v>
      </c>
      <c r="K96" t="s">
        <v>19</v>
      </c>
      <c r="L96" t="s">
        <v>98</v>
      </c>
      <c r="M96" t="s">
        <v>49</v>
      </c>
      <c r="N96" t="s">
        <v>42</v>
      </c>
      <c r="O96" t="s">
        <v>288</v>
      </c>
      <c r="P96" s="4">
        <v>1009.48</v>
      </c>
      <c r="Q96" s="7" t="str">
        <f t="shared" si="12"/>
        <v>High</v>
      </c>
      <c r="R96" s="4">
        <v>1088.81</v>
      </c>
      <c r="S96" s="4">
        <v>0.16</v>
      </c>
      <c r="T96" s="4">
        <v>6</v>
      </c>
      <c r="U96" s="4">
        <f t="shared" si="8"/>
        <v>9873.8135999999995</v>
      </c>
      <c r="V96">
        <f t="shared" si="9"/>
        <v>6056.88</v>
      </c>
      <c r="W96" s="4">
        <f t="shared" si="13"/>
        <v>3816.9335999999994</v>
      </c>
      <c r="X96" s="4">
        <f t="shared" si="14"/>
        <v>0.38657136488782812</v>
      </c>
    </row>
    <row r="97" spans="1:24" x14ac:dyDescent="0.3">
      <c r="A97" t="s">
        <v>289</v>
      </c>
      <c r="B97" s="6">
        <v>45022</v>
      </c>
      <c r="C97" s="2">
        <v>45043</v>
      </c>
      <c r="D97" s="4">
        <f t="shared" si="15"/>
        <v>21</v>
      </c>
      <c r="E97" s="46" t="b">
        <f t="shared" si="10"/>
        <v>0</v>
      </c>
      <c r="F97" s="4" t="str">
        <f>TEXT(Data!B97,"MMM-YYYY")</f>
        <v>Aug-2025</v>
      </c>
      <c r="G97" s="4" t="str">
        <f t="shared" si="11"/>
        <v>Q2-2023</v>
      </c>
      <c r="H97" t="s">
        <v>78</v>
      </c>
      <c r="I97" t="s">
        <v>108</v>
      </c>
      <c r="J97" t="s">
        <v>228</v>
      </c>
      <c r="K97" t="s">
        <v>105</v>
      </c>
      <c r="L97" t="s">
        <v>55</v>
      </c>
      <c r="M97" t="s">
        <v>34</v>
      </c>
      <c r="N97" t="s">
        <v>30</v>
      </c>
      <c r="O97" t="s">
        <v>290</v>
      </c>
      <c r="P97" s="4">
        <v>1084.79</v>
      </c>
      <c r="Q97" s="7" t="str">
        <f t="shared" si="12"/>
        <v>High</v>
      </c>
      <c r="R97" s="4">
        <v>2484.9899999999998</v>
      </c>
      <c r="S97" s="4">
        <v>3.4000000000000002E-2</v>
      </c>
      <c r="T97" s="4">
        <v>18</v>
      </c>
      <c r="U97" s="4">
        <f t="shared" si="8"/>
        <v>47694.762360000001</v>
      </c>
      <c r="V97">
        <f t="shared" si="9"/>
        <v>19526.22</v>
      </c>
      <c r="W97" s="4">
        <f t="shared" si="13"/>
        <v>28168.542359999999</v>
      </c>
      <c r="X97" s="4">
        <f t="shared" si="14"/>
        <v>0.59060032939013052</v>
      </c>
    </row>
    <row r="98" spans="1:24" x14ac:dyDescent="0.3">
      <c r="A98" t="s">
        <v>291</v>
      </c>
      <c r="B98" s="6">
        <v>45870</v>
      </c>
      <c r="C98" s="2">
        <v>45885</v>
      </c>
      <c r="D98" s="4">
        <f t="shared" si="15"/>
        <v>15</v>
      </c>
      <c r="E98" s="46" t="b">
        <f t="shared" si="10"/>
        <v>0</v>
      </c>
      <c r="F98" s="4" t="str">
        <f>TEXT(Data!B98,"MMM-YYYY")</f>
        <v>May-2024</v>
      </c>
      <c r="G98" s="4" t="str">
        <f t="shared" si="11"/>
        <v>Q3-2025</v>
      </c>
      <c r="H98" t="s">
        <v>45</v>
      </c>
      <c r="I98" t="s">
        <v>60</v>
      </c>
      <c r="J98" t="s">
        <v>1364</v>
      </c>
      <c r="K98" t="s">
        <v>105</v>
      </c>
      <c r="L98" t="s">
        <v>98</v>
      </c>
      <c r="M98" t="s">
        <v>68</v>
      </c>
      <c r="N98" t="s">
        <v>64</v>
      </c>
      <c r="O98" t="s">
        <v>292</v>
      </c>
      <c r="P98" s="4">
        <v>24.44</v>
      </c>
      <c r="Q98" s="7" t="str">
        <f t="shared" si="12"/>
        <v>Low</v>
      </c>
      <c r="R98" s="4">
        <v>28.69</v>
      </c>
      <c r="S98" s="4">
        <v>0.14599999999999999</v>
      </c>
      <c r="T98" s="4">
        <v>6</v>
      </c>
      <c r="U98" s="4">
        <f t="shared" si="8"/>
        <v>8605.3480799999998</v>
      </c>
      <c r="V98">
        <f t="shared" si="9"/>
        <v>146.64000000000001</v>
      </c>
      <c r="W98" s="4">
        <f t="shared" si="13"/>
        <v>8458.7080800000003</v>
      </c>
      <c r="X98" s="4">
        <f t="shared" si="14"/>
        <v>0.98295943422197984</v>
      </c>
    </row>
    <row r="99" spans="1:24" x14ac:dyDescent="0.3">
      <c r="A99" t="s">
        <v>293</v>
      </c>
      <c r="B99" s="6">
        <v>45440</v>
      </c>
      <c r="C99" s="2">
        <v>45438</v>
      </c>
      <c r="D99" s="4">
        <f>DATEDIF(C99,B99, "MD")</f>
        <v>2</v>
      </c>
      <c r="E99" s="46" t="str">
        <f t="shared" si="10"/>
        <v>Yes</v>
      </c>
      <c r="F99" s="4" t="str">
        <f>TEXT(Data!B99,"MMM-YYYY")</f>
        <v>Jul-2025</v>
      </c>
      <c r="G99" s="4" t="str">
        <f t="shared" si="11"/>
        <v>Q2-2024</v>
      </c>
      <c r="H99" t="s">
        <v>16</v>
      </c>
      <c r="I99" t="s">
        <v>25</v>
      </c>
      <c r="J99" t="s">
        <v>67</v>
      </c>
      <c r="K99" t="s">
        <v>105</v>
      </c>
      <c r="L99" t="s">
        <v>28</v>
      </c>
      <c r="M99" t="s">
        <v>84</v>
      </c>
      <c r="N99" t="s">
        <v>81</v>
      </c>
      <c r="O99" t="s">
        <v>294</v>
      </c>
      <c r="P99" s="4">
        <v>1227.08</v>
      </c>
      <c r="Q99" s="7" t="str">
        <f t="shared" si="12"/>
        <v>High</v>
      </c>
      <c r="R99" s="4">
        <v>1896.62</v>
      </c>
      <c r="S99" s="4">
        <v>0</v>
      </c>
      <c r="T99" s="4">
        <v>18</v>
      </c>
      <c r="U99" s="4">
        <f t="shared" si="8"/>
        <v>25810.2</v>
      </c>
      <c r="V99">
        <f t="shared" si="9"/>
        <v>22087.439999999999</v>
      </c>
      <c r="W99" s="4">
        <f t="shared" si="13"/>
        <v>3722.760000000002</v>
      </c>
      <c r="X99" s="4">
        <f t="shared" si="14"/>
        <v>0.14423599972104059</v>
      </c>
    </row>
    <row r="100" spans="1:24" x14ac:dyDescent="0.3">
      <c r="A100" t="s">
        <v>295</v>
      </c>
      <c r="B100" s="6">
        <v>45860</v>
      </c>
      <c r="C100" s="2">
        <v>45887</v>
      </c>
      <c r="D100" s="4">
        <f t="shared" si="15"/>
        <v>27</v>
      </c>
      <c r="E100" s="46" t="b">
        <f t="shared" si="10"/>
        <v>0</v>
      </c>
      <c r="F100" s="4" t="str">
        <f>TEXT(Data!B100,"MMM-YYYY")</f>
        <v>Feb-2023</v>
      </c>
      <c r="G100" s="4" t="str">
        <f t="shared" si="11"/>
        <v>Q3-2025</v>
      </c>
      <c r="H100" t="s">
        <v>45</v>
      </c>
      <c r="I100" t="s">
        <v>116</v>
      </c>
      <c r="J100" t="s">
        <v>117</v>
      </c>
      <c r="K100" t="s">
        <v>39</v>
      </c>
      <c r="L100" t="s">
        <v>40</v>
      </c>
      <c r="M100" t="s">
        <v>110</v>
      </c>
      <c r="N100" t="s">
        <v>35</v>
      </c>
      <c r="O100" t="s">
        <v>296</v>
      </c>
      <c r="P100" s="4">
        <v>547.32000000000005</v>
      </c>
      <c r="Q100" s="7" t="str">
        <f t="shared" si="12"/>
        <v>High</v>
      </c>
      <c r="R100" s="4">
        <v>419.17</v>
      </c>
      <c r="S100" s="4">
        <v>9.1999999999999998E-2</v>
      </c>
      <c r="T100" s="4">
        <v>14</v>
      </c>
      <c r="U100" s="4">
        <f t="shared" si="8"/>
        <v>3615.67416</v>
      </c>
      <c r="V100">
        <f t="shared" si="9"/>
        <v>7662.4800000000005</v>
      </c>
      <c r="W100" s="4">
        <f t="shared" si="13"/>
        <v>-4046.8058400000004</v>
      </c>
      <c r="X100" s="4">
        <f t="shared" si="14"/>
        <v>-1.1192396385630061</v>
      </c>
    </row>
    <row r="101" spans="1:24" x14ac:dyDescent="0.3">
      <c r="A101" t="s">
        <v>297</v>
      </c>
      <c r="B101" s="6">
        <v>44985</v>
      </c>
      <c r="C101" s="2">
        <v>45005</v>
      </c>
      <c r="D101" s="4">
        <f t="shared" si="15"/>
        <v>20</v>
      </c>
      <c r="E101" s="46" t="b">
        <f t="shared" si="10"/>
        <v>0</v>
      </c>
      <c r="F101" s="4" t="str">
        <f>TEXT(Data!B101,"MMM-YYYY")</f>
        <v>Jan-2025</v>
      </c>
      <c r="G101" s="4" t="str">
        <f t="shared" si="11"/>
        <v>Q1-2023</v>
      </c>
      <c r="H101" t="s">
        <v>78</v>
      </c>
      <c r="I101" t="s">
        <v>79</v>
      </c>
      <c r="J101" t="s">
        <v>80</v>
      </c>
      <c r="K101" t="s">
        <v>62</v>
      </c>
      <c r="L101" t="s">
        <v>98</v>
      </c>
      <c r="M101" t="s">
        <v>92</v>
      </c>
      <c r="N101" t="s">
        <v>57</v>
      </c>
      <c r="O101" t="s">
        <v>298</v>
      </c>
      <c r="P101" s="4">
        <v>1200.78</v>
      </c>
      <c r="Q101" s="7" t="str">
        <f t="shared" si="12"/>
        <v>High</v>
      </c>
      <c r="R101" s="4">
        <v>2001.17</v>
      </c>
      <c r="S101" s="4">
        <v>0.29199999999999998</v>
      </c>
      <c r="T101" s="4">
        <v>18</v>
      </c>
      <c r="U101" s="4">
        <f t="shared" si="8"/>
        <v>8854.276319999999</v>
      </c>
      <c r="V101">
        <f t="shared" si="9"/>
        <v>21614.04</v>
      </c>
      <c r="W101" s="4">
        <f t="shared" si="13"/>
        <v>-12759.763680000002</v>
      </c>
      <c r="X101" s="4">
        <f t="shared" si="14"/>
        <v>-1.4410848745682701</v>
      </c>
    </row>
    <row r="102" spans="1:24" x14ac:dyDescent="0.3">
      <c r="A102" t="s">
        <v>299</v>
      </c>
      <c r="B102" s="6">
        <v>45684</v>
      </c>
      <c r="C102" s="2">
        <v>45703</v>
      </c>
      <c r="D102" s="4">
        <f t="shared" si="15"/>
        <v>19</v>
      </c>
      <c r="E102" s="46" t="b">
        <f t="shared" si="10"/>
        <v>0</v>
      </c>
      <c r="F102" s="4" t="str">
        <f>TEXT(Data!B102,"MMM-YYYY")</f>
        <v>Jan-2024</v>
      </c>
      <c r="G102" s="4" t="str">
        <f t="shared" si="11"/>
        <v>Q1-2025</v>
      </c>
      <c r="H102" t="s">
        <v>45</v>
      </c>
      <c r="I102" t="s">
        <v>116</v>
      </c>
      <c r="J102" t="s">
        <v>117</v>
      </c>
      <c r="K102" t="s">
        <v>39</v>
      </c>
      <c r="L102" t="s">
        <v>98</v>
      </c>
      <c r="M102" t="s">
        <v>49</v>
      </c>
      <c r="N102" t="s">
        <v>42</v>
      </c>
      <c r="O102" t="s">
        <v>300</v>
      </c>
      <c r="P102" s="4">
        <v>1253.22</v>
      </c>
      <c r="Q102" s="7" t="str">
        <f t="shared" si="12"/>
        <v>High</v>
      </c>
      <c r="R102" s="4">
        <v>3104.71</v>
      </c>
      <c r="S102" s="4">
        <v>0</v>
      </c>
      <c r="T102" s="4">
        <v>17</v>
      </c>
      <c r="U102" s="4">
        <f t="shared" si="8"/>
        <v>31422.63</v>
      </c>
      <c r="V102">
        <f t="shared" si="9"/>
        <v>21304.74</v>
      </c>
      <c r="W102" s="4">
        <f t="shared" si="13"/>
        <v>10117.89</v>
      </c>
      <c r="X102" s="4">
        <f t="shared" si="14"/>
        <v>0.3219937350883742</v>
      </c>
    </row>
    <row r="103" spans="1:24" x14ac:dyDescent="0.3">
      <c r="A103" t="s">
        <v>301</v>
      </c>
      <c r="B103" s="6">
        <v>45304</v>
      </c>
      <c r="C103" s="2">
        <v>45313</v>
      </c>
      <c r="D103" s="4">
        <f t="shared" si="15"/>
        <v>9</v>
      </c>
      <c r="E103" s="46" t="b">
        <f t="shared" si="10"/>
        <v>0</v>
      </c>
      <c r="F103" s="4" t="str">
        <f>TEXT(Data!B103,"MMM-YYYY")</f>
        <v>Mar-2025</v>
      </c>
      <c r="G103" s="4" t="str">
        <f t="shared" si="11"/>
        <v>Q1-2024</v>
      </c>
      <c r="H103" t="s">
        <v>45</v>
      </c>
      <c r="I103" t="s">
        <v>60</v>
      </c>
      <c r="J103" t="s">
        <v>220</v>
      </c>
      <c r="K103" t="s">
        <v>105</v>
      </c>
      <c r="L103" t="s">
        <v>40</v>
      </c>
      <c r="M103" t="s">
        <v>29</v>
      </c>
      <c r="N103" t="s">
        <v>22</v>
      </c>
      <c r="O103" t="s">
        <v>302</v>
      </c>
      <c r="P103" s="4">
        <v>313.60000000000002</v>
      </c>
      <c r="Q103" s="7" t="str">
        <f t="shared" si="12"/>
        <v>High</v>
      </c>
      <c r="R103" s="4">
        <v>334.28</v>
      </c>
      <c r="S103" s="4">
        <v>0.14000000000000001</v>
      </c>
      <c r="T103" s="4">
        <v>22</v>
      </c>
      <c r="U103" s="4">
        <f t="shared" si="8"/>
        <v>854.99479999999994</v>
      </c>
      <c r="V103">
        <f t="shared" si="9"/>
        <v>6899.2000000000007</v>
      </c>
      <c r="W103" s="4">
        <f t="shared" si="13"/>
        <v>-6044.2052000000003</v>
      </c>
      <c r="X103" s="4">
        <f t="shared" si="14"/>
        <v>-7.0692888424584579</v>
      </c>
    </row>
    <row r="104" spans="1:24" x14ac:dyDescent="0.3">
      <c r="A104" t="s">
        <v>303</v>
      </c>
      <c r="B104" s="6">
        <v>45747</v>
      </c>
      <c r="C104" s="2">
        <v>45751</v>
      </c>
      <c r="D104" s="4">
        <f t="shared" si="15"/>
        <v>4</v>
      </c>
      <c r="E104" s="46" t="str">
        <f t="shared" si="10"/>
        <v>Yes</v>
      </c>
      <c r="F104" s="4" t="str">
        <f>TEXT(Data!B104,"MMM-YYYY")</f>
        <v>Dec-2024</v>
      </c>
      <c r="G104" s="4" t="str">
        <f t="shared" si="11"/>
        <v>Q1-2025</v>
      </c>
      <c r="H104" t="s">
        <v>16</v>
      </c>
      <c r="I104" t="s">
        <v>17</v>
      </c>
      <c r="J104" t="s">
        <v>135</v>
      </c>
      <c r="K104" t="s">
        <v>19</v>
      </c>
      <c r="L104" t="s">
        <v>98</v>
      </c>
      <c r="M104" t="s">
        <v>21</v>
      </c>
      <c r="N104" t="s">
        <v>57</v>
      </c>
      <c r="O104" t="s">
        <v>304</v>
      </c>
      <c r="P104" s="4">
        <v>862.08</v>
      </c>
      <c r="Q104" s="7" t="str">
        <f t="shared" si="12"/>
        <v>High</v>
      </c>
      <c r="R104" s="4">
        <v>1952.83</v>
      </c>
      <c r="S104" s="4">
        <v>0</v>
      </c>
      <c r="T104" s="4">
        <v>7</v>
      </c>
      <c r="U104" s="4">
        <f t="shared" si="8"/>
        <v>2527.7000000000003</v>
      </c>
      <c r="V104">
        <f t="shared" si="9"/>
        <v>6034.56</v>
      </c>
      <c r="W104" s="4">
        <f t="shared" si="13"/>
        <v>-3506.86</v>
      </c>
      <c r="X104" s="4">
        <f t="shared" si="14"/>
        <v>-1.3873719191359732</v>
      </c>
    </row>
    <row r="105" spans="1:24" x14ac:dyDescent="0.3">
      <c r="A105" t="s">
        <v>305</v>
      </c>
      <c r="B105" s="6">
        <v>45631</v>
      </c>
      <c r="C105" s="2">
        <v>45654</v>
      </c>
      <c r="D105" s="4">
        <f t="shared" si="15"/>
        <v>23</v>
      </c>
      <c r="E105" s="46" t="b">
        <f t="shared" si="10"/>
        <v>0</v>
      </c>
      <c r="F105" s="4" t="str">
        <f>TEXT(Data!B105,"MMM-YYYY")</f>
        <v>Sep-2024</v>
      </c>
      <c r="G105" s="4" t="str">
        <f t="shared" si="11"/>
        <v>Q4-2024</v>
      </c>
      <c r="H105" t="s">
        <v>52</v>
      </c>
      <c r="I105" t="s">
        <v>53</v>
      </c>
      <c r="J105" t="s">
        <v>179</v>
      </c>
      <c r="K105" t="s">
        <v>19</v>
      </c>
      <c r="L105" t="s">
        <v>98</v>
      </c>
      <c r="M105" t="s">
        <v>84</v>
      </c>
      <c r="N105" t="s">
        <v>81</v>
      </c>
      <c r="O105" t="s">
        <v>306</v>
      </c>
      <c r="P105" s="4">
        <v>107.03</v>
      </c>
      <c r="Q105" s="7" t="str">
        <f t="shared" si="12"/>
        <v>High</v>
      </c>
      <c r="R105" s="4">
        <v>242.29</v>
      </c>
      <c r="S105" s="4">
        <v>0.18</v>
      </c>
      <c r="T105" s="4">
        <v>30</v>
      </c>
      <c r="U105" s="4">
        <f t="shared" si="8"/>
        <v>24706.764000000003</v>
      </c>
      <c r="V105">
        <f t="shared" si="9"/>
        <v>3210.9</v>
      </c>
      <c r="W105" s="4">
        <f t="shared" si="13"/>
        <v>21495.864000000001</v>
      </c>
      <c r="X105" s="4">
        <f t="shared" si="14"/>
        <v>0.87003963772835646</v>
      </c>
    </row>
    <row r="106" spans="1:24" x14ac:dyDescent="0.3">
      <c r="A106" t="s">
        <v>307</v>
      </c>
      <c r="B106" s="6">
        <v>45549</v>
      </c>
      <c r="C106" s="2">
        <v>45570</v>
      </c>
      <c r="D106" s="4">
        <f t="shared" si="15"/>
        <v>21</v>
      </c>
      <c r="E106" s="46" t="b">
        <f t="shared" si="10"/>
        <v>0</v>
      </c>
      <c r="F106" s="4" t="str">
        <f>TEXT(Data!B106,"MMM-YYYY")</f>
        <v>May-2024</v>
      </c>
      <c r="G106" s="4" t="str">
        <f t="shared" si="11"/>
        <v>Q3-2024</v>
      </c>
      <c r="H106" t="s">
        <v>45</v>
      </c>
      <c r="I106" t="s">
        <v>116</v>
      </c>
      <c r="J106" t="s">
        <v>162</v>
      </c>
      <c r="K106" t="s">
        <v>62</v>
      </c>
      <c r="L106" t="s">
        <v>28</v>
      </c>
      <c r="M106" t="s">
        <v>92</v>
      </c>
      <c r="N106" t="s">
        <v>57</v>
      </c>
      <c r="O106" t="s">
        <v>308</v>
      </c>
      <c r="P106" s="4">
        <v>1405.56</v>
      </c>
      <c r="Q106" s="7" t="str">
        <f t="shared" si="12"/>
        <v>High</v>
      </c>
      <c r="R106" s="4">
        <v>2968.87</v>
      </c>
      <c r="S106" s="4">
        <v>0.16900000000000001</v>
      </c>
      <c r="T106" s="4">
        <v>5</v>
      </c>
      <c r="U106" s="4">
        <f t="shared" si="8"/>
        <v>4270.2181499999997</v>
      </c>
      <c r="V106">
        <f t="shared" si="9"/>
        <v>7027.7999999999993</v>
      </c>
      <c r="W106" s="4">
        <f t="shared" si="13"/>
        <v>-2757.5818499999996</v>
      </c>
      <c r="X106" s="4">
        <f t="shared" si="14"/>
        <v>-0.64577072016800818</v>
      </c>
    </row>
    <row r="107" spans="1:24" x14ac:dyDescent="0.3">
      <c r="A107" t="s">
        <v>309</v>
      </c>
      <c r="B107" s="6">
        <v>45433</v>
      </c>
      <c r="C107" s="2">
        <v>45439</v>
      </c>
      <c r="D107" s="4">
        <f t="shared" si="15"/>
        <v>6</v>
      </c>
      <c r="E107" s="46" t="str">
        <f t="shared" si="10"/>
        <v>Yes</v>
      </c>
      <c r="F107" s="4" t="str">
        <f>TEXT(Data!B107,"MMM-YYYY")</f>
        <v>May-2023</v>
      </c>
      <c r="G107" s="4" t="str">
        <f t="shared" si="11"/>
        <v>Q2-2024</v>
      </c>
      <c r="H107" t="s">
        <v>16</v>
      </c>
      <c r="I107" t="s">
        <v>148</v>
      </c>
      <c r="J107" t="s">
        <v>149</v>
      </c>
      <c r="K107" t="s">
        <v>39</v>
      </c>
      <c r="L107" t="s">
        <v>28</v>
      </c>
      <c r="M107" t="s">
        <v>110</v>
      </c>
      <c r="N107" t="s">
        <v>22</v>
      </c>
      <c r="O107" t="s">
        <v>310</v>
      </c>
      <c r="P107" s="4">
        <v>1157.51</v>
      </c>
      <c r="Q107" s="7" t="str">
        <f t="shared" si="12"/>
        <v>High</v>
      </c>
      <c r="R107" s="4">
        <v>1394.3</v>
      </c>
      <c r="S107" s="4">
        <v>0.27800000000000002</v>
      </c>
      <c r="T107" s="4">
        <v>12</v>
      </c>
      <c r="U107" s="4">
        <f t="shared" si="8"/>
        <v>4055.5317599999998</v>
      </c>
      <c r="V107">
        <f t="shared" si="9"/>
        <v>13890.119999999999</v>
      </c>
      <c r="W107" s="4">
        <f t="shared" si="13"/>
        <v>-9834.5882399999991</v>
      </c>
      <c r="X107" s="4">
        <f t="shared" si="14"/>
        <v>-2.4249811916156712</v>
      </c>
    </row>
    <row r="108" spans="1:24" x14ac:dyDescent="0.3">
      <c r="A108" t="s">
        <v>311</v>
      </c>
      <c r="B108" s="6">
        <v>45057</v>
      </c>
      <c r="C108" s="2">
        <v>45084</v>
      </c>
      <c r="D108" s="4">
        <f t="shared" si="15"/>
        <v>27</v>
      </c>
      <c r="E108" s="46" t="b">
        <f t="shared" si="10"/>
        <v>0</v>
      </c>
      <c r="F108" s="4" t="str">
        <f>TEXT(Data!B108,"MMM-YYYY")</f>
        <v>Aug-2024</v>
      </c>
      <c r="G108" s="4" t="str">
        <f t="shared" si="11"/>
        <v>Q2-2023</v>
      </c>
      <c r="H108" t="s">
        <v>16</v>
      </c>
      <c r="I108" t="s">
        <v>17</v>
      </c>
      <c r="J108" t="s">
        <v>113</v>
      </c>
      <c r="K108" t="s">
        <v>19</v>
      </c>
      <c r="L108" t="s">
        <v>28</v>
      </c>
      <c r="M108" t="s">
        <v>29</v>
      </c>
      <c r="N108" t="s">
        <v>42</v>
      </c>
      <c r="O108" t="s">
        <v>312</v>
      </c>
      <c r="P108" s="4">
        <v>12.85</v>
      </c>
      <c r="Q108" s="7" t="str">
        <f t="shared" si="12"/>
        <v>Low</v>
      </c>
      <c r="R108" s="4">
        <v>15.41</v>
      </c>
      <c r="S108" s="4">
        <v>0.13700000000000001</v>
      </c>
      <c r="T108" s="4">
        <v>39</v>
      </c>
      <c r="U108" s="4">
        <f t="shared" si="8"/>
        <v>22483.549139999999</v>
      </c>
      <c r="V108">
        <f t="shared" si="9"/>
        <v>501.15</v>
      </c>
      <c r="W108" s="4">
        <f t="shared" si="13"/>
        <v>21982.399139999998</v>
      </c>
      <c r="X108" s="4">
        <f t="shared" si="14"/>
        <v>0.97771036961827273</v>
      </c>
    </row>
    <row r="109" spans="1:24" x14ac:dyDescent="0.3">
      <c r="A109" t="s">
        <v>313</v>
      </c>
      <c r="B109" s="6">
        <v>45518</v>
      </c>
      <c r="C109" s="2">
        <v>45539</v>
      </c>
      <c r="D109" s="4">
        <f t="shared" si="15"/>
        <v>21</v>
      </c>
      <c r="E109" s="46" t="b">
        <f t="shared" si="10"/>
        <v>0</v>
      </c>
      <c r="F109" s="4" t="str">
        <f>TEXT(Data!B109,"MMM-YYYY")</f>
        <v>Oct-2024</v>
      </c>
      <c r="G109" s="4" t="str">
        <f t="shared" si="11"/>
        <v>Q3-2024</v>
      </c>
      <c r="H109" t="s">
        <v>78</v>
      </c>
      <c r="I109" t="s">
        <v>108</v>
      </c>
      <c r="J109" t="s">
        <v>228</v>
      </c>
      <c r="K109" t="s">
        <v>39</v>
      </c>
      <c r="L109" t="s">
        <v>28</v>
      </c>
      <c r="M109" t="s">
        <v>29</v>
      </c>
      <c r="N109" t="s">
        <v>42</v>
      </c>
      <c r="O109" t="s">
        <v>314</v>
      </c>
      <c r="P109" s="4">
        <v>1138.8</v>
      </c>
      <c r="Q109" s="7" t="str">
        <f t="shared" si="12"/>
        <v>High</v>
      </c>
      <c r="R109" s="4">
        <v>2250.81</v>
      </c>
      <c r="S109" s="4">
        <v>0.123</v>
      </c>
      <c r="T109" s="4">
        <v>12</v>
      </c>
      <c r="U109" s="4">
        <f t="shared" si="8"/>
        <v>5654.22948</v>
      </c>
      <c r="V109">
        <f t="shared" si="9"/>
        <v>13665.599999999999</v>
      </c>
      <c r="W109" s="4">
        <f t="shared" si="13"/>
        <v>-8011.3705199999986</v>
      </c>
      <c r="X109" s="4">
        <f t="shared" si="14"/>
        <v>-1.4168810353979475</v>
      </c>
    </row>
    <row r="110" spans="1:24" x14ac:dyDescent="0.3">
      <c r="A110" t="s">
        <v>315</v>
      </c>
      <c r="B110" s="6">
        <v>45581</v>
      </c>
      <c r="C110" s="2">
        <v>45604</v>
      </c>
      <c r="D110" s="4">
        <f t="shared" si="15"/>
        <v>23</v>
      </c>
      <c r="E110" s="46" t="b">
        <f t="shared" si="10"/>
        <v>0</v>
      </c>
      <c r="F110" s="4" t="str">
        <f>TEXT(Data!B110,"MMM-YYYY")</f>
        <v>Jun-2024</v>
      </c>
      <c r="G110" s="4" t="str">
        <f t="shared" si="11"/>
        <v>Q4-2024</v>
      </c>
      <c r="H110" t="s">
        <v>45</v>
      </c>
      <c r="I110" t="s">
        <v>46</v>
      </c>
      <c r="J110" t="s">
        <v>47</v>
      </c>
      <c r="K110" t="s">
        <v>62</v>
      </c>
      <c r="L110" t="s">
        <v>20</v>
      </c>
      <c r="M110" t="s">
        <v>29</v>
      </c>
      <c r="N110" t="s">
        <v>35</v>
      </c>
      <c r="O110" t="s">
        <v>316</v>
      </c>
      <c r="P110" s="4">
        <v>82.14</v>
      </c>
      <c r="Q110" s="7" t="str">
        <f t="shared" si="12"/>
        <v>Medium</v>
      </c>
      <c r="R110" s="4">
        <v>166.04</v>
      </c>
      <c r="S110" s="4">
        <v>0</v>
      </c>
      <c r="T110" s="4">
        <v>10</v>
      </c>
      <c r="U110" s="4">
        <f t="shared" si="8"/>
        <v>5727.1</v>
      </c>
      <c r="V110">
        <f t="shared" si="9"/>
        <v>821.4</v>
      </c>
      <c r="W110" s="4">
        <f t="shared" si="13"/>
        <v>4905.7000000000007</v>
      </c>
      <c r="X110" s="4">
        <f t="shared" si="14"/>
        <v>0.85657662691414516</v>
      </c>
    </row>
    <row r="111" spans="1:24" x14ac:dyDescent="0.3">
      <c r="A111" t="s">
        <v>317</v>
      </c>
      <c r="B111" s="6">
        <v>45445</v>
      </c>
      <c r="C111" s="2">
        <v>45451</v>
      </c>
      <c r="D111" s="4">
        <f t="shared" si="15"/>
        <v>6</v>
      </c>
      <c r="E111" s="46" t="str">
        <f t="shared" si="10"/>
        <v>Yes</v>
      </c>
      <c r="F111" s="4" t="str">
        <f>TEXT(Data!B111,"MMM-YYYY")</f>
        <v>Jun-2024</v>
      </c>
      <c r="G111" s="4" t="str">
        <f t="shared" si="11"/>
        <v>Q2-2024</v>
      </c>
      <c r="H111" t="s">
        <v>16</v>
      </c>
      <c r="I111" t="s">
        <v>17</v>
      </c>
      <c r="J111" t="s">
        <v>18</v>
      </c>
      <c r="K111" t="s">
        <v>48</v>
      </c>
      <c r="L111" t="s">
        <v>40</v>
      </c>
      <c r="M111" t="s">
        <v>75</v>
      </c>
      <c r="N111" t="s">
        <v>81</v>
      </c>
      <c r="O111" t="s">
        <v>318</v>
      </c>
      <c r="P111" s="4">
        <v>292.94</v>
      </c>
      <c r="Q111" s="7" t="str">
        <f t="shared" si="12"/>
        <v>High</v>
      </c>
      <c r="R111" s="4">
        <v>356.55</v>
      </c>
      <c r="S111" s="4">
        <v>0.22900000000000001</v>
      </c>
      <c r="T111" s="4">
        <v>2</v>
      </c>
      <c r="U111" s="4">
        <f t="shared" si="8"/>
        <v>3583.4075399999997</v>
      </c>
      <c r="V111">
        <f t="shared" si="9"/>
        <v>585.88</v>
      </c>
      <c r="W111" s="4">
        <f t="shared" si="13"/>
        <v>2997.5275399999996</v>
      </c>
      <c r="X111" s="4">
        <f t="shared" si="14"/>
        <v>0.83650199050482543</v>
      </c>
    </row>
    <row r="112" spans="1:24" x14ac:dyDescent="0.3">
      <c r="A112" t="s">
        <v>319</v>
      </c>
      <c r="B112" s="6">
        <v>45452</v>
      </c>
      <c r="C112" s="2">
        <v>45480</v>
      </c>
      <c r="D112" s="4">
        <f t="shared" si="15"/>
        <v>28</v>
      </c>
      <c r="E112" s="46" t="b">
        <f t="shared" si="10"/>
        <v>0</v>
      </c>
      <c r="F112" s="4" t="str">
        <f>TEXT(Data!B112,"MMM-YYYY")</f>
        <v>Jun-2024</v>
      </c>
      <c r="G112" s="4" t="str">
        <f t="shared" si="11"/>
        <v>Q2-2024</v>
      </c>
      <c r="H112" t="s">
        <v>45</v>
      </c>
      <c r="I112" t="s">
        <v>116</v>
      </c>
      <c r="J112" t="s">
        <v>117</v>
      </c>
      <c r="K112" t="s">
        <v>19</v>
      </c>
      <c r="L112" t="s">
        <v>28</v>
      </c>
      <c r="M112" t="s">
        <v>29</v>
      </c>
      <c r="N112" t="s">
        <v>22</v>
      </c>
      <c r="O112" t="s">
        <v>320</v>
      </c>
      <c r="P112" s="4">
        <v>550.22</v>
      </c>
      <c r="Q112" s="7" t="str">
        <f t="shared" si="12"/>
        <v>High</v>
      </c>
      <c r="R112" s="4">
        <v>1025.05</v>
      </c>
      <c r="S112" s="4">
        <v>0</v>
      </c>
      <c r="T112" s="4">
        <v>27</v>
      </c>
      <c r="U112" s="4">
        <f t="shared" si="8"/>
        <v>44038.080000000002</v>
      </c>
      <c r="V112">
        <f t="shared" si="9"/>
        <v>14855.94</v>
      </c>
      <c r="W112" s="4">
        <f t="shared" si="13"/>
        <v>29182.14</v>
      </c>
      <c r="X112" s="4">
        <f t="shared" si="14"/>
        <v>0.66265695507161071</v>
      </c>
    </row>
    <row r="113" spans="1:24" x14ac:dyDescent="0.3">
      <c r="A113" t="s">
        <v>321</v>
      </c>
      <c r="B113" s="6">
        <v>45453</v>
      </c>
      <c r="C113" s="2">
        <v>45454</v>
      </c>
      <c r="D113" s="4">
        <f t="shared" si="15"/>
        <v>1</v>
      </c>
      <c r="E113" s="46" t="str">
        <f t="shared" si="10"/>
        <v>Yes</v>
      </c>
      <c r="F113" s="4" t="str">
        <f>TEXT(Data!B113,"MMM-YYYY")</f>
        <v>Jun-2024</v>
      </c>
      <c r="G113" s="4" t="str">
        <f t="shared" si="11"/>
        <v>Q2-2024</v>
      </c>
      <c r="H113" t="s">
        <v>78</v>
      </c>
      <c r="I113" t="s">
        <v>108</v>
      </c>
      <c r="J113" t="s">
        <v>109</v>
      </c>
      <c r="K113" t="s">
        <v>62</v>
      </c>
      <c r="L113" t="s">
        <v>40</v>
      </c>
      <c r="M113" t="s">
        <v>110</v>
      </c>
      <c r="N113" t="s">
        <v>57</v>
      </c>
      <c r="O113" t="s">
        <v>322</v>
      </c>
      <c r="P113" s="4">
        <v>1187.1300000000001</v>
      </c>
      <c r="Q113" s="7" t="str">
        <f t="shared" si="12"/>
        <v>High</v>
      </c>
      <c r="R113" s="4">
        <v>1795.17</v>
      </c>
      <c r="S113" s="4">
        <v>1.2E-2</v>
      </c>
      <c r="T113" s="4">
        <v>17</v>
      </c>
      <c r="U113" s="4">
        <f t="shared" si="8"/>
        <v>6606.0347600000005</v>
      </c>
      <c r="V113">
        <f t="shared" si="9"/>
        <v>20181.210000000003</v>
      </c>
      <c r="W113" s="4">
        <f t="shared" si="13"/>
        <v>-13575.175240000002</v>
      </c>
      <c r="X113" s="4">
        <f t="shared" si="14"/>
        <v>-2.0549657598229172</v>
      </c>
    </row>
    <row r="114" spans="1:24" x14ac:dyDescent="0.3">
      <c r="A114" t="s">
        <v>323</v>
      </c>
      <c r="B114" s="6">
        <v>45472</v>
      </c>
      <c r="C114" s="2">
        <v>45499</v>
      </c>
      <c r="D114" s="4">
        <f t="shared" si="15"/>
        <v>27</v>
      </c>
      <c r="E114" s="46" t="b">
        <f t="shared" si="10"/>
        <v>0</v>
      </c>
      <c r="F114" s="4" t="str">
        <f>TEXT(Data!B114,"MMM-YYYY")</f>
        <v>Jan-2025</v>
      </c>
      <c r="G114" s="4" t="str">
        <f t="shared" si="11"/>
        <v>Q2-2024</v>
      </c>
      <c r="H114" t="s">
        <v>16</v>
      </c>
      <c r="I114" t="s">
        <v>148</v>
      </c>
      <c r="J114" t="s">
        <v>172</v>
      </c>
      <c r="K114" t="s">
        <v>105</v>
      </c>
      <c r="L114" t="s">
        <v>55</v>
      </c>
      <c r="M114" t="s">
        <v>56</v>
      </c>
      <c r="N114" t="s">
        <v>35</v>
      </c>
      <c r="O114" t="s">
        <v>324</v>
      </c>
      <c r="P114" s="4">
        <v>5.36</v>
      </c>
      <c r="Q114" s="7" t="str">
        <f t="shared" si="12"/>
        <v>Low</v>
      </c>
      <c r="R114" s="4">
        <v>4.37</v>
      </c>
      <c r="S114" s="4">
        <v>0.11799999999999999</v>
      </c>
      <c r="T114" s="4">
        <v>9</v>
      </c>
      <c r="U114" s="4">
        <f t="shared" si="8"/>
        <v>14734.198080000002</v>
      </c>
      <c r="V114">
        <f t="shared" si="9"/>
        <v>48.24</v>
      </c>
      <c r="W114" s="4">
        <f t="shared" si="13"/>
        <v>14685.958080000002</v>
      </c>
      <c r="X114" s="4">
        <f t="shared" si="14"/>
        <v>0.99672598401771995</v>
      </c>
    </row>
    <row r="115" spans="1:24" x14ac:dyDescent="0.3">
      <c r="A115" t="s">
        <v>325</v>
      </c>
      <c r="B115" s="6">
        <v>45674</v>
      </c>
      <c r="C115" s="2">
        <v>45681</v>
      </c>
      <c r="D115" s="4">
        <f t="shared" si="15"/>
        <v>7</v>
      </c>
      <c r="E115" s="46" t="str">
        <f t="shared" si="10"/>
        <v>Yes</v>
      </c>
      <c r="F115" s="4" t="str">
        <f>TEXT(Data!B115,"MMM-YYYY")</f>
        <v>Nov-2023</v>
      </c>
      <c r="G115" s="4" t="str">
        <f t="shared" si="11"/>
        <v>Q1-2025</v>
      </c>
      <c r="H115" t="s">
        <v>52</v>
      </c>
      <c r="I115" t="s">
        <v>122</v>
      </c>
      <c r="J115" t="s">
        <v>326</v>
      </c>
      <c r="K115" t="s">
        <v>105</v>
      </c>
      <c r="L115" t="s">
        <v>28</v>
      </c>
      <c r="M115" t="s">
        <v>41</v>
      </c>
      <c r="N115" t="s">
        <v>81</v>
      </c>
      <c r="O115" t="s">
        <v>327</v>
      </c>
      <c r="P115" s="4">
        <v>142.09</v>
      </c>
      <c r="Q115" s="7" t="str">
        <f t="shared" si="12"/>
        <v>High</v>
      </c>
      <c r="R115" s="4">
        <v>218.5</v>
      </c>
      <c r="S115" s="4">
        <v>0.11899999999999999</v>
      </c>
      <c r="T115" s="4">
        <v>11</v>
      </c>
      <c r="U115" s="4">
        <f t="shared" si="8"/>
        <v>822.7659000000001</v>
      </c>
      <c r="V115">
        <f t="shared" si="9"/>
        <v>1562.99</v>
      </c>
      <c r="W115" s="4">
        <f t="shared" si="13"/>
        <v>-740.22409999999991</v>
      </c>
      <c r="X115" s="4">
        <f t="shared" si="14"/>
        <v>-0.89967766043779862</v>
      </c>
    </row>
    <row r="116" spans="1:24" x14ac:dyDescent="0.3">
      <c r="A116" t="s">
        <v>328</v>
      </c>
      <c r="B116" s="6">
        <v>45250</v>
      </c>
      <c r="C116" s="2">
        <v>45265</v>
      </c>
      <c r="D116" s="4">
        <f t="shared" si="15"/>
        <v>15</v>
      </c>
      <c r="E116" s="46" t="b">
        <f t="shared" si="10"/>
        <v>0</v>
      </c>
      <c r="F116" s="4" t="str">
        <f>TEXT(Data!B116,"MMM-YYYY")</f>
        <v>Mar-2023</v>
      </c>
      <c r="G116" s="4" t="str">
        <f t="shared" si="11"/>
        <v>Q4-2023</v>
      </c>
      <c r="H116" t="s">
        <v>45</v>
      </c>
      <c r="I116" t="s">
        <v>46</v>
      </c>
      <c r="J116" t="s">
        <v>214</v>
      </c>
      <c r="K116" t="s">
        <v>105</v>
      </c>
      <c r="L116" t="s">
        <v>20</v>
      </c>
      <c r="M116" t="s">
        <v>49</v>
      </c>
      <c r="N116" t="s">
        <v>35</v>
      </c>
      <c r="O116" t="s">
        <v>329</v>
      </c>
      <c r="P116" s="4">
        <v>354.24</v>
      </c>
      <c r="Q116" s="7" t="str">
        <f t="shared" si="12"/>
        <v>High</v>
      </c>
      <c r="R116" s="4">
        <v>249.87</v>
      </c>
      <c r="S116" s="4">
        <v>0</v>
      </c>
      <c r="T116" s="4">
        <v>6</v>
      </c>
      <c r="U116" s="4">
        <f t="shared" si="8"/>
        <v>13513.439999999999</v>
      </c>
      <c r="V116">
        <f t="shared" si="9"/>
        <v>2125.44</v>
      </c>
      <c r="W116" s="4">
        <f t="shared" si="13"/>
        <v>11387.999999999998</v>
      </c>
      <c r="X116" s="4">
        <f t="shared" si="14"/>
        <v>0.84271658437821895</v>
      </c>
    </row>
    <row r="117" spans="1:24" x14ac:dyDescent="0.3">
      <c r="A117" t="s">
        <v>330</v>
      </c>
      <c r="B117" s="6">
        <v>44987</v>
      </c>
      <c r="C117" s="2">
        <v>44990</v>
      </c>
      <c r="D117" s="4">
        <f t="shared" si="15"/>
        <v>3</v>
      </c>
      <c r="E117" s="46" t="str">
        <f t="shared" si="10"/>
        <v>Yes</v>
      </c>
      <c r="F117" s="4" t="str">
        <f>TEXT(Data!B117,"MMM-YYYY")</f>
        <v>Jun-2025</v>
      </c>
      <c r="G117" s="4" t="str">
        <f t="shared" si="11"/>
        <v>Q1-2023</v>
      </c>
      <c r="H117" t="s">
        <v>52</v>
      </c>
      <c r="I117" t="s">
        <v>73</v>
      </c>
      <c r="J117" t="s">
        <v>87</v>
      </c>
      <c r="K117" t="s">
        <v>105</v>
      </c>
      <c r="L117" t="s">
        <v>98</v>
      </c>
      <c r="M117" t="s">
        <v>41</v>
      </c>
      <c r="N117" t="s">
        <v>64</v>
      </c>
      <c r="O117" t="s">
        <v>331</v>
      </c>
      <c r="P117" s="4">
        <v>1473.58</v>
      </c>
      <c r="Q117" s="7" t="str">
        <f t="shared" si="12"/>
        <v>High</v>
      </c>
      <c r="R117" s="4">
        <v>3436.52</v>
      </c>
      <c r="S117" s="4">
        <v>0.108</v>
      </c>
      <c r="T117" s="4">
        <v>8</v>
      </c>
      <c r="U117" s="4">
        <f t="shared" si="8"/>
        <v>6576.6803200000004</v>
      </c>
      <c r="V117">
        <f t="shared" si="9"/>
        <v>11788.64</v>
      </c>
      <c r="W117" s="4">
        <f t="shared" si="13"/>
        <v>-5211.959679999999</v>
      </c>
      <c r="X117" s="4">
        <f t="shared" si="14"/>
        <v>-0.79249095689662452</v>
      </c>
    </row>
    <row r="118" spans="1:24" x14ac:dyDescent="0.3">
      <c r="A118" t="s">
        <v>332</v>
      </c>
      <c r="B118" s="6">
        <v>45811</v>
      </c>
      <c r="C118" s="2">
        <v>45818</v>
      </c>
      <c r="D118" s="4">
        <f t="shared" si="15"/>
        <v>7</v>
      </c>
      <c r="E118" s="46" t="str">
        <f t="shared" si="10"/>
        <v>Yes</v>
      </c>
      <c r="F118" s="4" t="str">
        <f>TEXT(Data!B118,"MMM-YYYY")</f>
        <v>Dec-2024</v>
      </c>
      <c r="G118" s="4" t="str">
        <f t="shared" si="11"/>
        <v>Q2-2025</v>
      </c>
      <c r="H118" t="s">
        <v>52</v>
      </c>
      <c r="I118" t="s">
        <v>53</v>
      </c>
      <c r="J118" t="s">
        <v>54</v>
      </c>
      <c r="K118" t="s">
        <v>48</v>
      </c>
      <c r="L118" t="s">
        <v>55</v>
      </c>
      <c r="M118" t="s">
        <v>68</v>
      </c>
      <c r="N118" t="s">
        <v>30</v>
      </c>
      <c r="O118" t="s">
        <v>333</v>
      </c>
      <c r="P118" s="4">
        <v>75.180000000000007</v>
      </c>
      <c r="Q118" s="7" t="str">
        <f t="shared" si="12"/>
        <v>Medium</v>
      </c>
      <c r="R118" s="4">
        <v>53.45</v>
      </c>
      <c r="S118" s="4">
        <v>0.157</v>
      </c>
      <c r="T118" s="4">
        <v>17</v>
      </c>
      <c r="U118" s="4">
        <f t="shared" si="8"/>
        <v>23548.41258</v>
      </c>
      <c r="V118">
        <f t="shared" si="9"/>
        <v>1278.0600000000002</v>
      </c>
      <c r="W118" s="4">
        <f t="shared" si="13"/>
        <v>22270.352579999999</v>
      </c>
      <c r="X118" s="4">
        <f t="shared" si="14"/>
        <v>0.94572627791117114</v>
      </c>
    </row>
    <row r="119" spans="1:24" x14ac:dyDescent="0.3">
      <c r="A119" t="s">
        <v>334</v>
      </c>
      <c r="B119" s="6">
        <v>45653</v>
      </c>
      <c r="C119" s="2">
        <v>45659</v>
      </c>
      <c r="D119" s="4">
        <f t="shared" si="15"/>
        <v>6</v>
      </c>
      <c r="E119" s="46" t="str">
        <f t="shared" si="10"/>
        <v>Yes</v>
      </c>
      <c r="F119" s="4" t="str">
        <f>TEXT(Data!B119,"MMM-YYYY")</f>
        <v>Jun-2023</v>
      </c>
      <c r="G119" s="4" t="str">
        <f t="shared" si="11"/>
        <v>Q4-2024</v>
      </c>
      <c r="H119" t="s">
        <v>78</v>
      </c>
      <c r="I119" t="s">
        <v>79</v>
      </c>
      <c r="J119" t="s">
        <v>335</v>
      </c>
      <c r="K119" t="s">
        <v>27</v>
      </c>
      <c r="L119" t="s">
        <v>98</v>
      </c>
      <c r="M119" t="s">
        <v>84</v>
      </c>
      <c r="N119" t="s">
        <v>57</v>
      </c>
      <c r="O119" t="s">
        <v>336</v>
      </c>
      <c r="P119" s="4">
        <v>1391.99</v>
      </c>
      <c r="Q119" s="7" t="str">
        <f t="shared" si="12"/>
        <v>High</v>
      </c>
      <c r="R119" s="4">
        <v>3469.7</v>
      </c>
      <c r="S119" s="4">
        <v>0.184</v>
      </c>
      <c r="T119" s="4">
        <v>23</v>
      </c>
      <c r="U119" s="4">
        <f t="shared" si="8"/>
        <v>27535.846560000005</v>
      </c>
      <c r="V119">
        <f t="shared" si="9"/>
        <v>32015.77</v>
      </c>
      <c r="W119" s="4">
        <f t="shared" si="13"/>
        <v>-4479.923439999995</v>
      </c>
      <c r="X119" s="4">
        <f t="shared" si="14"/>
        <v>-0.16269423314218215</v>
      </c>
    </row>
    <row r="120" spans="1:24" x14ac:dyDescent="0.3">
      <c r="A120" t="s">
        <v>337</v>
      </c>
      <c r="B120" s="6">
        <v>45086</v>
      </c>
      <c r="C120" s="2">
        <v>45096</v>
      </c>
      <c r="D120" s="4">
        <f t="shared" si="15"/>
        <v>10</v>
      </c>
      <c r="E120" s="46" t="b">
        <f t="shared" si="10"/>
        <v>0</v>
      </c>
      <c r="F120" s="4" t="str">
        <f>TEXT(Data!B120,"MMM-YYYY")</f>
        <v>Jul-2025</v>
      </c>
      <c r="G120" s="4" t="str">
        <f t="shared" si="11"/>
        <v>Q2-2023</v>
      </c>
      <c r="H120" t="s">
        <v>45</v>
      </c>
      <c r="I120" t="s">
        <v>116</v>
      </c>
      <c r="J120" t="s">
        <v>338</v>
      </c>
      <c r="K120" t="s">
        <v>105</v>
      </c>
      <c r="L120" t="s">
        <v>20</v>
      </c>
      <c r="M120" t="s">
        <v>84</v>
      </c>
      <c r="N120" t="s">
        <v>64</v>
      </c>
      <c r="O120" t="s">
        <v>339</v>
      </c>
      <c r="P120" s="4">
        <v>339.61</v>
      </c>
      <c r="Q120" s="7" t="str">
        <f t="shared" si="12"/>
        <v>High</v>
      </c>
      <c r="R120" s="4">
        <v>621.02</v>
      </c>
      <c r="S120" s="4">
        <v>7.0999999999999994E-2</v>
      </c>
      <c r="T120" s="4">
        <v>10</v>
      </c>
      <c r="U120" s="4">
        <f t="shared" si="8"/>
        <v>9278.4804000000004</v>
      </c>
      <c r="V120">
        <f t="shared" si="9"/>
        <v>3396.1000000000004</v>
      </c>
      <c r="W120" s="4">
        <f t="shared" si="13"/>
        <v>5882.3804</v>
      </c>
      <c r="X120" s="4">
        <f t="shared" si="14"/>
        <v>0.63398101266668616</v>
      </c>
    </row>
    <row r="121" spans="1:24" x14ac:dyDescent="0.3">
      <c r="A121" t="s">
        <v>340</v>
      </c>
      <c r="B121" s="6">
        <v>45847</v>
      </c>
      <c r="C121" s="2">
        <v>45856</v>
      </c>
      <c r="D121" s="4">
        <f t="shared" si="15"/>
        <v>9</v>
      </c>
      <c r="E121" s="46" t="b">
        <f t="shared" si="10"/>
        <v>0</v>
      </c>
      <c r="F121" s="4" t="str">
        <f>TEXT(Data!B121,"MMM-YYYY")</f>
        <v>Jun-2025</v>
      </c>
      <c r="G121" s="4" t="str">
        <f t="shared" si="11"/>
        <v>Q3-2025</v>
      </c>
      <c r="H121" t="s">
        <v>52</v>
      </c>
      <c r="I121" t="s">
        <v>53</v>
      </c>
      <c r="J121" t="s">
        <v>179</v>
      </c>
      <c r="K121" t="s">
        <v>27</v>
      </c>
      <c r="L121" t="s">
        <v>55</v>
      </c>
      <c r="M121" t="s">
        <v>34</v>
      </c>
      <c r="N121" t="s">
        <v>57</v>
      </c>
      <c r="O121" t="s">
        <v>341</v>
      </c>
      <c r="P121" s="4">
        <v>57.96</v>
      </c>
      <c r="Q121" s="7" t="str">
        <f t="shared" si="12"/>
        <v>Medium</v>
      </c>
      <c r="R121" s="4">
        <v>88.51</v>
      </c>
      <c r="S121" s="4">
        <v>4.2999999999999997E-2</v>
      </c>
      <c r="T121" s="4">
        <v>7</v>
      </c>
      <c r="U121" s="4">
        <f t="shared" si="8"/>
        <v>4225.1932799999995</v>
      </c>
      <c r="V121">
        <f t="shared" si="9"/>
        <v>405.72</v>
      </c>
      <c r="W121" s="4">
        <f t="shared" si="13"/>
        <v>3819.4732799999992</v>
      </c>
      <c r="X121" s="4">
        <f t="shared" si="14"/>
        <v>0.90397599041907017</v>
      </c>
    </row>
    <row r="122" spans="1:24" x14ac:dyDescent="0.3">
      <c r="A122" t="s">
        <v>342</v>
      </c>
      <c r="B122" s="6">
        <v>45827</v>
      </c>
      <c r="C122" s="2">
        <v>45850</v>
      </c>
      <c r="D122" s="4">
        <f t="shared" si="15"/>
        <v>23</v>
      </c>
      <c r="E122" s="46" t="b">
        <f t="shared" si="10"/>
        <v>0</v>
      </c>
      <c r="F122" s="4" t="str">
        <f>TEXT(Data!B122,"MMM-YYYY")</f>
        <v>Nov-2023</v>
      </c>
      <c r="G122" s="4" t="str">
        <f t="shared" si="11"/>
        <v>Q2-2025</v>
      </c>
      <c r="H122" t="s">
        <v>78</v>
      </c>
      <c r="I122" t="s">
        <v>108</v>
      </c>
      <c r="J122" t="s">
        <v>1364</v>
      </c>
      <c r="K122" t="s">
        <v>39</v>
      </c>
      <c r="L122" t="s">
        <v>98</v>
      </c>
      <c r="M122" t="s">
        <v>1364</v>
      </c>
      <c r="N122" t="s">
        <v>35</v>
      </c>
      <c r="O122" t="s">
        <v>343</v>
      </c>
      <c r="P122" s="4">
        <v>801.24</v>
      </c>
      <c r="Q122" s="7" t="str">
        <f t="shared" si="12"/>
        <v>High</v>
      </c>
      <c r="R122" s="4">
        <v>1959.09</v>
      </c>
      <c r="S122" s="4">
        <v>0.123</v>
      </c>
      <c r="T122" s="4">
        <v>23</v>
      </c>
      <c r="U122" s="4">
        <f t="shared" si="8"/>
        <v>14696.792309999999</v>
      </c>
      <c r="V122">
        <f t="shared" si="9"/>
        <v>18428.52</v>
      </c>
      <c r="W122" s="4">
        <f t="shared" si="13"/>
        <v>-3731.7276900000015</v>
      </c>
      <c r="X122" s="4">
        <f t="shared" si="14"/>
        <v>-0.25391443325091134</v>
      </c>
    </row>
    <row r="123" spans="1:24" x14ac:dyDescent="0.3">
      <c r="A123" t="s">
        <v>344</v>
      </c>
      <c r="B123" s="6">
        <v>45249</v>
      </c>
      <c r="C123" s="2">
        <v>45273</v>
      </c>
      <c r="D123" s="4">
        <f t="shared" si="15"/>
        <v>24</v>
      </c>
      <c r="E123" s="46" t="b">
        <f t="shared" si="10"/>
        <v>0</v>
      </c>
      <c r="F123" s="4" t="str">
        <f>TEXT(Data!B123,"MMM-YYYY")</f>
        <v>Dec-2023</v>
      </c>
      <c r="G123" s="4" t="str">
        <f t="shared" si="11"/>
        <v>Q4-2023</v>
      </c>
      <c r="H123" t="s">
        <v>78</v>
      </c>
      <c r="I123" t="s">
        <v>90</v>
      </c>
      <c r="J123" t="s">
        <v>138</v>
      </c>
      <c r="K123" t="s">
        <v>39</v>
      </c>
      <c r="L123" t="s">
        <v>98</v>
      </c>
      <c r="M123" t="s">
        <v>92</v>
      </c>
      <c r="N123" t="s">
        <v>64</v>
      </c>
      <c r="O123" t="s">
        <v>345</v>
      </c>
      <c r="P123" s="4">
        <v>1297.42</v>
      </c>
      <c r="Q123" s="7" t="str">
        <f t="shared" si="12"/>
        <v>High</v>
      </c>
      <c r="R123" s="4">
        <v>2742.97</v>
      </c>
      <c r="S123" s="4">
        <v>6.9000000000000006E-2</v>
      </c>
      <c r="T123" s="4">
        <v>9</v>
      </c>
      <c r="U123" s="4">
        <f t="shared" si="8"/>
        <v>7972.7022900000002</v>
      </c>
      <c r="V123">
        <f t="shared" si="9"/>
        <v>11676.78</v>
      </c>
      <c r="W123" s="4">
        <f t="shared" si="13"/>
        <v>-3704.0777100000005</v>
      </c>
      <c r="X123" s="4">
        <f t="shared" si="14"/>
        <v>-0.46459501123551927</v>
      </c>
    </row>
    <row r="124" spans="1:24" x14ac:dyDescent="0.3">
      <c r="A124" t="s">
        <v>346</v>
      </c>
      <c r="B124" s="6">
        <v>45289</v>
      </c>
      <c r="C124" s="2">
        <v>45311</v>
      </c>
      <c r="D124" s="4">
        <f t="shared" si="15"/>
        <v>22</v>
      </c>
      <c r="E124" s="46" t="b">
        <f t="shared" si="10"/>
        <v>0</v>
      </c>
      <c r="F124" s="4" t="str">
        <f>TEXT(Data!B124,"MMM-YYYY")</f>
        <v>Nov-2024</v>
      </c>
      <c r="G124" s="4" t="str">
        <f t="shared" si="11"/>
        <v>Q4-2023</v>
      </c>
      <c r="H124" t="s">
        <v>16</v>
      </c>
      <c r="I124" t="s">
        <v>17</v>
      </c>
      <c r="J124" t="s">
        <v>18</v>
      </c>
      <c r="K124" t="s">
        <v>19</v>
      </c>
      <c r="L124" t="s">
        <v>98</v>
      </c>
      <c r="M124" t="s">
        <v>49</v>
      </c>
      <c r="N124" t="s">
        <v>42</v>
      </c>
      <c r="O124" t="s">
        <v>347</v>
      </c>
      <c r="P124" s="4">
        <v>1395.49</v>
      </c>
      <c r="Q124" s="7" t="str">
        <f t="shared" si="12"/>
        <v>High</v>
      </c>
      <c r="R124" s="4">
        <v>1679.42</v>
      </c>
      <c r="S124" s="4">
        <v>0.20300000000000001</v>
      </c>
      <c r="T124" s="4">
        <v>12</v>
      </c>
      <c r="U124" s="4">
        <f t="shared" si="8"/>
        <v>7009.2643199999993</v>
      </c>
      <c r="V124">
        <f t="shared" si="9"/>
        <v>16745.88</v>
      </c>
      <c r="W124" s="4">
        <f t="shared" si="13"/>
        <v>-9736.6156800000026</v>
      </c>
      <c r="X124" s="4">
        <f t="shared" si="14"/>
        <v>-1.3891066502111884</v>
      </c>
    </row>
    <row r="125" spans="1:24" x14ac:dyDescent="0.3">
      <c r="A125" t="s">
        <v>348</v>
      </c>
      <c r="B125" s="6">
        <v>45598</v>
      </c>
      <c r="C125" s="2">
        <v>45625</v>
      </c>
      <c r="D125" s="4">
        <f t="shared" si="15"/>
        <v>27</v>
      </c>
      <c r="E125" s="46" t="b">
        <f t="shared" si="10"/>
        <v>0</v>
      </c>
      <c r="F125" s="4" t="str">
        <f>TEXT(Data!B125,"MMM-YYYY")</f>
        <v>Aug-2023</v>
      </c>
      <c r="G125" s="4" t="str">
        <f t="shared" si="11"/>
        <v>Q4-2024</v>
      </c>
      <c r="H125" t="s">
        <v>52</v>
      </c>
      <c r="I125" t="s">
        <v>73</v>
      </c>
      <c r="J125" t="s">
        <v>87</v>
      </c>
      <c r="K125" t="s">
        <v>62</v>
      </c>
      <c r="L125" t="s">
        <v>98</v>
      </c>
      <c r="M125" t="s">
        <v>34</v>
      </c>
      <c r="N125" t="s">
        <v>35</v>
      </c>
      <c r="O125" t="s">
        <v>349</v>
      </c>
      <c r="P125" s="4">
        <v>1363.51</v>
      </c>
      <c r="Q125" s="7" t="str">
        <f t="shared" si="12"/>
        <v>High</v>
      </c>
      <c r="R125" s="4">
        <v>1433.9</v>
      </c>
      <c r="S125" s="4">
        <v>5.7000000000000002E-2</v>
      </c>
      <c r="T125" s="4">
        <v>8</v>
      </c>
      <c r="U125" s="4">
        <f t="shared" si="8"/>
        <v>18192.506879999997</v>
      </c>
      <c r="V125">
        <f t="shared" si="9"/>
        <v>10908.08</v>
      </c>
      <c r="W125" s="4">
        <f t="shared" si="13"/>
        <v>7284.4268799999973</v>
      </c>
      <c r="X125" s="4">
        <f t="shared" si="14"/>
        <v>0.4004080871343883</v>
      </c>
    </row>
    <row r="126" spans="1:24" x14ac:dyDescent="0.3">
      <c r="A126" t="s">
        <v>350</v>
      </c>
      <c r="B126" s="6">
        <v>45159</v>
      </c>
      <c r="C126" s="2">
        <v>45173</v>
      </c>
      <c r="D126" s="4">
        <f t="shared" si="15"/>
        <v>14</v>
      </c>
      <c r="E126" s="46" t="b">
        <f t="shared" si="10"/>
        <v>0</v>
      </c>
      <c r="F126" s="4" t="str">
        <f>TEXT(Data!B126,"MMM-YYYY")</f>
        <v>Aug-2023</v>
      </c>
      <c r="G126" s="4" t="str">
        <f t="shared" si="11"/>
        <v>Q3-2023</v>
      </c>
      <c r="H126" t="s">
        <v>52</v>
      </c>
      <c r="I126" t="s">
        <v>53</v>
      </c>
      <c r="J126" t="s">
        <v>144</v>
      </c>
      <c r="K126" t="s">
        <v>27</v>
      </c>
      <c r="L126" t="s">
        <v>55</v>
      </c>
      <c r="M126" t="s">
        <v>84</v>
      </c>
      <c r="N126" t="s">
        <v>22</v>
      </c>
      <c r="O126" t="s">
        <v>351</v>
      </c>
      <c r="P126" s="4">
        <v>178.19</v>
      </c>
      <c r="Q126" s="7" t="str">
        <f t="shared" si="12"/>
        <v>High</v>
      </c>
      <c r="R126" s="4">
        <v>284.43</v>
      </c>
      <c r="S126" s="4">
        <v>8.8999999999999996E-2</v>
      </c>
      <c r="T126" s="4">
        <v>8</v>
      </c>
      <c r="U126" s="4">
        <f t="shared" si="8"/>
        <v>4141.6975199999997</v>
      </c>
      <c r="V126">
        <f t="shared" si="9"/>
        <v>1425.52</v>
      </c>
      <c r="W126" s="4">
        <f t="shared" si="13"/>
        <v>2716.1775199999997</v>
      </c>
      <c r="X126" s="4">
        <f t="shared" si="14"/>
        <v>0.65581262438498888</v>
      </c>
    </row>
    <row r="127" spans="1:24" x14ac:dyDescent="0.3">
      <c r="A127" t="s">
        <v>352</v>
      </c>
      <c r="B127" s="6">
        <v>45150</v>
      </c>
      <c r="C127" s="2">
        <v>45175</v>
      </c>
      <c r="D127" s="4">
        <f t="shared" si="15"/>
        <v>25</v>
      </c>
      <c r="E127" s="46" t="b">
        <f t="shared" si="10"/>
        <v>0</v>
      </c>
      <c r="F127" s="4" t="str">
        <f>TEXT(Data!B127,"MMM-YYYY")</f>
        <v>Jun-2024</v>
      </c>
      <c r="G127" s="4" t="str">
        <f t="shared" si="11"/>
        <v>Q3-2023</v>
      </c>
      <c r="H127" t="s">
        <v>45</v>
      </c>
      <c r="I127" t="s">
        <v>116</v>
      </c>
      <c r="J127" t="s">
        <v>162</v>
      </c>
      <c r="K127" t="s">
        <v>62</v>
      </c>
      <c r="L127" t="s">
        <v>20</v>
      </c>
      <c r="M127" t="s">
        <v>56</v>
      </c>
      <c r="N127" t="s">
        <v>22</v>
      </c>
      <c r="O127" t="s">
        <v>353</v>
      </c>
      <c r="P127" s="4">
        <v>950.77</v>
      </c>
      <c r="Q127" s="7" t="str">
        <f t="shared" si="12"/>
        <v>High</v>
      </c>
      <c r="R127" s="4">
        <v>694.78</v>
      </c>
      <c r="S127" s="4">
        <v>8.4000000000000005E-2</v>
      </c>
      <c r="T127" s="4">
        <v>14</v>
      </c>
      <c r="U127" s="4">
        <f t="shared" si="8"/>
        <v>16093.478800000001</v>
      </c>
      <c r="V127">
        <f t="shared" si="9"/>
        <v>13310.779999999999</v>
      </c>
      <c r="W127" s="4">
        <f t="shared" si="13"/>
        <v>2782.6988000000019</v>
      </c>
      <c r="X127" s="4">
        <f t="shared" si="14"/>
        <v>0.17290847023081185</v>
      </c>
    </row>
    <row r="128" spans="1:24" x14ac:dyDescent="0.3">
      <c r="A128" t="s">
        <v>354</v>
      </c>
      <c r="B128" s="6">
        <v>45450</v>
      </c>
      <c r="C128" s="2">
        <v>45469</v>
      </c>
      <c r="D128" s="4">
        <f t="shared" si="15"/>
        <v>19</v>
      </c>
      <c r="E128" s="46" t="b">
        <f t="shared" si="10"/>
        <v>0</v>
      </c>
      <c r="F128" s="4" t="str">
        <f>TEXT(Data!B128,"MMM-YYYY")</f>
        <v>Aug-2025</v>
      </c>
      <c r="G128" s="4" t="str">
        <f t="shared" si="11"/>
        <v>Q2-2024</v>
      </c>
      <c r="H128" t="s">
        <v>78</v>
      </c>
      <c r="I128" t="s">
        <v>79</v>
      </c>
      <c r="J128" t="s">
        <v>80</v>
      </c>
      <c r="K128" t="s">
        <v>39</v>
      </c>
      <c r="L128" t="s">
        <v>40</v>
      </c>
      <c r="M128" t="s">
        <v>110</v>
      </c>
      <c r="N128" t="s">
        <v>22</v>
      </c>
      <c r="O128" t="s">
        <v>355</v>
      </c>
      <c r="P128" s="4">
        <v>1064.32</v>
      </c>
      <c r="Q128" s="7" t="str">
        <f t="shared" si="12"/>
        <v>High</v>
      </c>
      <c r="R128" s="4">
        <v>1848.39</v>
      </c>
      <c r="S128" s="4">
        <v>7.2999999999999995E-2</v>
      </c>
      <c r="T128" s="4">
        <v>38</v>
      </c>
      <c r="U128" s="4">
        <f t="shared" si="8"/>
        <v>29785.344300000001</v>
      </c>
      <c r="V128">
        <f t="shared" si="9"/>
        <v>40444.159999999996</v>
      </c>
      <c r="W128" s="4">
        <f t="shared" si="13"/>
        <v>-10658.815699999996</v>
      </c>
      <c r="X128" s="4">
        <f t="shared" si="14"/>
        <v>-0.35785437269563458</v>
      </c>
    </row>
    <row r="129" spans="1:24" x14ac:dyDescent="0.3">
      <c r="A129" t="s">
        <v>356</v>
      </c>
      <c r="B129" s="6">
        <v>45874</v>
      </c>
      <c r="C129" s="2">
        <v>45883</v>
      </c>
      <c r="D129" s="4">
        <f t="shared" si="15"/>
        <v>9</v>
      </c>
      <c r="E129" s="46" t="b">
        <f t="shared" si="10"/>
        <v>0</v>
      </c>
      <c r="F129" s="4" t="str">
        <f>TEXT(Data!B129,"MMM-YYYY")</f>
        <v>May-2024</v>
      </c>
      <c r="G129" s="4" t="str">
        <f t="shared" si="11"/>
        <v>Q3-2025</v>
      </c>
      <c r="H129" t="s">
        <v>78</v>
      </c>
      <c r="I129" t="s">
        <v>108</v>
      </c>
      <c r="J129" t="s">
        <v>152</v>
      </c>
      <c r="K129" t="s">
        <v>39</v>
      </c>
      <c r="L129" t="s">
        <v>98</v>
      </c>
      <c r="M129" t="s">
        <v>63</v>
      </c>
      <c r="N129" t="s">
        <v>22</v>
      </c>
      <c r="O129" t="s">
        <v>357</v>
      </c>
      <c r="P129" s="4">
        <v>41.76</v>
      </c>
      <c r="Q129" s="7" t="str">
        <f t="shared" si="12"/>
        <v>Low</v>
      </c>
      <c r="R129" s="4">
        <v>45.19</v>
      </c>
      <c r="S129" s="4">
        <v>0.17899999999999999</v>
      </c>
      <c r="T129" s="4">
        <v>23</v>
      </c>
      <c r="U129" s="4">
        <f t="shared" si="8"/>
        <v>40507.245110000003</v>
      </c>
      <c r="V129">
        <f t="shared" si="9"/>
        <v>960.4799999999999</v>
      </c>
      <c r="W129" s="4">
        <f t="shared" si="13"/>
        <v>39546.76511</v>
      </c>
      <c r="X129" s="4">
        <f t="shared" si="14"/>
        <v>0.97628868619942533</v>
      </c>
    </row>
    <row r="130" spans="1:24" x14ac:dyDescent="0.3">
      <c r="A130" t="s">
        <v>358</v>
      </c>
      <c r="B130" s="6">
        <v>45442</v>
      </c>
      <c r="C130" s="2">
        <v>45456</v>
      </c>
      <c r="D130" s="4">
        <f t="shared" si="15"/>
        <v>14</v>
      </c>
      <c r="E130" s="46" t="b">
        <f t="shared" si="10"/>
        <v>0</v>
      </c>
      <c r="F130" s="4" t="str">
        <f>TEXT(Data!B130,"MMM-YYYY")</f>
        <v>Jan-2023</v>
      </c>
      <c r="G130" s="4" t="str">
        <f t="shared" si="11"/>
        <v>Q2-2024</v>
      </c>
      <c r="H130" t="s">
        <v>52</v>
      </c>
      <c r="I130" t="s">
        <v>122</v>
      </c>
      <c r="J130" t="s">
        <v>167</v>
      </c>
      <c r="K130" t="s">
        <v>62</v>
      </c>
      <c r="L130" t="s">
        <v>20</v>
      </c>
      <c r="M130" t="s">
        <v>84</v>
      </c>
      <c r="N130" t="s">
        <v>42</v>
      </c>
      <c r="O130" t="s">
        <v>359</v>
      </c>
      <c r="P130" s="4">
        <v>157.78</v>
      </c>
      <c r="Q130" s="7" t="str">
        <f t="shared" si="12"/>
        <v>High</v>
      </c>
      <c r="R130" s="4">
        <v>361.1</v>
      </c>
      <c r="S130" s="4">
        <v>0.187</v>
      </c>
      <c r="T130" s="4">
        <v>9</v>
      </c>
      <c r="U130" s="4">
        <f t="shared" ref="U130:U193" si="16">(R156*T130)*(1-S130)</f>
        <v>9877.5109800000009</v>
      </c>
      <c r="V130">
        <f t="shared" ref="V130:V193" si="17">(P130*T130)</f>
        <v>1420.02</v>
      </c>
      <c r="W130" s="4">
        <f t="shared" si="13"/>
        <v>8457.4909800000005</v>
      </c>
      <c r="X130" s="4">
        <f t="shared" si="14"/>
        <v>0.85623706185948478</v>
      </c>
    </row>
    <row r="131" spans="1:24" x14ac:dyDescent="0.3">
      <c r="A131" t="s">
        <v>360</v>
      </c>
      <c r="B131" s="6">
        <v>44948</v>
      </c>
      <c r="C131" s="2">
        <v>44956</v>
      </c>
      <c r="D131" s="4">
        <f t="shared" si="15"/>
        <v>8</v>
      </c>
      <c r="E131" s="46" t="b">
        <f t="shared" ref="E131:E194" si="18">IF(D131&lt;=7, "Yes")</f>
        <v>0</v>
      </c>
      <c r="F131" s="4" t="str">
        <f>TEXT(Data!B131,"MMM-YYYY")</f>
        <v>Feb-2025</v>
      </c>
      <c r="G131" s="4" t="str">
        <f t="shared" ref="G131:G194" si="19">"Q"&amp;ROUNDUP(MONTH(B131)/3,0)&amp;"-"&amp;YEAR(B131)</f>
        <v>Q1-2023</v>
      </c>
      <c r="H131" t="s">
        <v>52</v>
      </c>
      <c r="I131" t="s">
        <v>122</v>
      </c>
      <c r="J131" t="s">
        <v>167</v>
      </c>
      <c r="K131" t="s">
        <v>62</v>
      </c>
      <c r="L131" t="s">
        <v>28</v>
      </c>
      <c r="M131" t="s">
        <v>75</v>
      </c>
      <c r="N131" t="s">
        <v>35</v>
      </c>
      <c r="O131" t="s">
        <v>361</v>
      </c>
      <c r="P131" s="4">
        <v>413.52</v>
      </c>
      <c r="Q131" s="7" t="str">
        <f t="shared" ref="Q131:Q194" si="20">IF(R131&lt;50, "Low", IF(R131&lt;200, "Medium", "High"))</f>
        <v>High</v>
      </c>
      <c r="R131" s="4">
        <v>1004.34</v>
      </c>
      <c r="S131" s="4">
        <v>0.111</v>
      </c>
      <c r="T131" s="4">
        <v>18</v>
      </c>
      <c r="U131" s="4">
        <f t="shared" si="16"/>
        <v>8440.7349599999998</v>
      </c>
      <c r="V131">
        <f t="shared" si="17"/>
        <v>7443.36</v>
      </c>
      <c r="W131" s="4">
        <f t="shared" ref="W131:W194" si="21">(U131-V131)</f>
        <v>997.3749600000001</v>
      </c>
      <c r="X131" s="4">
        <f t="shared" ref="X131:X194" si="22">IF(U131=0, 0, W131/U131)</f>
        <v>0.11816209900281008</v>
      </c>
    </row>
    <row r="132" spans="1:24" x14ac:dyDescent="0.3">
      <c r="A132" t="s">
        <v>362</v>
      </c>
      <c r="B132" s="6">
        <v>45700</v>
      </c>
      <c r="C132" s="2">
        <v>45716</v>
      </c>
      <c r="D132" s="4">
        <f t="shared" ref="D132:D195" si="23">DATEDIF(B132,C132, "MD")</f>
        <v>16</v>
      </c>
      <c r="E132" s="46" t="b">
        <f t="shared" si="18"/>
        <v>0</v>
      </c>
      <c r="F132" s="4" t="str">
        <f>TEXT(Data!B132,"MMM-YYYY")</f>
        <v>Mar-2025</v>
      </c>
      <c r="G132" s="4" t="str">
        <f t="shared" si="19"/>
        <v>Q1-2025</v>
      </c>
      <c r="H132" t="s">
        <v>52</v>
      </c>
      <c r="I132" t="s">
        <v>73</v>
      </c>
      <c r="J132" t="s">
        <v>74</v>
      </c>
      <c r="K132" t="s">
        <v>39</v>
      </c>
      <c r="L132" t="s">
        <v>98</v>
      </c>
      <c r="M132" t="s">
        <v>56</v>
      </c>
      <c r="N132" t="s">
        <v>64</v>
      </c>
      <c r="O132" t="s">
        <v>363</v>
      </c>
      <c r="P132" s="4">
        <v>414.95</v>
      </c>
      <c r="Q132" s="7" t="str">
        <f t="shared" si="20"/>
        <v>High</v>
      </c>
      <c r="R132" s="4">
        <v>1027.73</v>
      </c>
      <c r="S132" s="4">
        <v>6.3E-2</v>
      </c>
      <c r="T132" s="4">
        <v>8</v>
      </c>
      <c r="U132" s="4">
        <f t="shared" si="16"/>
        <v>10997.906320000002</v>
      </c>
      <c r="V132">
        <f t="shared" si="17"/>
        <v>3319.6</v>
      </c>
      <c r="W132" s="4">
        <f t="shared" si="21"/>
        <v>7678.3063200000015</v>
      </c>
      <c r="X132" s="4">
        <f t="shared" si="22"/>
        <v>0.69816073137818835</v>
      </c>
    </row>
    <row r="133" spans="1:24" x14ac:dyDescent="0.3">
      <c r="A133" t="s">
        <v>364</v>
      </c>
      <c r="B133" s="6">
        <v>45719</v>
      </c>
      <c r="C133" s="2">
        <v>45740</v>
      </c>
      <c r="D133" s="4">
        <f t="shared" si="23"/>
        <v>21</v>
      </c>
      <c r="E133" s="46" t="b">
        <f t="shared" si="18"/>
        <v>0</v>
      </c>
      <c r="F133" s="4" t="str">
        <f>TEXT(Data!B133,"MMM-YYYY")</f>
        <v>Jan-2023</v>
      </c>
      <c r="G133" s="4" t="str">
        <f t="shared" si="19"/>
        <v>Q1-2025</v>
      </c>
      <c r="H133" t="s">
        <v>16</v>
      </c>
      <c r="I133" t="s">
        <v>25</v>
      </c>
      <c r="J133" t="s">
        <v>67</v>
      </c>
      <c r="K133" t="s">
        <v>105</v>
      </c>
      <c r="L133" t="s">
        <v>98</v>
      </c>
      <c r="M133" t="s">
        <v>92</v>
      </c>
      <c r="N133" t="s">
        <v>81</v>
      </c>
      <c r="O133" t="s">
        <v>365</v>
      </c>
      <c r="P133" s="4">
        <v>555.95000000000005</v>
      </c>
      <c r="Q133" s="7" t="str">
        <f t="shared" si="20"/>
        <v>High</v>
      </c>
      <c r="R133" s="4">
        <v>468.09</v>
      </c>
      <c r="S133" s="4">
        <v>0.14199999999999999</v>
      </c>
      <c r="T133" s="4">
        <v>11</v>
      </c>
      <c r="U133" s="4">
        <f t="shared" si="16"/>
        <v>15583.45932</v>
      </c>
      <c r="V133">
        <f t="shared" si="17"/>
        <v>6115.4500000000007</v>
      </c>
      <c r="W133" s="4">
        <f t="shared" si="21"/>
        <v>9468.0093199999992</v>
      </c>
      <c r="X133" s="4">
        <f t="shared" si="22"/>
        <v>0.60756787858063332</v>
      </c>
    </row>
    <row r="134" spans="1:24" x14ac:dyDescent="0.3">
      <c r="A134" t="s">
        <v>366</v>
      </c>
      <c r="B134" s="6">
        <v>44953</v>
      </c>
      <c r="C134" s="2">
        <v>44957</v>
      </c>
      <c r="D134" s="4">
        <f t="shared" si="23"/>
        <v>4</v>
      </c>
      <c r="E134" s="46" t="str">
        <f t="shared" si="18"/>
        <v>Yes</v>
      </c>
      <c r="F134" s="4" t="str">
        <f>TEXT(Data!B134,"MMM-YYYY")</f>
        <v>Jan-2025</v>
      </c>
      <c r="G134" s="4" t="str">
        <f t="shared" si="19"/>
        <v>Q1-2023</v>
      </c>
      <c r="H134" t="s">
        <v>78</v>
      </c>
      <c r="I134" t="s">
        <v>108</v>
      </c>
      <c r="J134" t="s">
        <v>228</v>
      </c>
      <c r="K134" t="s">
        <v>105</v>
      </c>
      <c r="L134" t="s">
        <v>28</v>
      </c>
      <c r="M134" t="s">
        <v>126</v>
      </c>
      <c r="N134" t="s">
        <v>57</v>
      </c>
      <c r="O134" t="s">
        <v>367</v>
      </c>
      <c r="P134" s="4">
        <v>941.2</v>
      </c>
      <c r="Q134" s="7" t="str">
        <f t="shared" si="20"/>
        <v>High</v>
      </c>
      <c r="R134" s="4">
        <v>668.02</v>
      </c>
      <c r="S134" s="4">
        <v>0.22</v>
      </c>
      <c r="T134" s="4">
        <v>16</v>
      </c>
      <c r="U134" s="4">
        <f t="shared" si="16"/>
        <v>24737.606400000001</v>
      </c>
      <c r="V134">
        <f t="shared" si="17"/>
        <v>15059.2</v>
      </c>
      <c r="W134" s="4">
        <f t="shared" si="21"/>
        <v>9678.4063999999998</v>
      </c>
      <c r="X134" s="4">
        <f t="shared" si="22"/>
        <v>0.3912426385763822</v>
      </c>
    </row>
    <row r="135" spans="1:24" x14ac:dyDescent="0.3">
      <c r="A135" t="s">
        <v>368</v>
      </c>
      <c r="B135" s="6">
        <v>45666</v>
      </c>
      <c r="C135" s="2">
        <v>45672</v>
      </c>
      <c r="D135" s="4">
        <f t="shared" si="23"/>
        <v>6</v>
      </c>
      <c r="E135" s="46" t="str">
        <f t="shared" si="18"/>
        <v>Yes</v>
      </c>
      <c r="F135" s="4" t="str">
        <f>TEXT(Data!B135,"MMM-YYYY")</f>
        <v>Dec-2024</v>
      </c>
      <c r="G135" s="4" t="str">
        <f t="shared" si="19"/>
        <v>Q1-2025</v>
      </c>
      <c r="H135" t="s">
        <v>45</v>
      </c>
      <c r="I135" t="s">
        <v>116</v>
      </c>
      <c r="J135" t="s">
        <v>338</v>
      </c>
      <c r="K135" t="s">
        <v>27</v>
      </c>
      <c r="L135" t="s">
        <v>28</v>
      </c>
      <c r="M135" t="s">
        <v>21</v>
      </c>
      <c r="N135" t="s">
        <v>42</v>
      </c>
      <c r="O135" t="s">
        <v>369</v>
      </c>
      <c r="P135" s="4">
        <v>304.77999999999997</v>
      </c>
      <c r="Q135" s="7" t="str">
        <f t="shared" si="20"/>
        <v>High</v>
      </c>
      <c r="R135" s="4">
        <v>537.27</v>
      </c>
      <c r="S135" s="4">
        <v>0.187</v>
      </c>
      <c r="T135" s="4">
        <v>8</v>
      </c>
      <c r="U135" s="4">
        <f t="shared" si="16"/>
        <v>16599.638879999999</v>
      </c>
      <c r="V135">
        <f t="shared" si="17"/>
        <v>2438.2399999999998</v>
      </c>
      <c r="W135" s="4">
        <f t="shared" si="21"/>
        <v>14161.398879999999</v>
      </c>
      <c r="X135" s="4">
        <f t="shared" si="22"/>
        <v>0.85311487691833454</v>
      </c>
    </row>
    <row r="136" spans="1:24" x14ac:dyDescent="0.3">
      <c r="A136" t="s">
        <v>370</v>
      </c>
      <c r="B136" s="6">
        <v>45647</v>
      </c>
      <c r="C136" s="2">
        <v>45652</v>
      </c>
      <c r="D136" s="4">
        <f t="shared" si="23"/>
        <v>5</v>
      </c>
      <c r="E136" s="46" t="str">
        <f t="shared" si="18"/>
        <v>Yes</v>
      </c>
      <c r="F136" s="4" t="str">
        <f>TEXT(Data!B136,"MMM-YYYY")</f>
        <v>Apr-2023</v>
      </c>
      <c r="G136" s="4" t="str">
        <f t="shared" si="19"/>
        <v>Q4-2024</v>
      </c>
      <c r="H136" t="s">
        <v>52</v>
      </c>
      <c r="I136" t="s">
        <v>122</v>
      </c>
      <c r="J136" t="s">
        <v>167</v>
      </c>
      <c r="K136" t="s">
        <v>48</v>
      </c>
      <c r="L136" t="s">
        <v>40</v>
      </c>
      <c r="M136" t="s">
        <v>110</v>
      </c>
      <c r="N136" t="s">
        <v>30</v>
      </c>
      <c r="O136" t="s">
        <v>371</v>
      </c>
      <c r="P136" s="4">
        <v>699.57</v>
      </c>
      <c r="Q136" s="7" t="str">
        <f t="shared" si="20"/>
        <v>High</v>
      </c>
      <c r="R136" s="4">
        <v>572.71</v>
      </c>
      <c r="S136" s="4">
        <v>0.192</v>
      </c>
      <c r="T136" s="4">
        <v>26</v>
      </c>
      <c r="U136" s="4">
        <f t="shared" si="16"/>
        <v>10987.39408</v>
      </c>
      <c r="V136">
        <f t="shared" si="17"/>
        <v>18188.82</v>
      </c>
      <c r="W136" s="4">
        <f t="shared" si="21"/>
        <v>-7201.4259199999997</v>
      </c>
      <c r="X136" s="4">
        <f t="shared" si="22"/>
        <v>-0.65542619729172391</v>
      </c>
    </row>
    <row r="137" spans="1:24" x14ac:dyDescent="0.3">
      <c r="A137" t="s">
        <v>372</v>
      </c>
      <c r="B137" s="6">
        <v>45028</v>
      </c>
      <c r="C137" s="2">
        <v>45033</v>
      </c>
      <c r="D137" s="4">
        <f t="shared" si="23"/>
        <v>5</v>
      </c>
      <c r="E137" s="46" t="str">
        <f t="shared" si="18"/>
        <v>Yes</v>
      </c>
      <c r="F137" s="4" t="str">
        <f>TEXT(Data!B137,"MMM-YYYY")</f>
        <v>Dec-2024</v>
      </c>
      <c r="G137" s="4" t="str">
        <f t="shared" si="19"/>
        <v>Q2-2023</v>
      </c>
      <c r="H137" t="s">
        <v>78</v>
      </c>
      <c r="I137" t="s">
        <v>90</v>
      </c>
      <c r="J137" t="s">
        <v>138</v>
      </c>
      <c r="K137" t="s">
        <v>105</v>
      </c>
      <c r="L137" t="s">
        <v>98</v>
      </c>
      <c r="M137" t="s">
        <v>63</v>
      </c>
      <c r="N137" t="s">
        <v>64</v>
      </c>
      <c r="O137" t="s">
        <v>373</v>
      </c>
      <c r="P137" s="4">
        <v>1087.81</v>
      </c>
      <c r="Q137" s="7" t="str">
        <f t="shared" si="20"/>
        <v>High</v>
      </c>
      <c r="R137" s="4">
        <v>2323.87</v>
      </c>
      <c r="S137" s="4">
        <v>9.4E-2</v>
      </c>
      <c r="T137" s="4">
        <v>13</v>
      </c>
      <c r="U137" s="4">
        <f t="shared" si="16"/>
        <v>14342.18838</v>
      </c>
      <c r="V137">
        <f t="shared" si="17"/>
        <v>14141.529999999999</v>
      </c>
      <c r="W137" s="4">
        <f t="shared" si="21"/>
        <v>200.65838000000076</v>
      </c>
      <c r="X137" s="4">
        <f t="shared" si="22"/>
        <v>1.399077844213902E-2</v>
      </c>
    </row>
    <row r="138" spans="1:24" x14ac:dyDescent="0.3">
      <c r="A138" t="s">
        <v>374</v>
      </c>
      <c r="B138" s="6">
        <v>45640</v>
      </c>
      <c r="C138" s="2">
        <v>45669</v>
      </c>
      <c r="D138" s="4">
        <f t="shared" si="23"/>
        <v>29</v>
      </c>
      <c r="E138" s="46" t="b">
        <f t="shared" si="18"/>
        <v>0</v>
      </c>
      <c r="F138" s="4" t="str">
        <f>TEXT(Data!B138,"MMM-YYYY")</f>
        <v>Mar-2023</v>
      </c>
      <c r="G138" s="4" t="str">
        <f t="shared" si="19"/>
        <v>Q4-2024</v>
      </c>
      <c r="H138" t="s">
        <v>45</v>
      </c>
      <c r="I138" t="s">
        <v>116</v>
      </c>
      <c r="J138" t="s">
        <v>117</v>
      </c>
      <c r="K138" t="s">
        <v>27</v>
      </c>
      <c r="L138" t="s">
        <v>28</v>
      </c>
      <c r="M138" t="s">
        <v>29</v>
      </c>
      <c r="N138" t="s">
        <v>22</v>
      </c>
      <c r="O138" t="s">
        <v>375</v>
      </c>
      <c r="P138" s="4">
        <v>1412.15</v>
      </c>
      <c r="Q138" s="7" t="str">
        <f t="shared" si="20"/>
        <v>High</v>
      </c>
      <c r="R138" s="4">
        <v>1631.04</v>
      </c>
      <c r="S138" s="4">
        <v>8.9999999999999993E-3</v>
      </c>
      <c r="T138" s="4">
        <v>6</v>
      </c>
      <c r="U138" s="4">
        <f t="shared" si="16"/>
        <v>7989.2834400000002</v>
      </c>
      <c r="V138">
        <f t="shared" si="17"/>
        <v>8472.9000000000015</v>
      </c>
      <c r="W138" s="4">
        <f t="shared" si="21"/>
        <v>-483.6165600000013</v>
      </c>
      <c r="X138" s="4">
        <f t="shared" si="22"/>
        <v>-6.0533158403002073E-2</v>
      </c>
    </row>
    <row r="139" spans="1:24" x14ac:dyDescent="0.3">
      <c r="A139" t="s">
        <v>376</v>
      </c>
      <c r="B139" s="6">
        <v>45016</v>
      </c>
      <c r="C139" s="2">
        <v>45028</v>
      </c>
      <c r="D139" s="4">
        <f t="shared" si="23"/>
        <v>12</v>
      </c>
      <c r="E139" s="46" t="b">
        <f t="shared" si="18"/>
        <v>0</v>
      </c>
      <c r="F139" s="4" t="str">
        <f>TEXT(Data!B139,"MMM-YYYY")</f>
        <v>Nov-2024</v>
      </c>
      <c r="G139" s="4" t="str">
        <f t="shared" si="19"/>
        <v>Q1-2023</v>
      </c>
      <c r="H139" t="s">
        <v>16</v>
      </c>
      <c r="I139" t="s">
        <v>17</v>
      </c>
      <c r="J139" t="s">
        <v>113</v>
      </c>
      <c r="K139" t="s">
        <v>62</v>
      </c>
      <c r="L139" t="s">
        <v>28</v>
      </c>
      <c r="M139" t="s">
        <v>21</v>
      </c>
      <c r="N139" t="s">
        <v>42</v>
      </c>
      <c r="O139" t="s">
        <v>377</v>
      </c>
      <c r="P139" s="4">
        <v>304.22000000000003</v>
      </c>
      <c r="Q139" s="7" t="str">
        <f t="shared" si="20"/>
        <v>High</v>
      </c>
      <c r="R139" s="4">
        <v>393.31</v>
      </c>
      <c r="S139" s="4">
        <v>0.26500000000000001</v>
      </c>
      <c r="T139" s="4">
        <v>15</v>
      </c>
      <c r="U139" s="4">
        <f t="shared" si="16"/>
        <v>3326.2424999999998</v>
      </c>
      <c r="V139">
        <f t="shared" si="17"/>
        <v>4563.3</v>
      </c>
      <c r="W139" s="4">
        <f t="shared" si="21"/>
        <v>-1237.0575000000003</v>
      </c>
      <c r="X139" s="4">
        <f t="shared" si="22"/>
        <v>-0.3719083921271526</v>
      </c>
    </row>
    <row r="140" spans="1:24" x14ac:dyDescent="0.3">
      <c r="A140" t="s">
        <v>378</v>
      </c>
      <c r="B140" s="6">
        <v>45616</v>
      </c>
      <c r="C140" s="2">
        <v>45641</v>
      </c>
      <c r="D140" s="4">
        <f t="shared" si="23"/>
        <v>25</v>
      </c>
      <c r="E140" s="46" t="b">
        <f t="shared" si="18"/>
        <v>0</v>
      </c>
      <c r="F140" s="4" t="str">
        <f>TEXT(Data!B140,"MMM-YYYY")</f>
        <v>Feb-2024</v>
      </c>
      <c r="G140" s="4" t="str">
        <f t="shared" si="19"/>
        <v>Q4-2024</v>
      </c>
      <c r="H140" t="s">
        <v>78</v>
      </c>
      <c r="I140" t="s">
        <v>90</v>
      </c>
      <c r="J140" t="s">
        <v>217</v>
      </c>
      <c r="K140" t="s">
        <v>19</v>
      </c>
      <c r="L140" t="s">
        <v>28</v>
      </c>
      <c r="M140" t="s">
        <v>41</v>
      </c>
      <c r="N140" t="s">
        <v>30</v>
      </c>
      <c r="O140" t="s">
        <v>379</v>
      </c>
      <c r="P140" s="4">
        <v>1203.58</v>
      </c>
      <c r="Q140" s="7" t="str">
        <f t="shared" si="20"/>
        <v>High</v>
      </c>
      <c r="R140" s="4">
        <v>1856.16</v>
      </c>
      <c r="S140" s="4">
        <v>0.129</v>
      </c>
      <c r="T140" s="4">
        <v>22</v>
      </c>
      <c r="U140" s="4">
        <f t="shared" si="16"/>
        <v>28967.387020000002</v>
      </c>
      <c r="V140">
        <f t="shared" si="17"/>
        <v>26478.76</v>
      </c>
      <c r="W140" s="4">
        <f t="shared" si="21"/>
        <v>2488.6270200000035</v>
      </c>
      <c r="X140" s="4">
        <f t="shared" si="22"/>
        <v>8.591133947572753E-2</v>
      </c>
    </row>
    <row r="141" spans="1:24" x14ac:dyDescent="0.3">
      <c r="A141" t="s">
        <v>380</v>
      </c>
      <c r="B141" s="6">
        <v>45336</v>
      </c>
      <c r="C141" s="2">
        <v>45336</v>
      </c>
      <c r="D141" s="4">
        <f t="shared" si="23"/>
        <v>0</v>
      </c>
      <c r="E141" s="46" t="str">
        <f t="shared" si="18"/>
        <v>Yes</v>
      </c>
      <c r="F141" s="4" t="str">
        <f>TEXT(Data!B141,"MMM-YYYY")</f>
        <v>May-2023</v>
      </c>
      <c r="G141" s="4" t="str">
        <f t="shared" si="19"/>
        <v>Q1-2024</v>
      </c>
      <c r="H141" t="s">
        <v>45</v>
      </c>
      <c r="I141" t="s">
        <v>116</v>
      </c>
      <c r="J141" t="s">
        <v>338</v>
      </c>
      <c r="K141" t="s">
        <v>19</v>
      </c>
      <c r="L141" t="s">
        <v>55</v>
      </c>
      <c r="M141" t="s">
        <v>49</v>
      </c>
      <c r="N141" t="s">
        <v>81</v>
      </c>
      <c r="O141" t="s">
        <v>381</v>
      </c>
      <c r="P141" s="4">
        <v>65.930000000000007</v>
      </c>
      <c r="Q141" s="7" t="str">
        <f t="shared" si="20"/>
        <v>Medium</v>
      </c>
      <c r="R141" s="4">
        <v>84.9</v>
      </c>
      <c r="S141" s="4">
        <v>0.25900000000000001</v>
      </c>
      <c r="T141" s="4">
        <v>23</v>
      </c>
      <c r="U141" s="4">
        <f t="shared" si="16"/>
        <v>35027.455319999994</v>
      </c>
      <c r="V141">
        <f t="shared" si="17"/>
        <v>1516.39</v>
      </c>
      <c r="W141" s="4">
        <f t="shared" si="21"/>
        <v>33511.065319999994</v>
      </c>
      <c r="X141" s="4">
        <f t="shared" si="22"/>
        <v>0.95670853088964847</v>
      </c>
    </row>
    <row r="142" spans="1:24" x14ac:dyDescent="0.3">
      <c r="A142" t="s">
        <v>382</v>
      </c>
      <c r="B142" s="6">
        <v>45048</v>
      </c>
      <c r="C142" s="2">
        <v>45064</v>
      </c>
      <c r="D142" s="4">
        <f t="shared" si="23"/>
        <v>16</v>
      </c>
      <c r="E142" s="46" t="b">
        <f t="shared" si="18"/>
        <v>0</v>
      </c>
      <c r="F142" s="4" t="str">
        <f>TEXT(Data!B142,"MMM-YYYY")</f>
        <v>Dec-2024</v>
      </c>
      <c r="G142" s="4" t="str">
        <f t="shared" si="19"/>
        <v>Q2-2023</v>
      </c>
      <c r="H142" t="s">
        <v>45</v>
      </c>
      <c r="I142" t="s">
        <v>60</v>
      </c>
      <c r="J142" t="s">
        <v>141</v>
      </c>
      <c r="K142" t="s">
        <v>62</v>
      </c>
      <c r="L142" t="s">
        <v>40</v>
      </c>
      <c r="M142" t="s">
        <v>95</v>
      </c>
      <c r="N142" t="s">
        <v>64</v>
      </c>
      <c r="O142" t="s">
        <v>383</v>
      </c>
      <c r="P142" s="4">
        <v>1463.92</v>
      </c>
      <c r="Q142" s="7" t="str">
        <f t="shared" si="20"/>
        <v>High</v>
      </c>
      <c r="R142" s="4">
        <v>2252.2399999999998</v>
      </c>
      <c r="S142" s="4">
        <v>0.11799999999999999</v>
      </c>
      <c r="T142" s="4">
        <v>44</v>
      </c>
      <c r="U142" s="4">
        <f t="shared" si="16"/>
        <v>15179.749199999998</v>
      </c>
      <c r="V142">
        <f t="shared" si="17"/>
        <v>64412.480000000003</v>
      </c>
      <c r="W142" s="4">
        <f t="shared" si="21"/>
        <v>-49232.730800000005</v>
      </c>
      <c r="X142" s="4">
        <f t="shared" si="22"/>
        <v>-3.2433164837795876</v>
      </c>
    </row>
    <row r="143" spans="1:24" x14ac:dyDescent="0.3">
      <c r="A143" t="s">
        <v>384</v>
      </c>
      <c r="B143" s="6">
        <v>45649</v>
      </c>
      <c r="C143" s="2">
        <v>45668</v>
      </c>
      <c r="D143" s="4">
        <f t="shared" si="23"/>
        <v>19</v>
      </c>
      <c r="E143" s="46" t="b">
        <f t="shared" si="18"/>
        <v>0</v>
      </c>
      <c r="F143" s="4" t="str">
        <f>TEXT(Data!B143,"MMM-YYYY")</f>
        <v>Jul-2023</v>
      </c>
      <c r="G143" s="4" t="str">
        <f t="shared" si="19"/>
        <v>Q4-2024</v>
      </c>
      <c r="H143" t="s">
        <v>78</v>
      </c>
      <c r="I143" t="s">
        <v>79</v>
      </c>
      <c r="J143" t="s">
        <v>80</v>
      </c>
      <c r="K143" t="s">
        <v>27</v>
      </c>
      <c r="L143" t="s">
        <v>20</v>
      </c>
      <c r="M143" t="s">
        <v>95</v>
      </c>
      <c r="N143" t="s">
        <v>42</v>
      </c>
      <c r="O143" t="s">
        <v>385</v>
      </c>
      <c r="P143" s="4">
        <v>501.81</v>
      </c>
      <c r="Q143" s="7" t="str">
        <f t="shared" si="20"/>
        <v>High</v>
      </c>
      <c r="R143" s="4">
        <v>921.62</v>
      </c>
      <c r="S143" s="4">
        <v>0.01</v>
      </c>
      <c r="T143" s="4">
        <v>9</v>
      </c>
      <c r="U143" s="4">
        <f t="shared" si="16"/>
        <v>16474.322700000001</v>
      </c>
      <c r="V143">
        <f t="shared" si="17"/>
        <v>4516.29</v>
      </c>
      <c r="W143" s="4">
        <f t="shared" si="21"/>
        <v>11958.0327</v>
      </c>
      <c r="X143" s="4">
        <f t="shared" si="22"/>
        <v>0.72585883606614066</v>
      </c>
    </row>
    <row r="144" spans="1:24" x14ac:dyDescent="0.3">
      <c r="A144" t="s">
        <v>386</v>
      </c>
      <c r="B144" s="6">
        <v>45133</v>
      </c>
      <c r="C144" s="2">
        <v>45163</v>
      </c>
      <c r="D144" s="4">
        <f t="shared" si="23"/>
        <v>30</v>
      </c>
      <c r="E144" s="46" t="b">
        <f t="shared" si="18"/>
        <v>0</v>
      </c>
      <c r="F144" s="4" t="str">
        <f>TEXT(Data!B144,"MMM-YYYY")</f>
        <v>Jun-2024</v>
      </c>
      <c r="G144" s="4" t="str">
        <f t="shared" si="19"/>
        <v>Q3-2023</v>
      </c>
      <c r="H144" t="s">
        <v>52</v>
      </c>
      <c r="I144" t="s">
        <v>122</v>
      </c>
      <c r="J144" t="s">
        <v>387</v>
      </c>
      <c r="K144" t="s">
        <v>48</v>
      </c>
      <c r="L144" t="s">
        <v>20</v>
      </c>
      <c r="M144" t="s">
        <v>110</v>
      </c>
      <c r="N144" t="s">
        <v>81</v>
      </c>
      <c r="O144" t="s">
        <v>388</v>
      </c>
      <c r="P144" s="4">
        <v>1261.48</v>
      </c>
      <c r="Q144" s="7" t="str">
        <f t="shared" si="20"/>
        <v>High</v>
      </c>
      <c r="R144" s="4">
        <v>1643.18</v>
      </c>
      <c r="S144" s="4">
        <v>0.151</v>
      </c>
      <c r="T144" s="4">
        <v>23</v>
      </c>
      <c r="U144" s="4">
        <f t="shared" si="16"/>
        <v>27251.100119999996</v>
      </c>
      <c r="V144">
        <f t="shared" si="17"/>
        <v>29014.04</v>
      </c>
      <c r="W144" s="4">
        <f t="shared" si="21"/>
        <v>-1762.9398800000054</v>
      </c>
      <c r="X144" s="4">
        <f t="shared" si="22"/>
        <v>-6.4692429745475011E-2</v>
      </c>
    </row>
    <row r="145" spans="1:24" x14ac:dyDescent="0.3">
      <c r="A145" t="s">
        <v>389</v>
      </c>
      <c r="B145" s="6">
        <v>45458</v>
      </c>
      <c r="C145" s="2">
        <v>45479</v>
      </c>
      <c r="D145" s="4">
        <f t="shared" si="23"/>
        <v>21</v>
      </c>
      <c r="E145" s="46" t="b">
        <f t="shared" si="18"/>
        <v>0</v>
      </c>
      <c r="F145" s="4" t="str">
        <f>TEXT(Data!B145,"MMM-YYYY")</f>
        <v>Jul-2023</v>
      </c>
      <c r="G145" s="4" t="str">
        <f t="shared" si="19"/>
        <v>Q2-2024</v>
      </c>
      <c r="H145" t="s">
        <v>52</v>
      </c>
      <c r="I145" t="s">
        <v>53</v>
      </c>
      <c r="J145" t="s">
        <v>54</v>
      </c>
      <c r="K145" t="s">
        <v>105</v>
      </c>
      <c r="L145" t="s">
        <v>55</v>
      </c>
      <c r="M145" t="s">
        <v>49</v>
      </c>
      <c r="N145" t="s">
        <v>30</v>
      </c>
      <c r="O145" t="s">
        <v>390</v>
      </c>
      <c r="P145" s="4">
        <v>817.23</v>
      </c>
      <c r="Q145" s="7" t="str">
        <f t="shared" si="20"/>
        <v>High</v>
      </c>
      <c r="R145" s="4">
        <v>1467.17</v>
      </c>
      <c r="S145" s="4">
        <v>0.245</v>
      </c>
      <c r="T145" s="4">
        <v>9</v>
      </c>
      <c r="U145" s="4">
        <f t="shared" si="16"/>
        <v>3655.9817999999996</v>
      </c>
      <c r="V145">
        <f t="shared" si="17"/>
        <v>7355.07</v>
      </c>
      <c r="W145" s="4">
        <f t="shared" si="21"/>
        <v>-3699.0882000000001</v>
      </c>
      <c r="X145" s="4">
        <f t="shared" si="22"/>
        <v>-1.0117906495048745</v>
      </c>
    </row>
    <row r="146" spans="1:24" x14ac:dyDescent="0.3">
      <c r="A146" t="s">
        <v>391</v>
      </c>
      <c r="B146" s="6">
        <v>45112</v>
      </c>
      <c r="C146" s="2">
        <v>45121</v>
      </c>
      <c r="D146" s="4">
        <f t="shared" si="23"/>
        <v>9</v>
      </c>
      <c r="E146" s="46" t="b">
        <f t="shared" si="18"/>
        <v>0</v>
      </c>
      <c r="F146" s="4" t="str">
        <f>TEXT(Data!B146,"MMM-YYYY")</f>
        <v>Nov-2023</v>
      </c>
      <c r="G146" s="4" t="str">
        <f t="shared" si="19"/>
        <v>Q3-2023</v>
      </c>
      <c r="H146" t="s">
        <v>52</v>
      </c>
      <c r="I146" t="s">
        <v>73</v>
      </c>
      <c r="J146" t="s">
        <v>87</v>
      </c>
      <c r="K146" t="s">
        <v>105</v>
      </c>
      <c r="L146" t="s">
        <v>98</v>
      </c>
      <c r="M146" t="s">
        <v>56</v>
      </c>
      <c r="N146" t="s">
        <v>35</v>
      </c>
      <c r="O146" t="s">
        <v>392</v>
      </c>
      <c r="P146" s="4">
        <v>578.85</v>
      </c>
      <c r="Q146" s="7" t="str">
        <f t="shared" si="20"/>
        <v>High</v>
      </c>
      <c r="R146" s="4">
        <v>998.76</v>
      </c>
      <c r="S146" s="4">
        <v>8.2000000000000003E-2</v>
      </c>
      <c r="T146" s="4">
        <v>28</v>
      </c>
      <c r="U146" s="4">
        <f t="shared" si="16"/>
        <v>31331.119680000003</v>
      </c>
      <c r="V146">
        <f t="shared" si="17"/>
        <v>16207.800000000001</v>
      </c>
      <c r="W146" s="4">
        <f t="shared" si="21"/>
        <v>15123.319680000002</v>
      </c>
      <c r="X146" s="4">
        <f t="shared" si="22"/>
        <v>0.4826932402819254</v>
      </c>
    </row>
    <row r="147" spans="1:24" x14ac:dyDescent="0.3">
      <c r="A147" t="s">
        <v>393</v>
      </c>
      <c r="B147" s="6">
        <v>45260</v>
      </c>
      <c r="C147" s="2">
        <v>45259</v>
      </c>
      <c r="D147" s="4">
        <f>DATEDIF(C147,B147, "MD")</f>
        <v>1</v>
      </c>
      <c r="E147" s="46" t="str">
        <f t="shared" si="18"/>
        <v>Yes</v>
      </c>
      <c r="F147" s="4" t="str">
        <f>TEXT(Data!B147,"MMM-YYYY")</f>
        <v>Sep-2025</v>
      </c>
      <c r="G147" s="4" t="str">
        <f t="shared" si="19"/>
        <v>Q4-2023</v>
      </c>
      <c r="H147" t="s">
        <v>16</v>
      </c>
      <c r="I147" t="s">
        <v>148</v>
      </c>
      <c r="J147" t="s">
        <v>172</v>
      </c>
      <c r="K147" t="s">
        <v>62</v>
      </c>
      <c r="L147" t="s">
        <v>40</v>
      </c>
      <c r="M147" t="s">
        <v>63</v>
      </c>
      <c r="N147" t="s">
        <v>57</v>
      </c>
      <c r="O147" t="s">
        <v>394</v>
      </c>
      <c r="P147" s="4">
        <v>275.56</v>
      </c>
      <c r="Q147" s="7" t="str">
        <f t="shared" si="20"/>
        <v>High</v>
      </c>
      <c r="R147" s="4">
        <v>630.72</v>
      </c>
      <c r="S147" s="4">
        <v>0.107</v>
      </c>
      <c r="T147" s="4">
        <v>23</v>
      </c>
      <c r="U147" s="4">
        <f t="shared" si="16"/>
        <v>42353.882679999995</v>
      </c>
      <c r="V147">
        <f t="shared" si="17"/>
        <v>6337.88</v>
      </c>
      <c r="W147" s="4">
        <f t="shared" si="21"/>
        <v>36016.002679999998</v>
      </c>
      <c r="X147" s="4">
        <f t="shared" si="22"/>
        <v>0.85035893762361436</v>
      </c>
    </row>
    <row r="148" spans="1:24" x14ac:dyDescent="0.3">
      <c r="A148" t="s">
        <v>395</v>
      </c>
      <c r="B148" s="6">
        <v>45911</v>
      </c>
      <c r="C148" s="2">
        <v>45928</v>
      </c>
      <c r="D148" s="4">
        <f t="shared" si="23"/>
        <v>17</v>
      </c>
      <c r="E148" s="46" t="b">
        <f t="shared" si="18"/>
        <v>0</v>
      </c>
      <c r="F148" s="4" t="str">
        <f>TEXT(Data!B148,"MMM-YYYY")</f>
        <v>Apr-2024</v>
      </c>
      <c r="G148" s="4" t="str">
        <f t="shared" si="19"/>
        <v>Q3-2025</v>
      </c>
      <c r="H148" t="s">
        <v>16</v>
      </c>
      <c r="I148" t="s">
        <v>17</v>
      </c>
      <c r="J148" t="s">
        <v>33</v>
      </c>
      <c r="K148" t="s">
        <v>39</v>
      </c>
      <c r="L148" t="s">
        <v>55</v>
      </c>
      <c r="M148" t="s">
        <v>29</v>
      </c>
      <c r="N148" t="s">
        <v>57</v>
      </c>
      <c r="O148" t="s">
        <v>396</v>
      </c>
      <c r="P148" s="4">
        <v>891.46</v>
      </c>
      <c r="Q148" s="7" t="str">
        <f t="shared" si="20"/>
        <v>High</v>
      </c>
      <c r="R148" s="4">
        <v>728.61</v>
      </c>
      <c r="S148" s="4">
        <v>0.185</v>
      </c>
      <c r="T148" s="4">
        <v>6</v>
      </c>
      <c r="U148" s="4">
        <f t="shared" si="16"/>
        <v>49.780199999999994</v>
      </c>
      <c r="V148">
        <f t="shared" si="17"/>
        <v>5348.76</v>
      </c>
      <c r="W148" s="4">
        <f t="shared" si="21"/>
        <v>-5298.9798000000001</v>
      </c>
      <c r="X148" s="4">
        <f t="shared" si="22"/>
        <v>-106.44753938312824</v>
      </c>
    </row>
    <row r="149" spans="1:24" x14ac:dyDescent="0.3">
      <c r="A149" t="s">
        <v>397</v>
      </c>
      <c r="B149" s="6">
        <v>45386</v>
      </c>
      <c r="C149" s="2">
        <v>45406</v>
      </c>
      <c r="D149" s="4">
        <f t="shared" si="23"/>
        <v>20</v>
      </c>
      <c r="E149" s="46" t="b">
        <f t="shared" si="18"/>
        <v>0</v>
      </c>
      <c r="F149" s="4" t="str">
        <f>TEXT(Data!B149,"MMM-YYYY")</f>
        <v>Sep-2023</v>
      </c>
      <c r="G149" s="4" t="str">
        <f t="shared" si="19"/>
        <v>Q2-2024</v>
      </c>
      <c r="H149" t="s">
        <v>78</v>
      </c>
      <c r="I149" t="s">
        <v>79</v>
      </c>
      <c r="J149" t="s">
        <v>335</v>
      </c>
      <c r="K149" t="s">
        <v>39</v>
      </c>
      <c r="L149" t="s">
        <v>98</v>
      </c>
      <c r="M149" t="s">
        <v>68</v>
      </c>
      <c r="N149" t="s">
        <v>81</v>
      </c>
      <c r="O149" t="s">
        <v>398</v>
      </c>
      <c r="P149" s="4">
        <v>683.42</v>
      </c>
      <c r="Q149" s="7" t="str">
        <f t="shared" si="20"/>
        <v>High</v>
      </c>
      <c r="R149" s="4">
        <v>951.51</v>
      </c>
      <c r="S149" s="4">
        <v>0</v>
      </c>
      <c r="T149" s="4">
        <v>14</v>
      </c>
      <c r="U149" s="4">
        <f t="shared" si="16"/>
        <v>31944.079999999998</v>
      </c>
      <c r="V149">
        <f t="shared" si="17"/>
        <v>9567.8799999999992</v>
      </c>
      <c r="W149" s="4">
        <f t="shared" si="21"/>
        <v>22376.199999999997</v>
      </c>
      <c r="X149" s="4">
        <f t="shared" si="22"/>
        <v>0.7004803393930894</v>
      </c>
    </row>
    <row r="150" spans="1:24" x14ac:dyDescent="0.3">
      <c r="A150" t="s">
        <v>399</v>
      </c>
      <c r="B150" s="6">
        <v>45183</v>
      </c>
      <c r="C150" s="2">
        <v>45185</v>
      </c>
      <c r="D150" s="4">
        <f t="shared" si="23"/>
        <v>2</v>
      </c>
      <c r="E150" s="46" t="str">
        <f t="shared" si="18"/>
        <v>Yes</v>
      </c>
      <c r="F150" s="4" t="str">
        <f>TEXT(Data!B150,"MMM-YYYY")</f>
        <v>Sep-2024</v>
      </c>
      <c r="G150" s="4" t="str">
        <f t="shared" si="19"/>
        <v>Q3-2023</v>
      </c>
      <c r="H150" t="s">
        <v>78</v>
      </c>
      <c r="I150" t="s">
        <v>90</v>
      </c>
      <c r="J150" t="s">
        <v>138</v>
      </c>
      <c r="K150" t="s">
        <v>39</v>
      </c>
      <c r="L150" t="s">
        <v>98</v>
      </c>
      <c r="M150" t="s">
        <v>56</v>
      </c>
      <c r="N150" t="s">
        <v>30</v>
      </c>
      <c r="O150" t="s">
        <v>400</v>
      </c>
      <c r="P150" s="4">
        <v>376.83</v>
      </c>
      <c r="Q150" s="7" t="str">
        <f t="shared" si="20"/>
        <v>High</v>
      </c>
      <c r="R150" s="4">
        <v>732.88</v>
      </c>
      <c r="S150" s="4">
        <v>0.188</v>
      </c>
      <c r="T150" s="4">
        <v>25</v>
      </c>
      <c r="U150" s="4">
        <f t="shared" si="16"/>
        <v>5066.2710000000006</v>
      </c>
      <c r="V150">
        <f t="shared" si="17"/>
        <v>9420.75</v>
      </c>
      <c r="W150" s="4">
        <f t="shared" si="21"/>
        <v>-4354.4789999999994</v>
      </c>
      <c r="X150" s="4">
        <f t="shared" si="22"/>
        <v>-0.85950376519534755</v>
      </c>
    </row>
    <row r="151" spans="1:24" x14ac:dyDescent="0.3">
      <c r="A151" t="s">
        <v>401</v>
      </c>
      <c r="B151" s="6">
        <v>45558</v>
      </c>
      <c r="C151" s="2">
        <v>45583</v>
      </c>
      <c r="D151" s="4">
        <f t="shared" si="23"/>
        <v>25</v>
      </c>
      <c r="E151" s="46" t="b">
        <f t="shared" si="18"/>
        <v>0</v>
      </c>
      <c r="F151" s="4" t="str">
        <f>TEXT(Data!B151,"MMM-YYYY")</f>
        <v>Apr-2025</v>
      </c>
      <c r="G151" s="4" t="str">
        <f t="shared" si="19"/>
        <v>Q3-2024</v>
      </c>
      <c r="H151" t="s">
        <v>52</v>
      </c>
      <c r="I151" t="s">
        <v>53</v>
      </c>
      <c r="J151" t="s">
        <v>179</v>
      </c>
      <c r="K151" t="s">
        <v>62</v>
      </c>
      <c r="L151" t="s">
        <v>28</v>
      </c>
      <c r="M151" t="s">
        <v>126</v>
      </c>
      <c r="N151" t="s">
        <v>42</v>
      </c>
      <c r="O151" t="s">
        <v>402</v>
      </c>
      <c r="P151" s="4">
        <v>1297</v>
      </c>
      <c r="Q151" s="7" t="str">
        <f t="shared" si="20"/>
        <v>High</v>
      </c>
      <c r="R151" s="4">
        <v>2411.52</v>
      </c>
      <c r="S151" s="4">
        <v>2.1000000000000001E-2</v>
      </c>
      <c r="T151" s="4">
        <v>18</v>
      </c>
      <c r="U151" s="4">
        <f t="shared" si="16"/>
        <v>57712.049999999996</v>
      </c>
      <c r="V151">
        <f t="shared" si="17"/>
        <v>23346</v>
      </c>
      <c r="W151" s="4">
        <f t="shared" si="21"/>
        <v>34366.049999999996</v>
      </c>
      <c r="X151" s="4">
        <f t="shared" si="22"/>
        <v>0.59547442865051581</v>
      </c>
    </row>
    <row r="152" spans="1:24" x14ac:dyDescent="0.3">
      <c r="A152" t="s">
        <v>403</v>
      </c>
      <c r="B152" s="6">
        <v>45763</v>
      </c>
      <c r="C152" s="2">
        <v>45793</v>
      </c>
      <c r="D152" s="4">
        <f t="shared" si="23"/>
        <v>0</v>
      </c>
      <c r="E152" s="46" t="str">
        <f t="shared" si="18"/>
        <v>Yes</v>
      </c>
      <c r="F152" s="4" t="str">
        <f>TEXT(Data!B152,"MMM-YYYY")</f>
        <v>Jul-2023</v>
      </c>
      <c r="G152" s="4" t="str">
        <f t="shared" si="19"/>
        <v>Q2-2025</v>
      </c>
      <c r="H152" t="s">
        <v>52</v>
      </c>
      <c r="I152" t="s">
        <v>53</v>
      </c>
      <c r="J152" t="s">
        <v>144</v>
      </c>
      <c r="K152" t="s">
        <v>105</v>
      </c>
      <c r="L152" t="s">
        <v>55</v>
      </c>
      <c r="M152" t="s">
        <v>95</v>
      </c>
      <c r="N152" t="s">
        <v>30</v>
      </c>
      <c r="O152" t="s">
        <v>404</v>
      </c>
      <c r="P152" s="4">
        <v>763.32</v>
      </c>
      <c r="Q152" s="7" t="str">
        <f t="shared" si="20"/>
        <v>High</v>
      </c>
      <c r="R152" s="4">
        <v>568.29</v>
      </c>
      <c r="S152" s="4">
        <v>0.13100000000000001</v>
      </c>
      <c r="T152" s="4">
        <v>16</v>
      </c>
      <c r="U152" s="4">
        <f t="shared" si="16"/>
        <v>26608.919040000001</v>
      </c>
      <c r="V152">
        <f t="shared" si="17"/>
        <v>12213.12</v>
      </c>
      <c r="W152" s="4">
        <f t="shared" si="21"/>
        <v>14395.79904</v>
      </c>
      <c r="X152" s="4">
        <f t="shared" si="22"/>
        <v>0.54101404940048248</v>
      </c>
    </row>
    <row r="153" spans="1:24" x14ac:dyDescent="0.3">
      <c r="A153" t="s">
        <v>405</v>
      </c>
      <c r="B153" s="6">
        <v>45110</v>
      </c>
      <c r="C153" s="2">
        <v>45130</v>
      </c>
      <c r="D153" s="4">
        <f t="shared" si="23"/>
        <v>20</v>
      </c>
      <c r="E153" s="46" t="b">
        <f t="shared" si="18"/>
        <v>0</v>
      </c>
      <c r="F153" s="4" t="str">
        <f>TEXT(Data!B153,"MMM-YYYY")</f>
        <v>Dec-2023</v>
      </c>
      <c r="G153" s="4" t="str">
        <f t="shared" si="19"/>
        <v>Q3-2023</v>
      </c>
      <c r="H153" t="s">
        <v>16</v>
      </c>
      <c r="I153" t="s">
        <v>148</v>
      </c>
      <c r="J153" t="s">
        <v>149</v>
      </c>
      <c r="K153" t="s">
        <v>62</v>
      </c>
      <c r="L153" t="s">
        <v>55</v>
      </c>
      <c r="M153" t="s">
        <v>84</v>
      </c>
      <c r="N153" t="s">
        <v>57</v>
      </c>
      <c r="O153" t="s">
        <v>406</v>
      </c>
      <c r="P153" s="4">
        <v>1001.96</v>
      </c>
      <c r="Q153" s="7" t="str">
        <f t="shared" si="20"/>
        <v>High</v>
      </c>
      <c r="R153" s="4">
        <v>1254.95</v>
      </c>
      <c r="S153" s="4">
        <v>4.4999999999999998E-2</v>
      </c>
      <c r="T153" s="4">
        <v>18</v>
      </c>
      <c r="U153" s="4">
        <f t="shared" si="16"/>
        <v>517.24709999999993</v>
      </c>
      <c r="V153">
        <f t="shared" si="17"/>
        <v>18035.28</v>
      </c>
      <c r="W153" s="4">
        <f t="shared" si="21"/>
        <v>-17518.032899999998</v>
      </c>
      <c r="X153" s="4">
        <f t="shared" si="22"/>
        <v>-33.867822361884677</v>
      </c>
    </row>
    <row r="154" spans="1:24" x14ac:dyDescent="0.3">
      <c r="A154" t="s">
        <v>407</v>
      </c>
      <c r="B154" s="6">
        <v>45267</v>
      </c>
      <c r="C154" s="2">
        <v>45265</v>
      </c>
      <c r="D154" s="4">
        <f>DATEDIF(C154,B154, "MD")</f>
        <v>2</v>
      </c>
      <c r="E154" s="46" t="str">
        <f t="shared" si="18"/>
        <v>Yes</v>
      </c>
      <c r="F154" s="4" t="str">
        <f>TEXT(Data!B154,"MMM-YYYY")</f>
        <v>Feb-2024</v>
      </c>
      <c r="G154" s="4" t="str">
        <f t="shared" si="19"/>
        <v>Q4-2023</v>
      </c>
      <c r="H154" t="s">
        <v>45</v>
      </c>
      <c r="I154" t="s">
        <v>46</v>
      </c>
      <c r="J154" t="s">
        <v>214</v>
      </c>
      <c r="K154" t="s">
        <v>39</v>
      </c>
      <c r="L154" t="s">
        <v>40</v>
      </c>
      <c r="M154" t="s">
        <v>92</v>
      </c>
      <c r="N154" t="s">
        <v>30</v>
      </c>
      <c r="O154" t="s">
        <v>408</v>
      </c>
      <c r="P154" s="4">
        <v>1097.5899999999999</v>
      </c>
      <c r="Q154" s="7" t="str">
        <f t="shared" si="20"/>
        <v>High</v>
      </c>
      <c r="R154" s="4">
        <v>845.55</v>
      </c>
      <c r="S154" s="4">
        <v>0.184</v>
      </c>
      <c r="T154" s="4">
        <v>6</v>
      </c>
      <c r="U154" s="4">
        <f t="shared" si="16"/>
        <v>2454.4137600000004</v>
      </c>
      <c r="V154">
        <f t="shared" si="17"/>
        <v>6585.5399999999991</v>
      </c>
      <c r="W154" s="4">
        <f t="shared" si="21"/>
        <v>-4131.1262399999987</v>
      </c>
      <c r="X154" s="4">
        <f t="shared" si="22"/>
        <v>-1.6831417372757875</v>
      </c>
    </row>
    <row r="155" spans="1:24" x14ac:dyDescent="0.3">
      <c r="A155" t="s">
        <v>409</v>
      </c>
      <c r="B155" s="6">
        <v>45340</v>
      </c>
      <c r="C155" s="2">
        <v>45355</v>
      </c>
      <c r="D155" s="4">
        <f t="shared" si="23"/>
        <v>15</v>
      </c>
      <c r="E155" s="46" t="b">
        <f t="shared" si="18"/>
        <v>0</v>
      </c>
      <c r="F155" s="4" t="str">
        <f>TEXT(Data!B155,"MMM-YYYY")</f>
        <v>Oct-2023</v>
      </c>
      <c r="G155" s="4" t="str">
        <f t="shared" si="19"/>
        <v>Q1-2024</v>
      </c>
      <c r="H155" t="s">
        <v>16</v>
      </c>
      <c r="I155" t="s">
        <v>17</v>
      </c>
      <c r="J155" t="s">
        <v>18</v>
      </c>
      <c r="K155" t="s">
        <v>27</v>
      </c>
      <c r="L155" t="s">
        <v>98</v>
      </c>
      <c r="M155" t="s">
        <v>95</v>
      </c>
      <c r="N155" t="s">
        <v>30</v>
      </c>
      <c r="O155" t="s">
        <v>410</v>
      </c>
      <c r="P155" s="4">
        <v>928.68</v>
      </c>
      <c r="Q155" s="7" t="str">
        <f t="shared" si="20"/>
        <v>High</v>
      </c>
      <c r="R155" s="4">
        <v>2145.17</v>
      </c>
      <c r="S155" s="4">
        <v>0.13600000000000001</v>
      </c>
      <c r="T155" s="4">
        <v>16</v>
      </c>
      <c r="U155" s="4">
        <f t="shared" si="16"/>
        <v>5684.1523200000001</v>
      </c>
      <c r="V155">
        <f t="shared" si="17"/>
        <v>14858.88</v>
      </c>
      <c r="W155" s="4">
        <f t="shared" si="21"/>
        <v>-9174.72768</v>
      </c>
      <c r="X155" s="4">
        <f t="shared" si="22"/>
        <v>-1.6140889904934848</v>
      </c>
    </row>
    <row r="156" spans="1:24" x14ac:dyDescent="0.3">
      <c r="A156" t="s">
        <v>411</v>
      </c>
      <c r="B156" s="6">
        <v>45230</v>
      </c>
      <c r="C156" s="2">
        <v>45232</v>
      </c>
      <c r="D156" s="4">
        <f t="shared" si="23"/>
        <v>2</v>
      </c>
      <c r="E156" s="46" t="str">
        <f t="shared" si="18"/>
        <v>Yes</v>
      </c>
      <c r="F156" s="4" t="str">
        <f>TEXT(Data!B156,"MMM-YYYY")</f>
        <v>Aug-2024</v>
      </c>
      <c r="G156" s="4" t="str">
        <f t="shared" si="19"/>
        <v>Q4-2023</v>
      </c>
      <c r="H156" t="s">
        <v>16</v>
      </c>
      <c r="I156" t="s">
        <v>17</v>
      </c>
      <c r="J156" t="s">
        <v>18</v>
      </c>
      <c r="K156" t="s">
        <v>27</v>
      </c>
      <c r="L156" t="s">
        <v>20</v>
      </c>
      <c r="M156" t="s">
        <v>68</v>
      </c>
      <c r="N156" t="s">
        <v>81</v>
      </c>
      <c r="O156" t="s">
        <v>412</v>
      </c>
      <c r="P156" s="4">
        <v>867.89</v>
      </c>
      <c r="Q156" s="7" t="str">
        <f t="shared" si="20"/>
        <v>High</v>
      </c>
      <c r="R156" s="4">
        <v>1349.94</v>
      </c>
      <c r="S156" s="4">
        <v>0.184</v>
      </c>
      <c r="T156" s="4">
        <v>10</v>
      </c>
      <c r="U156" s="4">
        <f t="shared" si="16"/>
        <v>48.307200000000009</v>
      </c>
      <c r="V156">
        <f t="shared" si="17"/>
        <v>8678.9</v>
      </c>
      <c r="W156" s="4">
        <f t="shared" si="21"/>
        <v>-8630.5928000000004</v>
      </c>
      <c r="X156" s="4">
        <f t="shared" si="22"/>
        <v>-178.66058889772123</v>
      </c>
    </row>
    <row r="157" spans="1:24" x14ac:dyDescent="0.3">
      <c r="A157" t="s">
        <v>413</v>
      </c>
      <c r="B157" s="6">
        <v>45511</v>
      </c>
      <c r="C157" s="2">
        <v>45521</v>
      </c>
      <c r="D157" s="4">
        <f t="shared" si="23"/>
        <v>10</v>
      </c>
      <c r="E157" s="46" t="b">
        <f t="shared" si="18"/>
        <v>0</v>
      </c>
      <c r="F157" s="4" t="str">
        <f>TEXT(Data!B157,"MMM-YYYY")</f>
        <v>Feb-2024</v>
      </c>
      <c r="G157" s="4" t="str">
        <f t="shared" si="19"/>
        <v>Q3-2024</v>
      </c>
      <c r="H157" t="s">
        <v>45</v>
      </c>
      <c r="I157" t="s">
        <v>46</v>
      </c>
      <c r="J157" t="s">
        <v>47</v>
      </c>
      <c r="K157" t="s">
        <v>48</v>
      </c>
      <c r="L157" t="s">
        <v>28</v>
      </c>
      <c r="M157" t="s">
        <v>95</v>
      </c>
      <c r="N157" t="s">
        <v>35</v>
      </c>
      <c r="O157" t="s">
        <v>414</v>
      </c>
      <c r="P157" s="4">
        <v>436.58</v>
      </c>
      <c r="Q157" s="7" t="str">
        <f t="shared" si="20"/>
        <v>High</v>
      </c>
      <c r="R157" s="4">
        <v>527.48</v>
      </c>
      <c r="S157" s="4">
        <v>0.111</v>
      </c>
      <c r="T157" s="4">
        <v>19</v>
      </c>
      <c r="U157" s="4">
        <f t="shared" si="16"/>
        <v>37272.187330000001</v>
      </c>
      <c r="V157">
        <f t="shared" si="17"/>
        <v>8295.02</v>
      </c>
      <c r="W157" s="4">
        <f t="shared" si="21"/>
        <v>28977.16733</v>
      </c>
      <c r="X157" s="4">
        <f t="shared" si="22"/>
        <v>0.77744745897101064</v>
      </c>
    </row>
    <row r="158" spans="1:24" x14ac:dyDescent="0.3">
      <c r="A158" t="s">
        <v>415</v>
      </c>
      <c r="B158" s="6">
        <v>45323</v>
      </c>
      <c r="C158" s="2">
        <v>45343</v>
      </c>
      <c r="D158" s="4">
        <f t="shared" si="23"/>
        <v>20</v>
      </c>
      <c r="E158" s="46" t="b">
        <f t="shared" si="18"/>
        <v>0</v>
      </c>
      <c r="F158" s="4" t="str">
        <f>TEXT(Data!B158,"MMM-YYYY")</f>
        <v>Aug-2024</v>
      </c>
      <c r="G158" s="4" t="str">
        <f t="shared" si="19"/>
        <v>Q1-2024</v>
      </c>
      <c r="H158" t="s">
        <v>78</v>
      </c>
      <c r="I158" t="s">
        <v>90</v>
      </c>
      <c r="J158" t="s">
        <v>217</v>
      </c>
      <c r="K158" t="s">
        <v>62</v>
      </c>
      <c r="L158" t="s">
        <v>40</v>
      </c>
      <c r="M158" t="s">
        <v>75</v>
      </c>
      <c r="N158" t="s">
        <v>35</v>
      </c>
      <c r="O158" t="s">
        <v>416</v>
      </c>
      <c r="P158" s="4">
        <v>656.2</v>
      </c>
      <c r="Q158" s="7" t="str">
        <f t="shared" si="20"/>
        <v>High</v>
      </c>
      <c r="R158" s="4">
        <v>1467.17</v>
      </c>
      <c r="S158" s="4">
        <v>1.7999999999999999E-2</v>
      </c>
      <c r="T158" s="4">
        <v>5</v>
      </c>
      <c r="U158" s="4">
        <f t="shared" si="16"/>
        <v>9391.848</v>
      </c>
      <c r="V158">
        <f t="shared" si="17"/>
        <v>3281</v>
      </c>
      <c r="W158" s="4">
        <f t="shared" si="21"/>
        <v>6110.848</v>
      </c>
      <c r="X158" s="4">
        <f t="shared" si="22"/>
        <v>0.65065448248310664</v>
      </c>
    </row>
    <row r="159" spans="1:24" x14ac:dyDescent="0.3">
      <c r="A159" t="s">
        <v>417</v>
      </c>
      <c r="B159" s="6">
        <v>45531</v>
      </c>
      <c r="C159" s="2">
        <v>45553</v>
      </c>
      <c r="D159" s="4">
        <f t="shared" si="23"/>
        <v>22</v>
      </c>
      <c r="E159" s="46" t="b">
        <f t="shared" si="18"/>
        <v>0</v>
      </c>
      <c r="F159" s="4" t="str">
        <f>TEXT(Data!B159,"MMM-YYYY")</f>
        <v>Feb-2025</v>
      </c>
      <c r="G159" s="4" t="str">
        <f t="shared" si="19"/>
        <v>Q3-2024</v>
      </c>
      <c r="H159" t="s">
        <v>45</v>
      </c>
      <c r="I159" t="s">
        <v>60</v>
      </c>
      <c r="J159" t="s">
        <v>141</v>
      </c>
      <c r="K159" t="s">
        <v>48</v>
      </c>
      <c r="L159" t="s">
        <v>98</v>
      </c>
      <c r="M159" t="s">
        <v>56</v>
      </c>
      <c r="N159" t="s">
        <v>22</v>
      </c>
      <c r="O159" t="s">
        <v>418</v>
      </c>
      <c r="P159" s="4">
        <v>896.75</v>
      </c>
      <c r="Q159" s="7" t="str">
        <f t="shared" si="20"/>
        <v>High</v>
      </c>
      <c r="R159" s="4">
        <v>1651.14</v>
      </c>
      <c r="S159" s="4">
        <v>2.5000000000000001E-2</v>
      </c>
      <c r="T159" s="4">
        <v>15</v>
      </c>
      <c r="U159" s="4">
        <f t="shared" si="16"/>
        <v>20216.283749999999</v>
      </c>
      <c r="V159">
        <f t="shared" si="17"/>
        <v>13451.25</v>
      </c>
      <c r="W159" s="4">
        <f t="shared" si="21"/>
        <v>6765.0337499999987</v>
      </c>
      <c r="X159" s="4">
        <f t="shared" si="22"/>
        <v>0.3346329045267778</v>
      </c>
    </row>
    <row r="160" spans="1:24" x14ac:dyDescent="0.3">
      <c r="A160" t="s">
        <v>419</v>
      </c>
      <c r="B160" s="6">
        <v>45703</v>
      </c>
      <c r="C160" s="2">
        <v>45703</v>
      </c>
      <c r="D160" s="4">
        <f t="shared" si="23"/>
        <v>0</v>
      </c>
      <c r="E160" s="46" t="str">
        <f t="shared" si="18"/>
        <v>Yes</v>
      </c>
      <c r="F160" s="4" t="str">
        <f>TEXT(Data!B160,"MMM-YYYY")</f>
        <v>Aug-2025</v>
      </c>
      <c r="G160" s="4" t="str">
        <f t="shared" si="19"/>
        <v>Q1-2025</v>
      </c>
      <c r="H160" t="s">
        <v>78</v>
      </c>
      <c r="I160" t="s">
        <v>79</v>
      </c>
      <c r="J160" t="s">
        <v>335</v>
      </c>
      <c r="K160" t="s">
        <v>62</v>
      </c>
      <c r="L160" t="s">
        <v>40</v>
      </c>
      <c r="M160" t="s">
        <v>49</v>
      </c>
      <c r="N160" t="s">
        <v>81</v>
      </c>
      <c r="O160" t="s">
        <v>420</v>
      </c>
      <c r="P160" s="4">
        <v>815.83</v>
      </c>
      <c r="Q160" s="7" t="str">
        <f t="shared" si="20"/>
        <v>High</v>
      </c>
      <c r="R160" s="4">
        <v>1982.18</v>
      </c>
      <c r="S160" s="4">
        <v>0.127</v>
      </c>
      <c r="T160" s="4">
        <v>6</v>
      </c>
      <c r="U160" s="4">
        <f t="shared" si="16"/>
        <v>7100.6851799999995</v>
      </c>
      <c r="V160">
        <f t="shared" si="17"/>
        <v>4894.9800000000005</v>
      </c>
      <c r="W160" s="4">
        <f t="shared" si="21"/>
        <v>2205.705179999999</v>
      </c>
      <c r="X160" s="4">
        <f t="shared" si="22"/>
        <v>0.31063272403804826</v>
      </c>
    </row>
    <row r="161" spans="1:24" x14ac:dyDescent="0.3">
      <c r="A161" t="s">
        <v>421</v>
      </c>
      <c r="B161" s="6">
        <v>45870</v>
      </c>
      <c r="C161" s="2">
        <v>45890</v>
      </c>
      <c r="D161" s="4">
        <f t="shared" si="23"/>
        <v>20</v>
      </c>
      <c r="E161" s="46" t="b">
        <f t="shared" si="18"/>
        <v>0</v>
      </c>
      <c r="F161" s="4" t="str">
        <f>TEXT(Data!B161,"MMM-YYYY")</f>
        <v>Feb-2023</v>
      </c>
      <c r="G161" s="4" t="str">
        <f t="shared" si="19"/>
        <v>Q3-2025</v>
      </c>
      <c r="H161" t="s">
        <v>45</v>
      </c>
      <c r="I161" t="s">
        <v>116</v>
      </c>
      <c r="J161" t="s">
        <v>162</v>
      </c>
      <c r="K161" t="s">
        <v>19</v>
      </c>
      <c r="L161" t="s">
        <v>98</v>
      </c>
      <c r="M161" t="s">
        <v>34</v>
      </c>
      <c r="N161" t="s">
        <v>42</v>
      </c>
      <c r="O161" t="s">
        <v>422</v>
      </c>
      <c r="P161" s="4">
        <v>1220.4100000000001</v>
      </c>
      <c r="Q161" s="7" t="str">
        <f t="shared" si="20"/>
        <v>High</v>
      </c>
      <c r="R161" s="4">
        <v>2552.2199999999998</v>
      </c>
      <c r="S161" s="4">
        <v>0.18099999999999999</v>
      </c>
      <c r="T161" s="4">
        <v>14</v>
      </c>
      <c r="U161" s="4">
        <f t="shared" si="16"/>
        <v>10180.661399999999</v>
      </c>
      <c r="V161">
        <f t="shared" si="17"/>
        <v>17085.740000000002</v>
      </c>
      <c r="W161" s="4">
        <f t="shared" si="21"/>
        <v>-6905.0786000000026</v>
      </c>
      <c r="X161" s="4">
        <f t="shared" si="22"/>
        <v>-0.6782544206803699</v>
      </c>
    </row>
    <row r="162" spans="1:24" x14ac:dyDescent="0.3">
      <c r="A162" t="s">
        <v>423</v>
      </c>
      <c r="B162" s="6">
        <v>44977</v>
      </c>
      <c r="C162" s="2">
        <v>44989</v>
      </c>
      <c r="D162" s="4">
        <f t="shared" si="23"/>
        <v>12</v>
      </c>
      <c r="E162" s="46" t="b">
        <f t="shared" si="18"/>
        <v>0</v>
      </c>
      <c r="F162" s="4" t="str">
        <f>TEXT(Data!B162,"MMM-YYYY")</f>
        <v>Oct-2024</v>
      </c>
      <c r="G162" s="4" t="str">
        <f t="shared" si="19"/>
        <v>Q1-2023</v>
      </c>
      <c r="H162" t="s">
        <v>45</v>
      </c>
      <c r="I162" t="s">
        <v>60</v>
      </c>
      <c r="J162" t="s">
        <v>141</v>
      </c>
      <c r="K162" t="s">
        <v>48</v>
      </c>
      <c r="L162" t="s">
        <v>55</v>
      </c>
      <c r="M162" t="s">
        <v>110</v>
      </c>
      <c r="N162" t="s">
        <v>64</v>
      </c>
      <c r="O162" t="s">
        <v>424</v>
      </c>
      <c r="P162" s="4">
        <v>299.75</v>
      </c>
      <c r="Q162" s="7" t="str">
        <f t="shared" si="20"/>
        <v>High</v>
      </c>
      <c r="R162" s="4">
        <v>523.01</v>
      </c>
      <c r="S162" s="4">
        <v>0.157</v>
      </c>
      <c r="T162" s="4">
        <v>50</v>
      </c>
      <c r="U162" s="4">
        <f t="shared" si="16"/>
        <v>43022.083500000001</v>
      </c>
      <c r="V162">
        <f t="shared" si="17"/>
        <v>14987.5</v>
      </c>
      <c r="W162" s="4">
        <f t="shared" si="21"/>
        <v>28034.583500000001</v>
      </c>
      <c r="X162" s="4">
        <f t="shared" si="22"/>
        <v>0.65163239943969709</v>
      </c>
    </row>
    <row r="163" spans="1:24" x14ac:dyDescent="0.3">
      <c r="A163" t="s">
        <v>425</v>
      </c>
      <c r="B163" s="6">
        <v>45595</v>
      </c>
      <c r="C163" s="2">
        <v>45620</v>
      </c>
      <c r="D163" s="4">
        <f t="shared" si="23"/>
        <v>25</v>
      </c>
      <c r="E163" s="46" t="b">
        <f t="shared" si="18"/>
        <v>0</v>
      </c>
      <c r="F163" s="4" t="str">
        <f>TEXT(Data!B163,"MMM-YYYY")</f>
        <v>Apr-2024</v>
      </c>
      <c r="G163" s="4" t="str">
        <f t="shared" si="19"/>
        <v>Q4-2024</v>
      </c>
      <c r="H163" t="s">
        <v>45</v>
      </c>
      <c r="I163" t="s">
        <v>116</v>
      </c>
      <c r="J163" t="s">
        <v>117</v>
      </c>
      <c r="K163" t="s">
        <v>62</v>
      </c>
      <c r="L163" t="s">
        <v>28</v>
      </c>
      <c r="M163" t="s">
        <v>63</v>
      </c>
      <c r="N163" t="s">
        <v>22</v>
      </c>
      <c r="O163" t="s">
        <v>426</v>
      </c>
      <c r="P163" s="4">
        <v>811.05</v>
      </c>
      <c r="Q163" s="7" t="str">
        <f t="shared" si="20"/>
        <v>High</v>
      </c>
      <c r="R163" s="4">
        <v>1217.71</v>
      </c>
      <c r="S163" s="4">
        <v>7.1999999999999995E-2</v>
      </c>
      <c r="T163" s="4">
        <v>5</v>
      </c>
      <c r="U163" s="4">
        <f t="shared" si="16"/>
        <v>6475.2592000000004</v>
      </c>
      <c r="V163">
        <f t="shared" si="17"/>
        <v>4055.25</v>
      </c>
      <c r="W163" s="4">
        <f t="shared" si="21"/>
        <v>2420.0092000000004</v>
      </c>
      <c r="X163" s="4">
        <f t="shared" si="22"/>
        <v>0.37373163378540897</v>
      </c>
    </row>
    <row r="164" spans="1:24" x14ac:dyDescent="0.3">
      <c r="A164" t="s">
        <v>427</v>
      </c>
      <c r="B164" s="6">
        <v>45385</v>
      </c>
      <c r="C164" s="2">
        <v>45389</v>
      </c>
      <c r="D164" s="4">
        <f t="shared" si="23"/>
        <v>4</v>
      </c>
      <c r="E164" s="46" t="str">
        <f t="shared" si="18"/>
        <v>Yes</v>
      </c>
      <c r="F164" s="4" t="str">
        <f>TEXT(Data!B164,"MMM-YYYY")</f>
        <v>Mar-2023</v>
      </c>
      <c r="G164" s="4" t="str">
        <f t="shared" si="19"/>
        <v>Q2-2024</v>
      </c>
      <c r="H164" t="s">
        <v>52</v>
      </c>
      <c r="I164" t="s">
        <v>73</v>
      </c>
      <c r="J164" t="s">
        <v>87</v>
      </c>
      <c r="K164" t="s">
        <v>39</v>
      </c>
      <c r="L164" t="s">
        <v>98</v>
      </c>
      <c r="M164" t="s">
        <v>126</v>
      </c>
      <c r="N164" t="s">
        <v>42</v>
      </c>
      <c r="O164" t="s">
        <v>428</v>
      </c>
      <c r="P164" s="4">
        <v>1023.27</v>
      </c>
      <c r="Q164" s="7" t="str">
        <f t="shared" si="20"/>
        <v>High</v>
      </c>
      <c r="R164" s="4">
        <v>1343.64</v>
      </c>
      <c r="S164" s="4">
        <v>0.13300000000000001</v>
      </c>
      <c r="T164" s="4">
        <v>7</v>
      </c>
      <c r="U164" s="4">
        <f t="shared" si="16"/>
        <v>13797.385980000001</v>
      </c>
      <c r="V164">
        <f t="shared" si="17"/>
        <v>7162.8899999999994</v>
      </c>
      <c r="W164" s="4">
        <f t="shared" si="21"/>
        <v>6634.4959800000015</v>
      </c>
      <c r="X164" s="4">
        <f t="shared" si="22"/>
        <v>0.48085166201895302</v>
      </c>
    </row>
    <row r="165" spans="1:24" x14ac:dyDescent="0.3">
      <c r="A165" t="s">
        <v>429</v>
      </c>
      <c r="B165" s="6">
        <v>45010</v>
      </c>
      <c r="C165" s="2">
        <v>45011</v>
      </c>
      <c r="D165" s="4">
        <f t="shared" si="23"/>
        <v>1</v>
      </c>
      <c r="E165" s="46" t="str">
        <f t="shared" si="18"/>
        <v>Yes</v>
      </c>
      <c r="F165" s="4" t="str">
        <f>TEXT(Data!B165,"MMM-YYYY")</f>
        <v>Jun-2024</v>
      </c>
      <c r="G165" s="4" t="str">
        <f t="shared" si="19"/>
        <v>Q1-2023</v>
      </c>
      <c r="H165" t="s">
        <v>45</v>
      </c>
      <c r="I165" t="s">
        <v>46</v>
      </c>
      <c r="J165" t="s">
        <v>47</v>
      </c>
      <c r="K165" t="s">
        <v>62</v>
      </c>
      <c r="L165" t="s">
        <v>55</v>
      </c>
      <c r="M165" t="s">
        <v>34</v>
      </c>
      <c r="N165" t="s">
        <v>64</v>
      </c>
      <c r="O165" t="s">
        <v>430</v>
      </c>
      <c r="P165" s="4">
        <v>135.12</v>
      </c>
      <c r="Q165" s="7" t="str">
        <f t="shared" si="20"/>
        <v>High</v>
      </c>
      <c r="R165" s="4">
        <v>301.7</v>
      </c>
      <c r="S165" s="4">
        <v>0.14000000000000001</v>
      </c>
      <c r="T165" s="4">
        <v>47</v>
      </c>
      <c r="U165" s="4">
        <f t="shared" si="16"/>
        <v>50207.703000000001</v>
      </c>
      <c r="V165">
        <f t="shared" si="17"/>
        <v>6350.64</v>
      </c>
      <c r="W165" s="4">
        <f t="shared" si="21"/>
        <v>43857.063000000002</v>
      </c>
      <c r="X165" s="4">
        <f t="shared" si="22"/>
        <v>0.87351263609888707</v>
      </c>
    </row>
    <row r="166" spans="1:24" x14ac:dyDescent="0.3">
      <c r="A166" t="s">
        <v>431</v>
      </c>
      <c r="B166" s="6">
        <v>45447</v>
      </c>
      <c r="C166" s="2">
        <v>45459</v>
      </c>
      <c r="D166" s="4">
        <f t="shared" si="23"/>
        <v>12</v>
      </c>
      <c r="E166" s="46" t="b">
        <f t="shared" si="18"/>
        <v>0</v>
      </c>
      <c r="F166" s="4" t="str">
        <f>TEXT(Data!B166,"MMM-YYYY")</f>
        <v>Feb-2023</v>
      </c>
      <c r="G166" s="4" t="str">
        <f t="shared" si="19"/>
        <v>Q2-2024</v>
      </c>
      <c r="H166" t="s">
        <v>45</v>
      </c>
      <c r="I166" t="s">
        <v>116</v>
      </c>
      <c r="J166" t="s">
        <v>162</v>
      </c>
      <c r="K166" t="s">
        <v>19</v>
      </c>
      <c r="L166" t="s">
        <v>20</v>
      </c>
      <c r="M166" t="s">
        <v>29</v>
      </c>
      <c r="N166" t="s">
        <v>30</v>
      </c>
      <c r="O166" t="s">
        <v>432</v>
      </c>
      <c r="P166" s="4">
        <v>918.42</v>
      </c>
      <c r="Q166" s="7" t="str">
        <f t="shared" si="20"/>
        <v>High</v>
      </c>
      <c r="R166" s="4">
        <v>1511.71</v>
      </c>
      <c r="S166" s="4">
        <v>0.02</v>
      </c>
      <c r="T166" s="4">
        <v>8</v>
      </c>
      <c r="U166" s="4">
        <f t="shared" si="16"/>
        <v>10272.6736</v>
      </c>
      <c r="V166">
        <f t="shared" si="17"/>
        <v>7347.36</v>
      </c>
      <c r="W166" s="4">
        <f t="shared" si="21"/>
        <v>2925.3136000000004</v>
      </c>
      <c r="X166" s="4">
        <f t="shared" si="22"/>
        <v>0.28476652855007489</v>
      </c>
    </row>
    <row r="167" spans="1:24" x14ac:dyDescent="0.3">
      <c r="A167" t="s">
        <v>433</v>
      </c>
      <c r="B167" s="6">
        <v>44976</v>
      </c>
      <c r="C167" s="2">
        <v>44997</v>
      </c>
      <c r="D167" s="4">
        <f t="shared" si="23"/>
        <v>21</v>
      </c>
      <c r="E167" s="46" t="b">
        <f t="shared" si="18"/>
        <v>0</v>
      </c>
      <c r="F167" s="4" t="str">
        <f>TEXT(Data!B167,"MMM-YYYY")</f>
        <v>Apr-2023</v>
      </c>
      <c r="G167" s="4" t="str">
        <f t="shared" si="19"/>
        <v>Q1-2023</v>
      </c>
      <c r="H167" t="s">
        <v>78</v>
      </c>
      <c r="I167" t="s">
        <v>79</v>
      </c>
      <c r="J167" t="s">
        <v>80</v>
      </c>
      <c r="K167" t="s">
        <v>62</v>
      </c>
      <c r="L167" t="s">
        <v>98</v>
      </c>
      <c r="M167" t="s">
        <v>49</v>
      </c>
      <c r="N167" t="s">
        <v>64</v>
      </c>
      <c r="O167" t="s">
        <v>434</v>
      </c>
      <c r="P167" s="4">
        <v>1234.81</v>
      </c>
      <c r="Q167" s="7" t="str">
        <f t="shared" si="20"/>
        <v>High</v>
      </c>
      <c r="R167" s="4">
        <v>2055.2399999999998</v>
      </c>
      <c r="S167" s="4">
        <v>5.2999999999999999E-2</v>
      </c>
      <c r="T167" s="4">
        <v>44</v>
      </c>
      <c r="U167" s="4">
        <f t="shared" si="16"/>
        <v>40303.373</v>
      </c>
      <c r="V167">
        <f t="shared" si="17"/>
        <v>54331.64</v>
      </c>
      <c r="W167" s="4">
        <f t="shared" si="21"/>
        <v>-14028.267</v>
      </c>
      <c r="X167" s="4">
        <f t="shared" si="22"/>
        <v>-0.34806682309195314</v>
      </c>
    </row>
    <row r="168" spans="1:24" x14ac:dyDescent="0.3">
      <c r="A168" t="s">
        <v>435</v>
      </c>
      <c r="B168" s="6">
        <v>45034</v>
      </c>
      <c r="C168" s="2">
        <v>45064</v>
      </c>
      <c r="D168" s="4">
        <f t="shared" si="23"/>
        <v>0</v>
      </c>
      <c r="E168" s="46" t="str">
        <f t="shared" si="18"/>
        <v>Yes</v>
      </c>
      <c r="F168" s="4" t="str">
        <f>TEXT(Data!B168,"MMM-YYYY")</f>
        <v>May-2024</v>
      </c>
      <c r="G168" s="4" t="str">
        <f t="shared" si="19"/>
        <v>Q2-2023</v>
      </c>
      <c r="H168" t="s">
        <v>45</v>
      </c>
      <c r="I168" t="s">
        <v>116</v>
      </c>
      <c r="J168" t="s">
        <v>117</v>
      </c>
      <c r="K168" t="s">
        <v>39</v>
      </c>
      <c r="L168" t="s">
        <v>20</v>
      </c>
      <c r="M168" t="s">
        <v>92</v>
      </c>
      <c r="N168" t="s">
        <v>57</v>
      </c>
      <c r="O168" t="s">
        <v>436</v>
      </c>
      <c r="P168" s="4">
        <v>329.03</v>
      </c>
      <c r="Q168" s="7" t="str">
        <f t="shared" si="20"/>
        <v>High</v>
      </c>
      <c r="R168" s="4">
        <v>391.15</v>
      </c>
      <c r="S168" s="4">
        <v>0.19700000000000001</v>
      </c>
      <c r="T168" s="4">
        <v>46</v>
      </c>
      <c r="U168" s="4">
        <f t="shared" si="16"/>
        <v>32735.194359999998</v>
      </c>
      <c r="V168">
        <f t="shared" si="17"/>
        <v>15135.38</v>
      </c>
      <c r="W168" s="4">
        <f t="shared" si="21"/>
        <v>17599.814359999997</v>
      </c>
      <c r="X168" s="4">
        <f t="shared" si="22"/>
        <v>0.53764196926552166</v>
      </c>
    </row>
    <row r="169" spans="1:24" x14ac:dyDescent="0.3">
      <c r="A169" t="s">
        <v>437</v>
      </c>
      <c r="B169" s="6">
        <v>45435</v>
      </c>
      <c r="C169" s="2">
        <v>45457</v>
      </c>
      <c r="D169" s="4">
        <f t="shared" si="23"/>
        <v>22</v>
      </c>
      <c r="E169" s="46" t="b">
        <f t="shared" si="18"/>
        <v>0</v>
      </c>
      <c r="F169" s="4" t="str">
        <f>TEXT(Data!B169,"MMM-YYYY")</f>
        <v>Oct-2023</v>
      </c>
      <c r="G169" s="4" t="str">
        <f t="shared" si="19"/>
        <v>Q2-2024</v>
      </c>
      <c r="H169" t="s">
        <v>78</v>
      </c>
      <c r="I169" t="s">
        <v>90</v>
      </c>
      <c r="J169" t="s">
        <v>91</v>
      </c>
      <c r="K169" t="s">
        <v>62</v>
      </c>
      <c r="L169" t="s">
        <v>28</v>
      </c>
      <c r="M169" t="s">
        <v>126</v>
      </c>
      <c r="N169" t="s">
        <v>64</v>
      </c>
      <c r="O169" t="s">
        <v>438</v>
      </c>
      <c r="P169" s="4">
        <v>1481.74</v>
      </c>
      <c r="Q169" s="7" t="str">
        <f t="shared" si="20"/>
        <v>High</v>
      </c>
      <c r="R169" s="4">
        <v>1848.97</v>
      </c>
      <c r="S169" s="4">
        <v>0.254</v>
      </c>
      <c r="T169" s="4">
        <v>9</v>
      </c>
      <c r="U169" s="4">
        <f t="shared" si="16"/>
        <v>5308.1555399999997</v>
      </c>
      <c r="V169">
        <f t="shared" si="17"/>
        <v>13335.66</v>
      </c>
      <c r="W169" s="4">
        <f t="shared" si="21"/>
        <v>-8027.5044600000001</v>
      </c>
      <c r="X169" s="4">
        <f t="shared" si="22"/>
        <v>-1.5122963898680333</v>
      </c>
    </row>
    <row r="170" spans="1:24" x14ac:dyDescent="0.3">
      <c r="A170" t="s">
        <v>439</v>
      </c>
      <c r="B170" s="6">
        <v>45206</v>
      </c>
      <c r="C170" s="2">
        <v>45222</v>
      </c>
      <c r="D170" s="4">
        <f t="shared" si="23"/>
        <v>16</v>
      </c>
      <c r="E170" s="46" t="b">
        <f t="shared" si="18"/>
        <v>0</v>
      </c>
      <c r="F170" s="4" t="str">
        <f>TEXT(Data!B170,"MMM-YYYY")</f>
        <v>Oct-2024</v>
      </c>
      <c r="G170" s="4" t="str">
        <f t="shared" si="19"/>
        <v>Q4-2023</v>
      </c>
      <c r="H170" t="s">
        <v>45</v>
      </c>
      <c r="I170" t="s">
        <v>60</v>
      </c>
      <c r="J170" t="s">
        <v>281</v>
      </c>
      <c r="K170" t="s">
        <v>48</v>
      </c>
      <c r="L170" t="s">
        <v>20</v>
      </c>
      <c r="M170" t="s">
        <v>41</v>
      </c>
      <c r="N170" t="s">
        <v>64</v>
      </c>
      <c r="O170" t="s">
        <v>440</v>
      </c>
      <c r="P170" s="4">
        <v>906.81</v>
      </c>
      <c r="Q170" s="7" t="str">
        <f t="shared" si="20"/>
        <v>High</v>
      </c>
      <c r="R170" s="4">
        <v>1395.56</v>
      </c>
      <c r="S170" s="4">
        <v>0.185</v>
      </c>
      <c r="T170" s="4">
        <v>6</v>
      </c>
      <c r="U170" s="4">
        <f t="shared" si="16"/>
        <v>1766.9036999999998</v>
      </c>
      <c r="V170">
        <f t="shared" si="17"/>
        <v>5440.86</v>
      </c>
      <c r="W170" s="4">
        <f t="shared" si="21"/>
        <v>-3673.9562999999998</v>
      </c>
      <c r="X170" s="4">
        <f t="shared" si="22"/>
        <v>-2.079318923832691</v>
      </c>
    </row>
    <row r="171" spans="1:24" x14ac:dyDescent="0.3">
      <c r="A171" t="s">
        <v>441</v>
      </c>
      <c r="B171" s="6">
        <v>45574</v>
      </c>
      <c r="C171" s="2">
        <v>45604</v>
      </c>
      <c r="D171" s="4">
        <f t="shared" si="23"/>
        <v>30</v>
      </c>
      <c r="E171" s="46" t="b">
        <f t="shared" si="18"/>
        <v>0</v>
      </c>
      <c r="F171" s="4" t="str">
        <f>TEXT(Data!B171,"MMM-YYYY")</f>
        <v>Jul-2024</v>
      </c>
      <c r="G171" s="4" t="str">
        <f t="shared" si="19"/>
        <v>Q4-2024</v>
      </c>
      <c r="H171" t="s">
        <v>78</v>
      </c>
      <c r="I171" t="s">
        <v>108</v>
      </c>
      <c r="J171" t="s">
        <v>228</v>
      </c>
      <c r="K171" t="s">
        <v>62</v>
      </c>
      <c r="L171" t="s">
        <v>55</v>
      </c>
      <c r="M171" t="s">
        <v>29</v>
      </c>
      <c r="N171" t="s">
        <v>22</v>
      </c>
      <c r="O171" t="s">
        <v>442</v>
      </c>
      <c r="P171" s="4">
        <v>343.85</v>
      </c>
      <c r="Q171" s="7" t="str">
        <f t="shared" si="20"/>
        <v>High</v>
      </c>
      <c r="R171" s="4">
        <v>538.04</v>
      </c>
      <c r="S171" s="4">
        <v>0.13900000000000001</v>
      </c>
      <c r="T171" s="4">
        <v>5</v>
      </c>
      <c r="U171" s="4">
        <f t="shared" si="16"/>
        <v>8403.5321999999996</v>
      </c>
      <c r="V171">
        <f t="shared" si="17"/>
        <v>1719.25</v>
      </c>
      <c r="W171" s="4">
        <f t="shared" si="21"/>
        <v>6684.2821999999996</v>
      </c>
      <c r="X171" s="4">
        <f t="shared" si="22"/>
        <v>0.79541340961363838</v>
      </c>
    </row>
    <row r="172" spans="1:24" x14ac:dyDescent="0.3">
      <c r="A172" t="s">
        <v>443</v>
      </c>
      <c r="B172" s="6">
        <v>45488</v>
      </c>
      <c r="C172" s="2">
        <v>45488</v>
      </c>
      <c r="D172" s="4">
        <f t="shared" si="23"/>
        <v>0</v>
      </c>
      <c r="E172" s="46" t="str">
        <f t="shared" si="18"/>
        <v>Yes</v>
      </c>
      <c r="F172" s="4" t="str">
        <f>TEXT(Data!B172,"MMM-YYYY")</f>
        <v>Sep-2023</v>
      </c>
      <c r="G172" s="4" t="str">
        <f t="shared" si="19"/>
        <v>Q3-2024</v>
      </c>
      <c r="H172" t="s">
        <v>45</v>
      </c>
      <c r="I172" t="s">
        <v>46</v>
      </c>
      <c r="J172" t="s">
        <v>214</v>
      </c>
      <c r="K172" t="s">
        <v>62</v>
      </c>
      <c r="L172" t="s">
        <v>40</v>
      </c>
      <c r="M172" t="s">
        <v>41</v>
      </c>
      <c r="N172" t="s">
        <v>81</v>
      </c>
      <c r="O172" t="s">
        <v>444</v>
      </c>
      <c r="P172" s="4">
        <v>801.77</v>
      </c>
      <c r="Q172" s="7" t="str">
        <f t="shared" si="20"/>
        <v>High</v>
      </c>
      <c r="R172" s="4">
        <v>1218.92</v>
      </c>
      <c r="S172" s="4">
        <v>0.254</v>
      </c>
      <c r="T172" s="4">
        <v>16</v>
      </c>
      <c r="U172" s="4">
        <f t="shared" si="16"/>
        <v>18676.97536</v>
      </c>
      <c r="V172">
        <f t="shared" si="17"/>
        <v>12828.32</v>
      </c>
      <c r="W172" s="4">
        <f t="shared" si="21"/>
        <v>5848.6553600000007</v>
      </c>
      <c r="X172" s="4">
        <f t="shared" si="22"/>
        <v>0.31314788648947495</v>
      </c>
    </row>
    <row r="173" spans="1:24" x14ac:dyDescent="0.3">
      <c r="A173" t="s">
        <v>445</v>
      </c>
      <c r="B173" s="6">
        <v>45190</v>
      </c>
      <c r="C173" s="2">
        <v>45209</v>
      </c>
      <c r="D173" s="4">
        <f t="shared" si="23"/>
        <v>19</v>
      </c>
      <c r="E173" s="46" t="b">
        <f t="shared" si="18"/>
        <v>0</v>
      </c>
      <c r="F173" s="4" t="str">
        <f>TEXT(Data!B173,"MMM-YYYY")</f>
        <v>Feb-2023</v>
      </c>
      <c r="G173" s="4" t="str">
        <f t="shared" si="19"/>
        <v>Q3-2023</v>
      </c>
      <c r="H173" t="s">
        <v>45</v>
      </c>
      <c r="I173" t="s">
        <v>46</v>
      </c>
      <c r="J173" t="s">
        <v>214</v>
      </c>
      <c r="K173" t="s">
        <v>27</v>
      </c>
      <c r="L173" t="s">
        <v>28</v>
      </c>
      <c r="M173" t="s">
        <v>145</v>
      </c>
      <c r="N173" t="s">
        <v>22</v>
      </c>
      <c r="O173" t="s">
        <v>446</v>
      </c>
      <c r="P173" s="4">
        <v>845.63</v>
      </c>
      <c r="Q173" s="7" t="str">
        <f t="shared" si="20"/>
        <v>High</v>
      </c>
      <c r="R173" s="4">
        <v>2062.12</v>
      </c>
      <c r="S173" s="4">
        <v>0.13400000000000001</v>
      </c>
      <c r="T173" s="4">
        <v>5</v>
      </c>
      <c r="U173" s="4">
        <f t="shared" si="16"/>
        <v>3691.4982</v>
      </c>
      <c r="V173">
        <f t="shared" si="17"/>
        <v>4228.1499999999996</v>
      </c>
      <c r="W173" s="4">
        <f t="shared" si="21"/>
        <v>-536.65179999999964</v>
      </c>
      <c r="X173" s="4">
        <f t="shared" si="22"/>
        <v>-0.1453750674996942</v>
      </c>
    </row>
    <row r="174" spans="1:24" x14ac:dyDescent="0.3">
      <c r="A174" t="s">
        <v>447</v>
      </c>
      <c r="B174" s="6">
        <v>44981</v>
      </c>
      <c r="C174" s="2">
        <v>44994</v>
      </c>
      <c r="D174" s="4">
        <f t="shared" si="23"/>
        <v>13</v>
      </c>
      <c r="E174" s="46" t="b">
        <f t="shared" si="18"/>
        <v>0</v>
      </c>
      <c r="F174" s="4" t="str">
        <f>TEXT(Data!B174,"MMM-YYYY")</f>
        <v>May-2025</v>
      </c>
      <c r="G174" s="4" t="str">
        <f t="shared" si="19"/>
        <v>Q1-2023</v>
      </c>
      <c r="H174" t="s">
        <v>52</v>
      </c>
      <c r="I174" t="s">
        <v>122</v>
      </c>
      <c r="J174" t="s">
        <v>387</v>
      </c>
      <c r="K174" t="s">
        <v>105</v>
      </c>
      <c r="L174" t="s">
        <v>28</v>
      </c>
      <c r="M174" t="s">
        <v>110</v>
      </c>
      <c r="N174" t="s">
        <v>22</v>
      </c>
      <c r="O174" t="s">
        <v>448</v>
      </c>
      <c r="P174" s="4">
        <v>6.85</v>
      </c>
      <c r="Q174" s="7" t="str">
        <f t="shared" si="20"/>
        <v>Low</v>
      </c>
      <c r="R174" s="4">
        <v>10.18</v>
      </c>
      <c r="S174" s="4">
        <v>4.7E-2</v>
      </c>
      <c r="T174" s="4">
        <v>10</v>
      </c>
      <c r="U174" s="4">
        <f t="shared" si="16"/>
        <v>13964.213699999998</v>
      </c>
      <c r="V174">
        <f t="shared" si="17"/>
        <v>68.5</v>
      </c>
      <c r="W174" s="4">
        <f t="shared" si="21"/>
        <v>13895.713699999998</v>
      </c>
      <c r="X174" s="4">
        <f t="shared" si="22"/>
        <v>0.99509460385871928</v>
      </c>
    </row>
    <row r="175" spans="1:24" x14ac:dyDescent="0.3">
      <c r="A175" t="s">
        <v>449</v>
      </c>
      <c r="B175" s="6">
        <v>45798</v>
      </c>
      <c r="C175" s="2">
        <v>45796</v>
      </c>
      <c r="D175" s="4">
        <f>DATEDIF(C175,B175, "MD")</f>
        <v>2</v>
      </c>
      <c r="E175" s="46" t="str">
        <f t="shared" si="18"/>
        <v>Yes</v>
      </c>
      <c r="F175" s="4" t="str">
        <f>TEXT(Data!B175,"MMM-YYYY")</f>
        <v>May-2024</v>
      </c>
      <c r="G175" s="4" t="str">
        <f t="shared" si="19"/>
        <v>Q2-2025</v>
      </c>
      <c r="H175" t="s">
        <v>16</v>
      </c>
      <c r="I175" t="s">
        <v>148</v>
      </c>
      <c r="J175" t="s">
        <v>149</v>
      </c>
      <c r="K175" t="s">
        <v>39</v>
      </c>
      <c r="L175" t="s">
        <v>55</v>
      </c>
      <c r="M175" t="s">
        <v>68</v>
      </c>
      <c r="N175" t="s">
        <v>57</v>
      </c>
      <c r="O175" t="s">
        <v>450</v>
      </c>
      <c r="P175" s="4">
        <v>1263.8399999999999</v>
      </c>
      <c r="Q175" s="7" t="str">
        <f t="shared" si="20"/>
        <v>High</v>
      </c>
      <c r="R175" s="4">
        <v>2281.7199999999998</v>
      </c>
      <c r="S175" s="4">
        <v>7.8E-2</v>
      </c>
      <c r="T175" s="4">
        <v>15</v>
      </c>
      <c r="U175" s="4">
        <f t="shared" si="16"/>
        <v>36583.530899999998</v>
      </c>
      <c r="V175">
        <f t="shared" si="17"/>
        <v>18957.599999999999</v>
      </c>
      <c r="W175" s="4">
        <f t="shared" si="21"/>
        <v>17625.930899999999</v>
      </c>
      <c r="X175" s="4">
        <f t="shared" si="22"/>
        <v>0.48179960945213191</v>
      </c>
    </row>
    <row r="176" spans="1:24" x14ac:dyDescent="0.3">
      <c r="A176" t="s">
        <v>451</v>
      </c>
      <c r="B176" s="6">
        <v>45435</v>
      </c>
      <c r="C176" s="2">
        <v>45446</v>
      </c>
      <c r="D176" s="4">
        <f t="shared" si="23"/>
        <v>11</v>
      </c>
      <c r="E176" s="46" t="b">
        <f t="shared" si="18"/>
        <v>0</v>
      </c>
      <c r="F176" s="4" t="str">
        <f>TEXT(Data!B176,"MMM-YYYY")</f>
        <v>Apr-2025</v>
      </c>
      <c r="G176" s="4" t="str">
        <f t="shared" si="19"/>
        <v>Q2-2024</v>
      </c>
      <c r="H176" t="s">
        <v>16</v>
      </c>
      <c r="I176" t="s">
        <v>148</v>
      </c>
      <c r="J176" t="s">
        <v>149</v>
      </c>
      <c r="K176" t="s">
        <v>62</v>
      </c>
      <c r="L176" t="s">
        <v>55</v>
      </c>
      <c r="M176" t="s">
        <v>84</v>
      </c>
      <c r="N176" t="s">
        <v>30</v>
      </c>
      <c r="O176" t="s">
        <v>452</v>
      </c>
      <c r="P176" s="4">
        <v>180.89</v>
      </c>
      <c r="Q176" s="7" t="str">
        <f t="shared" si="20"/>
        <v>High</v>
      </c>
      <c r="R176" s="4">
        <v>249.57</v>
      </c>
      <c r="S176" s="4">
        <v>2.1999999999999999E-2</v>
      </c>
      <c r="T176" s="4">
        <v>8</v>
      </c>
      <c r="U176" s="4">
        <f t="shared" si="16"/>
        <v>6897.4036800000003</v>
      </c>
      <c r="V176">
        <f t="shared" si="17"/>
        <v>1447.12</v>
      </c>
      <c r="W176" s="4">
        <f t="shared" si="21"/>
        <v>5450.2836800000005</v>
      </c>
      <c r="X176" s="4">
        <f t="shared" si="22"/>
        <v>0.79019351815000627</v>
      </c>
    </row>
    <row r="177" spans="1:24" x14ac:dyDescent="0.3">
      <c r="A177" t="s">
        <v>453</v>
      </c>
      <c r="B177" s="6">
        <v>45761</v>
      </c>
      <c r="C177" s="2">
        <v>45781</v>
      </c>
      <c r="D177" s="4">
        <f t="shared" si="23"/>
        <v>20</v>
      </c>
      <c r="E177" s="46" t="b">
        <f t="shared" si="18"/>
        <v>0</v>
      </c>
      <c r="F177" s="4" t="str">
        <f>TEXT(Data!B177,"MMM-YYYY")</f>
        <v>Aug-2023</v>
      </c>
      <c r="G177" s="4" t="str">
        <f t="shared" si="19"/>
        <v>Q2-2025</v>
      </c>
      <c r="H177" t="s">
        <v>78</v>
      </c>
      <c r="I177" t="s">
        <v>108</v>
      </c>
      <c r="J177" t="s">
        <v>109</v>
      </c>
      <c r="K177" t="s">
        <v>105</v>
      </c>
      <c r="L177" t="s">
        <v>40</v>
      </c>
      <c r="M177" t="s">
        <v>95</v>
      </c>
      <c r="N177" t="s">
        <v>64</v>
      </c>
      <c r="O177" t="s">
        <v>454</v>
      </c>
      <c r="P177" s="4">
        <v>1413.87</v>
      </c>
      <c r="Q177" s="7" t="str">
        <f t="shared" si="20"/>
        <v>High</v>
      </c>
      <c r="R177" s="4">
        <v>3275</v>
      </c>
      <c r="S177" s="4">
        <v>0.255</v>
      </c>
      <c r="T177" s="4">
        <v>38</v>
      </c>
      <c r="U177" s="4">
        <f t="shared" si="16"/>
        <v>17694.882399999999</v>
      </c>
      <c r="V177">
        <f t="shared" si="17"/>
        <v>53727.06</v>
      </c>
      <c r="W177" s="4">
        <f t="shared" si="21"/>
        <v>-36032.177599999995</v>
      </c>
      <c r="X177" s="4">
        <f t="shared" si="22"/>
        <v>-2.0363050053387188</v>
      </c>
    </row>
    <row r="178" spans="1:24" x14ac:dyDescent="0.3">
      <c r="A178" t="s">
        <v>455</v>
      </c>
      <c r="B178" s="6">
        <v>45165</v>
      </c>
      <c r="C178" s="2">
        <v>45180</v>
      </c>
      <c r="D178" s="4">
        <f t="shared" si="23"/>
        <v>15</v>
      </c>
      <c r="E178" s="46" t="b">
        <f t="shared" si="18"/>
        <v>0</v>
      </c>
      <c r="F178" s="4" t="str">
        <f>TEXT(Data!B178,"MMM-YYYY")</f>
        <v>Feb-2024</v>
      </c>
      <c r="G178" s="4" t="str">
        <f t="shared" si="19"/>
        <v>Q3-2023</v>
      </c>
      <c r="H178" t="s">
        <v>78</v>
      </c>
      <c r="I178" t="s">
        <v>108</v>
      </c>
      <c r="J178" t="s">
        <v>152</v>
      </c>
      <c r="K178" t="s">
        <v>48</v>
      </c>
      <c r="L178" t="s">
        <v>40</v>
      </c>
      <c r="M178" t="s">
        <v>126</v>
      </c>
      <c r="N178" t="s">
        <v>30</v>
      </c>
      <c r="O178" t="s">
        <v>456</v>
      </c>
      <c r="P178" s="4">
        <v>943.79</v>
      </c>
      <c r="Q178" s="7" t="str">
        <f t="shared" si="20"/>
        <v>High</v>
      </c>
      <c r="R178" s="4">
        <v>1913.76</v>
      </c>
      <c r="S178" s="4">
        <v>9.0999999999999998E-2</v>
      </c>
      <c r="T178" s="4">
        <v>9</v>
      </c>
      <c r="U178" s="4">
        <f t="shared" si="16"/>
        <v>7960.4402400000008</v>
      </c>
      <c r="V178">
        <f t="shared" si="17"/>
        <v>8494.11</v>
      </c>
      <c r="W178" s="4">
        <f t="shared" si="21"/>
        <v>-533.66975999999977</v>
      </c>
      <c r="X178" s="4">
        <f t="shared" si="22"/>
        <v>-6.7040231935715122E-2</v>
      </c>
    </row>
    <row r="179" spans="1:24" x14ac:dyDescent="0.3">
      <c r="A179" t="s">
        <v>457</v>
      </c>
      <c r="B179" s="6">
        <v>45325</v>
      </c>
      <c r="C179" s="2">
        <v>45343</v>
      </c>
      <c r="D179" s="4">
        <f t="shared" si="23"/>
        <v>18</v>
      </c>
      <c r="E179" s="46" t="b">
        <f t="shared" si="18"/>
        <v>0</v>
      </c>
      <c r="F179" s="4" t="str">
        <f>TEXT(Data!B179,"MMM-YYYY")</f>
        <v>Apr-2023</v>
      </c>
      <c r="G179" s="4" t="str">
        <f t="shared" si="19"/>
        <v>Q1-2024</v>
      </c>
      <c r="H179" t="s">
        <v>78</v>
      </c>
      <c r="I179" t="s">
        <v>79</v>
      </c>
      <c r="J179" t="s">
        <v>335</v>
      </c>
      <c r="K179" t="s">
        <v>19</v>
      </c>
      <c r="L179" t="s">
        <v>20</v>
      </c>
      <c r="M179" t="s">
        <v>92</v>
      </c>
      <c r="N179" t="s">
        <v>22</v>
      </c>
      <c r="O179" t="s">
        <v>458</v>
      </c>
      <c r="P179" s="4">
        <v>39.229999999999997</v>
      </c>
      <c r="Q179" s="7" t="str">
        <f t="shared" si="20"/>
        <v>Low</v>
      </c>
      <c r="R179" s="4">
        <v>30.09</v>
      </c>
      <c r="S179" s="4">
        <v>0.17699999999999999</v>
      </c>
      <c r="T179" s="4">
        <v>13</v>
      </c>
      <c r="U179" s="4">
        <f t="shared" si="16"/>
        <v>16533.592659999998</v>
      </c>
      <c r="V179">
        <f t="shared" si="17"/>
        <v>509.98999999999995</v>
      </c>
      <c r="W179" s="4">
        <f t="shared" si="21"/>
        <v>16023.602659999999</v>
      </c>
      <c r="X179" s="4">
        <f t="shared" si="22"/>
        <v>0.96915431446222655</v>
      </c>
    </row>
    <row r="180" spans="1:24" x14ac:dyDescent="0.3">
      <c r="A180" t="s">
        <v>459</v>
      </c>
      <c r="B180" s="6">
        <v>45021</v>
      </c>
      <c r="C180" s="2">
        <v>45032</v>
      </c>
      <c r="D180" s="4">
        <f t="shared" si="23"/>
        <v>11</v>
      </c>
      <c r="E180" s="46" t="b">
        <f t="shared" si="18"/>
        <v>0</v>
      </c>
      <c r="F180" s="4" t="str">
        <f>TEXT(Data!B180,"MMM-YYYY")</f>
        <v>Aug-2025</v>
      </c>
      <c r="G180" s="4" t="str">
        <f t="shared" si="19"/>
        <v>Q2-2023</v>
      </c>
      <c r="H180" t="s">
        <v>52</v>
      </c>
      <c r="I180" t="s">
        <v>53</v>
      </c>
      <c r="J180" t="s">
        <v>179</v>
      </c>
      <c r="K180" t="s">
        <v>39</v>
      </c>
      <c r="L180" t="s">
        <v>28</v>
      </c>
      <c r="M180" t="s">
        <v>68</v>
      </c>
      <c r="N180" t="s">
        <v>64</v>
      </c>
      <c r="O180" t="s">
        <v>460</v>
      </c>
      <c r="P180" s="4">
        <v>213.1</v>
      </c>
      <c r="Q180" s="7" t="str">
        <f t="shared" si="20"/>
        <v>High</v>
      </c>
      <c r="R180" s="4">
        <v>501.31</v>
      </c>
      <c r="S180" s="4">
        <v>5.6000000000000001E-2</v>
      </c>
      <c r="T180" s="4">
        <v>15</v>
      </c>
      <c r="U180" s="4">
        <f t="shared" si="16"/>
        <v>31908.427200000002</v>
      </c>
      <c r="V180">
        <f t="shared" si="17"/>
        <v>3196.5</v>
      </c>
      <c r="W180" s="4">
        <f t="shared" si="21"/>
        <v>28711.927200000002</v>
      </c>
      <c r="X180" s="4">
        <f t="shared" si="22"/>
        <v>0.89982270263700115</v>
      </c>
    </row>
    <row r="181" spans="1:24" x14ac:dyDescent="0.3">
      <c r="A181" t="s">
        <v>461</v>
      </c>
      <c r="B181" s="6">
        <v>45890</v>
      </c>
      <c r="C181" s="2">
        <v>45912</v>
      </c>
      <c r="D181" s="4">
        <f t="shared" si="23"/>
        <v>22</v>
      </c>
      <c r="E181" s="46" t="b">
        <f t="shared" si="18"/>
        <v>0</v>
      </c>
      <c r="F181" s="4" t="str">
        <f>TEXT(Data!B181,"MMM-YYYY")</f>
        <v>Sep-2025</v>
      </c>
      <c r="G181" s="4" t="str">
        <f t="shared" si="19"/>
        <v>Q3-2025</v>
      </c>
      <c r="H181" t="s">
        <v>45</v>
      </c>
      <c r="I181" t="s">
        <v>116</v>
      </c>
      <c r="J181" t="s">
        <v>117</v>
      </c>
      <c r="K181" t="s">
        <v>27</v>
      </c>
      <c r="L181" t="s">
        <v>20</v>
      </c>
      <c r="M181" t="s">
        <v>56</v>
      </c>
      <c r="N181" t="s">
        <v>30</v>
      </c>
      <c r="O181" t="s">
        <v>462</v>
      </c>
      <c r="P181" s="4">
        <v>352.66</v>
      </c>
      <c r="Q181" s="7" t="str">
        <f t="shared" si="20"/>
        <v>High</v>
      </c>
      <c r="R181" s="4">
        <v>411.18</v>
      </c>
      <c r="S181" s="4">
        <v>0.17299999999999999</v>
      </c>
      <c r="T181" s="4">
        <v>13</v>
      </c>
      <c r="U181" s="4">
        <f t="shared" si="16"/>
        <v>26302.966559999997</v>
      </c>
      <c r="V181">
        <f t="shared" si="17"/>
        <v>4584.58</v>
      </c>
      <c r="W181" s="4">
        <f t="shared" si="21"/>
        <v>21718.386559999999</v>
      </c>
      <c r="X181" s="4">
        <f t="shared" si="22"/>
        <v>0.82570102921501043</v>
      </c>
    </row>
    <row r="182" spans="1:24" x14ac:dyDescent="0.3">
      <c r="A182" t="s">
        <v>463</v>
      </c>
      <c r="B182" s="6">
        <v>45915</v>
      </c>
      <c r="C182" s="2">
        <v>45918</v>
      </c>
      <c r="D182" s="4">
        <f t="shared" si="23"/>
        <v>3</v>
      </c>
      <c r="E182" s="46" t="str">
        <f t="shared" si="18"/>
        <v>Yes</v>
      </c>
      <c r="F182" s="4" t="str">
        <f>TEXT(Data!B182,"MMM-YYYY")</f>
        <v>Oct-2024</v>
      </c>
      <c r="G182" s="4" t="str">
        <f t="shared" si="19"/>
        <v>Q3-2025</v>
      </c>
      <c r="H182" t="s">
        <v>52</v>
      </c>
      <c r="I182" t="s">
        <v>73</v>
      </c>
      <c r="J182" t="s">
        <v>225</v>
      </c>
      <c r="K182" t="s">
        <v>39</v>
      </c>
      <c r="L182" t="s">
        <v>98</v>
      </c>
      <c r="M182" t="s">
        <v>49</v>
      </c>
      <c r="N182" t="s">
        <v>81</v>
      </c>
      <c r="O182" t="s">
        <v>464</v>
      </c>
      <c r="P182" s="4">
        <v>5.5</v>
      </c>
      <c r="Q182" s="7" t="str">
        <f t="shared" si="20"/>
        <v>Low</v>
      </c>
      <c r="R182" s="4">
        <v>5.92</v>
      </c>
      <c r="S182" s="4">
        <v>0.21199999999999999</v>
      </c>
      <c r="T182" s="4">
        <v>4</v>
      </c>
      <c r="U182" s="4">
        <f t="shared" si="16"/>
        <v>593.52160000000003</v>
      </c>
      <c r="V182">
        <f t="shared" si="17"/>
        <v>22</v>
      </c>
      <c r="W182" s="4">
        <f t="shared" si="21"/>
        <v>571.52160000000003</v>
      </c>
      <c r="X182" s="4">
        <f t="shared" si="22"/>
        <v>0.96293310976382329</v>
      </c>
    </row>
    <row r="183" spans="1:24" x14ac:dyDescent="0.3">
      <c r="A183" t="s">
        <v>465</v>
      </c>
      <c r="B183" s="6">
        <v>45568</v>
      </c>
      <c r="C183" s="2">
        <v>45576</v>
      </c>
      <c r="D183" s="4">
        <f t="shared" si="23"/>
        <v>8</v>
      </c>
      <c r="E183" s="46" t="b">
        <f t="shared" si="18"/>
        <v>0</v>
      </c>
      <c r="F183" s="4" t="str">
        <f>TEXT(Data!B183,"MMM-YYYY")</f>
        <v>Feb-2025</v>
      </c>
      <c r="G183" s="4" t="str">
        <f t="shared" si="19"/>
        <v>Q4-2024</v>
      </c>
      <c r="H183" t="s">
        <v>45</v>
      </c>
      <c r="I183" t="s">
        <v>116</v>
      </c>
      <c r="J183" t="s">
        <v>338</v>
      </c>
      <c r="K183" t="s">
        <v>105</v>
      </c>
      <c r="L183" t="s">
        <v>98</v>
      </c>
      <c r="M183" t="s">
        <v>56</v>
      </c>
      <c r="N183" t="s">
        <v>42</v>
      </c>
      <c r="O183" t="s">
        <v>466</v>
      </c>
      <c r="P183" s="4">
        <v>1132.6099999999999</v>
      </c>
      <c r="Q183" s="7" t="str">
        <f t="shared" si="20"/>
        <v>High</v>
      </c>
      <c r="R183" s="4">
        <v>2206.63</v>
      </c>
      <c r="S183" s="4">
        <v>6.3E-2</v>
      </c>
      <c r="T183" s="4">
        <v>20</v>
      </c>
      <c r="U183" s="4">
        <f t="shared" si="16"/>
        <v>48027.621600000006</v>
      </c>
      <c r="V183">
        <f t="shared" si="17"/>
        <v>22652.199999999997</v>
      </c>
      <c r="W183" s="4">
        <f t="shared" si="21"/>
        <v>25375.421600000009</v>
      </c>
      <c r="X183" s="4">
        <f t="shared" si="22"/>
        <v>0.52835057732694402</v>
      </c>
    </row>
    <row r="184" spans="1:24" x14ac:dyDescent="0.3">
      <c r="A184" t="s">
        <v>467</v>
      </c>
      <c r="B184" s="6">
        <v>45690</v>
      </c>
      <c r="C184" s="2">
        <v>45720</v>
      </c>
      <c r="D184" s="4">
        <f t="shared" si="23"/>
        <v>2</v>
      </c>
      <c r="E184" s="46" t="str">
        <f t="shared" si="18"/>
        <v>Yes</v>
      </c>
      <c r="F184" s="4" t="str">
        <f>TEXT(Data!B184,"MMM-YYYY")</f>
        <v>Aug-2023</v>
      </c>
      <c r="G184" s="4" t="str">
        <f t="shared" si="19"/>
        <v>Q1-2025</v>
      </c>
      <c r="H184" t="s">
        <v>45</v>
      </c>
      <c r="I184" t="s">
        <v>46</v>
      </c>
      <c r="J184" t="s">
        <v>47</v>
      </c>
      <c r="K184" t="s">
        <v>27</v>
      </c>
      <c r="L184" t="s">
        <v>55</v>
      </c>
      <c r="M184" t="s">
        <v>49</v>
      </c>
      <c r="N184" t="s">
        <v>81</v>
      </c>
      <c r="O184" t="s">
        <v>468</v>
      </c>
      <c r="P184" s="4">
        <v>766.59</v>
      </c>
      <c r="Q184" s="7" t="str">
        <f t="shared" si="20"/>
        <v>High</v>
      </c>
      <c r="R184" s="4">
        <v>1912.8</v>
      </c>
      <c r="S184" s="4">
        <v>0.19600000000000001</v>
      </c>
      <c r="T184" s="4">
        <v>5</v>
      </c>
      <c r="U184" s="4">
        <f t="shared" si="16"/>
        <v>7256.5421999999999</v>
      </c>
      <c r="V184">
        <f t="shared" si="17"/>
        <v>3832.9500000000003</v>
      </c>
      <c r="W184" s="4">
        <f t="shared" si="21"/>
        <v>3423.5921999999996</v>
      </c>
      <c r="X184" s="4">
        <f t="shared" si="22"/>
        <v>0.47179388001078526</v>
      </c>
    </row>
    <row r="185" spans="1:24" x14ac:dyDescent="0.3">
      <c r="A185" t="s">
        <v>469</v>
      </c>
      <c r="B185" s="6">
        <v>45157</v>
      </c>
      <c r="C185" s="2">
        <v>45161</v>
      </c>
      <c r="D185" s="4">
        <f t="shared" si="23"/>
        <v>4</v>
      </c>
      <c r="E185" s="46" t="str">
        <f t="shared" si="18"/>
        <v>Yes</v>
      </c>
      <c r="F185" s="4" t="str">
        <f>TEXT(Data!B185,"MMM-YYYY")</f>
        <v>Oct-2024</v>
      </c>
      <c r="G185" s="4" t="str">
        <f t="shared" si="19"/>
        <v>Q3-2023</v>
      </c>
      <c r="H185" t="s">
        <v>16</v>
      </c>
      <c r="I185" t="s">
        <v>25</v>
      </c>
      <c r="J185" t="s">
        <v>67</v>
      </c>
      <c r="K185" t="s">
        <v>62</v>
      </c>
      <c r="L185" t="s">
        <v>28</v>
      </c>
      <c r="M185" t="s">
        <v>29</v>
      </c>
      <c r="N185" t="s">
        <v>64</v>
      </c>
      <c r="O185" t="s">
        <v>470</v>
      </c>
      <c r="P185" s="4">
        <v>790.63</v>
      </c>
      <c r="Q185" s="7" t="str">
        <f t="shared" si="20"/>
        <v>High</v>
      </c>
      <c r="R185" s="4">
        <v>1382.31</v>
      </c>
      <c r="S185" s="4">
        <v>0.10100000000000001</v>
      </c>
      <c r="T185" s="4">
        <v>7</v>
      </c>
      <c r="U185" s="4">
        <f t="shared" si="16"/>
        <v>12999.63889</v>
      </c>
      <c r="V185">
        <f t="shared" si="17"/>
        <v>5534.41</v>
      </c>
      <c r="W185" s="4">
        <f t="shared" si="21"/>
        <v>7465.2288900000003</v>
      </c>
      <c r="X185" s="4">
        <f t="shared" si="22"/>
        <v>0.57426432789164961</v>
      </c>
    </row>
    <row r="186" spans="1:24" x14ac:dyDescent="0.3">
      <c r="A186" t="s">
        <v>471</v>
      </c>
      <c r="B186" s="6">
        <v>45587</v>
      </c>
      <c r="C186" s="2">
        <v>45594</v>
      </c>
      <c r="D186" s="4">
        <f t="shared" si="23"/>
        <v>7</v>
      </c>
      <c r="E186" s="46" t="str">
        <f t="shared" si="18"/>
        <v>Yes</v>
      </c>
      <c r="F186" s="4" t="str">
        <f>TEXT(Data!B186,"MMM-YYYY")</f>
        <v>Jun-2023</v>
      </c>
      <c r="G186" s="4" t="str">
        <f t="shared" si="19"/>
        <v>Q4-2024</v>
      </c>
      <c r="H186" t="s">
        <v>16</v>
      </c>
      <c r="I186" t="s">
        <v>25</v>
      </c>
      <c r="J186" t="s">
        <v>26</v>
      </c>
      <c r="K186" t="s">
        <v>105</v>
      </c>
      <c r="L186" t="s">
        <v>55</v>
      </c>
      <c r="M186" t="s">
        <v>110</v>
      </c>
      <c r="N186" t="s">
        <v>64</v>
      </c>
      <c r="O186" t="s">
        <v>472</v>
      </c>
      <c r="P186" s="4">
        <v>1023.06</v>
      </c>
      <c r="Q186" s="7" t="str">
        <f t="shared" si="20"/>
        <v>High</v>
      </c>
      <c r="R186" s="4">
        <v>1355.61</v>
      </c>
      <c r="S186" s="4">
        <v>0.153</v>
      </c>
      <c r="T186" s="4">
        <v>23</v>
      </c>
      <c r="U186" s="4">
        <f t="shared" si="16"/>
        <v>46101.981310000003</v>
      </c>
      <c r="V186">
        <f t="shared" si="17"/>
        <v>23530.379999999997</v>
      </c>
      <c r="W186" s="4">
        <f t="shared" si="21"/>
        <v>22571.601310000005</v>
      </c>
      <c r="X186" s="4">
        <f t="shared" si="22"/>
        <v>0.4896015457171683</v>
      </c>
    </row>
    <row r="187" spans="1:24" x14ac:dyDescent="0.3">
      <c r="A187" t="s">
        <v>473</v>
      </c>
      <c r="B187" s="6">
        <v>45099</v>
      </c>
      <c r="C187" s="2">
        <v>45128</v>
      </c>
      <c r="D187" s="4">
        <f t="shared" si="23"/>
        <v>29</v>
      </c>
      <c r="E187" s="46" t="b">
        <f t="shared" si="18"/>
        <v>0</v>
      </c>
      <c r="F187" s="4" t="str">
        <f>TEXT(Data!B187,"MMM-YYYY")</f>
        <v>Jan-2025</v>
      </c>
      <c r="G187" s="4" t="str">
        <f t="shared" si="19"/>
        <v>Q2-2023</v>
      </c>
      <c r="H187" t="s">
        <v>78</v>
      </c>
      <c r="I187" t="s">
        <v>90</v>
      </c>
      <c r="J187" t="s">
        <v>138</v>
      </c>
      <c r="K187" t="s">
        <v>19</v>
      </c>
      <c r="L187" t="s">
        <v>20</v>
      </c>
      <c r="M187" t="s">
        <v>29</v>
      </c>
      <c r="N187" t="s">
        <v>81</v>
      </c>
      <c r="O187" t="s">
        <v>474</v>
      </c>
      <c r="P187" s="4">
        <v>734.34</v>
      </c>
      <c r="Q187" s="7" t="str">
        <f t="shared" si="20"/>
        <v>High</v>
      </c>
      <c r="R187" s="4">
        <v>887.9</v>
      </c>
      <c r="S187" s="4">
        <v>2.5000000000000001E-2</v>
      </c>
      <c r="T187" s="4">
        <v>12</v>
      </c>
      <c r="U187" s="4">
        <f t="shared" si="16"/>
        <v>1541.5919999999999</v>
      </c>
      <c r="V187">
        <f t="shared" si="17"/>
        <v>8812.08</v>
      </c>
      <c r="W187" s="4">
        <f t="shared" si="21"/>
        <v>-7270.4880000000003</v>
      </c>
      <c r="X187" s="4">
        <f t="shared" si="22"/>
        <v>-4.7162206342534221</v>
      </c>
    </row>
    <row r="188" spans="1:24" x14ac:dyDescent="0.3">
      <c r="A188" t="s">
        <v>475</v>
      </c>
      <c r="B188" s="6">
        <v>45670</v>
      </c>
      <c r="C188" s="2">
        <v>45696</v>
      </c>
      <c r="D188" s="4">
        <f t="shared" si="23"/>
        <v>26</v>
      </c>
      <c r="E188" s="46" t="b">
        <f t="shared" si="18"/>
        <v>0</v>
      </c>
      <c r="F188" s="4" t="str">
        <f>TEXT(Data!B188,"MMM-YYYY")</f>
        <v>Jan-2023</v>
      </c>
      <c r="G188" s="4" t="str">
        <f t="shared" si="19"/>
        <v>Q1-2025</v>
      </c>
      <c r="H188" t="s">
        <v>78</v>
      </c>
      <c r="I188" t="s">
        <v>90</v>
      </c>
      <c r="J188" t="s">
        <v>217</v>
      </c>
      <c r="K188" t="s">
        <v>39</v>
      </c>
      <c r="L188" t="s">
        <v>1364</v>
      </c>
      <c r="M188" t="s">
        <v>63</v>
      </c>
      <c r="N188" t="s">
        <v>64</v>
      </c>
      <c r="O188" t="s">
        <v>476</v>
      </c>
      <c r="P188" s="4">
        <v>594.74</v>
      </c>
      <c r="Q188" s="7" t="str">
        <f t="shared" si="20"/>
        <v>High</v>
      </c>
      <c r="R188" s="4">
        <v>1020.69</v>
      </c>
      <c r="S188" s="4">
        <v>0.21099999999999999</v>
      </c>
      <c r="T188" s="4">
        <v>6</v>
      </c>
      <c r="U188" s="4">
        <f t="shared" si="16"/>
        <v>6319.9846800000005</v>
      </c>
      <c r="V188">
        <f t="shared" si="17"/>
        <v>3568.44</v>
      </c>
      <c r="W188" s="4">
        <f t="shared" si="21"/>
        <v>2751.5446800000004</v>
      </c>
      <c r="X188" s="4">
        <f t="shared" si="22"/>
        <v>0.43537204903477711</v>
      </c>
    </row>
    <row r="189" spans="1:24" x14ac:dyDescent="0.3">
      <c r="A189" t="s">
        <v>360</v>
      </c>
      <c r="B189" s="6">
        <v>44955</v>
      </c>
      <c r="C189" s="2">
        <v>44985</v>
      </c>
      <c r="D189" s="4">
        <f t="shared" si="23"/>
        <v>30</v>
      </c>
      <c r="E189" s="46" t="b">
        <f t="shared" si="18"/>
        <v>0</v>
      </c>
      <c r="F189" s="4" t="str">
        <f>TEXT(Data!B189,"MMM-YYYY")</f>
        <v>Jul-2023</v>
      </c>
      <c r="G189" s="4" t="str">
        <f t="shared" si="19"/>
        <v>Q1-2023</v>
      </c>
      <c r="H189" t="s">
        <v>45</v>
      </c>
      <c r="I189" t="s">
        <v>60</v>
      </c>
      <c r="J189" t="s">
        <v>61</v>
      </c>
      <c r="K189" t="s">
        <v>39</v>
      </c>
      <c r="L189" t="s">
        <v>20</v>
      </c>
      <c r="M189" t="s">
        <v>56</v>
      </c>
      <c r="N189" t="s">
        <v>81</v>
      </c>
      <c r="O189" t="s">
        <v>477</v>
      </c>
      <c r="P189" s="4">
        <v>1262.0999999999999</v>
      </c>
      <c r="Q189" s="7" t="str">
        <f t="shared" si="20"/>
        <v>High</v>
      </c>
      <c r="R189" s="4">
        <v>1395.53</v>
      </c>
      <c r="S189" s="4">
        <v>0.23300000000000001</v>
      </c>
      <c r="T189" s="4">
        <v>25</v>
      </c>
      <c r="U189" s="4">
        <f t="shared" si="16"/>
        <v>51608.553749999999</v>
      </c>
      <c r="V189">
        <f t="shared" si="17"/>
        <v>31552.499999999996</v>
      </c>
      <c r="W189" s="4">
        <f t="shared" si="21"/>
        <v>20056.053750000003</v>
      </c>
      <c r="X189" s="4">
        <f t="shared" si="22"/>
        <v>0.38861879073679723</v>
      </c>
    </row>
    <row r="190" spans="1:24" x14ac:dyDescent="0.3">
      <c r="A190" t="s">
        <v>478</v>
      </c>
      <c r="B190" s="6">
        <v>45126</v>
      </c>
      <c r="C190" s="2">
        <v>45138</v>
      </c>
      <c r="D190" s="4">
        <f t="shared" si="23"/>
        <v>12</v>
      </c>
      <c r="E190" s="46" t="b">
        <f t="shared" si="18"/>
        <v>0</v>
      </c>
      <c r="F190" s="4" t="str">
        <f>TEXT(Data!B190,"MMM-YYYY")</f>
        <v>May-2024</v>
      </c>
      <c r="G190" s="4" t="str">
        <f t="shared" si="19"/>
        <v>Q3-2023</v>
      </c>
      <c r="H190" t="s">
        <v>52</v>
      </c>
      <c r="I190" t="s">
        <v>73</v>
      </c>
      <c r="J190" t="s">
        <v>225</v>
      </c>
      <c r="K190" t="s">
        <v>19</v>
      </c>
      <c r="L190" t="s">
        <v>20</v>
      </c>
      <c r="M190" t="s">
        <v>21</v>
      </c>
      <c r="N190" t="s">
        <v>64</v>
      </c>
      <c r="O190" t="s">
        <v>479</v>
      </c>
      <c r="P190" s="4">
        <v>1334.64</v>
      </c>
      <c r="Q190" s="7" t="str">
        <f t="shared" si="20"/>
        <v>High</v>
      </c>
      <c r="R190" s="4">
        <v>2273.42</v>
      </c>
      <c r="S190" s="4">
        <v>0.11799999999999999</v>
      </c>
      <c r="T190" s="4">
        <v>14</v>
      </c>
      <c r="U190" s="4">
        <f t="shared" si="16"/>
        <v>9587.7280800000008</v>
      </c>
      <c r="V190">
        <f t="shared" si="17"/>
        <v>18684.960000000003</v>
      </c>
      <c r="W190" s="4">
        <f t="shared" si="21"/>
        <v>-9097.231920000002</v>
      </c>
      <c r="X190" s="4">
        <f t="shared" si="22"/>
        <v>-0.94884125249409468</v>
      </c>
    </row>
    <row r="191" spans="1:24" x14ac:dyDescent="0.3">
      <c r="A191" t="s">
        <v>480</v>
      </c>
      <c r="B191" s="6">
        <v>45431</v>
      </c>
      <c r="C191" s="2">
        <v>45451</v>
      </c>
      <c r="D191" s="4">
        <f t="shared" si="23"/>
        <v>20</v>
      </c>
      <c r="E191" s="46" t="b">
        <f t="shared" si="18"/>
        <v>0</v>
      </c>
      <c r="F191" s="4" t="str">
        <f>TEXT(Data!B191,"MMM-YYYY")</f>
        <v>Feb-2024</v>
      </c>
      <c r="G191" s="4" t="str">
        <f t="shared" si="19"/>
        <v>Q2-2024</v>
      </c>
      <c r="H191" t="s">
        <v>52</v>
      </c>
      <c r="I191" t="s">
        <v>73</v>
      </c>
      <c r="J191" t="s">
        <v>87</v>
      </c>
      <c r="K191" t="s">
        <v>62</v>
      </c>
      <c r="L191" t="s">
        <v>20</v>
      </c>
      <c r="M191" t="s">
        <v>63</v>
      </c>
      <c r="N191" t="s">
        <v>64</v>
      </c>
      <c r="O191" t="s">
        <v>481</v>
      </c>
      <c r="P191" s="4">
        <v>1075.9000000000001</v>
      </c>
      <c r="Q191" s="7" t="str">
        <f t="shared" si="20"/>
        <v>High</v>
      </c>
      <c r="R191" s="4">
        <v>1242.1500000000001</v>
      </c>
      <c r="S191" s="4">
        <v>1.2E-2</v>
      </c>
      <c r="T191" s="4">
        <v>7</v>
      </c>
      <c r="U191" s="4">
        <f t="shared" si="16"/>
        <v>2200.4637200000002</v>
      </c>
      <c r="V191">
        <f t="shared" si="17"/>
        <v>7531.3000000000011</v>
      </c>
      <c r="W191" s="4">
        <f t="shared" si="21"/>
        <v>-5330.8362800000014</v>
      </c>
      <c r="X191" s="4">
        <f t="shared" si="22"/>
        <v>-2.4225967606500691</v>
      </c>
    </row>
    <row r="192" spans="1:24" x14ac:dyDescent="0.3">
      <c r="A192" t="s">
        <v>482</v>
      </c>
      <c r="B192" s="6">
        <v>45325</v>
      </c>
      <c r="C192" s="2">
        <v>45341</v>
      </c>
      <c r="D192" s="4">
        <f t="shared" si="23"/>
        <v>16</v>
      </c>
      <c r="E192" s="46" t="b">
        <f t="shared" si="18"/>
        <v>0</v>
      </c>
      <c r="F192" s="4" t="str">
        <f>TEXT(Data!B192,"MMM-YYYY")</f>
        <v>Aug-2023</v>
      </c>
      <c r="G192" s="4" t="str">
        <f t="shared" si="19"/>
        <v>Q1-2024</v>
      </c>
      <c r="H192" t="s">
        <v>45</v>
      </c>
      <c r="I192" t="s">
        <v>116</v>
      </c>
      <c r="J192" t="s">
        <v>117</v>
      </c>
      <c r="K192" t="s">
        <v>62</v>
      </c>
      <c r="L192" t="s">
        <v>28</v>
      </c>
      <c r="M192" t="s">
        <v>92</v>
      </c>
      <c r="N192" t="s">
        <v>57</v>
      </c>
      <c r="O192" t="s">
        <v>483</v>
      </c>
      <c r="P192" s="4">
        <v>993.75</v>
      </c>
      <c r="Q192" s="7" t="str">
        <f t="shared" si="20"/>
        <v>High</v>
      </c>
      <c r="R192" s="4">
        <v>1310.29</v>
      </c>
      <c r="S192" s="4">
        <v>0.215</v>
      </c>
      <c r="T192" s="4">
        <v>19</v>
      </c>
      <c r="U192" s="4">
        <f t="shared" si="16"/>
        <v>18590.205150000002</v>
      </c>
      <c r="V192">
        <f t="shared" si="17"/>
        <v>18881.25</v>
      </c>
      <c r="W192" s="4">
        <f t="shared" si="21"/>
        <v>-291.04484999999841</v>
      </c>
      <c r="X192" s="4">
        <f t="shared" si="22"/>
        <v>-1.5655817009636301E-2</v>
      </c>
    </row>
    <row r="193" spans="1:24" x14ac:dyDescent="0.3">
      <c r="A193" t="s">
        <v>484</v>
      </c>
      <c r="B193" s="6">
        <v>45146</v>
      </c>
      <c r="C193" s="2">
        <v>45160</v>
      </c>
      <c r="D193" s="4">
        <f t="shared" si="23"/>
        <v>14</v>
      </c>
      <c r="E193" s="46" t="b">
        <f t="shared" si="18"/>
        <v>0</v>
      </c>
      <c r="F193" s="4" t="str">
        <f>TEXT(Data!B193,"MMM-YYYY")</f>
        <v>Aug-2024</v>
      </c>
      <c r="G193" s="4" t="str">
        <f t="shared" si="19"/>
        <v>Q3-2023</v>
      </c>
      <c r="H193" t="s">
        <v>78</v>
      </c>
      <c r="I193" t="s">
        <v>108</v>
      </c>
      <c r="J193" t="s">
        <v>109</v>
      </c>
      <c r="K193" t="s">
        <v>39</v>
      </c>
      <c r="L193" t="s">
        <v>98</v>
      </c>
      <c r="M193" t="s">
        <v>126</v>
      </c>
      <c r="N193" t="s">
        <v>64</v>
      </c>
      <c r="O193" t="s">
        <v>485</v>
      </c>
      <c r="P193" s="4">
        <v>446.69</v>
      </c>
      <c r="Q193" s="7" t="str">
        <f t="shared" si="20"/>
        <v>High</v>
      </c>
      <c r="R193" s="4">
        <v>967.25</v>
      </c>
      <c r="S193" s="4">
        <v>9.4E-2</v>
      </c>
      <c r="T193" s="4">
        <v>10</v>
      </c>
      <c r="U193" s="4">
        <f t="shared" si="16"/>
        <v>3143.4576000000002</v>
      </c>
      <c r="V193">
        <f t="shared" si="17"/>
        <v>4466.8999999999996</v>
      </c>
      <c r="W193" s="4">
        <f t="shared" si="21"/>
        <v>-1323.4423999999995</v>
      </c>
      <c r="X193" s="4">
        <f t="shared" si="22"/>
        <v>-0.42101487228585471</v>
      </c>
    </row>
    <row r="194" spans="1:24" x14ac:dyDescent="0.3">
      <c r="A194" t="s">
        <v>486</v>
      </c>
      <c r="B194" s="6">
        <v>45516</v>
      </c>
      <c r="C194" s="2">
        <v>45538</v>
      </c>
      <c r="D194" s="4">
        <f t="shared" si="23"/>
        <v>22</v>
      </c>
      <c r="E194" s="46" t="b">
        <f t="shared" si="18"/>
        <v>0</v>
      </c>
      <c r="F194" s="4" t="str">
        <f>TEXT(Data!B194,"MMM-YYYY")</f>
        <v>Oct-2023</v>
      </c>
      <c r="G194" s="4" t="str">
        <f t="shared" si="19"/>
        <v>Q3-2024</v>
      </c>
      <c r="H194" t="s">
        <v>52</v>
      </c>
      <c r="I194" t="s">
        <v>122</v>
      </c>
      <c r="J194" t="s">
        <v>326</v>
      </c>
      <c r="K194" t="s">
        <v>48</v>
      </c>
      <c r="L194" t="s">
        <v>55</v>
      </c>
      <c r="M194" t="s">
        <v>34</v>
      </c>
      <c r="N194" t="s">
        <v>57</v>
      </c>
      <c r="O194" t="s">
        <v>487</v>
      </c>
      <c r="P194" s="4">
        <v>797.8</v>
      </c>
      <c r="Q194" s="7" t="str">
        <f t="shared" si="20"/>
        <v>High</v>
      </c>
      <c r="R194" s="4">
        <v>886.22</v>
      </c>
      <c r="S194" s="4">
        <v>0.23599999999999999</v>
      </c>
      <c r="T194" s="4">
        <v>36</v>
      </c>
      <c r="U194" s="4">
        <f t="shared" ref="U194:U257" si="24">(R220*T194)*(1-S194)</f>
        <v>13882.919040000001</v>
      </c>
      <c r="V194">
        <f t="shared" ref="V194:V257" si="25">(P194*T194)</f>
        <v>28720.799999999999</v>
      </c>
      <c r="W194" s="4">
        <f t="shared" si="21"/>
        <v>-14837.880959999999</v>
      </c>
      <c r="X194" s="4">
        <f t="shared" si="22"/>
        <v>-1.06878682482038</v>
      </c>
    </row>
    <row r="195" spans="1:24" x14ac:dyDescent="0.3">
      <c r="A195" t="s">
        <v>488</v>
      </c>
      <c r="B195" s="6">
        <v>45214</v>
      </c>
      <c r="C195" s="2">
        <v>45243</v>
      </c>
      <c r="D195" s="4">
        <f t="shared" si="23"/>
        <v>29</v>
      </c>
      <c r="E195" s="46" t="b">
        <f t="shared" ref="E195:E258" si="26">IF(D195&lt;=7, "Yes")</f>
        <v>0</v>
      </c>
      <c r="F195" s="4" t="str">
        <f>TEXT(Data!B195,"MMM-YYYY")</f>
        <v>May-2023</v>
      </c>
      <c r="G195" s="4" t="str">
        <f t="shared" ref="G195:G258" si="27">"Q"&amp;ROUNDUP(MONTH(B195)/3,0)&amp;"-"&amp;YEAR(B195)</f>
        <v>Q4-2023</v>
      </c>
      <c r="H195" t="s">
        <v>45</v>
      </c>
      <c r="I195" t="s">
        <v>116</v>
      </c>
      <c r="J195" t="s">
        <v>117</v>
      </c>
      <c r="K195" t="s">
        <v>39</v>
      </c>
      <c r="L195" t="s">
        <v>55</v>
      </c>
      <c r="M195" t="s">
        <v>29</v>
      </c>
      <c r="N195" t="s">
        <v>30</v>
      </c>
      <c r="O195" t="s">
        <v>489</v>
      </c>
      <c r="P195" s="4">
        <v>986.44</v>
      </c>
      <c r="Q195" s="7" t="str">
        <f t="shared" ref="Q195:Q258" si="28">IF(R195&lt;50, "Low", IF(R195&lt;200, "Medium", "High"))</f>
        <v>High</v>
      </c>
      <c r="R195" s="4">
        <v>790.61</v>
      </c>
      <c r="S195" s="4">
        <v>7.1999999999999995E-2</v>
      </c>
      <c r="T195" s="4">
        <v>6</v>
      </c>
      <c r="U195" s="4">
        <f t="shared" si="24"/>
        <v>5219.7772800000002</v>
      </c>
      <c r="V195">
        <f t="shared" si="25"/>
        <v>5918.64</v>
      </c>
      <c r="W195" s="4">
        <f t="shared" ref="W195:W258" si="29">(U195-V195)</f>
        <v>-698.86272000000008</v>
      </c>
      <c r="X195" s="4">
        <f t="shared" ref="X195:X258" si="30">IF(U195=0, 0, W195/U195)</f>
        <v>-0.13388745965804888</v>
      </c>
    </row>
    <row r="196" spans="1:24" x14ac:dyDescent="0.3">
      <c r="A196" t="s">
        <v>490</v>
      </c>
      <c r="B196" s="6">
        <v>45050</v>
      </c>
      <c r="C196" s="2">
        <v>45072</v>
      </c>
      <c r="D196" s="4">
        <f t="shared" ref="D196:D259" si="31">DATEDIF(B196,C196, "MD")</f>
        <v>22</v>
      </c>
      <c r="E196" s="46" t="b">
        <f t="shared" si="26"/>
        <v>0</v>
      </c>
      <c r="F196" s="4" t="str">
        <f>TEXT(Data!B196,"MMM-YYYY")</f>
        <v>Sep-2024</v>
      </c>
      <c r="G196" s="4" t="str">
        <f t="shared" si="27"/>
        <v>Q2-2023</v>
      </c>
      <c r="H196" t="s">
        <v>52</v>
      </c>
      <c r="I196" t="s">
        <v>122</v>
      </c>
      <c r="J196" t="s">
        <v>167</v>
      </c>
      <c r="K196" t="s">
        <v>105</v>
      </c>
      <c r="L196" t="s">
        <v>28</v>
      </c>
      <c r="M196" t="s">
        <v>29</v>
      </c>
      <c r="N196" t="s">
        <v>35</v>
      </c>
      <c r="O196" t="s">
        <v>491</v>
      </c>
      <c r="P196" s="4">
        <v>249.71</v>
      </c>
      <c r="Q196" s="7" t="str">
        <f t="shared" si="28"/>
        <v>High</v>
      </c>
      <c r="R196" s="4">
        <v>361.33</v>
      </c>
      <c r="S196" s="4">
        <v>9.4E-2</v>
      </c>
      <c r="T196" s="4">
        <v>12</v>
      </c>
      <c r="U196" s="4">
        <f t="shared" si="24"/>
        <v>14139.90576</v>
      </c>
      <c r="V196">
        <f t="shared" si="25"/>
        <v>2996.52</v>
      </c>
      <c r="W196" s="4">
        <f t="shared" si="29"/>
        <v>11143.385759999999</v>
      </c>
      <c r="X196" s="4">
        <f t="shared" si="30"/>
        <v>0.7880806243789279</v>
      </c>
    </row>
    <row r="197" spans="1:24" x14ac:dyDescent="0.3">
      <c r="A197" t="s">
        <v>492</v>
      </c>
      <c r="B197" s="6">
        <v>45557</v>
      </c>
      <c r="C197" s="2">
        <v>45566</v>
      </c>
      <c r="D197" s="4">
        <f t="shared" si="31"/>
        <v>9</v>
      </c>
      <c r="E197" s="46" t="b">
        <f t="shared" si="26"/>
        <v>0</v>
      </c>
      <c r="F197" s="4" t="str">
        <f>TEXT(Data!B197,"MMM-YYYY")</f>
        <v>Oct-2024</v>
      </c>
      <c r="G197" s="4" t="str">
        <f t="shared" si="27"/>
        <v>Q3-2024</v>
      </c>
      <c r="H197" t="s">
        <v>52</v>
      </c>
      <c r="I197" t="s">
        <v>73</v>
      </c>
      <c r="J197" t="s">
        <v>74</v>
      </c>
      <c r="K197" t="s">
        <v>39</v>
      </c>
      <c r="L197" t="s">
        <v>28</v>
      </c>
      <c r="M197" t="s">
        <v>95</v>
      </c>
      <c r="N197" t="s">
        <v>64</v>
      </c>
      <c r="O197" t="s">
        <v>493</v>
      </c>
      <c r="P197" s="4">
        <v>1378.8</v>
      </c>
      <c r="Q197" s="7" t="str">
        <f t="shared" si="28"/>
        <v>High</v>
      </c>
      <c r="R197" s="4">
        <v>1952.04</v>
      </c>
      <c r="S197" s="4">
        <v>0.159</v>
      </c>
      <c r="T197" s="4">
        <v>19</v>
      </c>
      <c r="U197" s="4">
        <f t="shared" si="24"/>
        <v>3645.6088500000001</v>
      </c>
      <c r="V197">
        <f t="shared" si="25"/>
        <v>26197.200000000001</v>
      </c>
      <c r="W197" s="4">
        <f t="shared" si="29"/>
        <v>-22551.59115</v>
      </c>
      <c r="X197" s="4">
        <f t="shared" si="30"/>
        <v>-6.1859601723317077</v>
      </c>
    </row>
    <row r="198" spans="1:24" x14ac:dyDescent="0.3">
      <c r="A198" t="s">
        <v>494</v>
      </c>
      <c r="B198" s="6">
        <v>45588</v>
      </c>
      <c r="C198" s="2">
        <v>45610</v>
      </c>
      <c r="D198" s="4">
        <f t="shared" si="31"/>
        <v>22</v>
      </c>
      <c r="E198" s="46" t="b">
        <f t="shared" si="26"/>
        <v>0</v>
      </c>
      <c r="F198" s="4" t="str">
        <f>TEXT(Data!B198,"MMM-YYYY")</f>
        <v>Feb-2024</v>
      </c>
      <c r="G198" s="4" t="str">
        <f t="shared" si="27"/>
        <v>Q4-2024</v>
      </c>
      <c r="H198" t="s">
        <v>45</v>
      </c>
      <c r="I198" t="s">
        <v>46</v>
      </c>
      <c r="J198" t="s">
        <v>47</v>
      </c>
      <c r="K198" t="s">
        <v>39</v>
      </c>
      <c r="L198" t="s">
        <v>98</v>
      </c>
      <c r="M198" t="s">
        <v>56</v>
      </c>
      <c r="N198" t="s">
        <v>42</v>
      </c>
      <c r="O198" t="s">
        <v>495</v>
      </c>
      <c r="P198" s="4">
        <v>1406.4</v>
      </c>
      <c r="Q198" s="7" t="str">
        <f t="shared" si="28"/>
        <v>High</v>
      </c>
      <c r="R198" s="4">
        <v>1564.76</v>
      </c>
      <c r="S198" s="4">
        <v>0.185</v>
      </c>
      <c r="T198" s="4">
        <v>17</v>
      </c>
      <c r="U198" s="4">
        <f t="shared" si="24"/>
        <v>6879.2846</v>
      </c>
      <c r="V198">
        <f t="shared" si="25"/>
        <v>23908.800000000003</v>
      </c>
      <c r="W198" s="4">
        <f t="shared" si="29"/>
        <v>-17029.515400000004</v>
      </c>
      <c r="X198" s="4">
        <f t="shared" si="30"/>
        <v>-2.4754776681284567</v>
      </c>
    </row>
    <row r="199" spans="1:24" x14ac:dyDescent="0.3">
      <c r="A199" t="s">
        <v>496</v>
      </c>
      <c r="B199" s="6">
        <v>45333</v>
      </c>
      <c r="C199" s="2">
        <v>45354</v>
      </c>
      <c r="D199" s="4">
        <f t="shared" si="31"/>
        <v>21</v>
      </c>
      <c r="E199" s="46" t="b">
        <f t="shared" si="26"/>
        <v>0</v>
      </c>
      <c r="F199" s="4" t="str">
        <f>TEXT(Data!B199,"MMM-YYYY")</f>
        <v>Jan-2023</v>
      </c>
      <c r="G199" s="4" t="str">
        <f t="shared" si="27"/>
        <v>Q1-2024</v>
      </c>
      <c r="H199" t="s">
        <v>16</v>
      </c>
      <c r="I199" t="s">
        <v>17</v>
      </c>
      <c r="J199" t="s">
        <v>18</v>
      </c>
      <c r="K199" t="s">
        <v>105</v>
      </c>
      <c r="L199" t="s">
        <v>28</v>
      </c>
      <c r="M199" t="s">
        <v>56</v>
      </c>
      <c r="N199" t="s">
        <v>42</v>
      </c>
      <c r="O199" t="s">
        <v>497</v>
      </c>
      <c r="P199" s="4">
        <v>516.86</v>
      </c>
      <c r="Q199" s="7" t="str">
        <f t="shared" si="28"/>
        <v>High</v>
      </c>
      <c r="R199" s="4">
        <v>852.54</v>
      </c>
      <c r="S199" s="4">
        <v>5.0999999999999997E-2</v>
      </c>
      <c r="T199" s="4">
        <v>14</v>
      </c>
      <c r="U199" s="4">
        <f t="shared" si="24"/>
        <v>39076.783199999991</v>
      </c>
      <c r="V199">
        <f t="shared" si="25"/>
        <v>7236.04</v>
      </c>
      <c r="W199" s="4">
        <f t="shared" si="29"/>
        <v>31840.74319999999</v>
      </c>
      <c r="X199" s="4">
        <f t="shared" si="30"/>
        <v>0.81482508519278518</v>
      </c>
    </row>
    <row r="200" spans="1:24" x14ac:dyDescent="0.3">
      <c r="A200" t="s">
        <v>498</v>
      </c>
      <c r="B200" s="6">
        <v>44956</v>
      </c>
      <c r="C200" s="2">
        <v>44978</v>
      </c>
      <c r="D200" s="4">
        <f t="shared" si="31"/>
        <v>22</v>
      </c>
      <c r="E200" s="46" t="b">
        <f t="shared" si="26"/>
        <v>0</v>
      </c>
      <c r="F200" s="4" t="str">
        <f>TEXT(Data!B200,"MMM-YYYY")</f>
        <v>Apr-2023</v>
      </c>
      <c r="G200" s="4" t="str">
        <f t="shared" si="27"/>
        <v>Q1-2023</v>
      </c>
      <c r="H200" t="s">
        <v>78</v>
      </c>
      <c r="I200" t="s">
        <v>79</v>
      </c>
      <c r="J200" t="s">
        <v>159</v>
      </c>
      <c r="K200" t="s">
        <v>62</v>
      </c>
      <c r="L200" t="s">
        <v>40</v>
      </c>
      <c r="M200" t="s">
        <v>41</v>
      </c>
      <c r="N200" t="s">
        <v>35</v>
      </c>
      <c r="O200" t="s">
        <v>499</v>
      </c>
      <c r="P200" s="4">
        <v>1142.8800000000001</v>
      </c>
      <c r="Q200" s="7" t="str">
        <f t="shared" si="28"/>
        <v>High</v>
      </c>
      <c r="R200" s="4">
        <v>1465.29</v>
      </c>
      <c r="S200" s="4">
        <v>0.186</v>
      </c>
      <c r="T200" s="4">
        <v>7</v>
      </c>
      <c r="U200" s="4">
        <f t="shared" si="24"/>
        <v>6200.5636000000013</v>
      </c>
      <c r="V200">
        <f t="shared" si="25"/>
        <v>8000.1600000000008</v>
      </c>
      <c r="W200" s="4">
        <f t="shared" si="29"/>
        <v>-1799.5963999999994</v>
      </c>
      <c r="X200" s="4">
        <f t="shared" si="30"/>
        <v>-0.29023110092766391</v>
      </c>
    </row>
    <row r="201" spans="1:24" x14ac:dyDescent="0.3">
      <c r="A201" t="s">
        <v>500</v>
      </c>
      <c r="B201" s="6">
        <v>45030</v>
      </c>
      <c r="C201" s="2">
        <v>45059</v>
      </c>
      <c r="D201" s="4">
        <f t="shared" si="31"/>
        <v>29</v>
      </c>
      <c r="E201" s="46" t="b">
        <f t="shared" si="26"/>
        <v>0</v>
      </c>
      <c r="F201" s="4" t="str">
        <f>TEXT(Data!B201,"MMM-YYYY")</f>
        <v>Jan-2023</v>
      </c>
      <c r="G201" s="4" t="str">
        <f t="shared" si="27"/>
        <v>Q2-2023</v>
      </c>
      <c r="H201" t="s">
        <v>78</v>
      </c>
      <c r="I201" t="s">
        <v>79</v>
      </c>
      <c r="J201" t="s">
        <v>335</v>
      </c>
      <c r="K201" t="s">
        <v>48</v>
      </c>
      <c r="L201" t="s">
        <v>98</v>
      </c>
      <c r="M201" t="s">
        <v>29</v>
      </c>
      <c r="N201" t="s">
        <v>30</v>
      </c>
      <c r="O201" t="s">
        <v>501</v>
      </c>
      <c r="P201" s="4">
        <v>1320.33</v>
      </c>
      <c r="Q201" s="7" t="str">
        <f t="shared" si="28"/>
        <v>High</v>
      </c>
      <c r="R201" s="4">
        <v>2645.23</v>
      </c>
      <c r="S201" s="4">
        <v>0.155</v>
      </c>
      <c r="T201" s="4">
        <v>25</v>
      </c>
      <c r="U201" s="4">
        <f t="shared" si="24"/>
        <v>53428.293749999997</v>
      </c>
      <c r="V201">
        <f t="shared" si="25"/>
        <v>33008.25</v>
      </c>
      <c r="W201" s="4">
        <f t="shared" si="29"/>
        <v>20420.043749999997</v>
      </c>
      <c r="X201" s="4">
        <f t="shared" si="30"/>
        <v>0.38219531856189959</v>
      </c>
    </row>
    <row r="202" spans="1:24" x14ac:dyDescent="0.3">
      <c r="A202" t="s">
        <v>502</v>
      </c>
      <c r="B202" s="6">
        <v>44939</v>
      </c>
      <c r="C202" s="2">
        <v>44945</v>
      </c>
      <c r="D202" s="4">
        <f t="shared" si="31"/>
        <v>6</v>
      </c>
      <c r="E202" s="46" t="str">
        <f t="shared" si="26"/>
        <v>Yes</v>
      </c>
      <c r="F202" s="4" t="str">
        <f>TEXT(Data!B202,"MMM-YYYY")</f>
        <v>Jan-2024</v>
      </c>
      <c r="G202" s="4" t="str">
        <f t="shared" si="27"/>
        <v>Q1-2023</v>
      </c>
      <c r="H202" t="s">
        <v>52</v>
      </c>
      <c r="I202" t="s">
        <v>122</v>
      </c>
      <c r="J202" t="s">
        <v>123</v>
      </c>
      <c r="K202" t="s">
        <v>19</v>
      </c>
      <c r="L202" t="s">
        <v>98</v>
      </c>
      <c r="M202" t="s">
        <v>92</v>
      </c>
      <c r="N202" t="s">
        <v>42</v>
      </c>
      <c r="O202" t="s">
        <v>503</v>
      </c>
      <c r="P202" s="4">
        <v>833.57</v>
      </c>
      <c r="Q202" s="7" t="str">
        <f t="shared" si="28"/>
        <v>High</v>
      </c>
      <c r="R202" s="4">
        <v>881.57</v>
      </c>
      <c r="S202" s="4">
        <v>5.7000000000000002E-2</v>
      </c>
      <c r="T202" s="4">
        <v>18</v>
      </c>
      <c r="U202" s="4">
        <f t="shared" si="24"/>
        <v>45796.021740000004</v>
      </c>
      <c r="V202">
        <f t="shared" si="25"/>
        <v>15004.26</v>
      </c>
      <c r="W202" s="4">
        <f t="shared" si="29"/>
        <v>30791.761740000002</v>
      </c>
      <c r="X202" s="4">
        <f t="shared" si="30"/>
        <v>0.67236761120464961</v>
      </c>
    </row>
    <row r="203" spans="1:24" x14ac:dyDescent="0.3">
      <c r="A203" t="s">
        <v>504</v>
      </c>
      <c r="B203" s="6">
        <v>45303</v>
      </c>
      <c r="C203" s="2">
        <v>45320</v>
      </c>
      <c r="D203" s="4">
        <f t="shared" si="31"/>
        <v>17</v>
      </c>
      <c r="E203" s="46" t="b">
        <f t="shared" si="26"/>
        <v>0</v>
      </c>
      <c r="F203" s="4" t="str">
        <f>TEXT(Data!B203,"MMM-YYYY")</f>
        <v>Aug-2023</v>
      </c>
      <c r="G203" s="4" t="str">
        <f t="shared" si="27"/>
        <v>Q1-2024</v>
      </c>
      <c r="H203" t="s">
        <v>52</v>
      </c>
      <c r="I203" t="s">
        <v>122</v>
      </c>
      <c r="J203" t="s">
        <v>123</v>
      </c>
      <c r="K203" t="s">
        <v>27</v>
      </c>
      <c r="L203" t="s">
        <v>55</v>
      </c>
      <c r="M203" t="s">
        <v>75</v>
      </c>
      <c r="N203" t="s">
        <v>30</v>
      </c>
      <c r="O203" t="s">
        <v>505</v>
      </c>
      <c r="P203" s="4">
        <v>493.76</v>
      </c>
      <c r="Q203" s="7" t="str">
        <f t="shared" si="28"/>
        <v>High</v>
      </c>
      <c r="R203" s="4">
        <v>625.04</v>
      </c>
      <c r="S203" s="4">
        <v>0.25800000000000001</v>
      </c>
      <c r="T203" s="4">
        <v>10</v>
      </c>
      <c r="U203" s="4">
        <f t="shared" si="24"/>
        <v>11002.004999999999</v>
      </c>
      <c r="V203">
        <f t="shared" si="25"/>
        <v>4937.6000000000004</v>
      </c>
      <c r="W203" s="4">
        <f t="shared" si="29"/>
        <v>6064.4049999999988</v>
      </c>
      <c r="X203" s="4">
        <f t="shared" si="30"/>
        <v>0.55120907507313432</v>
      </c>
    </row>
    <row r="204" spans="1:24" x14ac:dyDescent="0.3">
      <c r="A204" t="s">
        <v>506</v>
      </c>
      <c r="B204" s="6">
        <v>45153</v>
      </c>
      <c r="C204" s="2">
        <v>45176</v>
      </c>
      <c r="D204" s="4">
        <f t="shared" si="31"/>
        <v>23</v>
      </c>
      <c r="E204" s="46" t="b">
        <f t="shared" si="26"/>
        <v>0</v>
      </c>
      <c r="F204" s="4" t="str">
        <f>TEXT(Data!B204,"MMM-YYYY")</f>
        <v>Jan-2023</v>
      </c>
      <c r="G204" s="4" t="str">
        <f t="shared" si="27"/>
        <v>Q3-2023</v>
      </c>
      <c r="H204" t="s">
        <v>52</v>
      </c>
      <c r="I204" t="s">
        <v>122</v>
      </c>
      <c r="J204" t="s">
        <v>387</v>
      </c>
      <c r="K204" t="s">
        <v>105</v>
      </c>
      <c r="L204" t="s">
        <v>28</v>
      </c>
      <c r="M204" t="s">
        <v>95</v>
      </c>
      <c r="N204" t="s">
        <v>42</v>
      </c>
      <c r="O204" t="s">
        <v>507</v>
      </c>
      <c r="P204" s="4">
        <v>590.33000000000004</v>
      </c>
      <c r="Q204" s="7" t="str">
        <f t="shared" si="28"/>
        <v>High</v>
      </c>
      <c r="R204" s="4">
        <v>973.04</v>
      </c>
      <c r="S204" s="4">
        <v>0</v>
      </c>
      <c r="T204" s="4">
        <v>26</v>
      </c>
      <c r="U204" s="4">
        <f t="shared" si="24"/>
        <v>37877.06</v>
      </c>
      <c r="V204">
        <f t="shared" si="25"/>
        <v>15348.580000000002</v>
      </c>
      <c r="W204" s="4">
        <f t="shared" si="29"/>
        <v>22528.479999999996</v>
      </c>
      <c r="X204" s="4">
        <f t="shared" si="30"/>
        <v>0.59477900343902079</v>
      </c>
    </row>
    <row r="205" spans="1:24" x14ac:dyDescent="0.3">
      <c r="A205" t="s">
        <v>508</v>
      </c>
      <c r="B205" s="6">
        <v>44946</v>
      </c>
      <c r="C205" s="2">
        <v>44960</v>
      </c>
      <c r="D205" s="4">
        <f t="shared" si="31"/>
        <v>14</v>
      </c>
      <c r="E205" s="46" t="b">
        <f t="shared" si="26"/>
        <v>0</v>
      </c>
      <c r="F205" s="4" t="str">
        <f>TEXT(Data!B205,"MMM-YYYY")</f>
        <v>Feb-2025</v>
      </c>
      <c r="G205" s="4" t="str">
        <f t="shared" si="27"/>
        <v>Q1-2023</v>
      </c>
      <c r="H205" t="s">
        <v>16</v>
      </c>
      <c r="I205" t="s">
        <v>17</v>
      </c>
      <c r="J205" t="s">
        <v>18</v>
      </c>
      <c r="K205" t="s">
        <v>19</v>
      </c>
      <c r="L205" t="s">
        <v>20</v>
      </c>
      <c r="M205" t="s">
        <v>110</v>
      </c>
      <c r="N205" t="s">
        <v>35</v>
      </c>
      <c r="O205" t="s">
        <v>509</v>
      </c>
      <c r="P205" s="4">
        <v>884.36</v>
      </c>
      <c r="Q205" s="7" t="str">
        <f t="shared" si="28"/>
        <v>High</v>
      </c>
      <c r="R205" s="4">
        <v>1545.34</v>
      </c>
      <c r="S205" s="4">
        <v>0.24299999999999999</v>
      </c>
      <c r="T205" s="4">
        <v>41</v>
      </c>
      <c r="U205" s="4">
        <f t="shared" si="24"/>
        <v>28497.86303</v>
      </c>
      <c r="V205">
        <f t="shared" si="25"/>
        <v>36258.76</v>
      </c>
      <c r="W205" s="4">
        <f t="shared" si="29"/>
        <v>-7760.8969700000016</v>
      </c>
      <c r="X205" s="4">
        <f t="shared" si="30"/>
        <v>-0.27233259426610423</v>
      </c>
    </row>
    <row r="206" spans="1:24" x14ac:dyDescent="0.3">
      <c r="A206" t="s">
        <v>510</v>
      </c>
      <c r="B206" s="6">
        <v>45692</v>
      </c>
      <c r="C206" s="2">
        <v>45713</v>
      </c>
      <c r="D206" s="4">
        <f t="shared" si="31"/>
        <v>21</v>
      </c>
      <c r="E206" s="46" t="b">
        <f t="shared" si="26"/>
        <v>0</v>
      </c>
      <c r="F206" s="4" t="str">
        <f>TEXT(Data!B206,"MMM-YYYY")</f>
        <v>Apr-2023</v>
      </c>
      <c r="G206" s="4" t="str">
        <f t="shared" si="27"/>
        <v>Q1-2025</v>
      </c>
      <c r="H206" t="s">
        <v>78</v>
      </c>
      <c r="I206" t="s">
        <v>108</v>
      </c>
      <c r="J206" t="s">
        <v>109</v>
      </c>
      <c r="K206" t="s">
        <v>19</v>
      </c>
      <c r="L206" t="s">
        <v>40</v>
      </c>
      <c r="M206" t="s">
        <v>145</v>
      </c>
      <c r="N206" t="s">
        <v>64</v>
      </c>
      <c r="O206" t="s">
        <v>511</v>
      </c>
      <c r="P206" s="4">
        <v>1016.32</v>
      </c>
      <c r="Q206" s="7" t="str">
        <f t="shared" si="28"/>
        <v>High</v>
      </c>
      <c r="R206" s="4">
        <v>2253.42</v>
      </c>
      <c r="S206" s="4">
        <v>5.5E-2</v>
      </c>
      <c r="T206" s="4">
        <v>12</v>
      </c>
      <c r="U206" s="4">
        <f t="shared" si="24"/>
        <v>554.97959999999989</v>
      </c>
      <c r="V206">
        <f t="shared" si="25"/>
        <v>12195.84</v>
      </c>
      <c r="W206" s="4">
        <f t="shared" si="29"/>
        <v>-11640.8604</v>
      </c>
      <c r="X206" s="4">
        <f t="shared" si="30"/>
        <v>-20.97529422703105</v>
      </c>
    </row>
    <row r="207" spans="1:24" x14ac:dyDescent="0.3">
      <c r="A207" t="s">
        <v>512</v>
      </c>
      <c r="B207" s="6">
        <v>45035</v>
      </c>
      <c r="C207" s="2">
        <v>45044</v>
      </c>
      <c r="D207" s="4">
        <f t="shared" si="31"/>
        <v>9</v>
      </c>
      <c r="E207" s="46" t="b">
        <f t="shared" si="26"/>
        <v>0</v>
      </c>
      <c r="F207" s="4" t="str">
        <f>TEXT(Data!B207,"MMM-YYYY")</f>
        <v>Jul-2023</v>
      </c>
      <c r="G207" s="4" t="str">
        <f t="shared" si="27"/>
        <v>Q2-2023</v>
      </c>
      <c r="H207" t="s">
        <v>78</v>
      </c>
      <c r="I207" t="s">
        <v>79</v>
      </c>
      <c r="J207" t="s">
        <v>80</v>
      </c>
      <c r="K207" t="s">
        <v>27</v>
      </c>
      <c r="L207" t="s">
        <v>28</v>
      </c>
      <c r="M207" t="s">
        <v>63</v>
      </c>
      <c r="N207" t="s">
        <v>64</v>
      </c>
      <c r="O207" t="s">
        <v>513</v>
      </c>
      <c r="P207" s="4">
        <v>1178.42</v>
      </c>
      <c r="Q207" s="7" t="str">
        <f t="shared" si="28"/>
        <v>High</v>
      </c>
      <c r="R207" s="4">
        <v>2446.56</v>
      </c>
      <c r="S207" s="4">
        <v>2.9000000000000001E-2</v>
      </c>
      <c r="T207" s="4">
        <v>11</v>
      </c>
      <c r="U207" s="4">
        <f t="shared" si="24"/>
        <v>9957.7894899999992</v>
      </c>
      <c r="V207">
        <f t="shared" si="25"/>
        <v>12962.62</v>
      </c>
      <c r="W207" s="4">
        <f t="shared" si="29"/>
        <v>-3004.8305100000016</v>
      </c>
      <c r="X207" s="4">
        <f t="shared" si="30"/>
        <v>-0.30175678176542792</v>
      </c>
    </row>
    <row r="208" spans="1:24" x14ac:dyDescent="0.3">
      <c r="A208" t="s">
        <v>514</v>
      </c>
      <c r="B208" s="6">
        <v>45109</v>
      </c>
      <c r="C208" s="2">
        <v>45139</v>
      </c>
      <c r="D208" s="4">
        <f t="shared" si="31"/>
        <v>30</v>
      </c>
      <c r="E208" s="46" t="b">
        <f t="shared" si="26"/>
        <v>0</v>
      </c>
      <c r="F208" s="4" t="str">
        <f>TEXT(Data!B208,"MMM-YYYY")</f>
        <v>Jan-2025</v>
      </c>
      <c r="G208" s="4" t="str">
        <f t="shared" si="27"/>
        <v>Q3-2023</v>
      </c>
      <c r="H208" t="s">
        <v>78</v>
      </c>
      <c r="I208" t="s">
        <v>108</v>
      </c>
      <c r="J208" t="s">
        <v>109</v>
      </c>
      <c r="K208" t="s">
        <v>62</v>
      </c>
      <c r="L208" t="s">
        <v>20</v>
      </c>
      <c r="M208" t="s">
        <v>56</v>
      </c>
      <c r="N208" t="s">
        <v>22</v>
      </c>
      <c r="O208" t="s">
        <v>515</v>
      </c>
      <c r="P208" s="4">
        <v>137.46</v>
      </c>
      <c r="Q208" s="7" t="str">
        <f t="shared" si="28"/>
        <v>Medium</v>
      </c>
      <c r="R208" s="4">
        <v>188.3</v>
      </c>
      <c r="S208" s="4">
        <v>3.7999999999999999E-2</v>
      </c>
      <c r="T208" s="4">
        <v>37</v>
      </c>
      <c r="U208" s="4">
        <f t="shared" si="24"/>
        <v>11596.169260000001</v>
      </c>
      <c r="V208">
        <f t="shared" si="25"/>
        <v>5086.0200000000004</v>
      </c>
      <c r="W208" s="4">
        <f t="shared" si="29"/>
        <v>6510.1492600000001</v>
      </c>
      <c r="X208" s="4">
        <f t="shared" si="30"/>
        <v>0.56140516010370822</v>
      </c>
    </row>
    <row r="209" spans="1:24" x14ac:dyDescent="0.3">
      <c r="A209" t="s">
        <v>516</v>
      </c>
      <c r="B209" s="6">
        <v>45678</v>
      </c>
      <c r="C209" s="2">
        <v>45702</v>
      </c>
      <c r="D209" s="4">
        <f t="shared" si="31"/>
        <v>24</v>
      </c>
      <c r="E209" s="46" t="b">
        <f t="shared" si="26"/>
        <v>0</v>
      </c>
      <c r="F209" s="4" t="str">
        <f>TEXT(Data!B209,"MMM-YYYY")</f>
        <v>Sep-2024</v>
      </c>
      <c r="G209" s="4" t="str">
        <f t="shared" si="27"/>
        <v>Q1-2025</v>
      </c>
      <c r="H209" t="s">
        <v>16</v>
      </c>
      <c r="I209" t="s">
        <v>17</v>
      </c>
      <c r="J209" t="s">
        <v>33</v>
      </c>
      <c r="K209" t="s">
        <v>62</v>
      </c>
      <c r="L209" t="s">
        <v>20</v>
      </c>
      <c r="M209" t="s">
        <v>29</v>
      </c>
      <c r="N209" t="s">
        <v>81</v>
      </c>
      <c r="O209" t="s">
        <v>517</v>
      </c>
      <c r="P209" s="4">
        <v>1030.44</v>
      </c>
      <c r="Q209" s="7" t="str">
        <f t="shared" si="28"/>
        <v>High</v>
      </c>
      <c r="R209" s="4">
        <v>2562.84</v>
      </c>
      <c r="S209" s="4">
        <v>0.14799999999999999</v>
      </c>
      <c r="T209" s="4">
        <v>13</v>
      </c>
      <c r="U209" s="4">
        <f t="shared" si="24"/>
        <v>4496.5237200000001</v>
      </c>
      <c r="V209">
        <f t="shared" si="25"/>
        <v>13395.720000000001</v>
      </c>
      <c r="W209" s="4">
        <f t="shared" si="29"/>
        <v>-8899.1962800000001</v>
      </c>
      <c r="X209" s="4">
        <f t="shared" si="30"/>
        <v>-1.9791280629561541</v>
      </c>
    </row>
    <row r="210" spans="1:24" x14ac:dyDescent="0.3">
      <c r="A210" t="s">
        <v>518</v>
      </c>
      <c r="B210" s="6">
        <v>45545</v>
      </c>
      <c r="C210" s="2">
        <v>45572</v>
      </c>
      <c r="D210" s="4">
        <f t="shared" si="31"/>
        <v>27</v>
      </c>
      <c r="E210" s="46" t="b">
        <f t="shared" si="26"/>
        <v>0</v>
      </c>
      <c r="F210" s="4" t="str">
        <f>TEXT(Data!B210,"MMM-YYYY")</f>
        <v>Jul-2025</v>
      </c>
      <c r="G210" s="4" t="str">
        <f t="shared" si="27"/>
        <v>Q3-2024</v>
      </c>
      <c r="H210" t="s">
        <v>16</v>
      </c>
      <c r="I210" t="s">
        <v>17</v>
      </c>
      <c r="J210" t="s">
        <v>18</v>
      </c>
      <c r="K210" t="s">
        <v>48</v>
      </c>
      <c r="L210" t="s">
        <v>20</v>
      </c>
      <c r="M210" t="s">
        <v>49</v>
      </c>
      <c r="N210" t="s">
        <v>30</v>
      </c>
      <c r="O210" t="s">
        <v>519</v>
      </c>
      <c r="P210" s="4">
        <v>1248.3900000000001</v>
      </c>
      <c r="Q210" s="7" t="str">
        <f t="shared" si="28"/>
        <v>High</v>
      </c>
      <c r="R210" s="4">
        <v>1805.11</v>
      </c>
      <c r="S210" s="4">
        <v>0.20300000000000001</v>
      </c>
      <c r="T210" s="4">
        <v>11</v>
      </c>
      <c r="U210" s="4">
        <f t="shared" si="24"/>
        <v>13931.376689999999</v>
      </c>
      <c r="V210">
        <f t="shared" si="25"/>
        <v>13732.29</v>
      </c>
      <c r="W210" s="4">
        <f t="shared" si="29"/>
        <v>199.08668999999827</v>
      </c>
      <c r="X210" s="4">
        <f t="shared" si="30"/>
        <v>1.4290525224467122E-2</v>
      </c>
    </row>
    <row r="211" spans="1:24" x14ac:dyDescent="0.3">
      <c r="A211" t="s">
        <v>520</v>
      </c>
      <c r="B211" s="6">
        <v>45859</v>
      </c>
      <c r="C211" s="2">
        <v>45876</v>
      </c>
      <c r="D211" s="4">
        <f t="shared" si="31"/>
        <v>17</v>
      </c>
      <c r="E211" s="46" t="b">
        <f t="shared" si="26"/>
        <v>0</v>
      </c>
      <c r="F211" s="4" t="str">
        <f>TEXT(Data!B211,"MMM-YYYY")</f>
        <v>Oct-2024</v>
      </c>
      <c r="G211" s="4" t="str">
        <f t="shared" si="27"/>
        <v>Q3-2025</v>
      </c>
      <c r="H211" t="s">
        <v>16</v>
      </c>
      <c r="I211" t="s">
        <v>25</v>
      </c>
      <c r="J211" t="s">
        <v>38</v>
      </c>
      <c r="K211" t="s">
        <v>105</v>
      </c>
      <c r="L211" t="s">
        <v>98</v>
      </c>
      <c r="M211" t="s">
        <v>110</v>
      </c>
      <c r="N211" t="s">
        <v>81</v>
      </c>
      <c r="O211" t="s">
        <v>521</v>
      </c>
      <c r="P211" s="4">
        <v>1204.95</v>
      </c>
      <c r="Q211" s="7" t="str">
        <f t="shared" si="28"/>
        <v>High</v>
      </c>
      <c r="R211" s="4">
        <v>2065.73</v>
      </c>
      <c r="S211" s="4">
        <v>0.13600000000000001</v>
      </c>
      <c r="T211" s="4">
        <v>10</v>
      </c>
      <c r="U211" s="4">
        <f t="shared" si="24"/>
        <v>12379.392</v>
      </c>
      <c r="V211">
        <f t="shared" si="25"/>
        <v>12049.5</v>
      </c>
      <c r="W211" s="4">
        <f t="shared" si="29"/>
        <v>329.89199999999983</v>
      </c>
      <c r="X211" s="4">
        <f t="shared" si="30"/>
        <v>2.6648481605558643E-2</v>
      </c>
    </row>
    <row r="212" spans="1:24" x14ac:dyDescent="0.3">
      <c r="A212" t="s">
        <v>522</v>
      </c>
      <c r="B212" s="6">
        <v>45567</v>
      </c>
      <c r="C212" s="2">
        <v>45588</v>
      </c>
      <c r="D212" s="4">
        <f t="shared" si="31"/>
        <v>21</v>
      </c>
      <c r="E212" s="46" t="b">
        <f t="shared" si="26"/>
        <v>0</v>
      </c>
      <c r="F212" s="4" t="str">
        <f>TEXT(Data!B212,"MMM-YYYY")</f>
        <v>Jul-2025</v>
      </c>
      <c r="G212" s="4" t="str">
        <f t="shared" si="27"/>
        <v>Q4-2024</v>
      </c>
      <c r="H212" t="s">
        <v>16</v>
      </c>
      <c r="I212" t="s">
        <v>148</v>
      </c>
      <c r="J212" t="s">
        <v>172</v>
      </c>
      <c r="K212" t="s">
        <v>19</v>
      </c>
      <c r="L212" t="s">
        <v>40</v>
      </c>
      <c r="M212" t="s">
        <v>75</v>
      </c>
      <c r="N212" t="s">
        <v>22</v>
      </c>
      <c r="O212" t="s">
        <v>523</v>
      </c>
      <c r="P212" s="4">
        <v>1095.6099999999999</v>
      </c>
      <c r="Q212" s="7" t="str">
        <f t="shared" si="28"/>
        <v>High</v>
      </c>
      <c r="R212" s="4">
        <v>2366.5100000000002</v>
      </c>
      <c r="S212" s="4">
        <v>0.152</v>
      </c>
      <c r="T212" s="4">
        <v>9</v>
      </c>
      <c r="U212" s="4">
        <f t="shared" si="24"/>
        <v>13476.28032</v>
      </c>
      <c r="V212">
        <f t="shared" si="25"/>
        <v>9860.49</v>
      </c>
      <c r="W212" s="4">
        <f t="shared" si="29"/>
        <v>3615.7903200000001</v>
      </c>
      <c r="X212" s="4">
        <f t="shared" si="30"/>
        <v>0.26830774027710341</v>
      </c>
    </row>
    <row r="213" spans="1:24" x14ac:dyDescent="0.3">
      <c r="A213" t="s">
        <v>524</v>
      </c>
      <c r="B213" s="6">
        <v>45852</v>
      </c>
      <c r="C213" s="2">
        <v>45873</v>
      </c>
      <c r="D213" s="4">
        <f t="shared" si="31"/>
        <v>21</v>
      </c>
      <c r="E213" s="46" t="b">
        <f t="shared" si="26"/>
        <v>0</v>
      </c>
      <c r="F213" s="4" t="str">
        <f>TEXT(Data!B213,"MMM-YYYY")</f>
        <v>Sep-2024</v>
      </c>
      <c r="G213" s="4" t="str">
        <f t="shared" si="27"/>
        <v>Q3-2025</v>
      </c>
      <c r="H213" t="s">
        <v>52</v>
      </c>
      <c r="I213" t="s">
        <v>53</v>
      </c>
      <c r="J213" t="s">
        <v>144</v>
      </c>
      <c r="K213" t="s">
        <v>48</v>
      </c>
      <c r="L213" t="s">
        <v>28</v>
      </c>
      <c r="M213" t="s">
        <v>92</v>
      </c>
      <c r="N213" t="s">
        <v>64</v>
      </c>
      <c r="O213" t="s">
        <v>525</v>
      </c>
      <c r="P213" s="4">
        <v>90.3</v>
      </c>
      <c r="Q213" s="7" t="str">
        <f t="shared" si="28"/>
        <v>Medium</v>
      </c>
      <c r="R213" s="4">
        <v>131.76</v>
      </c>
      <c r="S213" s="4">
        <v>0.10199999999999999</v>
      </c>
      <c r="T213" s="4">
        <v>15</v>
      </c>
      <c r="U213" s="4">
        <f t="shared" si="24"/>
        <v>37144.063799999996</v>
      </c>
      <c r="V213">
        <f t="shared" si="25"/>
        <v>1354.5</v>
      </c>
      <c r="W213" s="4">
        <f t="shared" si="29"/>
        <v>35789.563799999996</v>
      </c>
      <c r="X213" s="4">
        <f t="shared" si="30"/>
        <v>0.96353387697982573</v>
      </c>
    </row>
    <row r="214" spans="1:24" x14ac:dyDescent="0.3">
      <c r="A214" t="s">
        <v>526</v>
      </c>
      <c r="B214" s="6">
        <v>45544</v>
      </c>
      <c r="C214" s="2">
        <v>45566</v>
      </c>
      <c r="D214" s="4">
        <f t="shared" si="31"/>
        <v>22</v>
      </c>
      <c r="E214" s="46" t="b">
        <f t="shared" si="26"/>
        <v>0</v>
      </c>
      <c r="F214" s="4" t="str">
        <f>TEXT(Data!B214,"MMM-YYYY")</f>
        <v>Jan-2025</v>
      </c>
      <c r="G214" s="4" t="str">
        <f t="shared" si="27"/>
        <v>Q3-2024</v>
      </c>
      <c r="H214" t="s">
        <v>45</v>
      </c>
      <c r="I214" t="s">
        <v>116</v>
      </c>
      <c r="J214" t="s">
        <v>117</v>
      </c>
      <c r="K214" t="s">
        <v>48</v>
      </c>
      <c r="L214" t="s">
        <v>98</v>
      </c>
      <c r="M214" t="s">
        <v>49</v>
      </c>
      <c r="N214" t="s">
        <v>30</v>
      </c>
      <c r="O214" t="s">
        <v>527</v>
      </c>
      <c r="P214" s="4">
        <v>1166.18</v>
      </c>
      <c r="Q214" s="7" t="str">
        <f t="shared" si="28"/>
        <v>High</v>
      </c>
      <c r="R214" s="4">
        <v>1335.02</v>
      </c>
      <c r="S214" s="4">
        <v>0.128</v>
      </c>
      <c r="T214" s="4">
        <v>6</v>
      </c>
      <c r="U214" s="4">
        <f t="shared" si="24"/>
        <v>4571.46</v>
      </c>
      <c r="V214">
        <f t="shared" si="25"/>
        <v>6997.08</v>
      </c>
      <c r="W214" s="4">
        <f t="shared" si="29"/>
        <v>-2425.62</v>
      </c>
      <c r="X214" s="4">
        <f t="shared" si="30"/>
        <v>-0.53060072712000106</v>
      </c>
    </row>
    <row r="215" spans="1:24" x14ac:dyDescent="0.3">
      <c r="A215" t="s">
        <v>528</v>
      </c>
      <c r="B215" s="6">
        <v>45686</v>
      </c>
      <c r="C215" s="2">
        <v>45694</v>
      </c>
      <c r="D215" s="4">
        <f t="shared" si="31"/>
        <v>8</v>
      </c>
      <c r="E215" s="46" t="b">
        <f t="shared" si="26"/>
        <v>0</v>
      </c>
      <c r="F215" s="4" t="str">
        <f>TEXT(Data!B215,"MMM-YYYY")</f>
        <v>Nov-2023</v>
      </c>
      <c r="G215" s="4" t="str">
        <f t="shared" si="27"/>
        <v>Q1-2025</v>
      </c>
      <c r="H215" t="s">
        <v>16</v>
      </c>
      <c r="I215" t="s">
        <v>17</v>
      </c>
      <c r="J215" t="s">
        <v>18</v>
      </c>
      <c r="K215" t="s">
        <v>27</v>
      </c>
      <c r="L215" t="s">
        <v>20</v>
      </c>
      <c r="M215" t="s">
        <v>56</v>
      </c>
      <c r="N215" t="s">
        <v>42</v>
      </c>
      <c r="O215" t="s">
        <v>529</v>
      </c>
      <c r="P215" s="4">
        <v>1445.27</v>
      </c>
      <c r="Q215" s="7" t="str">
        <f t="shared" si="28"/>
        <v>High</v>
      </c>
      <c r="R215" s="4">
        <v>2691.45</v>
      </c>
      <c r="S215" s="4">
        <v>0</v>
      </c>
      <c r="T215" s="4">
        <v>9</v>
      </c>
      <c r="U215" s="4">
        <f t="shared" si="24"/>
        <v>2326.6799999999998</v>
      </c>
      <c r="V215">
        <f t="shared" si="25"/>
        <v>13007.43</v>
      </c>
      <c r="W215" s="4">
        <f t="shared" si="29"/>
        <v>-10680.75</v>
      </c>
      <c r="X215" s="4">
        <f t="shared" si="30"/>
        <v>-4.5905539223270928</v>
      </c>
    </row>
    <row r="216" spans="1:24" x14ac:dyDescent="0.3">
      <c r="A216" t="s">
        <v>530</v>
      </c>
      <c r="B216" s="6">
        <v>45240</v>
      </c>
      <c r="C216" s="2">
        <v>45258</v>
      </c>
      <c r="D216" s="4">
        <f t="shared" si="31"/>
        <v>18</v>
      </c>
      <c r="E216" s="46" t="b">
        <f t="shared" si="26"/>
        <v>0</v>
      </c>
      <c r="F216" s="4" t="str">
        <f>TEXT(Data!B216,"MMM-YYYY")</f>
        <v>Feb-2024</v>
      </c>
      <c r="G216" s="4" t="str">
        <f t="shared" si="27"/>
        <v>Q4-2023</v>
      </c>
      <c r="H216" t="s">
        <v>52</v>
      </c>
      <c r="I216" t="s">
        <v>73</v>
      </c>
      <c r="J216" t="s">
        <v>87</v>
      </c>
      <c r="K216" t="s">
        <v>27</v>
      </c>
      <c r="L216" t="s">
        <v>40</v>
      </c>
      <c r="M216" t="s">
        <v>49</v>
      </c>
      <c r="N216" t="s">
        <v>81</v>
      </c>
      <c r="O216" t="s">
        <v>531</v>
      </c>
      <c r="P216" s="4">
        <v>388.51</v>
      </c>
      <c r="Q216" s="7" t="str">
        <f t="shared" si="28"/>
        <v>High</v>
      </c>
      <c r="R216" s="4">
        <v>776.46</v>
      </c>
      <c r="S216" s="4">
        <v>0.157</v>
      </c>
      <c r="T216" s="4">
        <v>12</v>
      </c>
      <c r="U216" s="4">
        <f t="shared" si="24"/>
        <v>6137.98416</v>
      </c>
      <c r="V216">
        <f t="shared" si="25"/>
        <v>4662.12</v>
      </c>
      <c r="W216" s="4">
        <f t="shared" si="29"/>
        <v>1475.8641600000001</v>
      </c>
      <c r="X216" s="4">
        <f t="shared" si="30"/>
        <v>0.24044769773403912</v>
      </c>
    </row>
    <row r="217" spans="1:24" x14ac:dyDescent="0.3">
      <c r="A217" t="s">
        <v>532</v>
      </c>
      <c r="B217" s="6">
        <v>45351</v>
      </c>
      <c r="C217" s="2">
        <v>45381</v>
      </c>
      <c r="D217" s="4">
        <f t="shared" si="31"/>
        <v>1</v>
      </c>
      <c r="E217" s="46" t="str">
        <f t="shared" si="26"/>
        <v>Yes</v>
      </c>
      <c r="F217" s="4" t="str">
        <f>TEXT(Data!B217,"MMM-YYYY")</f>
        <v>Dec-2023</v>
      </c>
      <c r="G217" s="4" t="str">
        <f t="shared" si="27"/>
        <v>Q1-2024</v>
      </c>
      <c r="H217" t="s">
        <v>45</v>
      </c>
      <c r="I217" t="s">
        <v>46</v>
      </c>
      <c r="J217" t="s">
        <v>231</v>
      </c>
      <c r="K217" t="s">
        <v>62</v>
      </c>
      <c r="L217" t="s">
        <v>98</v>
      </c>
      <c r="M217" t="s">
        <v>34</v>
      </c>
      <c r="N217" t="s">
        <v>35</v>
      </c>
      <c r="O217" t="s">
        <v>533</v>
      </c>
      <c r="P217" s="4">
        <v>231.11</v>
      </c>
      <c r="Q217" s="7" t="str">
        <f t="shared" si="28"/>
        <v>High</v>
      </c>
      <c r="R217" s="4">
        <v>318.17</v>
      </c>
      <c r="S217" s="4">
        <v>0.20100000000000001</v>
      </c>
      <c r="T217" s="4">
        <v>60</v>
      </c>
      <c r="U217" s="4">
        <f t="shared" si="24"/>
        <v>64128.8586</v>
      </c>
      <c r="V217">
        <f t="shared" si="25"/>
        <v>13866.6</v>
      </c>
      <c r="W217" s="4">
        <f t="shared" si="29"/>
        <v>50262.258600000001</v>
      </c>
      <c r="X217" s="4">
        <f t="shared" si="30"/>
        <v>0.7837697363913475</v>
      </c>
    </row>
    <row r="218" spans="1:24" x14ac:dyDescent="0.3">
      <c r="A218" t="s">
        <v>534</v>
      </c>
      <c r="B218" s="6">
        <v>45280</v>
      </c>
      <c r="C218" s="2">
        <v>45305</v>
      </c>
      <c r="D218" s="4">
        <f t="shared" si="31"/>
        <v>25</v>
      </c>
      <c r="E218" s="46" t="b">
        <f t="shared" si="26"/>
        <v>0</v>
      </c>
      <c r="F218" s="4" t="str">
        <f>TEXT(Data!B218,"MMM-YYYY")</f>
        <v>Jan-2023</v>
      </c>
      <c r="G218" s="4" t="str">
        <f t="shared" si="27"/>
        <v>Q4-2023</v>
      </c>
      <c r="H218" t="s">
        <v>45</v>
      </c>
      <c r="I218" t="s">
        <v>60</v>
      </c>
      <c r="J218" t="s">
        <v>220</v>
      </c>
      <c r="K218" t="s">
        <v>39</v>
      </c>
      <c r="L218" t="s">
        <v>40</v>
      </c>
      <c r="M218" t="s">
        <v>49</v>
      </c>
      <c r="N218" t="s">
        <v>64</v>
      </c>
      <c r="O218" t="s">
        <v>535</v>
      </c>
      <c r="P218" s="4">
        <v>1085.6099999999999</v>
      </c>
      <c r="Q218" s="7" t="str">
        <f t="shared" si="28"/>
        <v>High</v>
      </c>
      <c r="R218" s="4">
        <v>1246.4100000000001</v>
      </c>
      <c r="S218" s="4">
        <v>0.113</v>
      </c>
      <c r="T218" s="4">
        <v>7</v>
      </c>
      <c r="U218" s="4">
        <f t="shared" si="24"/>
        <v>11133.23372</v>
      </c>
      <c r="V218">
        <f t="shared" si="25"/>
        <v>7599.2699999999995</v>
      </c>
      <c r="W218" s="4">
        <f t="shared" si="29"/>
        <v>3533.9637200000006</v>
      </c>
      <c r="X218" s="4">
        <f t="shared" si="30"/>
        <v>0.31742473111397151</v>
      </c>
    </row>
    <row r="219" spans="1:24" x14ac:dyDescent="0.3">
      <c r="A219" t="s">
        <v>536</v>
      </c>
      <c r="B219" s="6">
        <v>44948</v>
      </c>
      <c r="C219" s="2">
        <v>44947</v>
      </c>
      <c r="D219" s="4">
        <f>DATEDIF(C219,B219, "MD")</f>
        <v>1</v>
      </c>
      <c r="E219" s="46" t="str">
        <f t="shared" si="26"/>
        <v>Yes</v>
      </c>
      <c r="F219" s="4" t="str">
        <f>TEXT(Data!B219,"MMM-YYYY")</f>
        <v>Oct-2024</v>
      </c>
      <c r="G219" s="4" t="str">
        <f t="shared" si="27"/>
        <v>Q1-2023</v>
      </c>
      <c r="H219" t="s">
        <v>78</v>
      </c>
      <c r="I219" t="s">
        <v>79</v>
      </c>
      <c r="J219" t="s">
        <v>159</v>
      </c>
      <c r="K219" t="s">
        <v>19</v>
      </c>
      <c r="L219" t="s">
        <v>98</v>
      </c>
      <c r="M219" t="s">
        <v>84</v>
      </c>
      <c r="N219" t="s">
        <v>64</v>
      </c>
      <c r="O219" t="s">
        <v>537</v>
      </c>
      <c r="P219" s="4">
        <v>150.86000000000001</v>
      </c>
      <c r="Q219" s="7" t="str">
        <f t="shared" si="28"/>
        <v>High</v>
      </c>
      <c r="R219" s="4">
        <v>346.96</v>
      </c>
      <c r="S219" s="4">
        <v>0.19600000000000001</v>
      </c>
      <c r="T219" s="4">
        <v>8</v>
      </c>
      <c r="U219" s="4">
        <f t="shared" si="24"/>
        <v>789.46368000000007</v>
      </c>
      <c r="V219">
        <f t="shared" si="25"/>
        <v>1206.8800000000001</v>
      </c>
      <c r="W219" s="4">
        <f t="shared" si="29"/>
        <v>-417.41632000000004</v>
      </c>
      <c r="X219" s="4">
        <f t="shared" si="30"/>
        <v>-0.52873403878440617</v>
      </c>
    </row>
    <row r="220" spans="1:24" x14ac:dyDescent="0.3">
      <c r="A220" t="s">
        <v>538</v>
      </c>
      <c r="B220" s="6">
        <v>45576</v>
      </c>
      <c r="C220" s="2">
        <v>45605</v>
      </c>
      <c r="D220" s="4">
        <f t="shared" si="31"/>
        <v>29</v>
      </c>
      <c r="E220" s="46" t="b">
        <f t="shared" si="26"/>
        <v>0</v>
      </c>
      <c r="F220" s="4" t="str">
        <f>TEXT(Data!B220,"MMM-YYYY")</f>
        <v>Sep-2024</v>
      </c>
      <c r="G220" s="4" t="str">
        <f t="shared" si="27"/>
        <v>Q4-2024</v>
      </c>
      <c r="H220" t="s">
        <v>45</v>
      </c>
      <c r="I220" t="s">
        <v>116</v>
      </c>
      <c r="J220" t="s">
        <v>162</v>
      </c>
      <c r="K220" t="s">
        <v>39</v>
      </c>
      <c r="L220" t="s">
        <v>28</v>
      </c>
      <c r="M220" t="s">
        <v>84</v>
      </c>
      <c r="N220" t="s">
        <v>30</v>
      </c>
      <c r="O220" t="s">
        <v>539</v>
      </c>
      <c r="P220" s="4">
        <v>391.64</v>
      </c>
      <c r="Q220" s="7" t="str">
        <f t="shared" si="28"/>
        <v>High</v>
      </c>
      <c r="R220" s="4">
        <v>504.76</v>
      </c>
      <c r="S220" s="4">
        <v>4.0000000000000001E-3</v>
      </c>
      <c r="T220" s="4">
        <v>13</v>
      </c>
      <c r="U220" s="4">
        <f t="shared" si="24"/>
        <v>12014.83764</v>
      </c>
      <c r="V220">
        <f t="shared" si="25"/>
        <v>5091.32</v>
      </c>
      <c r="W220" s="4">
        <f t="shared" si="29"/>
        <v>6923.51764</v>
      </c>
      <c r="X220" s="4">
        <f t="shared" si="30"/>
        <v>0.57624729084562143</v>
      </c>
    </row>
    <row r="221" spans="1:24" x14ac:dyDescent="0.3">
      <c r="A221" t="s">
        <v>540</v>
      </c>
      <c r="B221" s="6">
        <v>45554</v>
      </c>
      <c r="C221" s="2">
        <v>45579</v>
      </c>
      <c r="D221" s="4">
        <f t="shared" si="31"/>
        <v>25</v>
      </c>
      <c r="E221" s="46" t="b">
        <f t="shared" si="26"/>
        <v>0</v>
      </c>
      <c r="F221" s="4" t="str">
        <f>TEXT(Data!B221,"MMM-YYYY")</f>
        <v>Aug-2025</v>
      </c>
      <c r="G221" s="4" t="str">
        <f t="shared" si="27"/>
        <v>Q3-2024</v>
      </c>
      <c r="H221" t="s">
        <v>52</v>
      </c>
      <c r="I221" t="s">
        <v>73</v>
      </c>
      <c r="J221" t="s">
        <v>225</v>
      </c>
      <c r="K221" t="s">
        <v>62</v>
      </c>
      <c r="L221" t="s">
        <v>20</v>
      </c>
      <c r="M221" t="s">
        <v>95</v>
      </c>
      <c r="N221" t="s">
        <v>30</v>
      </c>
      <c r="O221" t="s">
        <v>541</v>
      </c>
      <c r="P221" s="4">
        <v>386.96</v>
      </c>
      <c r="Q221" s="7" t="str">
        <f t="shared" si="28"/>
        <v>High</v>
      </c>
      <c r="R221" s="4">
        <v>937.46</v>
      </c>
      <c r="S221" s="4">
        <v>0.26600000000000001</v>
      </c>
      <c r="T221" s="4">
        <v>41</v>
      </c>
      <c r="U221" s="4">
        <f t="shared" si="24"/>
        <v>4570.6767199999995</v>
      </c>
      <c r="V221">
        <f t="shared" si="25"/>
        <v>15865.359999999999</v>
      </c>
      <c r="W221" s="4">
        <f t="shared" si="29"/>
        <v>-11294.683279999999</v>
      </c>
      <c r="X221" s="4">
        <f t="shared" si="30"/>
        <v>-2.4711183861631763</v>
      </c>
    </row>
    <row r="222" spans="1:24" x14ac:dyDescent="0.3">
      <c r="A222" t="s">
        <v>542</v>
      </c>
      <c r="B222" s="6">
        <v>45894</v>
      </c>
      <c r="C222" s="2">
        <v>45924</v>
      </c>
      <c r="D222" s="4">
        <f t="shared" si="31"/>
        <v>30</v>
      </c>
      <c r="E222" s="46" t="b">
        <f t="shared" si="26"/>
        <v>0</v>
      </c>
      <c r="F222" s="4" t="str">
        <f>TEXT(Data!B222,"MMM-YYYY")</f>
        <v>Sep-2023</v>
      </c>
      <c r="G222" s="4" t="str">
        <f t="shared" si="27"/>
        <v>Q3-2025</v>
      </c>
      <c r="H222" t="s">
        <v>16</v>
      </c>
      <c r="I222" t="s">
        <v>17</v>
      </c>
      <c r="J222" t="s">
        <v>33</v>
      </c>
      <c r="K222" t="s">
        <v>48</v>
      </c>
      <c r="L222" t="s">
        <v>98</v>
      </c>
      <c r="M222" t="s">
        <v>56</v>
      </c>
      <c r="N222" t="s">
        <v>22</v>
      </c>
      <c r="O222" t="s">
        <v>543</v>
      </c>
      <c r="P222" s="4">
        <v>589.14</v>
      </c>
      <c r="Q222" s="7" t="str">
        <f t="shared" si="28"/>
        <v>High</v>
      </c>
      <c r="R222" s="4">
        <v>1300.58</v>
      </c>
      <c r="S222" s="4">
        <v>5.5E-2</v>
      </c>
      <c r="T222" s="4">
        <v>11</v>
      </c>
      <c r="U222" s="4">
        <f t="shared" si="24"/>
        <v>22977.108</v>
      </c>
      <c r="V222">
        <f t="shared" si="25"/>
        <v>6480.54</v>
      </c>
      <c r="W222" s="4">
        <f t="shared" si="29"/>
        <v>16496.567999999999</v>
      </c>
      <c r="X222" s="4">
        <f t="shared" si="30"/>
        <v>0.71795667235406646</v>
      </c>
    </row>
    <row r="223" spans="1:24" x14ac:dyDescent="0.3">
      <c r="A223" t="s">
        <v>544</v>
      </c>
      <c r="B223" s="6">
        <v>45194</v>
      </c>
      <c r="C223" s="2">
        <v>45201</v>
      </c>
      <c r="D223" s="4">
        <f t="shared" si="31"/>
        <v>7</v>
      </c>
      <c r="E223" s="46" t="str">
        <f t="shared" si="26"/>
        <v>Yes</v>
      </c>
      <c r="F223" s="4" t="str">
        <f>TEXT(Data!B223,"MMM-YYYY")</f>
        <v>Aug-2023</v>
      </c>
      <c r="G223" s="4" t="str">
        <f t="shared" si="27"/>
        <v>Q3-2023</v>
      </c>
      <c r="H223" t="s">
        <v>52</v>
      </c>
      <c r="I223" t="s">
        <v>122</v>
      </c>
      <c r="J223" t="s">
        <v>387</v>
      </c>
      <c r="K223" t="s">
        <v>27</v>
      </c>
      <c r="L223" t="s">
        <v>40</v>
      </c>
      <c r="M223" t="s">
        <v>34</v>
      </c>
      <c r="N223" t="s">
        <v>81</v>
      </c>
      <c r="O223" t="s">
        <v>545</v>
      </c>
      <c r="P223" s="4">
        <v>145.58000000000001</v>
      </c>
      <c r="Q223" s="7" t="str">
        <f t="shared" si="28"/>
        <v>High</v>
      </c>
      <c r="R223" s="4">
        <v>228.15</v>
      </c>
      <c r="S223" s="4">
        <v>0.20399999999999999</v>
      </c>
      <c r="T223" s="4">
        <v>5</v>
      </c>
      <c r="U223" s="4">
        <f t="shared" si="24"/>
        <v>158.16520000000003</v>
      </c>
      <c r="V223">
        <f t="shared" si="25"/>
        <v>727.90000000000009</v>
      </c>
      <c r="W223" s="4">
        <f t="shared" si="29"/>
        <v>-569.73480000000006</v>
      </c>
      <c r="X223" s="4">
        <f t="shared" si="30"/>
        <v>-3.602150156924532</v>
      </c>
    </row>
    <row r="224" spans="1:24" x14ac:dyDescent="0.3">
      <c r="A224" t="s">
        <v>546</v>
      </c>
      <c r="B224" s="6">
        <v>45164</v>
      </c>
      <c r="C224" s="2">
        <v>45179</v>
      </c>
      <c r="D224" s="4">
        <f t="shared" si="31"/>
        <v>15</v>
      </c>
      <c r="E224" s="46" t="b">
        <f t="shared" si="26"/>
        <v>0</v>
      </c>
      <c r="F224" s="4" t="str">
        <f>TEXT(Data!B224,"MMM-YYYY")</f>
        <v>Jul-2025</v>
      </c>
      <c r="G224" s="4" t="str">
        <f t="shared" si="27"/>
        <v>Q3-2023</v>
      </c>
      <c r="H224" t="s">
        <v>16</v>
      </c>
      <c r="I224" t="s">
        <v>148</v>
      </c>
      <c r="J224" t="s">
        <v>258</v>
      </c>
      <c r="K224" t="s">
        <v>39</v>
      </c>
      <c r="L224" t="s">
        <v>98</v>
      </c>
      <c r="M224" t="s">
        <v>126</v>
      </c>
      <c r="N224" t="s">
        <v>22</v>
      </c>
      <c r="O224" t="s">
        <v>547</v>
      </c>
      <c r="P224" s="4">
        <v>241.14</v>
      </c>
      <c r="Q224" s="7" t="str">
        <f t="shared" si="28"/>
        <v>High</v>
      </c>
      <c r="R224" s="4">
        <v>496.52</v>
      </c>
      <c r="S224" s="4">
        <v>9.2999999999999999E-2</v>
      </c>
      <c r="T224" s="4">
        <v>10</v>
      </c>
      <c r="U224" s="4">
        <f t="shared" si="24"/>
        <v>9151.630000000001</v>
      </c>
      <c r="V224">
        <f t="shared" si="25"/>
        <v>2411.3999999999996</v>
      </c>
      <c r="W224" s="4">
        <f t="shared" si="29"/>
        <v>6740.2300000000014</v>
      </c>
      <c r="X224" s="4">
        <f t="shared" si="30"/>
        <v>0.73650595576962796</v>
      </c>
    </row>
    <row r="225" spans="1:24" x14ac:dyDescent="0.3">
      <c r="A225" t="s">
        <v>548</v>
      </c>
      <c r="B225" s="6">
        <v>45854</v>
      </c>
      <c r="C225" s="2">
        <v>45855</v>
      </c>
      <c r="D225" s="4">
        <f t="shared" si="31"/>
        <v>1</v>
      </c>
      <c r="E225" s="46" t="str">
        <f t="shared" si="26"/>
        <v>Yes</v>
      </c>
      <c r="F225" s="4" t="str">
        <f>TEXT(Data!B225,"MMM-YYYY")</f>
        <v>Apr-2023</v>
      </c>
      <c r="G225" s="4" t="str">
        <f t="shared" si="27"/>
        <v>Q3-2025</v>
      </c>
      <c r="H225" t="s">
        <v>16</v>
      </c>
      <c r="I225" t="s">
        <v>148</v>
      </c>
      <c r="J225" t="s">
        <v>172</v>
      </c>
      <c r="K225" t="s">
        <v>62</v>
      </c>
      <c r="L225" t="s">
        <v>55</v>
      </c>
      <c r="M225" t="s">
        <v>56</v>
      </c>
      <c r="N225" t="s">
        <v>35</v>
      </c>
      <c r="O225" t="s">
        <v>549</v>
      </c>
      <c r="P225" s="4">
        <v>1198.9000000000001</v>
      </c>
      <c r="Q225" s="7" t="str">
        <f t="shared" si="28"/>
        <v>High</v>
      </c>
      <c r="R225" s="4">
        <v>2941.2</v>
      </c>
      <c r="S225" s="4">
        <v>5.0999999999999997E-2</v>
      </c>
      <c r="T225" s="4">
        <v>24</v>
      </c>
      <c r="U225" s="4">
        <f t="shared" si="24"/>
        <v>37663.304640000002</v>
      </c>
      <c r="V225">
        <f t="shared" si="25"/>
        <v>28773.600000000002</v>
      </c>
      <c r="W225" s="4">
        <f t="shared" si="29"/>
        <v>8889.7046399999999</v>
      </c>
      <c r="X225" s="4">
        <f t="shared" si="30"/>
        <v>0.23603092519286697</v>
      </c>
    </row>
    <row r="226" spans="1:24" x14ac:dyDescent="0.3">
      <c r="A226" t="s">
        <v>550</v>
      </c>
      <c r="B226" s="6">
        <v>45035</v>
      </c>
      <c r="C226" s="2">
        <v>45053</v>
      </c>
      <c r="D226" s="4">
        <f t="shared" si="31"/>
        <v>18</v>
      </c>
      <c r="E226" s="46" t="b">
        <f t="shared" si="26"/>
        <v>0</v>
      </c>
      <c r="F226" s="4" t="str">
        <f>TEXT(Data!B226,"MMM-YYYY")</f>
        <v>Dec-2023</v>
      </c>
      <c r="G226" s="4" t="str">
        <f t="shared" si="27"/>
        <v>Q2-2023</v>
      </c>
      <c r="H226" t="s">
        <v>78</v>
      </c>
      <c r="I226" t="s">
        <v>108</v>
      </c>
      <c r="J226" t="s">
        <v>109</v>
      </c>
      <c r="K226" t="s">
        <v>105</v>
      </c>
      <c r="L226" t="s">
        <v>20</v>
      </c>
      <c r="M226" t="s">
        <v>126</v>
      </c>
      <c r="N226" t="s">
        <v>57</v>
      </c>
      <c r="O226" t="s">
        <v>551</v>
      </c>
      <c r="P226" s="4">
        <v>1089.1500000000001</v>
      </c>
      <c r="Q226" s="7" t="str">
        <f t="shared" si="28"/>
        <v>High</v>
      </c>
      <c r="R226" s="4">
        <v>1088.2</v>
      </c>
      <c r="S226" s="4">
        <v>5.0999999999999997E-2</v>
      </c>
      <c r="T226" s="4">
        <v>15</v>
      </c>
      <c r="U226" s="4">
        <f t="shared" si="24"/>
        <v>14458.4895</v>
      </c>
      <c r="V226">
        <f t="shared" si="25"/>
        <v>16337.250000000002</v>
      </c>
      <c r="W226" s="4">
        <f t="shared" si="29"/>
        <v>-1878.7605000000021</v>
      </c>
      <c r="X226" s="4">
        <f t="shared" si="30"/>
        <v>-0.12994168581718044</v>
      </c>
    </row>
    <row r="227" spans="1:24" x14ac:dyDescent="0.3">
      <c r="A227" t="s">
        <v>552</v>
      </c>
      <c r="B227" s="6">
        <v>45279</v>
      </c>
      <c r="C227" s="2">
        <v>45280</v>
      </c>
      <c r="D227" s="4">
        <f t="shared" si="31"/>
        <v>1</v>
      </c>
      <c r="E227" s="46" t="str">
        <f t="shared" si="26"/>
        <v>Yes</v>
      </c>
      <c r="F227" s="4" t="str">
        <f>TEXT(Data!B227,"MMM-YYYY")</f>
        <v>Jul-2023</v>
      </c>
      <c r="G227" s="4" t="str">
        <f t="shared" si="27"/>
        <v>Q4-2023</v>
      </c>
      <c r="H227" t="s">
        <v>52</v>
      </c>
      <c r="I227" t="s">
        <v>73</v>
      </c>
      <c r="J227" t="s">
        <v>225</v>
      </c>
      <c r="K227" t="s">
        <v>48</v>
      </c>
      <c r="L227" t="s">
        <v>55</v>
      </c>
      <c r="M227" t="s">
        <v>29</v>
      </c>
      <c r="N227" t="s">
        <v>42</v>
      </c>
      <c r="O227" t="s">
        <v>553</v>
      </c>
      <c r="P227" s="4">
        <v>1080.43</v>
      </c>
      <c r="Q227" s="7" t="str">
        <f t="shared" si="28"/>
        <v>High</v>
      </c>
      <c r="R227" s="4">
        <v>2529.15</v>
      </c>
      <c r="S227" s="4">
        <v>0.14699999999999999</v>
      </c>
      <c r="T227" s="4">
        <v>10</v>
      </c>
      <c r="U227" s="4">
        <f t="shared" si="24"/>
        <v>7783.1984999999995</v>
      </c>
      <c r="V227">
        <f t="shared" si="25"/>
        <v>10804.300000000001</v>
      </c>
      <c r="W227" s="4">
        <f t="shared" si="29"/>
        <v>-3021.1015000000016</v>
      </c>
      <c r="X227" s="4">
        <f t="shared" si="30"/>
        <v>-0.38815680982567796</v>
      </c>
    </row>
    <row r="228" spans="1:24" x14ac:dyDescent="0.3">
      <c r="A228" t="s">
        <v>554</v>
      </c>
      <c r="B228" s="6">
        <v>45137</v>
      </c>
      <c r="C228" s="2">
        <v>45145</v>
      </c>
      <c r="D228" s="4">
        <f t="shared" si="31"/>
        <v>8</v>
      </c>
      <c r="E228" s="46" t="b">
        <f t="shared" si="26"/>
        <v>0</v>
      </c>
      <c r="F228" s="4" t="str">
        <f>TEXT(Data!B228,"MMM-YYYY")</f>
        <v>Oct-2023</v>
      </c>
      <c r="G228" s="4" t="str">
        <f t="shared" si="27"/>
        <v>Q3-2023</v>
      </c>
      <c r="H228" t="s">
        <v>45</v>
      </c>
      <c r="I228" t="s">
        <v>46</v>
      </c>
      <c r="J228" t="s">
        <v>231</v>
      </c>
      <c r="K228" t="s">
        <v>27</v>
      </c>
      <c r="L228" t="s">
        <v>40</v>
      </c>
      <c r="M228" t="s">
        <v>75</v>
      </c>
      <c r="N228" t="s">
        <v>35</v>
      </c>
      <c r="O228" t="s">
        <v>555</v>
      </c>
      <c r="P228" s="4">
        <v>1352.44</v>
      </c>
      <c r="Q228" s="7" t="str">
        <f t="shared" si="28"/>
        <v>High</v>
      </c>
      <c r="R228" s="4">
        <v>2698.01</v>
      </c>
      <c r="S228" s="4">
        <v>0.13100000000000001</v>
      </c>
      <c r="T228" s="4">
        <v>13</v>
      </c>
      <c r="U228" s="4">
        <f t="shared" si="24"/>
        <v>9209.201430000001</v>
      </c>
      <c r="V228">
        <f t="shared" si="25"/>
        <v>17581.72</v>
      </c>
      <c r="W228" s="4">
        <f t="shared" si="29"/>
        <v>-8372.5185700000002</v>
      </c>
      <c r="X228" s="4">
        <f t="shared" si="30"/>
        <v>-0.90914707791335603</v>
      </c>
    </row>
    <row r="229" spans="1:24" x14ac:dyDescent="0.3">
      <c r="A229" t="s">
        <v>556</v>
      </c>
      <c r="B229" s="6">
        <v>45203</v>
      </c>
      <c r="C229" s="2">
        <v>45228</v>
      </c>
      <c r="D229" s="4">
        <f t="shared" si="31"/>
        <v>25</v>
      </c>
      <c r="E229" s="46" t="b">
        <f t="shared" si="26"/>
        <v>0</v>
      </c>
      <c r="F229" s="4" t="str">
        <f>TEXT(Data!B229,"MMM-YYYY")</f>
        <v>Aug-2025</v>
      </c>
      <c r="G229" s="4" t="str">
        <f t="shared" si="27"/>
        <v>Q4-2023</v>
      </c>
      <c r="H229" t="s">
        <v>52</v>
      </c>
      <c r="I229" t="s">
        <v>122</v>
      </c>
      <c r="J229" t="s">
        <v>167</v>
      </c>
      <c r="K229" t="s">
        <v>62</v>
      </c>
      <c r="L229" t="s">
        <v>55</v>
      </c>
      <c r="M229" t="s">
        <v>68</v>
      </c>
      <c r="N229" t="s">
        <v>81</v>
      </c>
      <c r="O229" t="s">
        <v>557</v>
      </c>
      <c r="P229" s="4">
        <v>1239.8399999999999</v>
      </c>
      <c r="Q229" s="7" t="str">
        <f t="shared" si="28"/>
        <v>High</v>
      </c>
      <c r="R229" s="4">
        <v>1482.75</v>
      </c>
      <c r="S229" s="4">
        <v>6.7000000000000004E-2</v>
      </c>
      <c r="T229" s="4">
        <v>4</v>
      </c>
      <c r="U229" s="4">
        <f t="shared" si="24"/>
        <v>6770.0719200000003</v>
      </c>
      <c r="V229">
        <f t="shared" si="25"/>
        <v>4959.3599999999997</v>
      </c>
      <c r="W229" s="4">
        <f t="shared" si="29"/>
        <v>1810.7119200000006</v>
      </c>
      <c r="X229" s="4">
        <f t="shared" si="30"/>
        <v>0.26745829902498297</v>
      </c>
    </row>
    <row r="230" spans="1:24" x14ac:dyDescent="0.3">
      <c r="A230" t="s">
        <v>558</v>
      </c>
      <c r="B230" s="6">
        <v>45879</v>
      </c>
      <c r="C230" s="2">
        <v>45899</v>
      </c>
      <c r="D230" s="4">
        <f t="shared" si="31"/>
        <v>20</v>
      </c>
      <c r="E230" s="46" t="b">
        <f t="shared" si="26"/>
        <v>0</v>
      </c>
      <c r="F230" s="4" t="str">
        <f>TEXT(Data!B230,"MMM-YYYY")</f>
        <v>Mar-2023</v>
      </c>
      <c r="G230" s="4" t="str">
        <f t="shared" si="27"/>
        <v>Q3-2025</v>
      </c>
      <c r="H230" t="s">
        <v>52</v>
      </c>
      <c r="I230" t="s">
        <v>122</v>
      </c>
      <c r="J230" t="s">
        <v>167</v>
      </c>
      <c r="K230" t="s">
        <v>19</v>
      </c>
      <c r="L230" t="s">
        <v>40</v>
      </c>
      <c r="M230" t="s">
        <v>95</v>
      </c>
      <c r="N230" t="s">
        <v>30</v>
      </c>
      <c r="O230" t="s">
        <v>559</v>
      </c>
      <c r="P230" s="4">
        <v>933.29</v>
      </c>
      <c r="Q230" s="7" t="str">
        <f t="shared" si="28"/>
        <v>High</v>
      </c>
      <c r="R230" s="4">
        <v>1456.81</v>
      </c>
      <c r="S230" s="4">
        <v>0.123</v>
      </c>
      <c r="T230" s="4">
        <v>13</v>
      </c>
      <c r="U230" s="4">
        <f t="shared" si="24"/>
        <v>8652.4469199999985</v>
      </c>
      <c r="V230">
        <f t="shared" si="25"/>
        <v>12132.77</v>
      </c>
      <c r="W230" s="4">
        <f t="shared" si="29"/>
        <v>-3480.3230800000019</v>
      </c>
      <c r="X230" s="4">
        <f t="shared" si="30"/>
        <v>-0.4022357042093247</v>
      </c>
    </row>
    <row r="231" spans="1:24" x14ac:dyDescent="0.3">
      <c r="A231" t="s">
        <v>560</v>
      </c>
      <c r="B231" s="6">
        <v>44992</v>
      </c>
      <c r="C231" s="2">
        <v>45017</v>
      </c>
      <c r="D231" s="4">
        <f t="shared" si="31"/>
        <v>25</v>
      </c>
      <c r="E231" s="46" t="b">
        <f t="shared" si="26"/>
        <v>0</v>
      </c>
      <c r="F231" s="4" t="str">
        <f>TEXT(Data!B231,"MMM-YYYY")</f>
        <v>May-2023</v>
      </c>
      <c r="G231" s="4" t="str">
        <f t="shared" si="27"/>
        <v>Q1-2023</v>
      </c>
      <c r="H231" t="s">
        <v>16</v>
      </c>
      <c r="I231" t="s">
        <v>17</v>
      </c>
      <c r="J231" t="s">
        <v>33</v>
      </c>
      <c r="K231" t="s">
        <v>48</v>
      </c>
      <c r="L231" t="s">
        <v>40</v>
      </c>
      <c r="M231" t="s">
        <v>145</v>
      </c>
      <c r="N231" t="s">
        <v>30</v>
      </c>
      <c r="O231" t="s">
        <v>561</v>
      </c>
      <c r="P231" s="4">
        <v>1024.0999999999999</v>
      </c>
      <c r="Q231" s="7" t="str">
        <f t="shared" si="28"/>
        <v>High</v>
      </c>
      <c r="R231" s="4">
        <v>918.19</v>
      </c>
      <c r="S231" s="4">
        <v>0.189</v>
      </c>
      <c r="T231" s="4">
        <v>10</v>
      </c>
      <c r="U231" s="4">
        <f t="shared" si="24"/>
        <v>13522.938400000001</v>
      </c>
      <c r="V231">
        <f t="shared" si="25"/>
        <v>10241</v>
      </c>
      <c r="W231" s="4">
        <f t="shared" si="29"/>
        <v>3281.9384000000009</v>
      </c>
      <c r="X231" s="4">
        <f t="shared" si="30"/>
        <v>0.24269417658517181</v>
      </c>
    </row>
    <row r="232" spans="1:24" x14ac:dyDescent="0.3">
      <c r="A232" t="s">
        <v>562</v>
      </c>
      <c r="B232" s="6">
        <v>45069</v>
      </c>
      <c r="C232" s="2">
        <v>45087</v>
      </c>
      <c r="D232" s="4">
        <f t="shared" si="31"/>
        <v>18</v>
      </c>
      <c r="E232" s="46" t="b">
        <f t="shared" si="26"/>
        <v>0</v>
      </c>
      <c r="F232" s="4" t="str">
        <f>TEXT(Data!B232,"MMM-YYYY")</f>
        <v>Apr-2025</v>
      </c>
      <c r="G232" s="4" t="str">
        <f t="shared" si="27"/>
        <v>Q2-2023</v>
      </c>
      <c r="H232" t="s">
        <v>45</v>
      </c>
      <c r="I232" t="s">
        <v>116</v>
      </c>
      <c r="J232" t="s">
        <v>162</v>
      </c>
      <c r="K232" t="s">
        <v>19</v>
      </c>
      <c r="L232" t="s">
        <v>55</v>
      </c>
      <c r="M232" t="s">
        <v>63</v>
      </c>
      <c r="N232" t="s">
        <v>22</v>
      </c>
      <c r="O232" t="s">
        <v>563</v>
      </c>
      <c r="P232" s="4">
        <v>54.62</v>
      </c>
      <c r="Q232" s="7" t="str">
        <f t="shared" si="28"/>
        <v>Low</v>
      </c>
      <c r="R232" s="4">
        <v>48.94</v>
      </c>
      <c r="S232" s="4">
        <v>0.14799999999999999</v>
      </c>
      <c r="T232" s="4">
        <v>16</v>
      </c>
      <c r="U232" s="4">
        <f t="shared" si="24"/>
        <v>34932.681600000004</v>
      </c>
      <c r="V232">
        <f t="shared" si="25"/>
        <v>873.92</v>
      </c>
      <c r="W232" s="4">
        <f t="shared" si="29"/>
        <v>34058.761600000005</v>
      </c>
      <c r="X232" s="4">
        <f t="shared" si="30"/>
        <v>0.9749827393726338</v>
      </c>
    </row>
    <row r="233" spans="1:24" x14ac:dyDescent="0.3">
      <c r="A233" t="s">
        <v>564</v>
      </c>
      <c r="B233" s="6">
        <v>45771</v>
      </c>
      <c r="C233" s="2">
        <v>45783</v>
      </c>
      <c r="D233" s="4">
        <f t="shared" si="31"/>
        <v>12</v>
      </c>
      <c r="E233" s="46" t="b">
        <f t="shared" si="26"/>
        <v>0</v>
      </c>
      <c r="F233" s="4" t="str">
        <f>TEXT(Data!B233,"MMM-YYYY")</f>
        <v>Sep-2024</v>
      </c>
      <c r="G233" s="4" t="str">
        <f t="shared" si="27"/>
        <v>Q2-2025</v>
      </c>
      <c r="H233" t="s">
        <v>52</v>
      </c>
      <c r="I233" t="s">
        <v>73</v>
      </c>
      <c r="J233" t="s">
        <v>87</v>
      </c>
      <c r="K233" t="s">
        <v>48</v>
      </c>
      <c r="L233" t="s">
        <v>28</v>
      </c>
      <c r="M233" t="s">
        <v>21</v>
      </c>
      <c r="N233" t="s">
        <v>42</v>
      </c>
      <c r="O233" t="s">
        <v>565</v>
      </c>
      <c r="P233" s="4">
        <v>394.13</v>
      </c>
      <c r="Q233" s="7" t="str">
        <f t="shared" si="28"/>
        <v>High</v>
      </c>
      <c r="R233" s="4">
        <v>932.29</v>
      </c>
      <c r="S233" s="4">
        <v>0.109</v>
      </c>
      <c r="T233" s="4">
        <v>7</v>
      </c>
      <c r="U233" s="4">
        <f t="shared" si="24"/>
        <v>4648.9350599999998</v>
      </c>
      <c r="V233">
        <f t="shared" si="25"/>
        <v>2758.91</v>
      </c>
      <c r="W233" s="4">
        <f t="shared" si="29"/>
        <v>1890.0250599999999</v>
      </c>
      <c r="X233" s="4">
        <f t="shared" si="30"/>
        <v>0.40655010999443819</v>
      </c>
    </row>
    <row r="234" spans="1:24" x14ac:dyDescent="0.3">
      <c r="A234" t="s">
        <v>566</v>
      </c>
      <c r="B234" s="6">
        <v>45538</v>
      </c>
      <c r="C234" s="2">
        <v>45543</v>
      </c>
      <c r="D234" s="4">
        <f t="shared" si="31"/>
        <v>5</v>
      </c>
      <c r="E234" s="46" t="str">
        <f t="shared" si="26"/>
        <v>Yes</v>
      </c>
      <c r="F234" s="4" t="str">
        <f>TEXT(Data!B234,"MMM-YYYY")</f>
        <v>Sep-2024</v>
      </c>
      <c r="G234" s="4" t="str">
        <f t="shared" si="27"/>
        <v>Q3-2024</v>
      </c>
      <c r="H234" t="s">
        <v>16</v>
      </c>
      <c r="I234" t="s">
        <v>25</v>
      </c>
      <c r="J234" t="s">
        <v>38</v>
      </c>
      <c r="K234" t="s">
        <v>62</v>
      </c>
      <c r="L234" t="s">
        <v>98</v>
      </c>
      <c r="M234" t="s">
        <v>95</v>
      </c>
      <c r="N234" t="s">
        <v>30</v>
      </c>
      <c r="O234" t="s">
        <v>567</v>
      </c>
      <c r="P234" s="4">
        <v>197.63</v>
      </c>
      <c r="Q234" s="7" t="str">
        <f t="shared" si="28"/>
        <v>High</v>
      </c>
      <c r="R234" s="4">
        <v>325.79000000000002</v>
      </c>
      <c r="S234" s="4">
        <v>0.11600000000000001</v>
      </c>
      <c r="T234" s="4">
        <v>10</v>
      </c>
      <c r="U234" s="4">
        <f t="shared" si="24"/>
        <v>6081.4780000000001</v>
      </c>
      <c r="V234">
        <f t="shared" si="25"/>
        <v>1976.3</v>
      </c>
      <c r="W234" s="4">
        <f t="shared" si="29"/>
        <v>4105.1779999999999</v>
      </c>
      <c r="X234" s="4">
        <f t="shared" si="30"/>
        <v>0.67502965561990025</v>
      </c>
    </row>
    <row r="235" spans="1:24" x14ac:dyDescent="0.3">
      <c r="A235" t="s">
        <v>568</v>
      </c>
      <c r="B235" s="6">
        <v>45540</v>
      </c>
      <c r="C235" s="2">
        <v>45560</v>
      </c>
      <c r="D235" s="4">
        <f t="shared" si="31"/>
        <v>20</v>
      </c>
      <c r="E235" s="46" t="b">
        <f t="shared" si="26"/>
        <v>0</v>
      </c>
      <c r="F235" s="4" t="str">
        <f>TEXT(Data!B235,"MMM-YYYY")</f>
        <v>Mar-2023</v>
      </c>
      <c r="G235" s="4" t="str">
        <f t="shared" si="27"/>
        <v>Q3-2024</v>
      </c>
      <c r="H235" t="s">
        <v>45</v>
      </c>
      <c r="I235" t="s">
        <v>46</v>
      </c>
      <c r="J235" t="s">
        <v>47</v>
      </c>
      <c r="K235" t="s">
        <v>105</v>
      </c>
      <c r="L235" t="s">
        <v>55</v>
      </c>
      <c r="M235" t="s">
        <v>145</v>
      </c>
      <c r="N235" t="s">
        <v>64</v>
      </c>
      <c r="O235" t="s">
        <v>569</v>
      </c>
      <c r="P235" s="4">
        <v>195.54</v>
      </c>
      <c r="Q235" s="7" t="str">
        <f t="shared" si="28"/>
        <v>High</v>
      </c>
      <c r="R235" s="4">
        <v>405.97</v>
      </c>
      <c r="S235" s="4">
        <v>0.187</v>
      </c>
      <c r="T235" s="4">
        <v>16</v>
      </c>
      <c r="U235" s="4">
        <f t="shared" si="24"/>
        <v>7155.3105599999999</v>
      </c>
      <c r="V235">
        <f t="shared" si="25"/>
        <v>3128.64</v>
      </c>
      <c r="W235" s="4">
        <f t="shared" si="29"/>
        <v>4026.67056</v>
      </c>
      <c r="X235" s="4">
        <f t="shared" si="30"/>
        <v>0.56275273116866642</v>
      </c>
    </row>
    <row r="236" spans="1:24" x14ac:dyDescent="0.3">
      <c r="A236" t="s">
        <v>570</v>
      </c>
      <c r="B236" s="6">
        <v>44999</v>
      </c>
      <c r="C236" s="2">
        <v>45015</v>
      </c>
      <c r="D236" s="4">
        <f t="shared" si="31"/>
        <v>16</v>
      </c>
      <c r="E236" s="46" t="b">
        <f t="shared" si="26"/>
        <v>0</v>
      </c>
      <c r="F236" s="4" t="str">
        <f>TEXT(Data!B236,"MMM-YYYY")</f>
        <v>Jan-2024</v>
      </c>
      <c r="G236" s="4" t="str">
        <f t="shared" si="27"/>
        <v>Q1-2023</v>
      </c>
      <c r="H236" t="s">
        <v>16</v>
      </c>
      <c r="I236" t="s">
        <v>148</v>
      </c>
      <c r="J236" t="s">
        <v>258</v>
      </c>
      <c r="K236" t="s">
        <v>48</v>
      </c>
      <c r="L236" t="s">
        <v>55</v>
      </c>
      <c r="M236" t="s">
        <v>95</v>
      </c>
      <c r="N236" t="s">
        <v>22</v>
      </c>
      <c r="O236" t="s">
        <v>571</v>
      </c>
      <c r="P236" s="4">
        <v>1309.77</v>
      </c>
      <c r="Q236" s="7" t="str">
        <f t="shared" si="28"/>
        <v>High</v>
      </c>
      <c r="R236" s="4">
        <v>1589.07</v>
      </c>
      <c r="S236" s="4">
        <v>0.10199999999999999</v>
      </c>
      <c r="T236" s="4">
        <v>10</v>
      </c>
      <c r="U236" s="4">
        <f t="shared" si="24"/>
        <v>18572.525799999999</v>
      </c>
      <c r="V236">
        <f t="shared" si="25"/>
        <v>13097.7</v>
      </c>
      <c r="W236" s="4">
        <f t="shared" si="29"/>
        <v>5474.8257999999987</v>
      </c>
      <c r="X236" s="4">
        <f t="shared" si="30"/>
        <v>0.29478089619883574</v>
      </c>
    </row>
    <row r="237" spans="1:24" x14ac:dyDescent="0.3">
      <c r="A237" t="s">
        <v>572</v>
      </c>
      <c r="B237" s="6">
        <v>45302</v>
      </c>
      <c r="C237" s="2">
        <v>45324</v>
      </c>
      <c r="D237" s="4">
        <f t="shared" si="31"/>
        <v>22</v>
      </c>
      <c r="E237" s="46" t="b">
        <f t="shared" si="26"/>
        <v>0</v>
      </c>
      <c r="F237" s="4" t="str">
        <f>TEXT(Data!B237,"MMM-YYYY")</f>
        <v>Sep-2024</v>
      </c>
      <c r="G237" s="4" t="str">
        <f t="shared" si="27"/>
        <v>Q1-2024</v>
      </c>
      <c r="H237" t="s">
        <v>45</v>
      </c>
      <c r="I237" t="s">
        <v>46</v>
      </c>
      <c r="J237" t="s">
        <v>231</v>
      </c>
      <c r="K237" t="s">
        <v>62</v>
      </c>
      <c r="L237" t="s">
        <v>28</v>
      </c>
      <c r="M237" t="s">
        <v>1364</v>
      </c>
      <c r="N237" t="s">
        <v>30</v>
      </c>
      <c r="O237" t="s">
        <v>573</v>
      </c>
      <c r="P237" s="4">
        <v>1237.68</v>
      </c>
      <c r="Q237" s="7" t="str">
        <f t="shared" si="28"/>
        <v>High</v>
      </c>
      <c r="R237" s="4">
        <v>1432.8</v>
      </c>
      <c r="S237" s="4">
        <v>6.8000000000000005E-2</v>
      </c>
      <c r="T237" s="4">
        <v>13</v>
      </c>
      <c r="U237" s="4">
        <f t="shared" si="24"/>
        <v>31218.691400000003</v>
      </c>
      <c r="V237">
        <f t="shared" si="25"/>
        <v>16089.84</v>
      </c>
      <c r="W237" s="4">
        <f t="shared" si="29"/>
        <v>15128.851400000003</v>
      </c>
      <c r="X237" s="4">
        <f t="shared" si="30"/>
        <v>0.48460876230065175</v>
      </c>
    </row>
    <row r="238" spans="1:24" x14ac:dyDescent="0.3">
      <c r="A238" t="s">
        <v>574</v>
      </c>
      <c r="B238" s="6">
        <v>45548</v>
      </c>
      <c r="C238" s="2">
        <v>45567</v>
      </c>
      <c r="D238" s="4">
        <f t="shared" si="31"/>
        <v>19</v>
      </c>
      <c r="E238" s="46" t="b">
        <f t="shared" si="26"/>
        <v>0</v>
      </c>
      <c r="F238" s="4" t="str">
        <f>TEXT(Data!B238,"MMM-YYYY")</f>
        <v>Jul-2025</v>
      </c>
      <c r="G238" s="4" t="str">
        <f t="shared" si="27"/>
        <v>Q3-2024</v>
      </c>
      <c r="H238" t="s">
        <v>16</v>
      </c>
      <c r="I238" t="s">
        <v>17</v>
      </c>
      <c r="J238" t="s">
        <v>113</v>
      </c>
      <c r="K238" t="s">
        <v>62</v>
      </c>
      <c r="L238" t="s">
        <v>20</v>
      </c>
      <c r="M238" t="s">
        <v>110</v>
      </c>
      <c r="N238" t="s">
        <v>42</v>
      </c>
      <c r="O238" t="s">
        <v>575</v>
      </c>
      <c r="P238" s="4">
        <v>1338.99</v>
      </c>
      <c r="Q238" s="7" t="str">
        <f t="shared" si="28"/>
        <v>High</v>
      </c>
      <c r="R238" s="4">
        <v>1765.76</v>
      </c>
      <c r="S238" s="4">
        <v>0.126</v>
      </c>
      <c r="T238" s="4">
        <v>24</v>
      </c>
      <c r="U238" s="4">
        <f t="shared" si="24"/>
        <v>21901.880639999999</v>
      </c>
      <c r="V238">
        <f t="shared" si="25"/>
        <v>32135.760000000002</v>
      </c>
      <c r="W238" s="4">
        <f t="shared" si="29"/>
        <v>-10233.879360000003</v>
      </c>
      <c r="X238" s="4">
        <f t="shared" si="30"/>
        <v>-0.46726030189889678</v>
      </c>
    </row>
    <row r="239" spans="1:24" x14ac:dyDescent="0.3">
      <c r="A239" t="s">
        <v>576</v>
      </c>
      <c r="B239" s="6">
        <v>45855</v>
      </c>
      <c r="C239" s="2">
        <v>45861</v>
      </c>
      <c r="D239" s="4">
        <f t="shared" si="31"/>
        <v>6</v>
      </c>
      <c r="E239" s="46" t="str">
        <f t="shared" si="26"/>
        <v>Yes</v>
      </c>
      <c r="F239" s="4" t="str">
        <f>TEXT(Data!B239,"MMM-YYYY")</f>
        <v>Nov-2023</v>
      </c>
      <c r="G239" s="4" t="str">
        <f t="shared" si="27"/>
        <v>Q3-2025</v>
      </c>
      <c r="H239" t="s">
        <v>52</v>
      </c>
      <c r="I239" t="s">
        <v>53</v>
      </c>
      <c r="J239" t="s">
        <v>179</v>
      </c>
      <c r="K239" t="s">
        <v>48</v>
      </c>
      <c r="L239" t="s">
        <v>28</v>
      </c>
      <c r="M239" t="s">
        <v>92</v>
      </c>
      <c r="N239" t="s">
        <v>22</v>
      </c>
      <c r="O239" t="s">
        <v>577</v>
      </c>
      <c r="P239" s="4">
        <v>1364.89</v>
      </c>
      <c r="Q239" s="7" t="str">
        <f t="shared" si="28"/>
        <v>High</v>
      </c>
      <c r="R239" s="4">
        <v>2757.54</v>
      </c>
      <c r="S239" s="4">
        <v>0.17199999999999999</v>
      </c>
      <c r="T239" s="4">
        <v>61</v>
      </c>
      <c r="U239" s="4">
        <f t="shared" si="24"/>
        <v>5002.3123200000009</v>
      </c>
      <c r="V239">
        <f t="shared" si="25"/>
        <v>83258.290000000008</v>
      </c>
      <c r="W239" s="4">
        <f t="shared" si="29"/>
        <v>-78255.977680000011</v>
      </c>
      <c r="X239" s="4">
        <f t="shared" si="30"/>
        <v>-15.643960767327698</v>
      </c>
    </row>
    <row r="240" spans="1:24" x14ac:dyDescent="0.3">
      <c r="A240" t="s">
        <v>578</v>
      </c>
      <c r="B240" s="6">
        <v>45258</v>
      </c>
      <c r="C240" s="2">
        <v>45267</v>
      </c>
      <c r="D240" s="4">
        <f t="shared" si="31"/>
        <v>9</v>
      </c>
      <c r="E240" s="46" t="b">
        <f t="shared" si="26"/>
        <v>0</v>
      </c>
      <c r="F240" s="4" t="str">
        <f>TEXT(Data!B240,"MMM-YYYY")</f>
        <v>Mar-2024</v>
      </c>
      <c r="G240" s="4" t="str">
        <f t="shared" si="27"/>
        <v>Q4-2023</v>
      </c>
      <c r="H240" t="s">
        <v>45</v>
      </c>
      <c r="I240" t="s">
        <v>60</v>
      </c>
      <c r="J240" t="s">
        <v>141</v>
      </c>
      <c r="K240" t="s">
        <v>105</v>
      </c>
      <c r="L240" t="s">
        <v>40</v>
      </c>
      <c r="M240" t="s">
        <v>49</v>
      </c>
      <c r="N240" t="s">
        <v>42</v>
      </c>
      <c r="O240" t="s">
        <v>579</v>
      </c>
      <c r="P240" s="4">
        <v>699.33</v>
      </c>
      <c r="Q240" s="7" t="str">
        <f t="shared" si="28"/>
        <v>High</v>
      </c>
      <c r="R240" s="4">
        <v>873.75</v>
      </c>
      <c r="S240" s="4">
        <v>0.23499999999999999</v>
      </c>
      <c r="T240" s="4">
        <v>10</v>
      </c>
      <c r="U240" s="4">
        <f t="shared" si="24"/>
        <v>15275.5965</v>
      </c>
      <c r="V240">
        <f t="shared" si="25"/>
        <v>6993.3</v>
      </c>
      <c r="W240" s="4">
        <f t="shared" si="29"/>
        <v>8282.2965000000004</v>
      </c>
      <c r="X240" s="4">
        <f t="shared" si="30"/>
        <v>0.5421913638527962</v>
      </c>
    </row>
    <row r="241" spans="1:24" x14ac:dyDescent="0.3">
      <c r="A241" t="s">
        <v>580</v>
      </c>
      <c r="B241" s="6">
        <v>45381</v>
      </c>
      <c r="C241" s="2">
        <v>45406</v>
      </c>
      <c r="D241" s="4">
        <f t="shared" si="31"/>
        <v>25</v>
      </c>
      <c r="E241" s="46" t="b">
        <f t="shared" si="26"/>
        <v>0</v>
      </c>
      <c r="F241" s="4" t="str">
        <f>TEXT(Data!B241,"MMM-YYYY")</f>
        <v>Sep-2023</v>
      </c>
      <c r="G241" s="4" t="str">
        <f t="shared" si="27"/>
        <v>Q1-2024</v>
      </c>
      <c r="H241" t="s">
        <v>52</v>
      </c>
      <c r="I241" t="s">
        <v>122</v>
      </c>
      <c r="J241" t="s">
        <v>326</v>
      </c>
      <c r="K241" t="s">
        <v>39</v>
      </c>
      <c r="L241" t="s">
        <v>28</v>
      </c>
      <c r="M241" t="s">
        <v>41</v>
      </c>
      <c r="N241" t="s">
        <v>57</v>
      </c>
      <c r="O241" t="s">
        <v>581</v>
      </c>
      <c r="P241" s="4">
        <v>160.82</v>
      </c>
      <c r="Q241" s="7" t="str">
        <f t="shared" si="28"/>
        <v>High</v>
      </c>
      <c r="R241" s="4">
        <v>258.52</v>
      </c>
      <c r="S241" s="4">
        <v>0.13</v>
      </c>
      <c r="T241" s="4">
        <v>17</v>
      </c>
      <c r="U241" s="4">
        <f t="shared" si="24"/>
        <v>13631.647199999999</v>
      </c>
      <c r="V241">
        <f t="shared" si="25"/>
        <v>2733.94</v>
      </c>
      <c r="W241" s="4">
        <f t="shared" si="29"/>
        <v>10897.707199999999</v>
      </c>
      <c r="X241" s="4">
        <f t="shared" si="30"/>
        <v>0.79944169916604058</v>
      </c>
    </row>
    <row r="242" spans="1:24" x14ac:dyDescent="0.3">
      <c r="A242" t="s">
        <v>582</v>
      </c>
      <c r="B242" s="6">
        <v>45188</v>
      </c>
      <c r="C242" s="2">
        <v>45207</v>
      </c>
      <c r="D242" s="4">
        <f t="shared" si="31"/>
        <v>19</v>
      </c>
      <c r="E242" s="46" t="b">
        <f t="shared" si="26"/>
        <v>0</v>
      </c>
      <c r="F242" s="4" t="str">
        <f>TEXT(Data!B242,"MMM-YYYY")</f>
        <v>May-2025</v>
      </c>
      <c r="G242" s="4" t="str">
        <f t="shared" si="27"/>
        <v>Q3-2023</v>
      </c>
      <c r="H242" t="s">
        <v>45</v>
      </c>
      <c r="I242" t="s">
        <v>60</v>
      </c>
      <c r="J242" t="s">
        <v>61</v>
      </c>
      <c r="K242" t="s">
        <v>27</v>
      </c>
      <c r="L242" t="s">
        <v>98</v>
      </c>
      <c r="M242" t="s">
        <v>29</v>
      </c>
      <c r="N242" t="s">
        <v>30</v>
      </c>
      <c r="O242" t="s">
        <v>583</v>
      </c>
      <c r="P242" s="4">
        <v>385.32</v>
      </c>
      <c r="Q242" s="7" t="str">
        <f t="shared" si="28"/>
        <v>High</v>
      </c>
      <c r="R242" s="4">
        <v>606.76</v>
      </c>
      <c r="S242" s="4">
        <v>8.5999999999999993E-2</v>
      </c>
      <c r="T242" s="4">
        <v>8</v>
      </c>
      <c r="U242" s="4">
        <f t="shared" si="24"/>
        <v>18307.712480000002</v>
      </c>
      <c r="V242">
        <f t="shared" si="25"/>
        <v>3082.56</v>
      </c>
      <c r="W242" s="4">
        <f t="shared" si="29"/>
        <v>15225.152480000002</v>
      </c>
      <c r="X242" s="4">
        <f t="shared" si="30"/>
        <v>0.8316250594732959</v>
      </c>
    </row>
    <row r="243" spans="1:24" x14ac:dyDescent="0.3">
      <c r="A243" t="s">
        <v>584</v>
      </c>
      <c r="B243" s="6">
        <v>45793</v>
      </c>
      <c r="C243" s="2">
        <v>45804</v>
      </c>
      <c r="D243" s="4">
        <f t="shared" si="31"/>
        <v>11</v>
      </c>
      <c r="E243" s="46" t="b">
        <f t="shared" si="26"/>
        <v>0</v>
      </c>
      <c r="F243" s="4" t="str">
        <f>TEXT(Data!B243,"MMM-YYYY")</f>
        <v>Aug-2025</v>
      </c>
      <c r="G243" s="4" t="str">
        <f t="shared" si="27"/>
        <v>Q2-2025</v>
      </c>
      <c r="H243" t="s">
        <v>45</v>
      </c>
      <c r="I243" t="s">
        <v>116</v>
      </c>
      <c r="J243" t="s">
        <v>338</v>
      </c>
      <c r="K243" t="s">
        <v>105</v>
      </c>
      <c r="L243" t="s">
        <v>28</v>
      </c>
      <c r="M243" t="s">
        <v>84</v>
      </c>
      <c r="N243" t="s">
        <v>42</v>
      </c>
      <c r="O243" t="s">
        <v>585</v>
      </c>
      <c r="P243" s="4">
        <v>918.12</v>
      </c>
      <c r="Q243" s="7" t="str">
        <f t="shared" si="28"/>
        <v>High</v>
      </c>
      <c r="R243" s="4">
        <v>1337.69</v>
      </c>
      <c r="S243" s="4">
        <v>9.5000000000000001E-2</v>
      </c>
      <c r="T243" s="4">
        <v>8</v>
      </c>
      <c r="U243" s="4">
        <f t="shared" si="24"/>
        <v>17830.4548</v>
      </c>
      <c r="V243">
        <f t="shared" si="25"/>
        <v>7344.96</v>
      </c>
      <c r="W243" s="4">
        <f t="shared" si="29"/>
        <v>10485.4948</v>
      </c>
      <c r="X243" s="4">
        <f t="shared" si="30"/>
        <v>0.58806659267042372</v>
      </c>
    </row>
    <row r="244" spans="1:24" x14ac:dyDescent="0.3">
      <c r="A244" t="s">
        <v>586</v>
      </c>
      <c r="B244" s="6">
        <v>45871</v>
      </c>
      <c r="C244" s="2">
        <v>45877</v>
      </c>
      <c r="D244" s="4">
        <f t="shared" si="31"/>
        <v>6</v>
      </c>
      <c r="E244" s="46" t="str">
        <f t="shared" si="26"/>
        <v>Yes</v>
      </c>
      <c r="F244" s="4" t="str">
        <f>TEXT(Data!B244,"MMM-YYYY")</f>
        <v>Dec-2024</v>
      </c>
      <c r="G244" s="4" t="str">
        <f t="shared" si="27"/>
        <v>Q3-2025</v>
      </c>
      <c r="H244" t="s">
        <v>45</v>
      </c>
      <c r="I244" t="s">
        <v>46</v>
      </c>
      <c r="J244" t="s">
        <v>47</v>
      </c>
      <c r="K244" t="s">
        <v>48</v>
      </c>
      <c r="L244" t="s">
        <v>98</v>
      </c>
      <c r="M244" t="s">
        <v>126</v>
      </c>
      <c r="N244" t="s">
        <v>57</v>
      </c>
      <c r="O244" t="s">
        <v>587</v>
      </c>
      <c r="P244" s="4">
        <v>1225.94</v>
      </c>
      <c r="Q244" s="7" t="str">
        <f t="shared" si="28"/>
        <v>High</v>
      </c>
      <c r="R244" s="4">
        <v>1793.08</v>
      </c>
      <c r="S244" s="4">
        <v>0.13600000000000001</v>
      </c>
      <c r="T244" s="4">
        <v>22</v>
      </c>
      <c r="U244" s="4">
        <f t="shared" si="24"/>
        <v>9431.7695999999996</v>
      </c>
      <c r="V244">
        <f t="shared" si="25"/>
        <v>26970.68</v>
      </c>
      <c r="W244" s="4">
        <f t="shared" si="29"/>
        <v>-17538.910400000001</v>
      </c>
      <c r="X244" s="4">
        <f t="shared" si="30"/>
        <v>-1.8595567050323198</v>
      </c>
    </row>
    <row r="245" spans="1:24" x14ac:dyDescent="0.3">
      <c r="A245" t="s">
        <v>588</v>
      </c>
      <c r="B245" s="6">
        <v>45630</v>
      </c>
      <c r="C245" s="2">
        <v>45638</v>
      </c>
      <c r="D245" s="4">
        <f t="shared" si="31"/>
        <v>8</v>
      </c>
      <c r="E245" s="46" t="b">
        <f t="shared" si="26"/>
        <v>0</v>
      </c>
      <c r="F245" s="4" t="str">
        <f>TEXT(Data!B245,"MMM-YYYY")</f>
        <v>Apr-2023</v>
      </c>
      <c r="G245" s="4" t="str">
        <f t="shared" si="27"/>
        <v>Q4-2024</v>
      </c>
      <c r="H245" t="s">
        <v>78</v>
      </c>
      <c r="I245" t="s">
        <v>79</v>
      </c>
      <c r="J245" t="s">
        <v>335</v>
      </c>
      <c r="K245" t="s">
        <v>105</v>
      </c>
      <c r="L245" t="s">
        <v>40</v>
      </c>
      <c r="M245" t="s">
        <v>56</v>
      </c>
      <c r="N245" t="s">
        <v>30</v>
      </c>
      <c r="O245" t="s">
        <v>589</v>
      </c>
      <c r="P245" s="4">
        <v>72.06</v>
      </c>
      <c r="Q245" s="7" t="str">
        <f t="shared" si="28"/>
        <v>Medium</v>
      </c>
      <c r="R245" s="4">
        <v>122.74</v>
      </c>
      <c r="S245" s="4">
        <v>0.23799999999999999</v>
      </c>
      <c r="T245" s="4">
        <v>8</v>
      </c>
      <c r="U245" s="4">
        <f t="shared" si="24"/>
        <v>5532.6686399999999</v>
      </c>
      <c r="V245">
        <f t="shared" si="25"/>
        <v>576.48</v>
      </c>
      <c r="W245" s="4">
        <f t="shared" si="29"/>
        <v>4956.1886400000003</v>
      </c>
      <c r="X245" s="4">
        <f t="shared" si="30"/>
        <v>0.89580435093615152</v>
      </c>
    </row>
    <row r="246" spans="1:24" x14ac:dyDescent="0.3">
      <c r="A246" t="s">
        <v>590</v>
      </c>
      <c r="B246" s="6">
        <v>45035</v>
      </c>
      <c r="C246" s="2">
        <v>45044</v>
      </c>
      <c r="D246" s="4">
        <f t="shared" si="31"/>
        <v>9</v>
      </c>
      <c r="E246" s="46" t="b">
        <f t="shared" si="26"/>
        <v>0</v>
      </c>
      <c r="F246" s="4" t="str">
        <f>TEXT(Data!B246,"MMM-YYYY")</f>
        <v>Mar-2024</v>
      </c>
      <c r="G246" s="4" t="str">
        <f t="shared" si="27"/>
        <v>Q2-2023</v>
      </c>
      <c r="H246" t="s">
        <v>52</v>
      </c>
      <c r="I246" t="s">
        <v>73</v>
      </c>
      <c r="J246" t="s">
        <v>225</v>
      </c>
      <c r="K246" t="s">
        <v>19</v>
      </c>
      <c r="L246" t="s">
        <v>55</v>
      </c>
      <c r="M246" t="s">
        <v>110</v>
      </c>
      <c r="N246" t="s">
        <v>42</v>
      </c>
      <c r="O246" t="s">
        <v>591</v>
      </c>
      <c r="P246" s="4">
        <v>1013.54</v>
      </c>
      <c r="Q246" s="7" t="str">
        <f t="shared" si="28"/>
        <v>High</v>
      </c>
      <c r="R246" s="4">
        <v>927.93</v>
      </c>
      <c r="S246" s="4">
        <v>0.17499999999999999</v>
      </c>
      <c r="T246" s="4">
        <v>16</v>
      </c>
      <c r="U246" s="4">
        <f t="shared" si="24"/>
        <v>4411.308</v>
      </c>
      <c r="V246">
        <f t="shared" si="25"/>
        <v>16216.64</v>
      </c>
      <c r="W246" s="4">
        <f t="shared" si="29"/>
        <v>-11805.331999999999</v>
      </c>
      <c r="X246" s="4">
        <f t="shared" si="30"/>
        <v>-2.6761522886182507</v>
      </c>
    </row>
    <row r="247" spans="1:24" x14ac:dyDescent="0.3">
      <c r="A247" t="s">
        <v>592</v>
      </c>
      <c r="B247" s="6">
        <v>45357</v>
      </c>
      <c r="C247" s="2">
        <v>45377</v>
      </c>
      <c r="D247" s="4">
        <f t="shared" si="31"/>
        <v>20</v>
      </c>
      <c r="E247" s="46" t="b">
        <f t="shared" si="26"/>
        <v>0</v>
      </c>
      <c r="F247" s="4" t="str">
        <f>TEXT(Data!B247,"MMM-YYYY")</f>
        <v>Feb-2024</v>
      </c>
      <c r="G247" s="4" t="str">
        <f t="shared" si="27"/>
        <v>Q1-2024</v>
      </c>
      <c r="H247" t="s">
        <v>16</v>
      </c>
      <c r="I247" t="s">
        <v>25</v>
      </c>
      <c r="J247" t="s">
        <v>26</v>
      </c>
      <c r="K247" t="s">
        <v>48</v>
      </c>
      <c r="L247" t="s">
        <v>40</v>
      </c>
      <c r="M247" t="s">
        <v>34</v>
      </c>
      <c r="N247" t="s">
        <v>42</v>
      </c>
      <c r="O247" t="s">
        <v>593</v>
      </c>
      <c r="P247" s="4">
        <v>65.64</v>
      </c>
      <c r="Q247" s="7" t="str">
        <f t="shared" si="28"/>
        <v>Medium</v>
      </c>
      <c r="R247" s="4">
        <v>151.88</v>
      </c>
      <c r="S247" s="4">
        <v>0.16700000000000001</v>
      </c>
      <c r="T247" s="4">
        <v>23</v>
      </c>
      <c r="U247" s="4">
        <f t="shared" si="24"/>
        <v>10322.677609999999</v>
      </c>
      <c r="V247">
        <f t="shared" si="25"/>
        <v>1509.72</v>
      </c>
      <c r="W247" s="4">
        <f t="shared" si="29"/>
        <v>8812.9576099999995</v>
      </c>
      <c r="X247" s="4">
        <f t="shared" si="30"/>
        <v>0.8537472488206479</v>
      </c>
    </row>
    <row r="248" spans="1:24" x14ac:dyDescent="0.3">
      <c r="A248" t="s">
        <v>594</v>
      </c>
      <c r="B248" s="6">
        <v>45338</v>
      </c>
      <c r="C248" s="2">
        <v>45355</v>
      </c>
      <c r="D248" s="4">
        <f t="shared" si="31"/>
        <v>17</v>
      </c>
      <c r="E248" s="46" t="b">
        <f t="shared" si="26"/>
        <v>0</v>
      </c>
      <c r="F248" s="4" t="str">
        <f>TEXT(Data!B248,"MMM-YYYY")</f>
        <v>Apr-2025</v>
      </c>
      <c r="G248" s="4" t="str">
        <f t="shared" si="27"/>
        <v>Q1-2024</v>
      </c>
      <c r="H248" t="s">
        <v>52</v>
      </c>
      <c r="I248" t="s">
        <v>53</v>
      </c>
      <c r="J248" t="s">
        <v>144</v>
      </c>
      <c r="K248" t="s">
        <v>39</v>
      </c>
      <c r="L248" t="s">
        <v>20</v>
      </c>
      <c r="M248" t="s">
        <v>145</v>
      </c>
      <c r="N248" t="s">
        <v>57</v>
      </c>
      <c r="O248" t="s">
        <v>595</v>
      </c>
      <c r="P248" s="4">
        <v>1350.98</v>
      </c>
      <c r="Q248" s="7" t="str">
        <f t="shared" si="28"/>
        <v>High</v>
      </c>
      <c r="R248" s="4">
        <v>2210.4</v>
      </c>
      <c r="S248" s="4">
        <v>0.26300000000000001</v>
      </c>
      <c r="T248" s="4">
        <v>6</v>
      </c>
      <c r="U248" s="4">
        <f t="shared" si="24"/>
        <v>6352.3798799999995</v>
      </c>
      <c r="V248">
        <f t="shared" si="25"/>
        <v>8105.88</v>
      </c>
      <c r="W248" s="4">
        <f t="shared" si="29"/>
        <v>-1753.5001200000006</v>
      </c>
      <c r="X248" s="4">
        <f t="shared" si="30"/>
        <v>-0.27603829637468102</v>
      </c>
    </row>
    <row r="249" spans="1:24" x14ac:dyDescent="0.3">
      <c r="A249" t="s">
        <v>596</v>
      </c>
      <c r="B249" s="6">
        <v>45769</v>
      </c>
      <c r="C249" s="2">
        <v>45779</v>
      </c>
      <c r="D249" s="4">
        <f t="shared" si="31"/>
        <v>10</v>
      </c>
      <c r="E249" s="46" t="b">
        <f t="shared" si="26"/>
        <v>0</v>
      </c>
      <c r="F249" s="4" t="str">
        <f>TEXT(Data!B249,"MMM-YYYY")</f>
        <v>Nov-2024</v>
      </c>
      <c r="G249" s="4" t="str">
        <f t="shared" si="27"/>
        <v>Q2-2025</v>
      </c>
      <c r="H249" t="s">
        <v>78</v>
      </c>
      <c r="I249" t="s">
        <v>79</v>
      </c>
      <c r="J249" t="s">
        <v>80</v>
      </c>
      <c r="K249" t="s">
        <v>19</v>
      </c>
      <c r="L249" t="s">
        <v>40</v>
      </c>
      <c r="M249" t="s">
        <v>21</v>
      </c>
      <c r="N249" t="s">
        <v>64</v>
      </c>
      <c r="O249" t="s">
        <v>597</v>
      </c>
      <c r="P249" s="4">
        <v>20.149999999999999</v>
      </c>
      <c r="Q249" s="7" t="str">
        <f t="shared" si="28"/>
        <v>Low</v>
      </c>
      <c r="R249" s="4">
        <v>39.74</v>
      </c>
      <c r="S249" s="4">
        <v>0.151</v>
      </c>
      <c r="T249" s="4">
        <v>18</v>
      </c>
      <c r="U249" s="4">
        <f t="shared" si="24"/>
        <v>26996.417099999999</v>
      </c>
      <c r="V249">
        <f t="shared" si="25"/>
        <v>362.7</v>
      </c>
      <c r="W249" s="4">
        <f t="shared" si="29"/>
        <v>26633.717099999998</v>
      </c>
      <c r="X249" s="4">
        <f t="shared" si="30"/>
        <v>0.98656488382675045</v>
      </c>
    </row>
    <row r="250" spans="1:24" x14ac:dyDescent="0.3">
      <c r="A250" t="s">
        <v>598</v>
      </c>
      <c r="B250" s="6">
        <v>45604</v>
      </c>
      <c r="C250" s="2">
        <v>45604</v>
      </c>
      <c r="D250" s="4">
        <f t="shared" si="31"/>
        <v>0</v>
      </c>
      <c r="E250" s="46" t="str">
        <f t="shared" si="26"/>
        <v>Yes</v>
      </c>
      <c r="F250" s="4" t="str">
        <f>TEXT(Data!B250,"MMM-YYYY")</f>
        <v>Sep-2025</v>
      </c>
      <c r="G250" s="4" t="str">
        <f t="shared" si="27"/>
        <v>Q4-2024</v>
      </c>
      <c r="H250" t="s">
        <v>16</v>
      </c>
      <c r="I250" t="s">
        <v>17</v>
      </c>
      <c r="J250" t="s">
        <v>135</v>
      </c>
      <c r="K250" t="s">
        <v>105</v>
      </c>
      <c r="L250" t="s">
        <v>40</v>
      </c>
      <c r="M250" t="s">
        <v>110</v>
      </c>
      <c r="N250" t="s">
        <v>35</v>
      </c>
      <c r="O250" t="s">
        <v>599</v>
      </c>
      <c r="P250" s="4">
        <v>803.28</v>
      </c>
      <c r="Q250" s="7" t="str">
        <f t="shared" si="28"/>
        <v>High</v>
      </c>
      <c r="R250" s="4">
        <v>1009</v>
      </c>
      <c r="S250" s="4">
        <v>0.11</v>
      </c>
      <c r="T250" s="4">
        <v>4</v>
      </c>
      <c r="U250" s="4">
        <f t="shared" si="24"/>
        <v>2237.6023999999998</v>
      </c>
      <c r="V250">
        <f t="shared" si="25"/>
        <v>3213.12</v>
      </c>
      <c r="W250" s="4">
        <f t="shared" si="29"/>
        <v>-975.51760000000013</v>
      </c>
      <c r="X250" s="4">
        <f t="shared" si="30"/>
        <v>-0.43596556743056775</v>
      </c>
    </row>
    <row r="251" spans="1:24" x14ac:dyDescent="0.3">
      <c r="A251" t="s">
        <v>600</v>
      </c>
      <c r="B251" s="6">
        <v>45912</v>
      </c>
      <c r="C251" s="2">
        <v>45930</v>
      </c>
      <c r="D251" s="4">
        <f t="shared" si="31"/>
        <v>18</v>
      </c>
      <c r="E251" s="46" t="b">
        <f t="shared" si="26"/>
        <v>0</v>
      </c>
      <c r="F251" s="4" t="str">
        <f>TEXT(Data!B251,"MMM-YYYY")</f>
        <v>Sep-2024</v>
      </c>
      <c r="G251" s="4" t="str">
        <f t="shared" si="27"/>
        <v>Q3-2025</v>
      </c>
      <c r="H251" t="s">
        <v>45</v>
      </c>
      <c r="I251" t="s">
        <v>46</v>
      </c>
      <c r="J251" t="s">
        <v>231</v>
      </c>
      <c r="K251" t="s">
        <v>39</v>
      </c>
      <c r="L251" t="s">
        <v>40</v>
      </c>
      <c r="M251" t="s">
        <v>84</v>
      </c>
      <c r="N251" t="s">
        <v>64</v>
      </c>
      <c r="O251" t="s">
        <v>601</v>
      </c>
      <c r="P251" s="4">
        <v>1212.99</v>
      </c>
      <c r="Q251" s="7" t="str">
        <f t="shared" si="28"/>
        <v>High</v>
      </c>
      <c r="R251" s="4">
        <v>1653.64</v>
      </c>
      <c r="S251" s="4">
        <v>0.107</v>
      </c>
      <c r="T251" s="4">
        <v>8</v>
      </c>
      <c r="U251" s="4">
        <f t="shared" si="24"/>
        <v>11792.958000000001</v>
      </c>
      <c r="V251">
        <f t="shared" si="25"/>
        <v>9703.92</v>
      </c>
      <c r="W251" s="4">
        <f t="shared" si="29"/>
        <v>2089.0380000000005</v>
      </c>
      <c r="X251" s="4">
        <f t="shared" si="30"/>
        <v>0.17714283388442495</v>
      </c>
    </row>
    <row r="252" spans="1:24" x14ac:dyDescent="0.3">
      <c r="A252" t="s">
        <v>602</v>
      </c>
      <c r="B252" s="6">
        <v>45537</v>
      </c>
      <c r="C252" s="2">
        <v>45543</v>
      </c>
      <c r="D252" s="4">
        <f t="shared" si="31"/>
        <v>6</v>
      </c>
      <c r="E252" s="46" t="str">
        <f t="shared" si="26"/>
        <v>Yes</v>
      </c>
      <c r="F252" s="4" t="str">
        <f>TEXT(Data!B252,"MMM-YYYY")</f>
        <v>Mar-2023</v>
      </c>
      <c r="G252" s="4" t="str">
        <f t="shared" si="27"/>
        <v>Q3-2024</v>
      </c>
      <c r="H252" t="s">
        <v>52</v>
      </c>
      <c r="I252" t="s">
        <v>122</v>
      </c>
      <c r="J252" t="s">
        <v>326</v>
      </c>
      <c r="K252" t="s">
        <v>48</v>
      </c>
      <c r="L252" t="s">
        <v>98</v>
      </c>
      <c r="M252" t="s">
        <v>92</v>
      </c>
      <c r="N252" t="s">
        <v>22</v>
      </c>
      <c r="O252" t="s">
        <v>603</v>
      </c>
      <c r="P252" s="4">
        <v>462.94</v>
      </c>
      <c r="Q252" s="7" t="str">
        <f t="shared" si="28"/>
        <v>High</v>
      </c>
      <c r="R252" s="4">
        <v>1015.7</v>
      </c>
      <c r="S252" s="4">
        <v>0.14299999999999999</v>
      </c>
      <c r="T252" s="4">
        <v>14</v>
      </c>
      <c r="U252" s="4">
        <f t="shared" si="24"/>
        <v>26961.185719999998</v>
      </c>
      <c r="V252">
        <f t="shared" si="25"/>
        <v>6481.16</v>
      </c>
      <c r="W252" s="4">
        <f t="shared" si="29"/>
        <v>20480.025719999998</v>
      </c>
      <c r="X252" s="4">
        <f t="shared" si="30"/>
        <v>0.75961146266678359</v>
      </c>
    </row>
    <row r="253" spans="1:24" x14ac:dyDescent="0.3">
      <c r="A253" t="s">
        <v>604</v>
      </c>
      <c r="B253" s="6">
        <v>44989</v>
      </c>
      <c r="C253" s="2">
        <v>45009</v>
      </c>
      <c r="D253" s="4">
        <f t="shared" si="31"/>
        <v>20</v>
      </c>
      <c r="E253" s="46" t="b">
        <f t="shared" si="26"/>
        <v>0</v>
      </c>
      <c r="F253" s="4" t="str">
        <f>TEXT(Data!B253,"MMM-YYYY")</f>
        <v>Mar-2024</v>
      </c>
      <c r="G253" s="4" t="str">
        <f t="shared" si="27"/>
        <v>Q1-2023</v>
      </c>
      <c r="H253" t="s">
        <v>52</v>
      </c>
      <c r="I253" t="s">
        <v>53</v>
      </c>
      <c r="J253" t="s">
        <v>144</v>
      </c>
      <c r="K253" t="s">
        <v>48</v>
      </c>
      <c r="L253" t="s">
        <v>55</v>
      </c>
      <c r="M253" t="s">
        <v>34</v>
      </c>
      <c r="N253" t="s">
        <v>57</v>
      </c>
      <c r="O253" t="s">
        <v>605</v>
      </c>
      <c r="P253" s="4">
        <v>481.71</v>
      </c>
      <c r="Q253" s="7" t="str">
        <f t="shared" si="28"/>
        <v>High</v>
      </c>
      <c r="R253" s="4">
        <v>912.45</v>
      </c>
      <c r="S253" s="4">
        <v>0.20300000000000001</v>
      </c>
      <c r="T253" s="4">
        <v>24</v>
      </c>
      <c r="U253" s="4">
        <f t="shared" si="24"/>
        <v>17084.938320000001</v>
      </c>
      <c r="V253">
        <f t="shared" si="25"/>
        <v>11561.039999999999</v>
      </c>
      <c r="W253" s="4">
        <f t="shared" si="29"/>
        <v>5523.8983200000021</v>
      </c>
      <c r="X253" s="4">
        <f t="shared" si="30"/>
        <v>0.3233197695266834</v>
      </c>
    </row>
    <row r="254" spans="1:24" x14ac:dyDescent="0.3">
      <c r="A254" t="s">
        <v>606</v>
      </c>
      <c r="B254" s="6">
        <v>45366</v>
      </c>
      <c r="C254" s="2">
        <v>45391</v>
      </c>
      <c r="D254" s="4">
        <f t="shared" si="31"/>
        <v>25</v>
      </c>
      <c r="E254" s="46" t="b">
        <f t="shared" si="26"/>
        <v>0</v>
      </c>
      <c r="F254" s="4" t="str">
        <f>TEXT(Data!B254,"MMM-YYYY")</f>
        <v>Jul-2024</v>
      </c>
      <c r="G254" s="4" t="str">
        <f t="shared" si="27"/>
        <v>Q1-2024</v>
      </c>
      <c r="H254" t="s">
        <v>52</v>
      </c>
      <c r="I254" t="s">
        <v>53</v>
      </c>
      <c r="J254" t="s">
        <v>179</v>
      </c>
      <c r="K254" t="s">
        <v>48</v>
      </c>
      <c r="L254" t="s">
        <v>28</v>
      </c>
      <c r="M254" t="s">
        <v>84</v>
      </c>
      <c r="N254" t="s">
        <v>64</v>
      </c>
      <c r="O254" t="s">
        <v>607</v>
      </c>
      <c r="P254" s="4">
        <v>648.64</v>
      </c>
      <c r="Q254" s="7" t="str">
        <f t="shared" si="28"/>
        <v>High</v>
      </c>
      <c r="R254" s="4">
        <v>815.19</v>
      </c>
      <c r="S254" s="4">
        <v>0.22500000000000001</v>
      </c>
      <c r="T254" s="4">
        <v>28</v>
      </c>
      <c r="U254" s="4">
        <f t="shared" si="24"/>
        <v>50537.130000000005</v>
      </c>
      <c r="V254">
        <f t="shared" si="25"/>
        <v>18161.919999999998</v>
      </c>
      <c r="W254" s="4">
        <f t="shared" si="29"/>
        <v>32375.210000000006</v>
      </c>
      <c r="X254" s="4">
        <f t="shared" si="30"/>
        <v>0.64062225140208795</v>
      </c>
    </row>
    <row r="255" spans="1:24" x14ac:dyDescent="0.3">
      <c r="A255" t="s">
        <v>608</v>
      </c>
      <c r="B255" s="6">
        <v>45502</v>
      </c>
      <c r="C255" s="2">
        <v>45504</v>
      </c>
      <c r="D255" s="4">
        <f t="shared" si="31"/>
        <v>2</v>
      </c>
      <c r="E255" s="46" t="str">
        <f t="shared" si="26"/>
        <v>Yes</v>
      </c>
      <c r="F255" s="4" t="str">
        <f>TEXT(Data!B255,"MMM-YYYY")</f>
        <v>Oct-2024</v>
      </c>
      <c r="G255" s="4" t="str">
        <f t="shared" si="27"/>
        <v>Q3-2024</v>
      </c>
      <c r="H255" t="s">
        <v>52</v>
      </c>
      <c r="I255" t="s">
        <v>122</v>
      </c>
      <c r="J255" t="s">
        <v>387</v>
      </c>
      <c r="K255" t="s">
        <v>27</v>
      </c>
      <c r="L255" t="s">
        <v>40</v>
      </c>
      <c r="M255" t="s">
        <v>34</v>
      </c>
      <c r="N255" t="s">
        <v>30</v>
      </c>
      <c r="O255" t="s">
        <v>609</v>
      </c>
      <c r="P255" s="4">
        <v>798.97</v>
      </c>
      <c r="Q255" s="7" t="str">
        <f t="shared" si="28"/>
        <v>High</v>
      </c>
      <c r="R255" s="4">
        <v>1814.06</v>
      </c>
      <c r="S255" s="4">
        <v>0.122</v>
      </c>
      <c r="T255" s="4">
        <v>16</v>
      </c>
      <c r="U255" s="4">
        <f t="shared" si="24"/>
        <v>29033.704000000002</v>
      </c>
      <c r="V255">
        <f t="shared" si="25"/>
        <v>12783.52</v>
      </c>
      <c r="W255" s="4">
        <f t="shared" si="29"/>
        <v>16250.184000000001</v>
      </c>
      <c r="X255" s="4">
        <f t="shared" si="30"/>
        <v>0.55970068441835741</v>
      </c>
    </row>
    <row r="256" spans="1:24" x14ac:dyDescent="0.3">
      <c r="A256" t="s">
        <v>610</v>
      </c>
      <c r="B256" s="6">
        <v>45592</v>
      </c>
      <c r="C256" s="2">
        <v>45616</v>
      </c>
      <c r="D256" s="4">
        <f t="shared" si="31"/>
        <v>24</v>
      </c>
      <c r="E256" s="46" t="b">
        <f t="shared" si="26"/>
        <v>0</v>
      </c>
      <c r="F256" s="4" t="str">
        <f>TEXT(Data!B256,"MMM-YYYY")</f>
        <v>Apr-2024</v>
      </c>
      <c r="G256" s="4" t="str">
        <f t="shared" si="27"/>
        <v>Q4-2024</v>
      </c>
      <c r="H256" t="s">
        <v>45</v>
      </c>
      <c r="I256" t="s">
        <v>46</v>
      </c>
      <c r="J256" t="s">
        <v>231</v>
      </c>
      <c r="K256" t="s">
        <v>39</v>
      </c>
      <c r="L256" t="s">
        <v>28</v>
      </c>
      <c r="M256" t="s">
        <v>92</v>
      </c>
      <c r="N256" t="s">
        <v>64</v>
      </c>
      <c r="O256" t="s">
        <v>611</v>
      </c>
      <c r="P256" s="4">
        <v>317.25</v>
      </c>
      <c r="Q256" s="7" t="str">
        <f t="shared" si="28"/>
        <v>High</v>
      </c>
      <c r="R256" s="4">
        <v>758.92</v>
      </c>
      <c r="S256" s="4">
        <v>5.2999999999999999E-2</v>
      </c>
      <c r="T256" s="4">
        <v>9</v>
      </c>
      <c r="U256" s="4">
        <f t="shared" si="24"/>
        <v>18599.828130000002</v>
      </c>
      <c r="V256">
        <f t="shared" si="25"/>
        <v>2855.25</v>
      </c>
      <c r="W256" s="4">
        <f t="shared" si="29"/>
        <v>15744.578130000002</v>
      </c>
      <c r="X256" s="4">
        <f t="shared" si="30"/>
        <v>0.84649051700672895</v>
      </c>
    </row>
    <row r="257" spans="1:24" x14ac:dyDescent="0.3">
      <c r="A257" t="s">
        <v>612</v>
      </c>
      <c r="B257" s="6">
        <v>45411</v>
      </c>
      <c r="C257" s="2">
        <v>45431</v>
      </c>
      <c r="D257" s="4">
        <f t="shared" si="31"/>
        <v>20</v>
      </c>
      <c r="E257" s="46" t="b">
        <f t="shared" si="26"/>
        <v>0</v>
      </c>
      <c r="F257" s="4" t="str">
        <f>TEXT(Data!B257,"MMM-YYYY")</f>
        <v>Oct-2023</v>
      </c>
      <c r="G257" s="4" t="str">
        <f t="shared" si="27"/>
        <v>Q2-2024</v>
      </c>
      <c r="H257" t="s">
        <v>78</v>
      </c>
      <c r="I257" t="s">
        <v>79</v>
      </c>
      <c r="J257" t="s">
        <v>335</v>
      </c>
      <c r="K257" t="s">
        <v>105</v>
      </c>
      <c r="L257" t="s">
        <v>40</v>
      </c>
      <c r="M257" t="s">
        <v>21</v>
      </c>
      <c r="N257" t="s">
        <v>57</v>
      </c>
      <c r="O257" t="s">
        <v>613</v>
      </c>
      <c r="P257" s="4">
        <v>668.97</v>
      </c>
      <c r="Q257" s="7" t="str">
        <f t="shared" si="28"/>
        <v>High</v>
      </c>
      <c r="R257" s="4">
        <v>1667.44</v>
      </c>
      <c r="S257" s="4">
        <v>3.4000000000000002E-2</v>
      </c>
      <c r="T257" s="4">
        <v>15</v>
      </c>
      <c r="U257" s="4">
        <f t="shared" si="24"/>
        <v>39508.723799999992</v>
      </c>
      <c r="V257">
        <f t="shared" si="25"/>
        <v>10034.550000000001</v>
      </c>
      <c r="W257" s="4">
        <f t="shared" si="29"/>
        <v>29474.17379999999</v>
      </c>
      <c r="X257" s="4">
        <f t="shared" si="30"/>
        <v>0.74601685311839905</v>
      </c>
    </row>
    <row r="258" spans="1:24" x14ac:dyDescent="0.3">
      <c r="A258" t="s">
        <v>614</v>
      </c>
      <c r="B258" s="6">
        <v>45204</v>
      </c>
      <c r="C258" s="2">
        <v>45205</v>
      </c>
      <c r="D258" s="4">
        <f t="shared" si="31"/>
        <v>1</v>
      </c>
      <c r="E258" s="46" t="str">
        <f t="shared" si="26"/>
        <v>Yes</v>
      </c>
      <c r="F258" s="4" t="str">
        <f>TEXT(Data!B258,"MMM-YYYY")</f>
        <v>Apr-2023</v>
      </c>
      <c r="G258" s="4" t="str">
        <f t="shared" si="27"/>
        <v>Q4-2023</v>
      </c>
      <c r="H258" t="s">
        <v>45</v>
      </c>
      <c r="I258" t="s">
        <v>60</v>
      </c>
      <c r="J258" t="s">
        <v>61</v>
      </c>
      <c r="K258" t="s">
        <v>39</v>
      </c>
      <c r="L258" t="s">
        <v>28</v>
      </c>
      <c r="M258" t="s">
        <v>34</v>
      </c>
      <c r="N258" t="s">
        <v>22</v>
      </c>
      <c r="O258" t="s">
        <v>615</v>
      </c>
      <c r="P258" s="4">
        <v>1470.26</v>
      </c>
      <c r="Q258" s="7" t="str">
        <f t="shared" si="28"/>
        <v>High</v>
      </c>
      <c r="R258" s="4">
        <v>2562.5500000000002</v>
      </c>
      <c r="S258" s="4">
        <v>0.17299999999999999</v>
      </c>
      <c r="T258" s="4">
        <v>9</v>
      </c>
      <c r="U258" s="4">
        <f t="shared" ref="U258:U321" si="32">(R284*T258)*(1-S258)</f>
        <v>828.33146999999997</v>
      </c>
      <c r="V258">
        <f t="shared" ref="V258:V321" si="33">(P258*T258)</f>
        <v>13232.34</v>
      </c>
      <c r="W258" s="4">
        <f t="shared" si="29"/>
        <v>-12404.008530000001</v>
      </c>
      <c r="X258" s="4">
        <f t="shared" si="30"/>
        <v>-14.974691870634834</v>
      </c>
    </row>
    <row r="259" spans="1:24" x14ac:dyDescent="0.3">
      <c r="A259" t="s">
        <v>616</v>
      </c>
      <c r="B259" s="6">
        <v>45035</v>
      </c>
      <c r="C259" s="2">
        <v>45053</v>
      </c>
      <c r="D259" s="4">
        <f t="shared" si="31"/>
        <v>18</v>
      </c>
      <c r="E259" s="46" t="b">
        <f t="shared" ref="E259:E322" si="34">IF(D259&lt;=7, "Yes")</f>
        <v>0</v>
      </c>
      <c r="F259" s="4" t="str">
        <f>TEXT(Data!B259,"MMM-YYYY")</f>
        <v>Jun-2025</v>
      </c>
      <c r="G259" s="4" t="str">
        <f t="shared" ref="G259:G322" si="35">"Q"&amp;ROUNDUP(MONTH(B259)/3,0)&amp;"-"&amp;YEAR(B259)</f>
        <v>Q2-2023</v>
      </c>
      <c r="H259" t="s">
        <v>78</v>
      </c>
      <c r="I259" t="s">
        <v>108</v>
      </c>
      <c r="J259" t="s">
        <v>152</v>
      </c>
      <c r="K259" t="s">
        <v>39</v>
      </c>
      <c r="L259" t="s">
        <v>98</v>
      </c>
      <c r="M259" t="s">
        <v>92</v>
      </c>
      <c r="N259" t="s">
        <v>35</v>
      </c>
      <c r="O259" t="s">
        <v>617</v>
      </c>
      <c r="P259" s="4">
        <v>516.96</v>
      </c>
      <c r="Q259" s="7" t="str">
        <f t="shared" ref="Q259:Q322" si="36">IF(R259&lt;50, "Low", IF(R259&lt;200, "Medium", "High"))</f>
        <v>High</v>
      </c>
      <c r="R259" s="4">
        <v>745.38</v>
      </c>
      <c r="S259" s="4">
        <v>0.19700000000000001</v>
      </c>
      <c r="T259" s="4">
        <v>4</v>
      </c>
      <c r="U259" s="4">
        <f t="shared" si="32"/>
        <v>3533.4890799999994</v>
      </c>
      <c r="V259">
        <f t="shared" si="33"/>
        <v>2067.84</v>
      </c>
      <c r="W259" s="4">
        <f t="shared" ref="W259:W322" si="37">(U259-V259)</f>
        <v>1465.6490799999992</v>
      </c>
      <c r="X259" s="4">
        <f t="shared" ref="X259:X322" si="38">IF(U259=0, 0, W259/U259)</f>
        <v>0.41478805985159561</v>
      </c>
    </row>
    <row r="260" spans="1:24" x14ac:dyDescent="0.3">
      <c r="A260" t="s">
        <v>618</v>
      </c>
      <c r="B260" s="6">
        <v>45835</v>
      </c>
      <c r="C260" s="2">
        <v>45843</v>
      </c>
      <c r="D260" s="4">
        <f t="shared" ref="D260:D322" si="39">DATEDIF(B260,C260, "MD")</f>
        <v>8</v>
      </c>
      <c r="E260" s="46" t="b">
        <f t="shared" si="34"/>
        <v>0</v>
      </c>
      <c r="F260" s="4" t="str">
        <f>TEXT(Data!B260,"MMM-YYYY")</f>
        <v>Oct-2023</v>
      </c>
      <c r="G260" s="4" t="str">
        <f t="shared" si="35"/>
        <v>Q2-2025</v>
      </c>
      <c r="H260" t="s">
        <v>78</v>
      </c>
      <c r="I260" t="s">
        <v>79</v>
      </c>
      <c r="J260" t="s">
        <v>159</v>
      </c>
      <c r="K260" t="s">
        <v>62</v>
      </c>
      <c r="L260" t="s">
        <v>98</v>
      </c>
      <c r="M260" t="s">
        <v>41</v>
      </c>
      <c r="N260" t="s">
        <v>64</v>
      </c>
      <c r="O260" t="s">
        <v>619</v>
      </c>
      <c r="P260" s="4">
        <v>314.93</v>
      </c>
      <c r="Q260" s="7" t="str">
        <f t="shared" si="36"/>
        <v>High</v>
      </c>
      <c r="R260" s="4">
        <v>687.95</v>
      </c>
      <c r="S260" s="4">
        <v>0.20499999999999999</v>
      </c>
      <c r="T260" s="4">
        <v>8</v>
      </c>
      <c r="U260" s="4">
        <f t="shared" si="32"/>
        <v>9725.3304000000007</v>
      </c>
      <c r="V260">
        <f t="shared" si="33"/>
        <v>2519.44</v>
      </c>
      <c r="W260" s="4">
        <f t="shared" si="37"/>
        <v>7205.8904000000002</v>
      </c>
      <c r="X260" s="4">
        <f t="shared" si="38"/>
        <v>0.74094042090333501</v>
      </c>
    </row>
    <row r="261" spans="1:24" x14ac:dyDescent="0.3">
      <c r="A261" t="s">
        <v>620</v>
      </c>
      <c r="B261" s="6">
        <v>45210</v>
      </c>
      <c r="C261" s="2">
        <v>45212</v>
      </c>
      <c r="D261" s="4">
        <f t="shared" si="39"/>
        <v>2</v>
      </c>
      <c r="E261" s="46" t="str">
        <f t="shared" si="34"/>
        <v>Yes</v>
      </c>
      <c r="F261" s="4" t="str">
        <f>TEXT(Data!B261,"MMM-YYYY")</f>
        <v>May-2023</v>
      </c>
      <c r="G261" s="4" t="str">
        <f t="shared" si="35"/>
        <v>Q4-2023</v>
      </c>
      <c r="H261" t="s">
        <v>52</v>
      </c>
      <c r="I261" t="s">
        <v>73</v>
      </c>
      <c r="J261" t="s">
        <v>87</v>
      </c>
      <c r="K261" t="s">
        <v>48</v>
      </c>
      <c r="L261" t="s">
        <v>55</v>
      </c>
      <c r="M261" t="s">
        <v>1364</v>
      </c>
      <c r="N261" t="s">
        <v>81</v>
      </c>
      <c r="O261" t="s">
        <v>621</v>
      </c>
      <c r="P261" s="4">
        <v>715.94</v>
      </c>
      <c r="Q261" s="7" t="str">
        <f t="shared" si="36"/>
        <v>High</v>
      </c>
      <c r="R261" s="4">
        <v>550.07000000000005</v>
      </c>
      <c r="S261" s="4">
        <v>0.14000000000000001</v>
      </c>
      <c r="T261" s="4">
        <v>16</v>
      </c>
      <c r="U261" s="4">
        <f t="shared" si="32"/>
        <v>10026.7744</v>
      </c>
      <c r="V261">
        <f t="shared" si="33"/>
        <v>11455.04</v>
      </c>
      <c r="W261" s="4">
        <f t="shared" si="37"/>
        <v>-1428.2656000000006</v>
      </c>
      <c r="X261" s="4">
        <f t="shared" si="38"/>
        <v>-0.14244517159975201</v>
      </c>
    </row>
    <row r="262" spans="1:24" x14ac:dyDescent="0.3">
      <c r="A262" t="s">
        <v>622</v>
      </c>
      <c r="B262" s="6">
        <v>45066</v>
      </c>
      <c r="C262" s="2">
        <v>45084</v>
      </c>
      <c r="D262" s="4">
        <f t="shared" si="39"/>
        <v>18</v>
      </c>
      <c r="E262" s="46" t="b">
        <f t="shared" si="34"/>
        <v>0</v>
      </c>
      <c r="F262" s="4" t="str">
        <f>TEXT(Data!B262,"MMM-YYYY")</f>
        <v>May-2023</v>
      </c>
      <c r="G262" s="4" t="str">
        <f t="shared" si="35"/>
        <v>Q2-2023</v>
      </c>
      <c r="H262" t="s">
        <v>16</v>
      </c>
      <c r="I262" t="s">
        <v>25</v>
      </c>
      <c r="J262" t="s">
        <v>26</v>
      </c>
      <c r="K262" t="s">
        <v>105</v>
      </c>
      <c r="L262" t="s">
        <v>55</v>
      </c>
      <c r="M262" t="s">
        <v>63</v>
      </c>
      <c r="N262" t="s">
        <v>22</v>
      </c>
      <c r="O262" t="s">
        <v>623</v>
      </c>
      <c r="P262" s="4">
        <v>1120.06</v>
      </c>
      <c r="Q262" s="7" t="str">
        <f t="shared" si="36"/>
        <v>High</v>
      </c>
      <c r="R262" s="4">
        <v>2068.21</v>
      </c>
      <c r="S262" s="4">
        <v>7.8E-2</v>
      </c>
      <c r="T262" s="4">
        <v>12</v>
      </c>
      <c r="U262" s="4">
        <f t="shared" si="32"/>
        <v>69.481920000000002</v>
      </c>
      <c r="V262">
        <f t="shared" si="33"/>
        <v>13440.72</v>
      </c>
      <c r="W262" s="4">
        <f t="shared" si="37"/>
        <v>-13371.238079999999</v>
      </c>
      <c r="X262" s="4">
        <f t="shared" si="38"/>
        <v>-192.44197742376721</v>
      </c>
    </row>
    <row r="263" spans="1:24" x14ac:dyDescent="0.3">
      <c r="A263" t="s">
        <v>624</v>
      </c>
      <c r="B263" s="6">
        <v>45073</v>
      </c>
      <c r="C263" s="2">
        <v>45096</v>
      </c>
      <c r="D263" s="4">
        <f t="shared" si="39"/>
        <v>23</v>
      </c>
      <c r="E263" s="46" t="b">
        <f t="shared" si="34"/>
        <v>0</v>
      </c>
      <c r="F263" s="4" t="str">
        <f>TEXT(Data!B263,"MMM-YYYY")</f>
        <v>Aug-2023</v>
      </c>
      <c r="G263" s="4" t="str">
        <f t="shared" si="35"/>
        <v>Q2-2023</v>
      </c>
      <c r="H263" t="s">
        <v>78</v>
      </c>
      <c r="I263" t="s">
        <v>79</v>
      </c>
      <c r="J263" t="s">
        <v>80</v>
      </c>
      <c r="K263" t="s">
        <v>27</v>
      </c>
      <c r="L263" t="s">
        <v>20</v>
      </c>
      <c r="M263" t="s">
        <v>68</v>
      </c>
      <c r="N263" t="s">
        <v>81</v>
      </c>
      <c r="O263" t="s">
        <v>625</v>
      </c>
      <c r="P263" s="4">
        <v>1471.58</v>
      </c>
      <c r="Q263" s="7" t="str">
        <f t="shared" si="36"/>
        <v>High</v>
      </c>
      <c r="R263" s="4">
        <v>2576.65</v>
      </c>
      <c r="S263" s="4">
        <v>4.0000000000000001E-3</v>
      </c>
      <c r="T263" s="4">
        <v>7</v>
      </c>
      <c r="U263" s="4">
        <f t="shared" si="32"/>
        <v>17916.436439999998</v>
      </c>
      <c r="V263">
        <f t="shared" si="33"/>
        <v>10301.06</v>
      </c>
      <c r="W263" s="4">
        <f t="shared" si="37"/>
        <v>7615.3764399999982</v>
      </c>
      <c r="X263" s="4">
        <f t="shared" si="38"/>
        <v>0.42504972824830334</v>
      </c>
    </row>
    <row r="264" spans="1:24" x14ac:dyDescent="0.3">
      <c r="A264" t="s">
        <v>626</v>
      </c>
      <c r="B264" s="6">
        <v>45142</v>
      </c>
      <c r="C264" s="2">
        <v>45162</v>
      </c>
      <c r="D264" s="4">
        <f t="shared" si="39"/>
        <v>20</v>
      </c>
      <c r="E264" s="46" t="b">
        <f t="shared" si="34"/>
        <v>0</v>
      </c>
      <c r="F264" s="4" t="str">
        <f>TEXT(Data!B264,"MMM-YYYY")</f>
        <v>Jun-2025</v>
      </c>
      <c r="G264" s="4" t="str">
        <f t="shared" si="35"/>
        <v>Q3-2023</v>
      </c>
      <c r="H264" t="s">
        <v>52</v>
      </c>
      <c r="I264" t="s">
        <v>73</v>
      </c>
      <c r="J264" t="s">
        <v>87</v>
      </c>
      <c r="K264" t="s">
        <v>39</v>
      </c>
      <c r="L264" t="s">
        <v>98</v>
      </c>
      <c r="M264" t="s">
        <v>1364</v>
      </c>
      <c r="N264" t="s">
        <v>35</v>
      </c>
      <c r="O264" t="s">
        <v>627</v>
      </c>
      <c r="P264" s="4">
        <v>582.88</v>
      </c>
      <c r="Q264" s="7" t="str">
        <f t="shared" si="36"/>
        <v>High</v>
      </c>
      <c r="R264" s="4">
        <v>1044.1400000000001</v>
      </c>
      <c r="S264" s="4">
        <v>0.216</v>
      </c>
      <c r="T264" s="4">
        <v>10</v>
      </c>
      <c r="U264" s="4">
        <f t="shared" si="32"/>
        <v>12481.436800000001</v>
      </c>
      <c r="V264">
        <f t="shared" si="33"/>
        <v>5828.8</v>
      </c>
      <c r="W264" s="4">
        <f t="shared" si="37"/>
        <v>6652.6368000000011</v>
      </c>
      <c r="X264" s="4">
        <f t="shared" si="38"/>
        <v>0.53300248253470306</v>
      </c>
    </row>
    <row r="265" spans="1:24" x14ac:dyDescent="0.3">
      <c r="A265" t="s">
        <v>628</v>
      </c>
      <c r="B265" s="6">
        <v>45829</v>
      </c>
      <c r="C265" s="2">
        <v>45835</v>
      </c>
      <c r="D265" s="4">
        <f t="shared" si="39"/>
        <v>6</v>
      </c>
      <c r="E265" s="46" t="str">
        <f t="shared" si="34"/>
        <v>Yes</v>
      </c>
      <c r="F265" s="4" t="str">
        <f>TEXT(Data!B265,"MMM-YYYY")</f>
        <v>Apr-2025</v>
      </c>
      <c r="G265" s="4" t="str">
        <f t="shared" si="35"/>
        <v>Q2-2025</v>
      </c>
      <c r="H265" t="s">
        <v>16</v>
      </c>
      <c r="I265" t="s">
        <v>148</v>
      </c>
      <c r="J265" t="s">
        <v>172</v>
      </c>
      <c r="K265" t="s">
        <v>105</v>
      </c>
      <c r="L265" t="s">
        <v>55</v>
      </c>
      <c r="M265" t="s">
        <v>126</v>
      </c>
      <c r="N265" t="s">
        <v>42</v>
      </c>
      <c r="O265" t="s">
        <v>629</v>
      </c>
      <c r="P265" s="4">
        <v>93.91</v>
      </c>
      <c r="Q265" s="7" t="str">
        <f t="shared" si="36"/>
        <v>Medium</v>
      </c>
      <c r="R265" s="4">
        <v>99.04</v>
      </c>
      <c r="S265" s="4">
        <v>5.7000000000000002E-2</v>
      </c>
      <c r="T265" s="4">
        <v>6</v>
      </c>
      <c r="U265" s="4">
        <f t="shared" si="32"/>
        <v>5632.3692599999995</v>
      </c>
      <c r="V265">
        <f t="shared" si="33"/>
        <v>563.46</v>
      </c>
      <c r="W265" s="4">
        <f t="shared" si="37"/>
        <v>5068.9092599999994</v>
      </c>
      <c r="X265" s="4">
        <f t="shared" si="38"/>
        <v>0.89996039428707486</v>
      </c>
    </row>
    <row r="266" spans="1:24" x14ac:dyDescent="0.3">
      <c r="A266" t="s">
        <v>630</v>
      </c>
      <c r="B266" s="6">
        <v>45763</v>
      </c>
      <c r="C266" s="2">
        <v>45773</v>
      </c>
      <c r="D266" s="4">
        <f t="shared" si="39"/>
        <v>10</v>
      </c>
      <c r="E266" s="46" t="b">
        <f t="shared" si="34"/>
        <v>0</v>
      </c>
      <c r="F266" s="4" t="str">
        <f>TEXT(Data!B266,"MMM-YYYY")</f>
        <v>Sep-2025</v>
      </c>
      <c r="G266" s="4" t="str">
        <f t="shared" si="35"/>
        <v>Q2-2025</v>
      </c>
      <c r="H266" t="s">
        <v>16</v>
      </c>
      <c r="I266" t="s">
        <v>25</v>
      </c>
      <c r="J266" t="s">
        <v>26</v>
      </c>
      <c r="K266" t="s">
        <v>105</v>
      </c>
      <c r="L266" t="s">
        <v>40</v>
      </c>
      <c r="M266" t="s">
        <v>84</v>
      </c>
      <c r="N266" t="s">
        <v>57</v>
      </c>
      <c r="O266" t="s">
        <v>631</v>
      </c>
      <c r="P266" s="4">
        <v>1457.44</v>
      </c>
      <c r="Q266" s="7" t="str">
        <f t="shared" si="36"/>
        <v>High</v>
      </c>
      <c r="R266" s="4">
        <v>1996.81</v>
      </c>
      <c r="S266" s="4">
        <v>0.126</v>
      </c>
      <c r="T266" s="4">
        <v>23</v>
      </c>
      <c r="U266" s="4">
        <f t="shared" si="32"/>
        <v>24932.711619999998</v>
      </c>
      <c r="V266">
        <f t="shared" si="33"/>
        <v>33521.120000000003</v>
      </c>
      <c r="W266" s="4">
        <f t="shared" si="37"/>
        <v>-8588.4083800000044</v>
      </c>
      <c r="X266" s="4">
        <f t="shared" si="38"/>
        <v>-0.3444634707566559</v>
      </c>
    </row>
    <row r="267" spans="1:24" x14ac:dyDescent="0.3">
      <c r="A267" t="s">
        <v>632</v>
      </c>
      <c r="B267" s="6">
        <v>45902</v>
      </c>
      <c r="C267" s="2">
        <v>45911</v>
      </c>
      <c r="D267" s="4">
        <f t="shared" si="39"/>
        <v>9</v>
      </c>
      <c r="E267" s="46" t="b">
        <f t="shared" si="34"/>
        <v>0</v>
      </c>
      <c r="F267" s="4" t="str">
        <f>TEXT(Data!B267,"MMM-YYYY")</f>
        <v>Oct-2024</v>
      </c>
      <c r="G267" s="4" t="str">
        <f t="shared" si="35"/>
        <v>Q3-2025</v>
      </c>
      <c r="H267" t="s">
        <v>52</v>
      </c>
      <c r="I267" t="s">
        <v>53</v>
      </c>
      <c r="J267" t="s">
        <v>54</v>
      </c>
      <c r="K267" t="s">
        <v>19</v>
      </c>
      <c r="L267" t="s">
        <v>55</v>
      </c>
      <c r="M267" t="s">
        <v>110</v>
      </c>
      <c r="N267" t="s">
        <v>30</v>
      </c>
      <c r="O267" t="s">
        <v>633</v>
      </c>
      <c r="P267" s="4">
        <v>1207.6300000000001</v>
      </c>
      <c r="Q267" s="7" t="str">
        <f t="shared" si="36"/>
        <v>High</v>
      </c>
      <c r="R267" s="4">
        <v>921.68</v>
      </c>
      <c r="S267" s="4">
        <v>0.19600000000000001</v>
      </c>
      <c r="T267" s="4">
        <v>17</v>
      </c>
      <c r="U267" s="4">
        <f t="shared" si="32"/>
        <v>1617.8811600000001</v>
      </c>
      <c r="V267">
        <f t="shared" si="33"/>
        <v>20529.710000000003</v>
      </c>
      <c r="W267" s="4">
        <f t="shared" si="37"/>
        <v>-18911.828840000002</v>
      </c>
      <c r="X267" s="4">
        <f t="shared" si="38"/>
        <v>-11.689257102171831</v>
      </c>
    </row>
    <row r="268" spans="1:24" x14ac:dyDescent="0.3">
      <c r="A268" t="s">
        <v>634</v>
      </c>
      <c r="B268" s="6">
        <v>45573</v>
      </c>
      <c r="C268" s="2">
        <v>45573</v>
      </c>
      <c r="D268" s="4">
        <f t="shared" si="39"/>
        <v>0</v>
      </c>
      <c r="E268" s="46" t="str">
        <f t="shared" si="34"/>
        <v>Yes</v>
      </c>
      <c r="F268" s="4" t="str">
        <f>TEXT(Data!B268,"MMM-YYYY")</f>
        <v>May-2023</v>
      </c>
      <c r="G268" s="4" t="str">
        <f t="shared" si="35"/>
        <v>Q4-2024</v>
      </c>
      <c r="H268" t="s">
        <v>78</v>
      </c>
      <c r="I268" t="s">
        <v>108</v>
      </c>
      <c r="J268" t="s">
        <v>152</v>
      </c>
      <c r="K268" t="s">
        <v>19</v>
      </c>
      <c r="L268" t="s">
        <v>28</v>
      </c>
      <c r="M268" t="s">
        <v>63</v>
      </c>
      <c r="N268" t="s">
        <v>64</v>
      </c>
      <c r="O268" t="s">
        <v>635</v>
      </c>
      <c r="P268" s="4">
        <v>1108.1099999999999</v>
      </c>
      <c r="Q268" s="7" t="str">
        <f t="shared" si="36"/>
        <v>High</v>
      </c>
      <c r="R268" s="4">
        <v>2503.79</v>
      </c>
      <c r="S268" s="4">
        <v>0.184</v>
      </c>
      <c r="T268" s="4">
        <v>19</v>
      </c>
      <c r="U268" s="4">
        <f t="shared" si="32"/>
        <v>32644.137120000007</v>
      </c>
      <c r="V268">
        <f t="shared" si="33"/>
        <v>21054.089999999997</v>
      </c>
      <c r="W268" s="4">
        <f t="shared" si="37"/>
        <v>11590.04712000001</v>
      </c>
      <c r="X268" s="4">
        <f t="shared" si="38"/>
        <v>0.35504222633898824</v>
      </c>
    </row>
    <row r="269" spans="1:24" x14ac:dyDescent="0.3">
      <c r="A269" t="s">
        <v>636</v>
      </c>
      <c r="B269" s="6">
        <v>45053</v>
      </c>
      <c r="C269" s="2">
        <v>45051</v>
      </c>
      <c r="D269" s="4">
        <f>DATEDIF(C269,B269, "MD")</f>
        <v>2</v>
      </c>
      <c r="E269" s="46" t="str">
        <f t="shared" si="34"/>
        <v>Yes</v>
      </c>
      <c r="F269" s="4" t="str">
        <f>TEXT(Data!B269,"MMM-YYYY")</f>
        <v>Dec-2023</v>
      </c>
      <c r="G269" s="4" t="str">
        <f t="shared" si="35"/>
        <v>Q2-2023</v>
      </c>
      <c r="H269" t="s">
        <v>16</v>
      </c>
      <c r="I269" t="s">
        <v>25</v>
      </c>
      <c r="J269" t="s">
        <v>26</v>
      </c>
      <c r="K269" t="s">
        <v>39</v>
      </c>
      <c r="L269" t="s">
        <v>40</v>
      </c>
      <c r="M269" t="s">
        <v>75</v>
      </c>
      <c r="N269" t="s">
        <v>22</v>
      </c>
      <c r="O269" t="s">
        <v>637</v>
      </c>
      <c r="P269" s="4">
        <v>1269.6500000000001</v>
      </c>
      <c r="Q269" s="7" t="str">
        <f t="shared" si="36"/>
        <v>High</v>
      </c>
      <c r="R269" s="4">
        <v>2462.77</v>
      </c>
      <c r="S269" s="4">
        <v>0.107</v>
      </c>
      <c r="T269" s="4">
        <v>8</v>
      </c>
      <c r="U269" s="4">
        <f t="shared" si="32"/>
        <v>3736.3119999999999</v>
      </c>
      <c r="V269">
        <f t="shared" si="33"/>
        <v>10157.200000000001</v>
      </c>
      <c r="W269" s="4">
        <f t="shared" si="37"/>
        <v>-6420.8880000000008</v>
      </c>
      <c r="X269" s="4">
        <f t="shared" si="38"/>
        <v>-1.7185095891349547</v>
      </c>
    </row>
    <row r="270" spans="1:24" x14ac:dyDescent="0.3">
      <c r="A270" t="s">
        <v>638</v>
      </c>
      <c r="B270" s="6">
        <v>45284</v>
      </c>
      <c r="C270" s="2">
        <v>45292</v>
      </c>
      <c r="D270" s="4">
        <f t="shared" si="39"/>
        <v>8</v>
      </c>
      <c r="E270" s="46" t="b">
        <f t="shared" si="34"/>
        <v>0</v>
      </c>
      <c r="F270" s="4" t="str">
        <f>TEXT(Data!B270,"MMM-YYYY")</f>
        <v>Jan-2024</v>
      </c>
      <c r="G270" s="4" t="str">
        <f t="shared" si="35"/>
        <v>Q4-2023</v>
      </c>
      <c r="H270" t="s">
        <v>52</v>
      </c>
      <c r="I270" t="s">
        <v>73</v>
      </c>
      <c r="J270" t="s">
        <v>74</v>
      </c>
      <c r="K270" t="s">
        <v>27</v>
      </c>
      <c r="L270" t="s">
        <v>98</v>
      </c>
      <c r="M270" t="s">
        <v>21</v>
      </c>
      <c r="N270" t="s">
        <v>42</v>
      </c>
      <c r="O270" t="s">
        <v>639</v>
      </c>
      <c r="P270" s="4">
        <v>526.49</v>
      </c>
      <c r="Q270" s="7" t="str">
        <f t="shared" si="36"/>
        <v>High</v>
      </c>
      <c r="R270" s="4">
        <v>496.2</v>
      </c>
      <c r="S270" s="4">
        <v>0</v>
      </c>
      <c r="T270" s="4">
        <v>14</v>
      </c>
      <c r="U270" s="4">
        <f t="shared" si="32"/>
        <v>15054.199999999999</v>
      </c>
      <c r="V270">
        <f t="shared" si="33"/>
        <v>7370.8600000000006</v>
      </c>
      <c r="W270" s="4">
        <f t="shared" si="37"/>
        <v>7683.3399999999983</v>
      </c>
      <c r="X270" s="4">
        <f t="shared" si="38"/>
        <v>0.51037849902352828</v>
      </c>
    </row>
    <row r="271" spans="1:24" x14ac:dyDescent="0.3">
      <c r="A271" t="s">
        <v>640</v>
      </c>
      <c r="B271" s="6">
        <v>45301</v>
      </c>
      <c r="C271" s="2">
        <v>45314</v>
      </c>
      <c r="D271" s="4">
        <f t="shared" si="39"/>
        <v>13</v>
      </c>
      <c r="E271" s="46" t="b">
        <f t="shared" si="34"/>
        <v>0</v>
      </c>
      <c r="F271" s="4" t="str">
        <f>TEXT(Data!B271,"MMM-YYYY")</f>
        <v>Aug-2023</v>
      </c>
      <c r="G271" s="4" t="str">
        <f t="shared" si="35"/>
        <v>Q1-2024</v>
      </c>
      <c r="H271" t="s">
        <v>78</v>
      </c>
      <c r="I271" t="s">
        <v>90</v>
      </c>
      <c r="J271" t="s">
        <v>91</v>
      </c>
      <c r="K271" t="s">
        <v>19</v>
      </c>
      <c r="L271" t="s">
        <v>98</v>
      </c>
      <c r="M271" t="s">
        <v>75</v>
      </c>
      <c r="N271" t="s">
        <v>30</v>
      </c>
      <c r="O271" t="s">
        <v>641</v>
      </c>
      <c r="P271" s="4">
        <v>720</v>
      </c>
      <c r="Q271" s="7" t="str">
        <f t="shared" si="36"/>
        <v>High</v>
      </c>
      <c r="R271" s="4">
        <v>907.59</v>
      </c>
      <c r="S271" s="4">
        <v>0.154</v>
      </c>
      <c r="T271" s="4">
        <v>10</v>
      </c>
      <c r="U271" s="4">
        <f t="shared" si="32"/>
        <v>27872.062200000004</v>
      </c>
      <c r="V271">
        <f t="shared" si="33"/>
        <v>7200</v>
      </c>
      <c r="W271" s="4">
        <f t="shared" si="37"/>
        <v>20672.062200000004</v>
      </c>
      <c r="X271" s="4">
        <f t="shared" si="38"/>
        <v>0.7416768106954067</v>
      </c>
    </row>
    <row r="272" spans="1:24" x14ac:dyDescent="0.3">
      <c r="A272" t="s">
        <v>642</v>
      </c>
      <c r="B272" s="6">
        <v>45141</v>
      </c>
      <c r="C272" s="2">
        <v>45152</v>
      </c>
      <c r="D272" s="4">
        <f t="shared" si="39"/>
        <v>11</v>
      </c>
      <c r="E272" s="46" t="b">
        <f t="shared" si="34"/>
        <v>0</v>
      </c>
      <c r="F272" s="4" t="str">
        <f>TEXT(Data!B272,"MMM-YYYY")</f>
        <v>Feb-2025</v>
      </c>
      <c r="G272" s="4" t="str">
        <f t="shared" si="35"/>
        <v>Q3-2023</v>
      </c>
      <c r="H272" t="s">
        <v>52</v>
      </c>
      <c r="I272" t="s">
        <v>73</v>
      </c>
      <c r="J272" t="s">
        <v>87</v>
      </c>
      <c r="K272" t="s">
        <v>19</v>
      </c>
      <c r="L272" t="s">
        <v>98</v>
      </c>
      <c r="M272" t="s">
        <v>29</v>
      </c>
      <c r="N272" t="s">
        <v>81</v>
      </c>
      <c r="O272" t="s">
        <v>643</v>
      </c>
      <c r="P272" s="4">
        <v>232.73</v>
      </c>
      <c r="Q272" s="7" t="str">
        <f t="shared" si="36"/>
        <v>High</v>
      </c>
      <c r="R272" s="4">
        <v>334.19</v>
      </c>
      <c r="S272" s="4">
        <v>0.13400000000000001</v>
      </c>
      <c r="T272" s="4">
        <v>25</v>
      </c>
      <c r="U272" s="4">
        <f t="shared" si="32"/>
        <v>10046.682500000001</v>
      </c>
      <c r="V272">
        <f t="shared" si="33"/>
        <v>5818.25</v>
      </c>
      <c r="W272" s="4">
        <f t="shared" si="37"/>
        <v>4228.4325000000008</v>
      </c>
      <c r="X272" s="4">
        <f t="shared" si="38"/>
        <v>0.42087848401698774</v>
      </c>
    </row>
    <row r="273" spans="1:24" x14ac:dyDescent="0.3">
      <c r="A273" t="s">
        <v>644</v>
      </c>
      <c r="B273" s="6">
        <v>45707</v>
      </c>
      <c r="C273" s="2">
        <v>45725</v>
      </c>
      <c r="D273" s="4">
        <f t="shared" si="39"/>
        <v>18</v>
      </c>
      <c r="E273" s="46" t="b">
        <f t="shared" si="34"/>
        <v>0</v>
      </c>
      <c r="F273" s="4" t="str">
        <f>TEXT(Data!B273,"MMM-YYYY")</f>
        <v>Mar-2024</v>
      </c>
      <c r="G273" s="4" t="str">
        <f t="shared" si="35"/>
        <v>Q1-2025</v>
      </c>
      <c r="H273" t="s">
        <v>45</v>
      </c>
      <c r="I273" t="s">
        <v>60</v>
      </c>
      <c r="J273" t="s">
        <v>141</v>
      </c>
      <c r="K273" t="s">
        <v>62</v>
      </c>
      <c r="L273" t="s">
        <v>98</v>
      </c>
      <c r="M273" t="s">
        <v>68</v>
      </c>
      <c r="N273" t="s">
        <v>64</v>
      </c>
      <c r="O273" t="s">
        <v>645</v>
      </c>
      <c r="P273" s="4">
        <v>325.87</v>
      </c>
      <c r="Q273" s="7" t="str">
        <f t="shared" si="36"/>
        <v>High</v>
      </c>
      <c r="R273" s="4">
        <v>538.79</v>
      </c>
      <c r="S273" s="4">
        <v>0.17399999999999999</v>
      </c>
      <c r="T273" s="4">
        <v>16</v>
      </c>
      <c r="U273" s="4">
        <f t="shared" si="32"/>
        <v>6753.7724800000005</v>
      </c>
      <c r="V273">
        <f t="shared" si="33"/>
        <v>5213.92</v>
      </c>
      <c r="W273" s="4">
        <f t="shared" si="37"/>
        <v>1539.8524800000005</v>
      </c>
      <c r="X273" s="4">
        <f t="shared" si="38"/>
        <v>0.22799886797489516</v>
      </c>
    </row>
    <row r="274" spans="1:24" x14ac:dyDescent="0.3">
      <c r="A274" t="s">
        <v>646</v>
      </c>
      <c r="B274" s="6">
        <v>45382</v>
      </c>
      <c r="C274" s="2">
        <v>45399</v>
      </c>
      <c r="D274" s="4">
        <f t="shared" si="39"/>
        <v>17</v>
      </c>
      <c r="E274" s="46" t="b">
        <f t="shared" si="34"/>
        <v>0</v>
      </c>
      <c r="F274" s="4" t="str">
        <f>TEXT(Data!B274,"MMM-YYYY")</f>
        <v>Jul-2023</v>
      </c>
      <c r="G274" s="4" t="str">
        <f t="shared" si="35"/>
        <v>Q1-2024</v>
      </c>
      <c r="H274" t="s">
        <v>78</v>
      </c>
      <c r="I274" t="s">
        <v>79</v>
      </c>
      <c r="J274" t="s">
        <v>335</v>
      </c>
      <c r="K274" t="s">
        <v>27</v>
      </c>
      <c r="L274" t="s">
        <v>98</v>
      </c>
      <c r="M274" t="s">
        <v>92</v>
      </c>
      <c r="N274" t="s">
        <v>64</v>
      </c>
      <c r="O274" t="s">
        <v>647</v>
      </c>
      <c r="P274" s="4">
        <v>1025.51</v>
      </c>
      <c r="Q274" s="7" t="str">
        <f t="shared" si="36"/>
        <v>High</v>
      </c>
      <c r="R274" s="4">
        <v>1436.54</v>
      </c>
      <c r="S274" s="4">
        <v>0.13900000000000001</v>
      </c>
      <c r="T274" s="4">
        <v>28</v>
      </c>
      <c r="U274" s="4">
        <f t="shared" si="32"/>
        <v>101.73576</v>
      </c>
      <c r="V274">
        <f t="shared" si="33"/>
        <v>28714.28</v>
      </c>
      <c r="W274" s="4">
        <f t="shared" si="37"/>
        <v>-28612.544239999999</v>
      </c>
      <c r="X274" s="4">
        <f t="shared" si="38"/>
        <v>-281.24372629643699</v>
      </c>
    </row>
    <row r="275" spans="1:24" x14ac:dyDescent="0.3">
      <c r="A275" t="s">
        <v>648</v>
      </c>
      <c r="B275" s="6">
        <v>45131</v>
      </c>
      <c r="C275" s="2">
        <v>45151</v>
      </c>
      <c r="D275" s="4">
        <f t="shared" si="39"/>
        <v>20</v>
      </c>
      <c r="E275" s="46" t="b">
        <f t="shared" si="34"/>
        <v>0</v>
      </c>
      <c r="F275" s="4" t="str">
        <f>TEXT(Data!B275,"MMM-YYYY")</f>
        <v>Mar-2024</v>
      </c>
      <c r="G275" s="4" t="str">
        <f t="shared" si="35"/>
        <v>Q3-2023</v>
      </c>
      <c r="H275" t="s">
        <v>52</v>
      </c>
      <c r="I275" t="s">
        <v>53</v>
      </c>
      <c r="J275" t="s">
        <v>144</v>
      </c>
      <c r="K275" t="s">
        <v>27</v>
      </c>
      <c r="L275" t="s">
        <v>98</v>
      </c>
      <c r="M275" t="s">
        <v>21</v>
      </c>
      <c r="N275" t="s">
        <v>64</v>
      </c>
      <c r="O275" t="s">
        <v>649</v>
      </c>
      <c r="P275" s="4">
        <v>1082.3800000000001</v>
      </c>
      <c r="Q275" s="7" t="str">
        <f t="shared" si="36"/>
        <v>High</v>
      </c>
      <c r="R275" s="4">
        <v>1766.55</v>
      </c>
      <c r="S275" s="4">
        <v>0.16400000000000001</v>
      </c>
      <c r="T275" s="4">
        <v>20</v>
      </c>
      <c r="U275" s="4">
        <f t="shared" si="32"/>
        <v>9651.4527999999991</v>
      </c>
      <c r="V275">
        <f t="shared" si="33"/>
        <v>21647.600000000002</v>
      </c>
      <c r="W275" s="4">
        <f t="shared" si="37"/>
        <v>-11996.147200000003</v>
      </c>
      <c r="X275" s="4">
        <f t="shared" si="38"/>
        <v>-1.242936938986015</v>
      </c>
    </row>
    <row r="276" spans="1:24" x14ac:dyDescent="0.3">
      <c r="A276" t="s">
        <v>650</v>
      </c>
      <c r="B276" s="6">
        <v>45367</v>
      </c>
      <c r="C276" s="2">
        <v>45395</v>
      </c>
      <c r="D276" s="4">
        <f t="shared" si="39"/>
        <v>28</v>
      </c>
      <c r="E276" s="46" t="b">
        <f t="shared" si="34"/>
        <v>0</v>
      </c>
      <c r="F276" s="4" t="str">
        <f>TEXT(Data!B276,"MMM-YYYY")</f>
        <v>Jan-2024</v>
      </c>
      <c r="G276" s="4" t="str">
        <f t="shared" si="35"/>
        <v>Q1-2024</v>
      </c>
      <c r="H276" t="s">
        <v>78</v>
      </c>
      <c r="I276" t="s">
        <v>90</v>
      </c>
      <c r="J276" t="s">
        <v>217</v>
      </c>
      <c r="K276" t="s">
        <v>62</v>
      </c>
      <c r="L276" t="s">
        <v>28</v>
      </c>
      <c r="M276" t="s">
        <v>95</v>
      </c>
      <c r="N276" t="s">
        <v>30</v>
      </c>
      <c r="O276" t="s">
        <v>651</v>
      </c>
      <c r="P276" s="4">
        <v>287.61</v>
      </c>
      <c r="Q276" s="7" t="str">
        <f t="shared" si="36"/>
        <v>High</v>
      </c>
      <c r="R276" s="4">
        <v>628.54</v>
      </c>
      <c r="S276" s="4">
        <v>0.13500000000000001</v>
      </c>
      <c r="T276" s="4">
        <v>21</v>
      </c>
      <c r="U276" s="4">
        <f t="shared" si="32"/>
        <v>25903.83495</v>
      </c>
      <c r="V276">
        <f t="shared" si="33"/>
        <v>6039.81</v>
      </c>
      <c r="W276" s="4">
        <f t="shared" si="37"/>
        <v>19864.024949999999</v>
      </c>
      <c r="X276" s="4">
        <f t="shared" si="38"/>
        <v>0.76683722654741504</v>
      </c>
    </row>
    <row r="277" spans="1:24" x14ac:dyDescent="0.3">
      <c r="A277" t="s">
        <v>652</v>
      </c>
      <c r="B277" s="6">
        <v>45316</v>
      </c>
      <c r="C277" s="2">
        <v>45318</v>
      </c>
      <c r="D277" s="4">
        <f t="shared" si="39"/>
        <v>2</v>
      </c>
      <c r="E277" s="46" t="str">
        <f t="shared" si="34"/>
        <v>Yes</v>
      </c>
      <c r="F277" s="4" t="str">
        <f>TEXT(Data!B277,"MMM-YYYY")</f>
        <v>Mar-2024</v>
      </c>
      <c r="G277" s="4" t="str">
        <f t="shared" si="35"/>
        <v>Q1-2024</v>
      </c>
      <c r="H277" t="s">
        <v>52</v>
      </c>
      <c r="I277" t="s">
        <v>73</v>
      </c>
      <c r="J277" t="s">
        <v>74</v>
      </c>
      <c r="K277" t="s">
        <v>39</v>
      </c>
      <c r="L277" t="s">
        <v>40</v>
      </c>
      <c r="M277" t="s">
        <v>126</v>
      </c>
      <c r="N277" t="s">
        <v>57</v>
      </c>
      <c r="O277" t="s">
        <v>653</v>
      </c>
      <c r="P277" s="4">
        <v>1410.97</v>
      </c>
      <c r="Q277" s="7" t="str">
        <f t="shared" si="36"/>
        <v>High</v>
      </c>
      <c r="R277" s="4">
        <v>1650.75</v>
      </c>
      <c r="S277" s="4">
        <v>0.13500000000000001</v>
      </c>
      <c r="T277" s="4">
        <v>6</v>
      </c>
      <c r="U277" s="4">
        <f t="shared" si="32"/>
        <v>7059.0227999999997</v>
      </c>
      <c r="V277">
        <f t="shared" si="33"/>
        <v>8465.82</v>
      </c>
      <c r="W277" s="4">
        <f t="shared" si="37"/>
        <v>-1406.7972</v>
      </c>
      <c r="X277" s="4">
        <f t="shared" si="38"/>
        <v>-0.19929064402511917</v>
      </c>
    </row>
    <row r="278" spans="1:24" x14ac:dyDescent="0.3">
      <c r="A278" t="s">
        <v>654</v>
      </c>
      <c r="B278" s="6">
        <v>45378</v>
      </c>
      <c r="C278" s="2">
        <v>45393</v>
      </c>
      <c r="D278" s="4">
        <f t="shared" si="39"/>
        <v>15</v>
      </c>
      <c r="E278" s="46" t="b">
        <f t="shared" si="34"/>
        <v>0</v>
      </c>
      <c r="F278" s="4" t="str">
        <f>TEXT(Data!B278,"MMM-YYYY")</f>
        <v>Jun-2025</v>
      </c>
      <c r="G278" s="4" t="str">
        <f t="shared" si="35"/>
        <v>Q1-2024</v>
      </c>
      <c r="H278" t="s">
        <v>52</v>
      </c>
      <c r="I278" t="s">
        <v>122</v>
      </c>
      <c r="J278" t="s">
        <v>167</v>
      </c>
      <c r="K278" t="s">
        <v>62</v>
      </c>
      <c r="L278" t="s">
        <v>98</v>
      </c>
      <c r="M278" t="s">
        <v>68</v>
      </c>
      <c r="N278" t="s">
        <v>35</v>
      </c>
      <c r="O278" t="s">
        <v>655</v>
      </c>
      <c r="P278" s="4">
        <v>1338.35</v>
      </c>
      <c r="Q278" s="7" t="str">
        <f t="shared" si="36"/>
        <v>High</v>
      </c>
      <c r="R278" s="4">
        <v>2247.14</v>
      </c>
      <c r="S278" s="4">
        <v>0.115</v>
      </c>
      <c r="T278" s="4">
        <v>40</v>
      </c>
      <c r="U278" s="4">
        <f t="shared" si="32"/>
        <v>73316.94</v>
      </c>
      <c r="V278">
        <f t="shared" si="33"/>
        <v>53534</v>
      </c>
      <c r="W278" s="4">
        <f t="shared" si="37"/>
        <v>19782.940000000002</v>
      </c>
      <c r="X278" s="4">
        <f t="shared" si="38"/>
        <v>0.26982768238827209</v>
      </c>
    </row>
    <row r="279" spans="1:24" x14ac:dyDescent="0.3">
      <c r="A279" t="s">
        <v>656</v>
      </c>
      <c r="B279" s="6">
        <v>45832</v>
      </c>
      <c r="C279" s="2">
        <v>45852</v>
      </c>
      <c r="D279" s="4">
        <f t="shared" si="39"/>
        <v>20</v>
      </c>
      <c r="E279" s="46" t="b">
        <f t="shared" si="34"/>
        <v>0</v>
      </c>
      <c r="F279" s="4" t="str">
        <f>TEXT(Data!B279,"MMM-YYYY")</f>
        <v>Jun-2024</v>
      </c>
      <c r="G279" s="4" t="str">
        <f t="shared" si="35"/>
        <v>Q2-2025</v>
      </c>
      <c r="H279" t="s">
        <v>78</v>
      </c>
      <c r="I279" t="s">
        <v>79</v>
      </c>
      <c r="J279" t="s">
        <v>80</v>
      </c>
      <c r="K279" t="s">
        <v>19</v>
      </c>
      <c r="L279" t="s">
        <v>98</v>
      </c>
      <c r="M279" t="s">
        <v>68</v>
      </c>
      <c r="N279" t="s">
        <v>81</v>
      </c>
      <c r="O279" t="s">
        <v>657</v>
      </c>
      <c r="P279" s="4">
        <v>385.08</v>
      </c>
      <c r="Q279" s="7" t="str">
        <f t="shared" si="36"/>
        <v>High</v>
      </c>
      <c r="R279" s="4">
        <v>893.19</v>
      </c>
      <c r="S279" s="4">
        <v>0.151</v>
      </c>
      <c r="T279" s="4">
        <v>8</v>
      </c>
      <c r="U279" s="4">
        <f t="shared" si="32"/>
        <v>6655.0732799999996</v>
      </c>
      <c r="V279">
        <f t="shared" si="33"/>
        <v>3080.64</v>
      </c>
      <c r="W279" s="4">
        <f t="shared" si="37"/>
        <v>3574.4332799999997</v>
      </c>
      <c r="X279" s="4">
        <f t="shared" si="38"/>
        <v>0.53709901147775185</v>
      </c>
    </row>
    <row r="280" spans="1:24" x14ac:dyDescent="0.3">
      <c r="A280" t="s">
        <v>658</v>
      </c>
      <c r="B280" s="6">
        <v>45459</v>
      </c>
      <c r="C280" s="2">
        <v>45476</v>
      </c>
      <c r="D280" s="4">
        <f t="shared" si="39"/>
        <v>17</v>
      </c>
      <c r="E280" s="46" t="b">
        <f t="shared" si="34"/>
        <v>0</v>
      </c>
      <c r="F280" s="4" t="str">
        <f>TEXT(Data!B280,"MMM-YYYY")</f>
        <v>Oct-2023</v>
      </c>
      <c r="G280" s="4" t="str">
        <f t="shared" si="35"/>
        <v>Q2-2024</v>
      </c>
      <c r="H280" t="s">
        <v>16</v>
      </c>
      <c r="I280" t="s">
        <v>148</v>
      </c>
      <c r="J280" t="s">
        <v>149</v>
      </c>
      <c r="K280" t="s">
        <v>105</v>
      </c>
      <c r="L280" t="s">
        <v>40</v>
      </c>
      <c r="M280" t="s">
        <v>84</v>
      </c>
      <c r="N280" t="s">
        <v>42</v>
      </c>
      <c r="O280" t="s">
        <v>659</v>
      </c>
      <c r="P280" s="4">
        <v>1173.83</v>
      </c>
      <c r="Q280" s="7" t="str">
        <f t="shared" si="36"/>
        <v>High</v>
      </c>
      <c r="R280" s="4">
        <v>2328.9</v>
      </c>
      <c r="S280" s="4">
        <v>0.12</v>
      </c>
      <c r="T280" s="4">
        <v>17</v>
      </c>
      <c r="U280" s="4">
        <f t="shared" si="32"/>
        <v>8039.3543999999993</v>
      </c>
      <c r="V280">
        <f t="shared" si="33"/>
        <v>19955.11</v>
      </c>
      <c r="W280" s="4">
        <f t="shared" si="37"/>
        <v>-11915.7556</v>
      </c>
      <c r="X280" s="4">
        <f t="shared" si="38"/>
        <v>-1.4821781709237749</v>
      </c>
    </row>
    <row r="281" spans="1:24" x14ac:dyDescent="0.3">
      <c r="A281" t="s">
        <v>660</v>
      </c>
      <c r="B281" s="6">
        <v>45229</v>
      </c>
      <c r="C281" s="2">
        <v>45244</v>
      </c>
      <c r="D281" s="4">
        <f t="shared" si="39"/>
        <v>15</v>
      </c>
      <c r="E281" s="46" t="b">
        <f t="shared" si="34"/>
        <v>0</v>
      </c>
      <c r="F281" s="4" t="str">
        <f>TEXT(Data!B281,"MMM-YYYY")</f>
        <v>Jun-2023</v>
      </c>
      <c r="G281" s="4" t="str">
        <f t="shared" si="35"/>
        <v>Q4-2023</v>
      </c>
      <c r="H281" t="s">
        <v>45</v>
      </c>
      <c r="I281" t="s">
        <v>60</v>
      </c>
      <c r="J281" t="s">
        <v>61</v>
      </c>
      <c r="K281" t="s">
        <v>19</v>
      </c>
      <c r="L281" t="s">
        <v>28</v>
      </c>
      <c r="M281" t="s">
        <v>84</v>
      </c>
      <c r="N281" t="s">
        <v>57</v>
      </c>
      <c r="O281" t="s">
        <v>661</v>
      </c>
      <c r="P281" s="4">
        <v>953.46</v>
      </c>
      <c r="Q281" s="7" t="str">
        <f t="shared" si="36"/>
        <v>High</v>
      </c>
      <c r="R281" s="4">
        <v>2066.75</v>
      </c>
      <c r="S281" s="4">
        <v>0.13800000000000001</v>
      </c>
      <c r="T281" s="4">
        <v>5</v>
      </c>
      <c r="U281" s="4">
        <f t="shared" si="32"/>
        <v>919.40919999999994</v>
      </c>
      <c r="V281">
        <f t="shared" si="33"/>
        <v>4767.3</v>
      </c>
      <c r="W281" s="4">
        <f t="shared" si="37"/>
        <v>-3847.8908000000001</v>
      </c>
      <c r="X281" s="4">
        <f t="shared" si="38"/>
        <v>-4.1851776118838062</v>
      </c>
    </row>
    <row r="282" spans="1:24" x14ac:dyDescent="0.3">
      <c r="A282" t="s">
        <v>662</v>
      </c>
      <c r="B282" s="6">
        <v>45092</v>
      </c>
      <c r="C282" s="2">
        <v>45100</v>
      </c>
      <c r="D282" s="4">
        <f t="shared" si="39"/>
        <v>8</v>
      </c>
      <c r="E282" s="46" t="b">
        <f t="shared" si="34"/>
        <v>0</v>
      </c>
      <c r="F282" s="4" t="str">
        <f>TEXT(Data!B282,"MMM-YYYY")</f>
        <v>Mar-2025</v>
      </c>
      <c r="G282" s="4" t="str">
        <f t="shared" si="35"/>
        <v>Q2-2023</v>
      </c>
      <c r="H282" t="s">
        <v>52</v>
      </c>
      <c r="I282" t="s">
        <v>122</v>
      </c>
      <c r="J282" t="s">
        <v>167</v>
      </c>
      <c r="K282" t="s">
        <v>48</v>
      </c>
      <c r="L282" t="s">
        <v>55</v>
      </c>
      <c r="M282" t="s">
        <v>68</v>
      </c>
      <c r="N282" t="s">
        <v>64</v>
      </c>
      <c r="O282" t="s">
        <v>663</v>
      </c>
      <c r="P282" s="4">
        <v>1097.0899999999999</v>
      </c>
      <c r="Q282" s="7" t="str">
        <f t="shared" si="36"/>
        <v>High</v>
      </c>
      <c r="R282" s="4">
        <v>2182.31</v>
      </c>
      <c r="S282" s="4">
        <v>0.112</v>
      </c>
      <c r="T282" s="4">
        <v>9</v>
      </c>
      <c r="U282" s="4">
        <f t="shared" si="32"/>
        <v>15941.402639999998</v>
      </c>
      <c r="V282">
        <f t="shared" si="33"/>
        <v>9873.81</v>
      </c>
      <c r="W282" s="4">
        <f t="shared" si="37"/>
        <v>6067.5926399999989</v>
      </c>
      <c r="X282" s="4">
        <f t="shared" si="38"/>
        <v>0.38061849242646062</v>
      </c>
    </row>
    <row r="283" spans="1:24" x14ac:dyDescent="0.3">
      <c r="A283" t="s">
        <v>664</v>
      </c>
      <c r="B283" s="6">
        <v>45730</v>
      </c>
      <c r="C283" s="2">
        <v>45745</v>
      </c>
      <c r="D283" s="4">
        <f t="shared" si="39"/>
        <v>15</v>
      </c>
      <c r="E283" s="46" t="b">
        <f t="shared" si="34"/>
        <v>0</v>
      </c>
      <c r="F283" s="4" t="str">
        <f>TEXT(Data!B283,"MMM-YYYY")</f>
        <v>Aug-2023</v>
      </c>
      <c r="G283" s="4" t="str">
        <f t="shared" si="35"/>
        <v>Q1-2025</v>
      </c>
      <c r="H283" t="s">
        <v>45</v>
      </c>
      <c r="I283" t="s">
        <v>46</v>
      </c>
      <c r="J283" t="s">
        <v>214</v>
      </c>
      <c r="K283" t="s">
        <v>39</v>
      </c>
      <c r="L283" t="s">
        <v>98</v>
      </c>
      <c r="M283" t="s">
        <v>92</v>
      </c>
      <c r="N283" t="s">
        <v>35</v>
      </c>
      <c r="O283" t="s">
        <v>665</v>
      </c>
      <c r="P283" s="4">
        <v>1106.96</v>
      </c>
      <c r="Q283" s="7" t="str">
        <f t="shared" si="36"/>
        <v>High</v>
      </c>
      <c r="R283" s="4">
        <v>2726.62</v>
      </c>
      <c r="S283" s="4">
        <v>0.317</v>
      </c>
      <c r="T283" s="4">
        <v>7</v>
      </c>
      <c r="U283" s="4">
        <f t="shared" si="32"/>
        <v>2643.1280400000001</v>
      </c>
      <c r="V283">
        <f t="shared" si="33"/>
        <v>7748.72</v>
      </c>
      <c r="W283" s="4">
        <f t="shared" si="37"/>
        <v>-5105.5919599999997</v>
      </c>
      <c r="X283" s="4">
        <f t="shared" si="38"/>
        <v>-1.9316476094741137</v>
      </c>
    </row>
    <row r="284" spans="1:24" x14ac:dyDescent="0.3">
      <c r="A284" t="s">
        <v>666</v>
      </c>
      <c r="B284" s="6">
        <v>45153</v>
      </c>
      <c r="C284" s="2">
        <v>45163</v>
      </c>
      <c r="D284" s="4">
        <f t="shared" si="39"/>
        <v>10</v>
      </c>
      <c r="E284" s="46" t="b">
        <f t="shared" si="34"/>
        <v>0</v>
      </c>
      <c r="F284" s="4" t="str">
        <f>TEXT(Data!B284,"MMM-YYYY")</f>
        <v>May-2025</v>
      </c>
      <c r="G284" s="4" t="str">
        <f t="shared" si="35"/>
        <v>Q3-2023</v>
      </c>
      <c r="H284" t="s">
        <v>16</v>
      </c>
      <c r="I284" t="s">
        <v>17</v>
      </c>
      <c r="J284" t="s">
        <v>33</v>
      </c>
      <c r="K284" t="s">
        <v>62</v>
      </c>
      <c r="L284" t="s">
        <v>20</v>
      </c>
      <c r="M284" t="s">
        <v>126</v>
      </c>
      <c r="N284" t="s">
        <v>42</v>
      </c>
      <c r="O284" t="s">
        <v>667</v>
      </c>
      <c r="P284" s="4">
        <v>91.85</v>
      </c>
      <c r="Q284" s="7" t="str">
        <f t="shared" si="36"/>
        <v>Medium</v>
      </c>
      <c r="R284" s="4">
        <v>111.29</v>
      </c>
      <c r="S284" s="4">
        <v>0</v>
      </c>
      <c r="T284" s="4">
        <v>6</v>
      </c>
      <c r="U284" s="4">
        <f t="shared" si="32"/>
        <v>1349.6999999999998</v>
      </c>
      <c r="V284">
        <f t="shared" si="33"/>
        <v>551.09999999999991</v>
      </c>
      <c r="W284" s="4">
        <f t="shared" si="37"/>
        <v>798.59999999999991</v>
      </c>
      <c r="X284" s="4">
        <f t="shared" si="38"/>
        <v>0.59168704156479224</v>
      </c>
    </row>
    <row r="285" spans="1:24" x14ac:dyDescent="0.3">
      <c r="A285" t="s">
        <v>668</v>
      </c>
      <c r="B285" s="6">
        <v>45794</v>
      </c>
      <c r="C285" s="2">
        <v>45805</v>
      </c>
      <c r="D285" s="4">
        <f t="shared" si="39"/>
        <v>11</v>
      </c>
      <c r="E285" s="46" t="b">
        <f t="shared" si="34"/>
        <v>0</v>
      </c>
      <c r="F285" s="4" t="str">
        <f>TEXT(Data!B285,"MMM-YYYY")</f>
        <v>Jan-2024</v>
      </c>
      <c r="G285" s="4" t="str">
        <f t="shared" si="35"/>
        <v>Q2-2025</v>
      </c>
      <c r="H285" t="s">
        <v>45</v>
      </c>
      <c r="I285" t="s">
        <v>60</v>
      </c>
      <c r="J285" t="s">
        <v>61</v>
      </c>
      <c r="K285" t="s">
        <v>19</v>
      </c>
      <c r="L285" t="s">
        <v>55</v>
      </c>
      <c r="M285" t="s">
        <v>56</v>
      </c>
      <c r="N285" t="s">
        <v>57</v>
      </c>
      <c r="O285" t="s">
        <v>669</v>
      </c>
      <c r="P285" s="4">
        <v>623.4</v>
      </c>
      <c r="Q285" s="7" t="str">
        <f t="shared" si="36"/>
        <v>High</v>
      </c>
      <c r="R285" s="4">
        <v>1100.0899999999999</v>
      </c>
      <c r="S285" s="4">
        <v>0.114</v>
      </c>
      <c r="T285" s="4">
        <v>12</v>
      </c>
      <c r="U285" s="4">
        <f t="shared" si="32"/>
        <v>8208.8608800000002</v>
      </c>
      <c r="V285">
        <f t="shared" si="33"/>
        <v>7480.7999999999993</v>
      </c>
      <c r="W285" s="4">
        <f t="shared" si="37"/>
        <v>728.06088000000091</v>
      </c>
      <c r="X285" s="4">
        <f t="shared" si="38"/>
        <v>8.8692071974790357E-2</v>
      </c>
    </row>
    <row r="286" spans="1:24" x14ac:dyDescent="0.3">
      <c r="A286" t="s">
        <v>670</v>
      </c>
      <c r="B286" s="6">
        <v>45304</v>
      </c>
      <c r="C286" s="2">
        <v>45327</v>
      </c>
      <c r="D286" s="4">
        <f t="shared" si="39"/>
        <v>23</v>
      </c>
      <c r="E286" s="46" t="b">
        <f t="shared" si="34"/>
        <v>0</v>
      </c>
      <c r="F286" s="4" t="str">
        <f>TEXT(Data!B286,"MMM-YYYY")</f>
        <v>Jun-2023</v>
      </c>
      <c r="G286" s="4" t="str">
        <f t="shared" si="35"/>
        <v>Q1-2024</v>
      </c>
      <c r="H286" t="s">
        <v>78</v>
      </c>
      <c r="I286" t="s">
        <v>79</v>
      </c>
      <c r="J286" t="s">
        <v>335</v>
      </c>
      <c r="K286" t="s">
        <v>27</v>
      </c>
      <c r="L286" t="s">
        <v>98</v>
      </c>
      <c r="M286" t="s">
        <v>56</v>
      </c>
      <c r="N286" t="s">
        <v>57</v>
      </c>
      <c r="O286" t="s">
        <v>671</v>
      </c>
      <c r="P286" s="4">
        <v>1017.93</v>
      </c>
      <c r="Q286" s="7" t="str">
        <f t="shared" si="36"/>
        <v>High</v>
      </c>
      <c r="R286" s="4">
        <v>1529.14</v>
      </c>
      <c r="S286" s="4">
        <v>0.155</v>
      </c>
      <c r="T286" s="4">
        <v>12</v>
      </c>
      <c r="U286" s="4">
        <f t="shared" si="32"/>
        <v>31932.989400000002</v>
      </c>
      <c r="V286">
        <f t="shared" si="33"/>
        <v>12215.16</v>
      </c>
      <c r="W286" s="4">
        <f t="shared" si="37"/>
        <v>19717.829400000002</v>
      </c>
      <c r="X286" s="4">
        <f t="shared" si="38"/>
        <v>0.61747521201381794</v>
      </c>
    </row>
    <row r="287" spans="1:24" x14ac:dyDescent="0.3">
      <c r="A287" t="s">
        <v>672</v>
      </c>
      <c r="B287" s="6">
        <v>45101</v>
      </c>
      <c r="C287" s="2">
        <v>45128</v>
      </c>
      <c r="D287" s="4">
        <f t="shared" si="39"/>
        <v>27</v>
      </c>
      <c r="E287" s="46" t="b">
        <f t="shared" si="34"/>
        <v>0</v>
      </c>
      <c r="F287" s="4" t="str">
        <f>TEXT(Data!B287,"MMM-YYYY")</f>
        <v>Apr-2025</v>
      </c>
      <c r="G287" s="4" t="str">
        <f t="shared" si="35"/>
        <v>Q2-2023</v>
      </c>
      <c r="H287" t="s">
        <v>45</v>
      </c>
      <c r="I287" t="s">
        <v>46</v>
      </c>
      <c r="J287" t="s">
        <v>231</v>
      </c>
      <c r="K287" t="s">
        <v>48</v>
      </c>
      <c r="L287" t="s">
        <v>40</v>
      </c>
      <c r="M287" t="s">
        <v>29</v>
      </c>
      <c r="N287" t="s">
        <v>42</v>
      </c>
      <c r="O287" t="s">
        <v>673</v>
      </c>
      <c r="P287" s="4">
        <v>554.76</v>
      </c>
      <c r="Q287" s="7" t="str">
        <f t="shared" si="36"/>
        <v>High</v>
      </c>
      <c r="R287" s="4">
        <v>728.69</v>
      </c>
      <c r="S287" s="4">
        <v>0.22</v>
      </c>
      <c r="T287" s="4">
        <v>7</v>
      </c>
      <c r="U287" s="4">
        <f t="shared" si="32"/>
        <v>314.11380000000003</v>
      </c>
      <c r="V287">
        <f t="shared" si="33"/>
        <v>3883.3199999999997</v>
      </c>
      <c r="W287" s="4">
        <f t="shared" si="37"/>
        <v>-3569.2061999999996</v>
      </c>
      <c r="X287" s="4">
        <f t="shared" si="38"/>
        <v>-11.362780622818862</v>
      </c>
    </row>
    <row r="288" spans="1:24" x14ac:dyDescent="0.3">
      <c r="A288" t="s">
        <v>674</v>
      </c>
      <c r="B288" s="6">
        <v>45751</v>
      </c>
      <c r="C288" s="2">
        <v>45760</v>
      </c>
      <c r="D288" s="4">
        <f t="shared" si="39"/>
        <v>9</v>
      </c>
      <c r="E288" s="46" t="b">
        <f t="shared" si="34"/>
        <v>0</v>
      </c>
      <c r="F288" s="4" t="str">
        <f>TEXT(Data!B288,"MMM-YYYY")</f>
        <v>Sep-2024</v>
      </c>
      <c r="G288" s="4" t="str">
        <f t="shared" si="35"/>
        <v>Q2-2025</v>
      </c>
      <c r="H288" t="s">
        <v>78</v>
      </c>
      <c r="I288" t="s">
        <v>79</v>
      </c>
      <c r="J288" t="s">
        <v>159</v>
      </c>
      <c r="K288" t="s">
        <v>48</v>
      </c>
      <c r="L288" t="s">
        <v>40</v>
      </c>
      <c r="M288" t="s">
        <v>84</v>
      </c>
      <c r="N288" t="s">
        <v>42</v>
      </c>
      <c r="O288" t="s">
        <v>675</v>
      </c>
      <c r="P288" s="4">
        <v>7.02</v>
      </c>
      <c r="Q288" s="7" t="str">
        <f t="shared" si="36"/>
        <v>Low</v>
      </c>
      <c r="R288" s="4">
        <v>6.28</v>
      </c>
      <c r="S288" s="4">
        <v>0.13400000000000001</v>
      </c>
      <c r="T288" s="4">
        <v>14</v>
      </c>
      <c r="U288" s="4">
        <f t="shared" si="32"/>
        <v>9999.9964400000008</v>
      </c>
      <c r="V288">
        <f t="shared" si="33"/>
        <v>98.28</v>
      </c>
      <c r="W288" s="4">
        <f t="shared" si="37"/>
        <v>9901.7164400000001</v>
      </c>
      <c r="X288" s="4">
        <f t="shared" si="38"/>
        <v>0.99017199650123067</v>
      </c>
    </row>
    <row r="289" spans="1:24" x14ac:dyDescent="0.3">
      <c r="A289" t="s">
        <v>676</v>
      </c>
      <c r="B289" s="6">
        <v>45542</v>
      </c>
      <c r="C289" s="2">
        <v>45542</v>
      </c>
      <c r="D289" s="4">
        <f t="shared" si="39"/>
        <v>0</v>
      </c>
      <c r="E289" s="46" t="str">
        <f t="shared" si="34"/>
        <v>Yes</v>
      </c>
      <c r="F289" s="4" t="str">
        <f>TEXT(Data!B289,"MMM-YYYY")</f>
        <v>Jan-2024</v>
      </c>
      <c r="G289" s="4" t="str">
        <f t="shared" si="35"/>
        <v>Q3-2024</v>
      </c>
      <c r="H289" t="s">
        <v>45</v>
      </c>
      <c r="I289" t="s">
        <v>60</v>
      </c>
      <c r="J289" t="s">
        <v>220</v>
      </c>
      <c r="K289" t="s">
        <v>27</v>
      </c>
      <c r="L289" t="s">
        <v>55</v>
      </c>
      <c r="M289" t="s">
        <v>56</v>
      </c>
      <c r="N289" t="s">
        <v>35</v>
      </c>
      <c r="O289" t="s">
        <v>677</v>
      </c>
      <c r="P289" s="4">
        <v>1066.6500000000001</v>
      </c>
      <c r="Q289" s="7" t="str">
        <f t="shared" si="36"/>
        <v>High</v>
      </c>
      <c r="R289" s="4">
        <v>2569.77</v>
      </c>
      <c r="S289" s="4">
        <v>0.13400000000000001</v>
      </c>
      <c r="T289" s="4">
        <v>9</v>
      </c>
      <c r="U289" s="4">
        <f t="shared" si="32"/>
        <v>11640.572819999999</v>
      </c>
      <c r="V289">
        <f t="shared" si="33"/>
        <v>9599.85</v>
      </c>
      <c r="W289" s="4">
        <f t="shared" si="37"/>
        <v>2040.722819999999</v>
      </c>
      <c r="X289" s="4">
        <f t="shared" si="38"/>
        <v>0.17531120259767416</v>
      </c>
    </row>
    <row r="290" spans="1:24" x14ac:dyDescent="0.3">
      <c r="A290" t="s">
        <v>678</v>
      </c>
      <c r="B290" s="6">
        <v>45319</v>
      </c>
      <c r="C290" s="2">
        <v>45321</v>
      </c>
      <c r="D290" s="4">
        <f t="shared" si="39"/>
        <v>2</v>
      </c>
      <c r="E290" s="46" t="str">
        <f t="shared" si="34"/>
        <v>Yes</v>
      </c>
      <c r="F290" s="4" t="str">
        <f>TEXT(Data!B290,"MMM-YYYY")</f>
        <v>Jul-2023</v>
      </c>
      <c r="G290" s="4" t="str">
        <f t="shared" si="35"/>
        <v>Q1-2024</v>
      </c>
      <c r="H290" t="s">
        <v>16</v>
      </c>
      <c r="I290" t="s">
        <v>148</v>
      </c>
      <c r="J290" t="s">
        <v>258</v>
      </c>
      <c r="K290" t="s">
        <v>48</v>
      </c>
      <c r="L290" t="s">
        <v>98</v>
      </c>
      <c r="M290" t="s">
        <v>84</v>
      </c>
      <c r="N290" t="s">
        <v>81</v>
      </c>
      <c r="O290" t="s">
        <v>679</v>
      </c>
      <c r="P290" s="4">
        <v>798.45</v>
      </c>
      <c r="Q290" s="7" t="str">
        <f t="shared" si="36"/>
        <v>High</v>
      </c>
      <c r="R290" s="4">
        <v>1592.02</v>
      </c>
      <c r="S290" s="4">
        <v>6.6000000000000003E-2</v>
      </c>
      <c r="T290" s="4">
        <v>18</v>
      </c>
      <c r="U290" s="4">
        <f t="shared" si="32"/>
        <v>12473.159039999999</v>
      </c>
      <c r="V290">
        <f t="shared" si="33"/>
        <v>14372.1</v>
      </c>
      <c r="W290" s="4">
        <f t="shared" si="37"/>
        <v>-1898.9409600000017</v>
      </c>
      <c r="X290" s="4">
        <f t="shared" si="38"/>
        <v>-0.15224218290733843</v>
      </c>
    </row>
    <row r="291" spans="1:24" x14ac:dyDescent="0.3">
      <c r="A291" t="s">
        <v>680</v>
      </c>
      <c r="B291" s="6">
        <v>45125</v>
      </c>
      <c r="C291" s="2">
        <v>45148</v>
      </c>
      <c r="D291" s="4">
        <f t="shared" si="39"/>
        <v>23</v>
      </c>
      <c r="E291" s="46" t="b">
        <f t="shared" si="34"/>
        <v>0</v>
      </c>
      <c r="F291" s="4" t="str">
        <f>TEXT(Data!B291,"MMM-YYYY")</f>
        <v>Aug-2025</v>
      </c>
      <c r="G291" s="4" t="str">
        <f t="shared" si="35"/>
        <v>Q3-2023</v>
      </c>
      <c r="H291" t="s">
        <v>16</v>
      </c>
      <c r="I291" t="s">
        <v>148</v>
      </c>
      <c r="J291" t="s">
        <v>149</v>
      </c>
      <c r="K291" t="s">
        <v>62</v>
      </c>
      <c r="L291" t="s">
        <v>20</v>
      </c>
      <c r="M291" t="s">
        <v>49</v>
      </c>
      <c r="N291" t="s">
        <v>22</v>
      </c>
      <c r="O291" t="s">
        <v>681</v>
      </c>
      <c r="P291" s="4">
        <v>1271.56</v>
      </c>
      <c r="Q291" s="7" t="str">
        <f t="shared" si="36"/>
        <v>High</v>
      </c>
      <c r="R291" s="4">
        <v>995.47</v>
      </c>
      <c r="S291" s="4">
        <v>0.192</v>
      </c>
      <c r="T291" s="4">
        <v>13</v>
      </c>
      <c r="U291" s="4">
        <f t="shared" si="32"/>
        <v>7796.3839200000002</v>
      </c>
      <c r="V291">
        <f t="shared" si="33"/>
        <v>16530.28</v>
      </c>
      <c r="W291" s="4">
        <f t="shared" si="37"/>
        <v>-8733.8960799999986</v>
      </c>
      <c r="X291" s="4">
        <f t="shared" si="38"/>
        <v>-1.1202496143878966</v>
      </c>
    </row>
    <row r="292" spans="1:24" x14ac:dyDescent="0.3">
      <c r="A292" t="s">
        <v>682</v>
      </c>
      <c r="B292" s="6">
        <v>45897</v>
      </c>
      <c r="C292" s="2">
        <v>45895</v>
      </c>
      <c r="D292" s="4">
        <f>DATEDIF(C292,B292, "MD")</f>
        <v>2</v>
      </c>
      <c r="E292" s="46" t="str">
        <f t="shared" si="34"/>
        <v>Yes</v>
      </c>
      <c r="F292" s="4" t="str">
        <f>TEXT(Data!B292,"MMM-YYYY")</f>
        <v>Mar-2025</v>
      </c>
      <c r="G292" s="4" t="str">
        <f t="shared" si="35"/>
        <v>Q3-2025</v>
      </c>
      <c r="H292" t="s">
        <v>16</v>
      </c>
      <c r="I292" t="s">
        <v>25</v>
      </c>
      <c r="J292" t="s">
        <v>26</v>
      </c>
      <c r="K292" t="s">
        <v>62</v>
      </c>
      <c r="L292" t="s">
        <v>20</v>
      </c>
      <c r="M292" t="s">
        <v>75</v>
      </c>
      <c r="N292" t="s">
        <v>81</v>
      </c>
      <c r="O292" t="s">
        <v>683</v>
      </c>
      <c r="P292" s="4">
        <v>521.05999999999995</v>
      </c>
      <c r="Q292" s="7" t="str">
        <f t="shared" si="36"/>
        <v>High</v>
      </c>
      <c r="R292" s="4">
        <v>1240.31</v>
      </c>
      <c r="S292" s="4">
        <v>0.14599999999999999</v>
      </c>
      <c r="T292" s="4">
        <v>18</v>
      </c>
      <c r="U292" s="4">
        <f t="shared" si="32"/>
        <v>7371.4888800000008</v>
      </c>
      <c r="V292">
        <f t="shared" si="33"/>
        <v>9379.0799999999981</v>
      </c>
      <c r="W292" s="4">
        <f t="shared" si="37"/>
        <v>-2007.5911199999973</v>
      </c>
      <c r="X292" s="4">
        <f t="shared" si="38"/>
        <v>-0.27234540439271437</v>
      </c>
    </row>
    <row r="293" spans="1:24" x14ac:dyDescent="0.3">
      <c r="A293" t="s">
        <v>684</v>
      </c>
      <c r="B293" s="6">
        <v>45746</v>
      </c>
      <c r="C293" s="2">
        <v>45754</v>
      </c>
      <c r="D293" s="4">
        <f t="shared" si="39"/>
        <v>8</v>
      </c>
      <c r="E293" s="46" t="b">
        <f t="shared" si="34"/>
        <v>0</v>
      </c>
      <c r="F293" s="4" t="str">
        <f>TEXT(Data!B293,"MMM-YYYY")</f>
        <v>Oct-2023</v>
      </c>
      <c r="G293" s="4" t="str">
        <f t="shared" si="35"/>
        <v>Q1-2025</v>
      </c>
      <c r="H293" t="s">
        <v>52</v>
      </c>
      <c r="I293" t="s">
        <v>73</v>
      </c>
      <c r="J293" t="s">
        <v>74</v>
      </c>
      <c r="K293" t="s">
        <v>39</v>
      </c>
      <c r="L293" t="s">
        <v>98</v>
      </c>
      <c r="M293" t="s">
        <v>49</v>
      </c>
      <c r="N293" t="s">
        <v>30</v>
      </c>
      <c r="O293" t="s">
        <v>685</v>
      </c>
      <c r="P293" s="4">
        <v>71.62</v>
      </c>
      <c r="Q293" s="7" t="str">
        <f t="shared" si="36"/>
        <v>Medium</v>
      </c>
      <c r="R293" s="4">
        <v>118.37</v>
      </c>
      <c r="S293" s="4">
        <v>0.156</v>
      </c>
      <c r="T293" s="4">
        <v>11</v>
      </c>
      <c r="U293" s="4">
        <f t="shared" si="32"/>
        <v>10911.020999999999</v>
      </c>
      <c r="V293">
        <f t="shared" si="33"/>
        <v>787.82</v>
      </c>
      <c r="W293" s="4">
        <f t="shared" si="37"/>
        <v>10123.200999999999</v>
      </c>
      <c r="X293" s="4">
        <f t="shared" si="38"/>
        <v>0.92779594136973986</v>
      </c>
    </row>
    <row r="294" spans="1:24" x14ac:dyDescent="0.3">
      <c r="A294" t="s">
        <v>686</v>
      </c>
      <c r="B294" s="6">
        <v>45220</v>
      </c>
      <c r="C294" s="2">
        <v>45239</v>
      </c>
      <c r="D294" s="4">
        <f t="shared" si="39"/>
        <v>19</v>
      </c>
      <c r="E294" s="46" t="b">
        <f t="shared" si="34"/>
        <v>0</v>
      </c>
      <c r="F294" s="4" t="str">
        <f>TEXT(Data!B294,"MMM-YYYY")</f>
        <v>Aug-2023</v>
      </c>
      <c r="G294" s="4" t="str">
        <f t="shared" si="35"/>
        <v>Q4-2023</v>
      </c>
      <c r="H294" t="s">
        <v>78</v>
      </c>
      <c r="I294" t="s">
        <v>108</v>
      </c>
      <c r="J294" t="s">
        <v>152</v>
      </c>
      <c r="K294" t="s">
        <v>39</v>
      </c>
      <c r="L294" t="s">
        <v>98</v>
      </c>
      <c r="M294" t="s">
        <v>75</v>
      </c>
      <c r="N294" t="s">
        <v>81</v>
      </c>
      <c r="O294" t="s">
        <v>687</v>
      </c>
      <c r="P294" s="4">
        <v>1142.48</v>
      </c>
      <c r="Q294" s="7" t="str">
        <f t="shared" si="36"/>
        <v>High</v>
      </c>
      <c r="R294" s="4">
        <v>2105.5300000000002</v>
      </c>
      <c r="S294" s="4">
        <v>0.20699999999999999</v>
      </c>
      <c r="T294" s="4">
        <v>14</v>
      </c>
      <c r="U294" s="4">
        <f t="shared" si="32"/>
        <v>2525.1498999999999</v>
      </c>
      <c r="V294">
        <f t="shared" si="33"/>
        <v>15994.720000000001</v>
      </c>
      <c r="W294" s="4">
        <f t="shared" si="37"/>
        <v>-13469.570100000001</v>
      </c>
      <c r="X294" s="4">
        <f t="shared" si="38"/>
        <v>-5.3341665379944381</v>
      </c>
    </row>
    <row r="295" spans="1:24" x14ac:dyDescent="0.3">
      <c r="A295" t="s">
        <v>688</v>
      </c>
      <c r="B295" s="6">
        <v>45161</v>
      </c>
      <c r="C295" s="2">
        <v>45191</v>
      </c>
      <c r="D295" s="4">
        <f t="shared" si="39"/>
        <v>30</v>
      </c>
      <c r="E295" s="46" t="b">
        <f t="shared" si="34"/>
        <v>0</v>
      </c>
      <c r="F295" s="4" t="str">
        <f>TEXT(Data!B295,"MMM-YYYY")</f>
        <v>Apr-2025</v>
      </c>
      <c r="G295" s="4" t="str">
        <f t="shared" si="35"/>
        <v>Q3-2023</v>
      </c>
      <c r="H295" t="s">
        <v>78</v>
      </c>
      <c r="I295" t="s">
        <v>108</v>
      </c>
      <c r="J295" t="s">
        <v>152</v>
      </c>
      <c r="K295" t="s">
        <v>48</v>
      </c>
      <c r="L295" t="s">
        <v>55</v>
      </c>
      <c r="M295" t="s">
        <v>68</v>
      </c>
      <c r="N295" t="s">
        <v>81</v>
      </c>
      <c r="O295" t="s">
        <v>689</v>
      </c>
      <c r="P295" s="4">
        <v>209.81</v>
      </c>
      <c r="Q295" s="7" t="str">
        <f t="shared" si="36"/>
        <v>High</v>
      </c>
      <c r="R295" s="4">
        <v>523</v>
      </c>
      <c r="S295" s="4">
        <v>5.8999999999999997E-2</v>
      </c>
      <c r="T295" s="4">
        <v>15</v>
      </c>
      <c r="U295" s="4">
        <f t="shared" si="32"/>
        <v>16636.221300000001</v>
      </c>
      <c r="V295">
        <f t="shared" si="33"/>
        <v>3147.15</v>
      </c>
      <c r="W295" s="4">
        <f t="shared" si="37"/>
        <v>13489.071300000001</v>
      </c>
      <c r="X295" s="4">
        <f t="shared" si="38"/>
        <v>0.81082543065233215</v>
      </c>
    </row>
    <row r="296" spans="1:24" x14ac:dyDescent="0.3">
      <c r="A296" t="s">
        <v>690</v>
      </c>
      <c r="B296" s="6">
        <v>45758</v>
      </c>
      <c r="C296" s="2">
        <v>45781</v>
      </c>
      <c r="D296" s="4">
        <f t="shared" si="39"/>
        <v>23</v>
      </c>
      <c r="E296" s="46" t="b">
        <f t="shared" si="34"/>
        <v>0</v>
      </c>
      <c r="F296" s="4" t="str">
        <f>TEXT(Data!B296,"MMM-YYYY")</f>
        <v>Jun-2025</v>
      </c>
      <c r="G296" s="4" t="str">
        <f t="shared" si="35"/>
        <v>Q2-2025</v>
      </c>
      <c r="H296" t="s">
        <v>45</v>
      </c>
      <c r="I296" t="s">
        <v>46</v>
      </c>
      <c r="J296" t="s">
        <v>47</v>
      </c>
      <c r="K296" t="s">
        <v>62</v>
      </c>
      <c r="L296" t="s">
        <v>28</v>
      </c>
      <c r="M296" t="s">
        <v>110</v>
      </c>
      <c r="N296" t="s">
        <v>22</v>
      </c>
      <c r="O296" t="s">
        <v>691</v>
      </c>
      <c r="P296" s="4">
        <v>786.2</v>
      </c>
      <c r="Q296" s="7" t="str">
        <f t="shared" si="36"/>
        <v>High</v>
      </c>
      <c r="R296" s="4">
        <v>1075.3</v>
      </c>
      <c r="S296" s="4">
        <v>0.08</v>
      </c>
      <c r="T296" s="4">
        <v>9</v>
      </c>
      <c r="U296" s="4">
        <f t="shared" si="32"/>
        <v>20054.987999999998</v>
      </c>
      <c r="V296">
        <f t="shared" si="33"/>
        <v>7075.8</v>
      </c>
      <c r="W296" s="4">
        <f t="shared" si="37"/>
        <v>12979.187999999998</v>
      </c>
      <c r="X296" s="4">
        <f t="shared" si="38"/>
        <v>0.64718004318925548</v>
      </c>
    </row>
    <row r="297" spans="1:24" x14ac:dyDescent="0.3">
      <c r="A297" t="s">
        <v>692</v>
      </c>
      <c r="B297" s="6">
        <v>45809</v>
      </c>
      <c r="C297" s="2">
        <v>45835</v>
      </c>
      <c r="D297" s="4">
        <f t="shared" si="39"/>
        <v>26</v>
      </c>
      <c r="E297" s="46" t="b">
        <f t="shared" si="34"/>
        <v>0</v>
      </c>
      <c r="F297" s="4" t="str">
        <f>TEXT(Data!B297,"MMM-YYYY")</f>
        <v>Mar-2024</v>
      </c>
      <c r="G297" s="4" t="str">
        <f t="shared" si="35"/>
        <v>Q2-2025</v>
      </c>
      <c r="H297" t="s">
        <v>78</v>
      </c>
      <c r="I297" t="s">
        <v>79</v>
      </c>
      <c r="J297" t="s">
        <v>159</v>
      </c>
      <c r="K297" t="s">
        <v>48</v>
      </c>
      <c r="L297" t="s">
        <v>55</v>
      </c>
      <c r="M297" t="s">
        <v>63</v>
      </c>
      <c r="N297" t="s">
        <v>57</v>
      </c>
      <c r="O297" t="s">
        <v>693</v>
      </c>
      <c r="P297" s="4">
        <v>1362.31</v>
      </c>
      <c r="Q297" s="7" t="str">
        <f t="shared" si="36"/>
        <v>High</v>
      </c>
      <c r="R297" s="4">
        <v>3294.57</v>
      </c>
      <c r="S297" s="4">
        <v>0.113</v>
      </c>
      <c r="T297" s="4">
        <v>7</v>
      </c>
      <c r="U297" s="4">
        <f t="shared" si="32"/>
        <v>2693.96092</v>
      </c>
      <c r="V297">
        <f t="shared" si="33"/>
        <v>9536.17</v>
      </c>
      <c r="W297" s="4">
        <f t="shared" si="37"/>
        <v>-6842.2090800000005</v>
      </c>
      <c r="X297" s="4">
        <f t="shared" si="38"/>
        <v>-2.5398323447097373</v>
      </c>
    </row>
    <row r="298" spans="1:24" x14ac:dyDescent="0.3">
      <c r="A298" t="s">
        <v>694</v>
      </c>
      <c r="B298" s="6">
        <v>45353</v>
      </c>
      <c r="C298" s="2">
        <v>45367</v>
      </c>
      <c r="D298" s="4">
        <f t="shared" si="39"/>
        <v>14</v>
      </c>
      <c r="E298" s="46" t="b">
        <f t="shared" si="34"/>
        <v>0</v>
      </c>
      <c r="F298" s="4" t="str">
        <f>TEXT(Data!B298,"MMM-YYYY")</f>
        <v>Jun-2023</v>
      </c>
      <c r="G298" s="4" t="str">
        <f t="shared" si="35"/>
        <v>Q1-2024</v>
      </c>
      <c r="H298" t="s">
        <v>52</v>
      </c>
      <c r="I298" t="s">
        <v>53</v>
      </c>
      <c r="J298" t="s">
        <v>179</v>
      </c>
      <c r="K298" t="s">
        <v>39</v>
      </c>
      <c r="L298" t="s">
        <v>98</v>
      </c>
      <c r="M298" t="s">
        <v>68</v>
      </c>
      <c r="N298" t="s">
        <v>30</v>
      </c>
      <c r="O298" t="s">
        <v>695</v>
      </c>
      <c r="P298" s="4">
        <v>248.24</v>
      </c>
      <c r="Q298" s="7" t="str">
        <f t="shared" si="36"/>
        <v>High</v>
      </c>
      <c r="R298" s="4">
        <v>464.05</v>
      </c>
      <c r="S298" s="4">
        <v>0.16900000000000001</v>
      </c>
      <c r="T298" s="4">
        <v>11</v>
      </c>
      <c r="U298" s="4">
        <f t="shared" si="32"/>
        <v>28786.197329999999</v>
      </c>
      <c r="V298">
        <f t="shared" si="33"/>
        <v>2730.6400000000003</v>
      </c>
      <c r="W298" s="4">
        <f t="shared" si="37"/>
        <v>26055.55733</v>
      </c>
      <c r="X298" s="4">
        <f t="shared" si="38"/>
        <v>0.90514064887777934</v>
      </c>
    </row>
    <row r="299" spans="1:24" x14ac:dyDescent="0.3">
      <c r="A299" t="s">
        <v>696</v>
      </c>
      <c r="B299" s="6">
        <v>45097</v>
      </c>
      <c r="C299" s="2">
        <v>45115</v>
      </c>
      <c r="D299" s="4">
        <f t="shared" si="39"/>
        <v>18</v>
      </c>
      <c r="E299" s="46" t="b">
        <f t="shared" si="34"/>
        <v>0</v>
      </c>
      <c r="F299" s="4" t="str">
        <f>TEXT(Data!B299,"MMM-YYYY")</f>
        <v>Mar-2024</v>
      </c>
      <c r="G299" s="4" t="str">
        <f t="shared" si="35"/>
        <v>Q2-2023</v>
      </c>
      <c r="H299" t="s">
        <v>52</v>
      </c>
      <c r="I299" t="s">
        <v>122</v>
      </c>
      <c r="J299" t="s">
        <v>326</v>
      </c>
      <c r="K299" t="s">
        <v>39</v>
      </c>
      <c r="L299" t="s">
        <v>98</v>
      </c>
      <c r="M299" t="s">
        <v>84</v>
      </c>
      <c r="N299" t="s">
        <v>64</v>
      </c>
      <c r="O299" t="s">
        <v>697</v>
      </c>
      <c r="P299" s="4">
        <v>337</v>
      </c>
      <c r="Q299" s="7" t="str">
        <f t="shared" si="36"/>
        <v>High</v>
      </c>
      <c r="R299" s="4">
        <v>511.03</v>
      </c>
      <c r="S299" s="4">
        <v>0.108</v>
      </c>
      <c r="T299" s="4">
        <v>7</v>
      </c>
      <c r="U299" s="4">
        <f t="shared" si="32"/>
        <v>409.91860000000008</v>
      </c>
      <c r="V299">
        <f t="shared" si="33"/>
        <v>2359</v>
      </c>
      <c r="W299" s="4">
        <f t="shared" si="37"/>
        <v>-1949.0814</v>
      </c>
      <c r="X299" s="4">
        <f t="shared" si="38"/>
        <v>-4.7548010751402829</v>
      </c>
    </row>
    <row r="300" spans="1:24" x14ac:dyDescent="0.3">
      <c r="A300" t="s">
        <v>698</v>
      </c>
      <c r="B300" s="6">
        <v>45377</v>
      </c>
      <c r="C300" s="2">
        <v>45387</v>
      </c>
      <c r="D300" s="4">
        <f t="shared" si="39"/>
        <v>10</v>
      </c>
      <c r="E300" s="46" t="b">
        <f t="shared" si="34"/>
        <v>0</v>
      </c>
      <c r="F300" s="4" t="str">
        <f>TEXT(Data!B300,"MMM-YYYY")</f>
        <v>Jan-2025</v>
      </c>
      <c r="G300" s="4" t="str">
        <f t="shared" si="35"/>
        <v>Q1-2024</v>
      </c>
      <c r="H300" t="s">
        <v>52</v>
      </c>
      <c r="I300" t="s">
        <v>122</v>
      </c>
      <c r="J300" t="s">
        <v>326</v>
      </c>
      <c r="K300" t="s">
        <v>48</v>
      </c>
      <c r="L300" t="s">
        <v>98</v>
      </c>
      <c r="M300" t="s">
        <v>29</v>
      </c>
      <c r="N300" t="s">
        <v>64</v>
      </c>
      <c r="O300" t="s">
        <v>699</v>
      </c>
      <c r="P300" s="4">
        <v>5.66</v>
      </c>
      <c r="Q300" s="7" t="str">
        <f t="shared" si="36"/>
        <v>Low</v>
      </c>
      <c r="R300" s="4">
        <v>4.22</v>
      </c>
      <c r="S300" s="4">
        <v>0.11899999999999999</v>
      </c>
      <c r="T300" s="4">
        <v>18</v>
      </c>
      <c r="U300" s="4">
        <f t="shared" si="32"/>
        <v>39520.356119999997</v>
      </c>
      <c r="V300">
        <f t="shared" si="33"/>
        <v>101.88</v>
      </c>
      <c r="W300" s="4">
        <f t="shared" si="37"/>
        <v>39418.476119999999</v>
      </c>
      <c r="X300" s="4">
        <f t="shared" si="38"/>
        <v>0.99742208800723742</v>
      </c>
    </row>
    <row r="301" spans="1:24" x14ac:dyDescent="0.3">
      <c r="A301" t="s">
        <v>700</v>
      </c>
      <c r="B301" s="6">
        <v>45679</v>
      </c>
      <c r="C301" s="2">
        <v>45679</v>
      </c>
      <c r="D301" s="4">
        <f t="shared" si="39"/>
        <v>0</v>
      </c>
      <c r="E301" s="46" t="str">
        <f t="shared" si="34"/>
        <v>Yes</v>
      </c>
      <c r="F301" s="4" t="str">
        <f>TEXT(Data!B301,"MMM-YYYY")</f>
        <v>May-2025</v>
      </c>
      <c r="G301" s="4" t="str">
        <f t="shared" si="35"/>
        <v>Q1-2025</v>
      </c>
      <c r="H301" t="s">
        <v>78</v>
      </c>
      <c r="I301" t="s">
        <v>90</v>
      </c>
      <c r="J301" t="s">
        <v>138</v>
      </c>
      <c r="K301" t="s">
        <v>62</v>
      </c>
      <c r="L301" t="s">
        <v>28</v>
      </c>
      <c r="M301" t="s">
        <v>56</v>
      </c>
      <c r="N301" t="s">
        <v>81</v>
      </c>
      <c r="O301" t="s">
        <v>701</v>
      </c>
      <c r="P301" s="4">
        <v>591.72</v>
      </c>
      <c r="Q301" s="7" t="str">
        <f t="shared" si="36"/>
        <v>High</v>
      </c>
      <c r="R301" s="4">
        <v>577.24</v>
      </c>
      <c r="S301" s="4">
        <v>0</v>
      </c>
      <c r="T301" s="4">
        <v>22</v>
      </c>
      <c r="U301" s="4">
        <f t="shared" si="32"/>
        <v>20500.48</v>
      </c>
      <c r="V301">
        <f t="shared" si="33"/>
        <v>13017.84</v>
      </c>
      <c r="W301" s="4">
        <f t="shared" si="37"/>
        <v>7482.6399999999994</v>
      </c>
      <c r="X301" s="4">
        <f t="shared" si="38"/>
        <v>0.36499828296703296</v>
      </c>
    </row>
    <row r="302" spans="1:24" x14ac:dyDescent="0.3">
      <c r="A302" t="s">
        <v>702</v>
      </c>
      <c r="B302" s="6">
        <v>45787</v>
      </c>
      <c r="C302" s="2">
        <v>45804</v>
      </c>
      <c r="D302" s="4">
        <f t="shared" si="39"/>
        <v>17</v>
      </c>
      <c r="E302" s="46" t="b">
        <f t="shared" si="34"/>
        <v>0</v>
      </c>
      <c r="F302" s="4" t="str">
        <f>TEXT(Data!B302,"MMM-YYYY")</f>
        <v>Oct-2023</v>
      </c>
      <c r="G302" s="4" t="str">
        <f t="shared" si="35"/>
        <v>Q2-2025</v>
      </c>
      <c r="H302" t="s">
        <v>52</v>
      </c>
      <c r="I302" t="s">
        <v>53</v>
      </c>
      <c r="J302" t="s">
        <v>179</v>
      </c>
      <c r="K302" t="s">
        <v>27</v>
      </c>
      <c r="L302" t="s">
        <v>98</v>
      </c>
      <c r="M302" t="s">
        <v>21</v>
      </c>
      <c r="N302" t="s">
        <v>22</v>
      </c>
      <c r="O302" t="s">
        <v>703</v>
      </c>
      <c r="P302" s="4">
        <v>862.89</v>
      </c>
      <c r="Q302" s="7" t="str">
        <f t="shared" si="36"/>
        <v>High</v>
      </c>
      <c r="R302" s="4">
        <v>1426.03</v>
      </c>
      <c r="S302" s="4">
        <v>5.6000000000000001E-2</v>
      </c>
      <c r="T302" s="4">
        <v>19</v>
      </c>
      <c r="U302" s="4">
        <f t="shared" si="32"/>
        <v>11111.531359999999</v>
      </c>
      <c r="V302">
        <f t="shared" si="33"/>
        <v>16394.91</v>
      </c>
      <c r="W302" s="4">
        <f t="shared" si="37"/>
        <v>-5283.3786400000008</v>
      </c>
      <c r="X302" s="4">
        <f t="shared" si="38"/>
        <v>-0.4754860935747745</v>
      </c>
    </row>
    <row r="303" spans="1:24" x14ac:dyDescent="0.3">
      <c r="A303" t="s">
        <v>704</v>
      </c>
      <c r="B303" s="6">
        <v>45204</v>
      </c>
      <c r="C303" s="2">
        <v>45230</v>
      </c>
      <c r="D303" s="4">
        <f t="shared" si="39"/>
        <v>26</v>
      </c>
      <c r="E303" s="46" t="b">
        <f t="shared" si="34"/>
        <v>0</v>
      </c>
      <c r="F303" s="4" t="str">
        <f>TEXT(Data!B303,"MMM-YYYY")</f>
        <v>Jul-2023</v>
      </c>
      <c r="G303" s="4" t="str">
        <f t="shared" si="35"/>
        <v>Q4-2023</v>
      </c>
      <c r="H303" t="s">
        <v>45</v>
      </c>
      <c r="I303" t="s">
        <v>116</v>
      </c>
      <c r="J303" t="s">
        <v>162</v>
      </c>
      <c r="K303" t="s">
        <v>48</v>
      </c>
      <c r="L303" t="s">
        <v>1364</v>
      </c>
      <c r="M303" t="s">
        <v>29</v>
      </c>
      <c r="N303" t="s">
        <v>30</v>
      </c>
      <c r="O303" t="s">
        <v>705</v>
      </c>
      <c r="P303" s="4">
        <v>649.91</v>
      </c>
      <c r="Q303" s="7" t="str">
        <f t="shared" si="36"/>
        <v>High</v>
      </c>
      <c r="R303" s="4">
        <v>1360.12</v>
      </c>
      <c r="S303" s="4">
        <v>0.19400000000000001</v>
      </c>
      <c r="T303" s="4">
        <v>9</v>
      </c>
      <c r="U303" s="4">
        <f t="shared" si="32"/>
        <v>10311.923699999999</v>
      </c>
      <c r="V303">
        <f t="shared" si="33"/>
        <v>5849.19</v>
      </c>
      <c r="W303" s="4">
        <f t="shared" si="37"/>
        <v>4462.7336999999998</v>
      </c>
      <c r="X303" s="4">
        <f t="shared" si="38"/>
        <v>0.43277411953697836</v>
      </c>
    </row>
    <row r="304" spans="1:24" x14ac:dyDescent="0.3">
      <c r="A304" t="s">
        <v>706</v>
      </c>
      <c r="B304" s="6">
        <v>45125</v>
      </c>
      <c r="C304" s="2">
        <v>45129</v>
      </c>
      <c r="D304" s="4">
        <f t="shared" si="39"/>
        <v>4</v>
      </c>
      <c r="E304" s="46" t="str">
        <f t="shared" si="34"/>
        <v>Yes</v>
      </c>
      <c r="F304" s="4" t="str">
        <f>TEXT(Data!B304,"MMM-YYYY")</f>
        <v>Jun-2025</v>
      </c>
      <c r="G304" s="4" t="str">
        <f t="shared" si="35"/>
        <v>Q3-2023</v>
      </c>
      <c r="H304" t="s">
        <v>52</v>
      </c>
      <c r="I304" t="s">
        <v>73</v>
      </c>
      <c r="J304" t="s">
        <v>74</v>
      </c>
      <c r="K304" t="s">
        <v>48</v>
      </c>
      <c r="L304" t="s">
        <v>98</v>
      </c>
      <c r="M304" t="s">
        <v>84</v>
      </c>
      <c r="N304" t="s">
        <v>35</v>
      </c>
      <c r="O304" t="s">
        <v>707</v>
      </c>
      <c r="P304" s="4">
        <v>1269.55</v>
      </c>
      <c r="Q304" s="7" t="str">
        <f t="shared" si="36"/>
        <v>High</v>
      </c>
      <c r="R304" s="4">
        <v>2071.1</v>
      </c>
      <c r="S304" s="4">
        <v>0.129</v>
      </c>
      <c r="T304" s="4">
        <v>22</v>
      </c>
      <c r="U304" s="4">
        <f t="shared" si="32"/>
        <v>18252.954719999998</v>
      </c>
      <c r="V304">
        <f t="shared" si="33"/>
        <v>27930.1</v>
      </c>
      <c r="W304" s="4">
        <f t="shared" si="37"/>
        <v>-9677.1452800000006</v>
      </c>
      <c r="X304" s="4">
        <f t="shared" si="38"/>
        <v>-0.53016870027057195</v>
      </c>
    </row>
    <row r="305" spans="1:24" x14ac:dyDescent="0.3">
      <c r="A305" t="s">
        <v>708</v>
      </c>
      <c r="B305" s="6">
        <v>45830</v>
      </c>
      <c r="C305" s="2">
        <v>45846</v>
      </c>
      <c r="D305" s="4">
        <f t="shared" si="39"/>
        <v>16</v>
      </c>
      <c r="E305" s="46" t="b">
        <f t="shared" si="34"/>
        <v>0</v>
      </c>
      <c r="F305" s="4" t="str">
        <f>TEXT(Data!B305,"MMM-YYYY")</f>
        <v>Jun-2024</v>
      </c>
      <c r="G305" s="4" t="str">
        <f t="shared" si="35"/>
        <v>Q2-2025</v>
      </c>
      <c r="H305" t="s">
        <v>78</v>
      </c>
      <c r="I305" t="s">
        <v>108</v>
      </c>
      <c r="J305" t="s">
        <v>152</v>
      </c>
      <c r="K305" t="s">
        <v>27</v>
      </c>
      <c r="L305" t="s">
        <v>98</v>
      </c>
      <c r="M305" t="s">
        <v>75</v>
      </c>
      <c r="N305" t="s">
        <v>42</v>
      </c>
      <c r="O305" t="s">
        <v>709</v>
      </c>
      <c r="P305" s="4">
        <v>892.73</v>
      </c>
      <c r="Q305" s="7" t="str">
        <f t="shared" si="36"/>
        <v>High</v>
      </c>
      <c r="R305" s="4">
        <v>979.84</v>
      </c>
      <c r="S305" s="4">
        <v>0.17399999999999999</v>
      </c>
      <c r="T305" s="4">
        <v>10</v>
      </c>
      <c r="U305" s="4">
        <f t="shared" si="32"/>
        <v>26053.196400000001</v>
      </c>
      <c r="V305">
        <f t="shared" si="33"/>
        <v>8927.2999999999993</v>
      </c>
      <c r="W305" s="4">
        <f t="shared" si="37"/>
        <v>17125.896400000001</v>
      </c>
      <c r="X305" s="4">
        <f t="shared" si="38"/>
        <v>0.65734338839129935</v>
      </c>
    </row>
    <row r="306" spans="1:24" x14ac:dyDescent="0.3">
      <c r="A306" t="s">
        <v>710</v>
      </c>
      <c r="B306" s="6">
        <v>45462</v>
      </c>
      <c r="C306" s="2">
        <v>45463</v>
      </c>
      <c r="D306" s="4">
        <f t="shared" si="39"/>
        <v>1</v>
      </c>
      <c r="E306" s="46" t="str">
        <f t="shared" si="34"/>
        <v>Yes</v>
      </c>
      <c r="F306" s="4" t="str">
        <f>TEXT(Data!B306,"MMM-YYYY")</f>
        <v>Apr-2025</v>
      </c>
      <c r="G306" s="4" t="str">
        <f t="shared" si="35"/>
        <v>Q2-2024</v>
      </c>
      <c r="H306" t="s">
        <v>16</v>
      </c>
      <c r="I306" t="s">
        <v>17</v>
      </c>
      <c r="J306" t="s">
        <v>18</v>
      </c>
      <c r="K306" t="s">
        <v>62</v>
      </c>
      <c r="L306" t="s">
        <v>98</v>
      </c>
      <c r="M306" t="s">
        <v>29</v>
      </c>
      <c r="N306" t="s">
        <v>57</v>
      </c>
      <c r="O306" t="s">
        <v>711</v>
      </c>
      <c r="P306" s="4">
        <v>231.63</v>
      </c>
      <c r="Q306" s="7" t="str">
        <f t="shared" si="36"/>
        <v>High</v>
      </c>
      <c r="R306" s="4">
        <v>537.39</v>
      </c>
      <c r="S306" s="4">
        <v>0.08</v>
      </c>
      <c r="T306" s="4">
        <v>12</v>
      </c>
      <c r="U306" s="4">
        <f t="shared" si="32"/>
        <v>2496.5855999999999</v>
      </c>
      <c r="V306">
        <f t="shared" si="33"/>
        <v>2779.56</v>
      </c>
      <c r="W306" s="4">
        <f t="shared" si="37"/>
        <v>-282.97440000000006</v>
      </c>
      <c r="X306" s="4">
        <f t="shared" si="38"/>
        <v>-0.11334456146827093</v>
      </c>
    </row>
    <row r="307" spans="1:24" x14ac:dyDescent="0.3">
      <c r="A307" t="s">
        <v>712</v>
      </c>
      <c r="B307" s="6">
        <v>45756</v>
      </c>
      <c r="C307" s="2">
        <v>45759</v>
      </c>
      <c r="D307" s="4">
        <f t="shared" si="39"/>
        <v>3</v>
      </c>
      <c r="E307" s="46" t="str">
        <f t="shared" si="34"/>
        <v>Yes</v>
      </c>
      <c r="F307" s="4" t="str">
        <f>TEXT(Data!B307,"MMM-YYYY")</f>
        <v>Mar-2025</v>
      </c>
      <c r="G307" s="4" t="str">
        <f t="shared" si="35"/>
        <v>Q2-2025</v>
      </c>
      <c r="H307" t="s">
        <v>78</v>
      </c>
      <c r="I307" t="s">
        <v>90</v>
      </c>
      <c r="J307" t="s">
        <v>138</v>
      </c>
      <c r="K307" t="s">
        <v>62</v>
      </c>
      <c r="L307" t="s">
        <v>55</v>
      </c>
      <c r="M307" t="s">
        <v>92</v>
      </c>
      <c r="N307" t="s">
        <v>64</v>
      </c>
      <c r="O307" t="s">
        <v>713</v>
      </c>
      <c r="P307" s="4">
        <v>86.68</v>
      </c>
      <c r="Q307" s="7" t="str">
        <f t="shared" si="36"/>
        <v>High</v>
      </c>
      <c r="R307" s="4">
        <v>213.32</v>
      </c>
      <c r="S307" s="4">
        <v>3.7999999999999999E-2</v>
      </c>
      <c r="T307" s="4">
        <v>8</v>
      </c>
      <c r="U307" s="4">
        <f t="shared" si="32"/>
        <v>6818.0403199999992</v>
      </c>
      <c r="V307">
        <f t="shared" si="33"/>
        <v>693.44</v>
      </c>
      <c r="W307" s="4">
        <f t="shared" si="37"/>
        <v>6124.6003199999996</v>
      </c>
      <c r="X307" s="4">
        <f t="shared" si="38"/>
        <v>0.89829335594190218</v>
      </c>
    </row>
    <row r="308" spans="1:24" x14ac:dyDescent="0.3">
      <c r="A308" t="s">
        <v>714</v>
      </c>
      <c r="B308" s="6">
        <v>45741</v>
      </c>
      <c r="C308" s="2">
        <v>45742</v>
      </c>
      <c r="D308" s="4">
        <f t="shared" si="39"/>
        <v>1</v>
      </c>
      <c r="E308" s="46" t="str">
        <f t="shared" si="34"/>
        <v>Yes</v>
      </c>
      <c r="F308" s="4" t="str">
        <f>TEXT(Data!B308,"MMM-YYYY")</f>
        <v>May-2025</v>
      </c>
      <c r="G308" s="4" t="str">
        <f t="shared" si="35"/>
        <v>Q1-2025</v>
      </c>
      <c r="H308" t="s">
        <v>16</v>
      </c>
      <c r="I308" t="s">
        <v>25</v>
      </c>
      <c r="J308" t="s">
        <v>38</v>
      </c>
      <c r="K308" t="s">
        <v>27</v>
      </c>
      <c r="L308" t="s">
        <v>55</v>
      </c>
      <c r="M308" t="s">
        <v>41</v>
      </c>
      <c r="N308" t="s">
        <v>81</v>
      </c>
      <c r="O308" t="s">
        <v>715</v>
      </c>
      <c r="P308" s="4">
        <v>1450.43</v>
      </c>
      <c r="Q308" s="7" t="str">
        <f t="shared" si="36"/>
        <v>High</v>
      </c>
      <c r="R308" s="4">
        <v>1994.67</v>
      </c>
      <c r="S308" s="4">
        <v>0.1</v>
      </c>
      <c r="T308" s="4">
        <v>24</v>
      </c>
      <c r="U308" s="4">
        <f t="shared" si="32"/>
        <v>52560.144000000008</v>
      </c>
      <c r="V308">
        <f t="shared" si="33"/>
        <v>34810.32</v>
      </c>
      <c r="W308" s="4">
        <f t="shared" si="37"/>
        <v>17749.824000000008</v>
      </c>
      <c r="X308" s="4">
        <f t="shared" si="38"/>
        <v>0.33770501085385163</v>
      </c>
    </row>
    <row r="309" spans="1:24" x14ac:dyDescent="0.3">
      <c r="A309" t="s">
        <v>716</v>
      </c>
      <c r="B309" s="6">
        <v>45795</v>
      </c>
      <c r="C309" s="2">
        <v>45817</v>
      </c>
      <c r="D309" s="4">
        <f t="shared" si="39"/>
        <v>22</v>
      </c>
      <c r="E309" s="46" t="b">
        <f t="shared" si="34"/>
        <v>0</v>
      </c>
      <c r="F309" s="4" t="str">
        <f>TEXT(Data!B309,"MMM-YYYY")</f>
        <v>Jan-2025</v>
      </c>
      <c r="G309" s="4" t="str">
        <f t="shared" si="35"/>
        <v>Q2-2025</v>
      </c>
      <c r="H309" t="s">
        <v>52</v>
      </c>
      <c r="I309" t="s">
        <v>122</v>
      </c>
      <c r="J309" t="s">
        <v>387</v>
      </c>
      <c r="K309" t="s">
        <v>48</v>
      </c>
      <c r="L309" t="s">
        <v>20</v>
      </c>
      <c r="M309" t="s">
        <v>92</v>
      </c>
      <c r="N309" t="s">
        <v>35</v>
      </c>
      <c r="O309" t="s">
        <v>717</v>
      </c>
      <c r="P309" s="4">
        <v>382.96</v>
      </c>
      <c r="Q309" s="7" t="str">
        <f t="shared" si="36"/>
        <v>High</v>
      </c>
      <c r="R309" s="4">
        <v>552.84</v>
      </c>
      <c r="S309" s="4">
        <v>0.17599999999999999</v>
      </c>
      <c r="T309" s="4">
        <v>8</v>
      </c>
      <c r="U309" s="4">
        <f t="shared" si="32"/>
        <v>7609.4092799999999</v>
      </c>
      <c r="V309">
        <f t="shared" si="33"/>
        <v>3063.68</v>
      </c>
      <c r="W309" s="4">
        <f t="shared" si="37"/>
        <v>4545.7292799999996</v>
      </c>
      <c r="X309" s="4">
        <f t="shared" si="38"/>
        <v>0.59738267620164065</v>
      </c>
    </row>
    <row r="310" spans="1:24" x14ac:dyDescent="0.3">
      <c r="A310" t="s">
        <v>718</v>
      </c>
      <c r="B310" s="6">
        <v>45679</v>
      </c>
      <c r="C310" s="2">
        <v>45692</v>
      </c>
      <c r="D310" s="4">
        <f t="shared" si="39"/>
        <v>13</v>
      </c>
      <c r="E310" s="46" t="b">
        <f t="shared" si="34"/>
        <v>0</v>
      </c>
      <c r="F310" s="4" t="str">
        <f>TEXT(Data!B310,"MMM-YYYY")</f>
        <v>Jan-2023</v>
      </c>
      <c r="G310" s="4" t="str">
        <f t="shared" si="35"/>
        <v>Q1-2025</v>
      </c>
      <c r="H310" t="s">
        <v>45</v>
      </c>
      <c r="I310" t="s">
        <v>46</v>
      </c>
      <c r="J310" t="s">
        <v>214</v>
      </c>
      <c r="K310" t="s">
        <v>62</v>
      </c>
      <c r="L310" t="s">
        <v>55</v>
      </c>
      <c r="M310" t="s">
        <v>49</v>
      </c>
      <c r="N310" t="s">
        <v>30</v>
      </c>
      <c r="O310" t="s">
        <v>719</v>
      </c>
      <c r="P310" s="4">
        <v>122.29</v>
      </c>
      <c r="Q310" s="7" t="str">
        <f t="shared" si="36"/>
        <v>High</v>
      </c>
      <c r="R310" s="4">
        <v>224.95</v>
      </c>
      <c r="S310" s="4">
        <v>0.153</v>
      </c>
      <c r="T310" s="4">
        <v>28</v>
      </c>
      <c r="U310" s="4">
        <f t="shared" si="32"/>
        <v>26941.13884</v>
      </c>
      <c r="V310">
        <f t="shared" si="33"/>
        <v>3424.1200000000003</v>
      </c>
      <c r="W310" s="4">
        <f t="shared" si="37"/>
        <v>23517.018840000001</v>
      </c>
      <c r="X310" s="4">
        <f t="shared" si="38"/>
        <v>0.8729036652705956</v>
      </c>
    </row>
    <row r="311" spans="1:24" x14ac:dyDescent="0.3">
      <c r="A311" t="s">
        <v>720</v>
      </c>
      <c r="B311" s="6">
        <v>44936</v>
      </c>
      <c r="C311" s="2">
        <v>44955</v>
      </c>
      <c r="D311" s="4">
        <f t="shared" si="39"/>
        <v>19</v>
      </c>
      <c r="E311" s="46" t="b">
        <f t="shared" si="34"/>
        <v>0</v>
      </c>
      <c r="F311" s="4" t="str">
        <f>TEXT(Data!B311,"MMM-YYYY")</f>
        <v>Dec-2024</v>
      </c>
      <c r="G311" s="4" t="str">
        <f t="shared" si="35"/>
        <v>Q1-2023</v>
      </c>
      <c r="H311" t="s">
        <v>78</v>
      </c>
      <c r="I311" t="s">
        <v>90</v>
      </c>
      <c r="J311" t="s">
        <v>138</v>
      </c>
      <c r="K311" t="s">
        <v>39</v>
      </c>
      <c r="L311" t="s">
        <v>98</v>
      </c>
      <c r="M311" t="s">
        <v>145</v>
      </c>
      <c r="N311" t="s">
        <v>57</v>
      </c>
      <c r="O311" t="s">
        <v>721</v>
      </c>
      <c r="P311" s="4">
        <v>401.66</v>
      </c>
      <c r="Q311" s="7" t="str">
        <f t="shared" si="36"/>
        <v>High</v>
      </c>
      <c r="R311" s="4">
        <v>772.09</v>
      </c>
      <c r="S311" s="4">
        <v>8.8999999999999996E-2</v>
      </c>
      <c r="T311" s="4">
        <v>14</v>
      </c>
      <c r="U311" s="4">
        <f t="shared" si="32"/>
        <v>35096.967360000002</v>
      </c>
      <c r="V311">
        <f t="shared" si="33"/>
        <v>5623.2400000000007</v>
      </c>
      <c r="W311" s="4">
        <f t="shared" si="37"/>
        <v>29473.727360000001</v>
      </c>
      <c r="X311" s="4">
        <f t="shared" si="38"/>
        <v>0.83977988917615698</v>
      </c>
    </row>
    <row r="312" spans="1:24" x14ac:dyDescent="0.3">
      <c r="A312" t="s">
        <v>722</v>
      </c>
      <c r="B312" s="6">
        <v>45655</v>
      </c>
      <c r="C312" s="2">
        <v>45669</v>
      </c>
      <c r="D312" s="4">
        <f t="shared" si="39"/>
        <v>14</v>
      </c>
      <c r="E312" s="46" t="b">
        <f t="shared" si="34"/>
        <v>0</v>
      </c>
      <c r="F312" s="4" t="str">
        <f>TEXT(Data!B312,"MMM-YYYY")</f>
        <v>May-2024</v>
      </c>
      <c r="G312" s="4" t="str">
        <f t="shared" si="35"/>
        <v>Q4-2024</v>
      </c>
      <c r="H312" t="s">
        <v>78</v>
      </c>
      <c r="I312" t="s">
        <v>108</v>
      </c>
      <c r="J312" t="s">
        <v>228</v>
      </c>
      <c r="K312" t="s">
        <v>19</v>
      </c>
      <c r="L312" t="s">
        <v>98</v>
      </c>
      <c r="M312" t="s">
        <v>56</v>
      </c>
      <c r="N312" t="s">
        <v>64</v>
      </c>
      <c r="O312" t="s">
        <v>723</v>
      </c>
      <c r="P312" s="4">
        <v>1399.72</v>
      </c>
      <c r="Q312" s="7" t="str">
        <f t="shared" si="36"/>
        <v>High</v>
      </c>
      <c r="R312" s="4">
        <v>3149.21</v>
      </c>
      <c r="S312" s="4">
        <v>0.185</v>
      </c>
      <c r="T312" s="4">
        <v>12</v>
      </c>
      <c r="U312" s="4">
        <f t="shared" si="32"/>
        <v>13444.761599999998</v>
      </c>
      <c r="V312">
        <f t="shared" si="33"/>
        <v>16796.64</v>
      </c>
      <c r="W312" s="4">
        <f t="shared" si="37"/>
        <v>-3351.8784000000014</v>
      </c>
      <c r="X312" s="4">
        <f t="shared" si="38"/>
        <v>-0.24930738823959525</v>
      </c>
    </row>
    <row r="313" spans="1:24" x14ac:dyDescent="0.3">
      <c r="A313" t="s">
        <v>724</v>
      </c>
      <c r="B313" s="6">
        <v>45435</v>
      </c>
      <c r="C313" s="2">
        <v>45449</v>
      </c>
      <c r="D313" s="4">
        <f t="shared" si="39"/>
        <v>14</v>
      </c>
      <c r="E313" s="46" t="b">
        <f t="shared" si="34"/>
        <v>0</v>
      </c>
      <c r="F313" s="4" t="str">
        <f>TEXT(Data!B313,"MMM-YYYY")</f>
        <v>Jun-2023</v>
      </c>
      <c r="G313" s="4" t="str">
        <f t="shared" si="35"/>
        <v>Q2-2024</v>
      </c>
      <c r="H313" t="s">
        <v>52</v>
      </c>
      <c r="I313" t="s">
        <v>73</v>
      </c>
      <c r="J313" t="s">
        <v>225</v>
      </c>
      <c r="K313" t="s">
        <v>39</v>
      </c>
      <c r="L313" t="s">
        <v>28</v>
      </c>
      <c r="M313" t="s">
        <v>34</v>
      </c>
      <c r="N313" t="s">
        <v>35</v>
      </c>
      <c r="O313" t="s">
        <v>725</v>
      </c>
      <c r="P313" s="4">
        <v>51.13</v>
      </c>
      <c r="Q313" s="7" t="str">
        <f t="shared" si="36"/>
        <v>Medium</v>
      </c>
      <c r="R313" s="4">
        <v>57.53</v>
      </c>
      <c r="S313" s="4">
        <v>4.4999999999999998E-2</v>
      </c>
      <c r="T313" s="4">
        <v>16</v>
      </c>
      <c r="U313" s="4">
        <f t="shared" si="32"/>
        <v>20144.693599999999</v>
      </c>
      <c r="V313">
        <f t="shared" si="33"/>
        <v>818.08</v>
      </c>
      <c r="W313" s="4">
        <f t="shared" si="37"/>
        <v>19326.613599999997</v>
      </c>
      <c r="X313" s="4">
        <f t="shared" si="38"/>
        <v>0.95938980178879452</v>
      </c>
    </row>
    <row r="314" spans="1:24" x14ac:dyDescent="0.3">
      <c r="A314" t="s">
        <v>726</v>
      </c>
      <c r="B314" s="6">
        <v>45101</v>
      </c>
      <c r="C314" s="2">
        <v>45099</v>
      </c>
      <c r="D314" s="4">
        <f>DATEDIF(C314,B314, "MD")</f>
        <v>2</v>
      </c>
      <c r="E314" s="46" t="str">
        <f t="shared" si="34"/>
        <v>Yes</v>
      </c>
      <c r="F314" s="4" t="str">
        <f>TEXT(Data!B314,"MMM-YYYY")</f>
        <v>Nov-2024</v>
      </c>
      <c r="G314" s="4" t="str">
        <f t="shared" si="35"/>
        <v>Q2-2023</v>
      </c>
      <c r="H314" t="s">
        <v>52</v>
      </c>
      <c r="I314" t="s">
        <v>53</v>
      </c>
      <c r="J314" t="s">
        <v>54</v>
      </c>
      <c r="K314" t="s">
        <v>39</v>
      </c>
      <c r="L314" t="s">
        <v>20</v>
      </c>
      <c r="M314" t="s">
        <v>110</v>
      </c>
      <c r="N314" t="s">
        <v>81</v>
      </c>
      <c r="O314" t="s">
        <v>727</v>
      </c>
      <c r="P314" s="4">
        <v>471.42</v>
      </c>
      <c r="Q314" s="7" t="str">
        <f t="shared" si="36"/>
        <v>High</v>
      </c>
      <c r="R314" s="4">
        <v>824.81</v>
      </c>
      <c r="S314" s="4">
        <v>8.7999999999999995E-2</v>
      </c>
      <c r="T314" s="4">
        <v>15</v>
      </c>
      <c r="U314" s="4">
        <f t="shared" si="32"/>
        <v>6043.0032000000001</v>
      </c>
      <c r="V314">
        <f t="shared" si="33"/>
        <v>7071.3</v>
      </c>
      <c r="W314" s="4">
        <f t="shared" si="37"/>
        <v>-1028.2968000000001</v>
      </c>
      <c r="X314" s="4">
        <f t="shared" si="38"/>
        <v>-0.17016320626803574</v>
      </c>
    </row>
    <row r="315" spans="1:24" x14ac:dyDescent="0.3">
      <c r="A315" t="s">
        <v>728</v>
      </c>
      <c r="B315" s="6">
        <v>45600</v>
      </c>
      <c r="C315" s="2">
        <v>45601</v>
      </c>
      <c r="D315" s="4">
        <f t="shared" si="39"/>
        <v>1</v>
      </c>
      <c r="E315" s="46" t="str">
        <f t="shared" si="34"/>
        <v>Yes</v>
      </c>
      <c r="F315" s="4" t="str">
        <f>TEXT(Data!B315,"MMM-YYYY")</f>
        <v>Jun-2024</v>
      </c>
      <c r="G315" s="4" t="str">
        <f t="shared" si="35"/>
        <v>Q4-2024</v>
      </c>
      <c r="H315" t="s">
        <v>78</v>
      </c>
      <c r="I315" t="s">
        <v>108</v>
      </c>
      <c r="J315" t="s">
        <v>152</v>
      </c>
      <c r="K315" t="s">
        <v>19</v>
      </c>
      <c r="L315" t="s">
        <v>20</v>
      </c>
      <c r="M315" t="s">
        <v>110</v>
      </c>
      <c r="N315" t="s">
        <v>30</v>
      </c>
      <c r="O315" t="s">
        <v>729</v>
      </c>
      <c r="P315" s="4">
        <v>840.68</v>
      </c>
      <c r="Q315" s="7" t="str">
        <f t="shared" si="36"/>
        <v>High</v>
      </c>
      <c r="R315" s="4">
        <v>1493.53</v>
      </c>
      <c r="S315" s="4">
        <v>0</v>
      </c>
      <c r="T315" s="4">
        <v>27</v>
      </c>
      <c r="U315" s="4">
        <f t="shared" si="32"/>
        <v>35911.89</v>
      </c>
      <c r="V315">
        <f t="shared" si="33"/>
        <v>22698.359999999997</v>
      </c>
      <c r="W315" s="4">
        <f t="shared" si="37"/>
        <v>13213.530000000002</v>
      </c>
      <c r="X315" s="4">
        <f t="shared" si="38"/>
        <v>0.36794304059184862</v>
      </c>
    </row>
    <row r="316" spans="1:24" x14ac:dyDescent="0.3">
      <c r="A316" t="s">
        <v>730</v>
      </c>
      <c r="B316" s="6">
        <v>45451</v>
      </c>
      <c r="C316" s="2">
        <v>45467</v>
      </c>
      <c r="D316" s="4">
        <f t="shared" si="39"/>
        <v>16</v>
      </c>
      <c r="E316" s="46" t="b">
        <f t="shared" si="34"/>
        <v>0</v>
      </c>
      <c r="F316" s="4" t="str">
        <f>TEXT(Data!B316,"MMM-YYYY")</f>
        <v>Jun-2025</v>
      </c>
      <c r="G316" s="4" t="str">
        <f t="shared" si="35"/>
        <v>Q2-2024</v>
      </c>
      <c r="H316" t="s">
        <v>16</v>
      </c>
      <c r="I316" t="s">
        <v>148</v>
      </c>
      <c r="J316" t="s">
        <v>172</v>
      </c>
      <c r="K316" t="s">
        <v>27</v>
      </c>
      <c r="L316" t="s">
        <v>55</v>
      </c>
      <c r="M316" t="s">
        <v>92</v>
      </c>
      <c r="N316" t="s">
        <v>64</v>
      </c>
      <c r="O316" t="s">
        <v>731</v>
      </c>
      <c r="P316" s="4">
        <v>597.85</v>
      </c>
      <c r="Q316" s="7" t="str">
        <f t="shared" si="36"/>
        <v>High</v>
      </c>
      <c r="R316" s="4">
        <v>741.92</v>
      </c>
      <c r="S316" s="4">
        <v>3.1E-2</v>
      </c>
      <c r="T316" s="4">
        <v>7</v>
      </c>
      <c r="U316" s="4">
        <f t="shared" si="32"/>
        <v>11089.255379999999</v>
      </c>
      <c r="V316">
        <f t="shared" si="33"/>
        <v>4184.95</v>
      </c>
      <c r="W316" s="4">
        <f t="shared" si="37"/>
        <v>6904.3053799999989</v>
      </c>
      <c r="X316" s="4">
        <f t="shared" si="38"/>
        <v>0.62261217217995024</v>
      </c>
    </row>
    <row r="317" spans="1:24" x14ac:dyDescent="0.3">
      <c r="A317" t="s">
        <v>732</v>
      </c>
      <c r="B317" s="6">
        <v>45809</v>
      </c>
      <c r="C317" s="2">
        <v>45814</v>
      </c>
      <c r="D317" s="4">
        <f t="shared" si="39"/>
        <v>5</v>
      </c>
      <c r="E317" s="46" t="str">
        <f t="shared" si="34"/>
        <v>Yes</v>
      </c>
      <c r="F317" s="4" t="str">
        <f>TEXT(Data!B317,"MMM-YYYY")</f>
        <v>May-2023</v>
      </c>
      <c r="G317" s="4" t="str">
        <f t="shared" si="35"/>
        <v>Q2-2025</v>
      </c>
      <c r="H317" t="s">
        <v>78</v>
      </c>
      <c r="I317" t="s">
        <v>90</v>
      </c>
      <c r="J317" t="s">
        <v>217</v>
      </c>
      <c r="K317" t="s">
        <v>48</v>
      </c>
      <c r="L317" t="s">
        <v>55</v>
      </c>
      <c r="M317" t="s">
        <v>41</v>
      </c>
      <c r="N317" t="s">
        <v>22</v>
      </c>
      <c r="O317" t="s">
        <v>733</v>
      </c>
      <c r="P317" s="4">
        <v>379.45</v>
      </c>
      <c r="Q317" s="7" t="str">
        <f t="shared" si="36"/>
        <v>High</v>
      </c>
      <c r="R317" s="4">
        <v>742.23</v>
      </c>
      <c r="S317" s="4">
        <v>0.09</v>
      </c>
      <c r="T317" s="4">
        <v>13</v>
      </c>
      <c r="U317" s="4">
        <f t="shared" si="32"/>
        <v>835.19799999999998</v>
      </c>
      <c r="V317">
        <f t="shared" si="33"/>
        <v>4932.8499999999995</v>
      </c>
      <c r="W317" s="4">
        <f t="shared" si="37"/>
        <v>-4097.6519999999991</v>
      </c>
      <c r="X317" s="4">
        <f t="shared" si="38"/>
        <v>-4.9062042773090919</v>
      </c>
    </row>
    <row r="318" spans="1:24" x14ac:dyDescent="0.3">
      <c r="A318" t="s">
        <v>734</v>
      </c>
      <c r="B318" s="6">
        <v>45052</v>
      </c>
      <c r="C318" s="2">
        <v>45060</v>
      </c>
      <c r="D318" s="4">
        <f t="shared" si="39"/>
        <v>8</v>
      </c>
      <c r="E318" s="46" t="b">
        <f t="shared" si="34"/>
        <v>0</v>
      </c>
      <c r="F318" s="4" t="str">
        <f>TEXT(Data!B318,"MMM-YYYY")</f>
        <v>Nov-2023</v>
      </c>
      <c r="G318" s="4" t="str">
        <f t="shared" si="35"/>
        <v>Q2-2023</v>
      </c>
      <c r="H318" t="s">
        <v>45</v>
      </c>
      <c r="I318" t="s">
        <v>46</v>
      </c>
      <c r="J318" t="s">
        <v>47</v>
      </c>
      <c r="K318" t="s">
        <v>105</v>
      </c>
      <c r="L318" t="s">
        <v>40</v>
      </c>
      <c r="M318" t="s">
        <v>56</v>
      </c>
      <c r="N318" t="s">
        <v>42</v>
      </c>
      <c r="O318" t="s">
        <v>735</v>
      </c>
      <c r="P318" s="4">
        <v>291.18</v>
      </c>
      <c r="Q318" s="7" t="str">
        <f t="shared" si="36"/>
        <v>High</v>
      </c>
      <c r="R318" s="4">
        <v>479.54</v>
      </c>
      <c r="S318" s="4">
        <v>0.14099999999999999</v>
      </c>
      <c r="T318" s="4">
        <v>22</v>
      </c>
      <c r="U318" s="4">
        <f t="shared" si="32"/>
        <v>34451.80992</v>
      </c>
      <c r="V318">
        <f t="shared" si="33"/>
        <v>6405.96</v>
      </c>
      <c r="W318" s="4">
        <f t="shared" si="37"/>
        <v>28045.849920000001</v>
      </c>
      <c r="X318" s="4">
        <f t="shared" si="38"/>
        <v>0.81406027680765747</v>
      </c>
    </row>
    <row r="319" spans="1:24" x14ac:dyDescent="0.3">
      <c r="A319" t="s">
        <v>736</v>
      </c>
      <c r="B319" s="6">
        <v>45244</v>
      </c>
      <c r="C319" s="2">
        <v>45260</v>
      </c>
      <c r="D319" s="4">
        <f t="shared" si="39"/>
        <v>16</v>
      </c>
      <c r="E319" s="46" t="b">
        <f t="shared" si="34"/>
        <v>0</v>
      </c>
      <c r="F319" s="4" t="str">
        <f>TEXT(Data!B319,"MMM-YYYY")</f>
        <v>Apr-2025</v>
      </c>
      <c r="G319" s="4" t="str">
        <f t="shared" si="35"/>
        <v>Q4-2023</v>
      </c>
      <c r="H319" t="s">
        <v>52</v>
      </c>
      <c r="I319" t="s">
        <v>73</v>
      </c>
      <c r="J319" t="s">
        <v>74</v>
      </c>
      <c r="K319" t="s">
        <v>105</v>
      </c>
      <c r="L319" t="s">
        <v>98</v>
      </c>
      <c r="M319" t="s">
        <v>95</v>
      </c>
      <c r="N319" t="s">
        <v>35</v>
      </c>
      <c r="O319" t="s">
        <v>737</v>
      </c>
      <c r="P319" s="4">
        <v>1017.92</v>
      </c>
      <c r="Q319" s="7" t="str">
        <f t="shared" si="36"/>
        <v>High</v>
      </c>
      <c r="R319" s="4">
        <v>1175.25</v>
      </c>
      <c r="S319" s="4">
        <v>7.4999999999999997E-2</v>
      </c>
      <c r="T319" s="4">
        <v>15</v>
      </c>
      <c r="U319" s="4">
        <f t="shared" si="32"/>
        <v>27971.861250000002</v>
      </c>
      <c r="V319">
        <f t="shared" si="33"/>
        <v>15268.8</v>
      </c>
      <c r="W319" s="4">
        <f t="shared" si="37"/>
        <v>12703.061250000002</v>
      </c>
      <c r="X319" s="4">
        <f t="shared" si="38"/>
        <v>0.45413714648681097</v>
      </c>
    </row>
    <row r="320" spans="1:24" x14ac:dyDescent="0.3">
      <c r="A320" t="s">
        <v>738</v>
      </c>
      <c r="B320" s="6">
        <v>45748</v>
      </c>
      <c r="C320" s="2">
        <v>45774</v>
      </c>
      <c r="D320" s="4">
        <f t="shared" si="39"/>
        <v>26</v>
      </c>
      <c r="E320" s="46" t="b">
        <f t="shared" si="34"/>
        <v>0</v>
      </c>
      <c r="F320" s="4" t="str">
        <f>TEXT(Data!B320,"MMM-YYYY")</f>
        <v>Mar-2023</v>
      </c>
      <c r="G320" s="4" t="str">
        <f t="shared" si="35"/>
        <v>Q2-2025</v>
      </c>
      <c r="H320" t="s">
        <v>52</v>
      </c>
      <c r="I320" t="s">
        <v>122</v>
      </c>
      <c r="J320" t="s">
        <v>167</v>
      </c>
      <c r="K320" t="s">
        <v>19</v>
      </c>
      <c r="L320" t="s">
        <v>98</v>
      </c>
      <c r="M320" t="s">
        <v>34</v>
      </c>
      <c r="N320" t="s">
        <v>64</v>
      </c>
      <c r="O320" t="s">
        <v>739</v>
      </c>
      <c r="P320" s="4">
        <v>156.55000000000001</v>
      </c>
      <c r="Q320" s="7" t="str">
        <f t="shared" si="36"/>
        <v>High</v>
      </c>
      <c r="R320" s="4">
        <v>227.45</v>
      </c>
      <c r="S320" s="4">
        <v>1.4E-2</v>
      </c>
      <c r="T320" s="4">
        <v>13</v>
      </c>
      <c r="U320" s="4">
        <f t="shared" si="32"/>
        <v>3129.2583399999999</v>
      </c>
      <c r="V320">
        <f t="shared" si="33"/>
        <v>2035.15</v>
      </c>
      <c r="W320" s="4">
        <f t="shared" si="37"/>
        <v>1094.1083399999998</v>
      </c>
      <c r="X320" s="4">
        <f t="shared" si="38"/>
        <v>0.34963822769583153</v>
      </c>
    </row>
    <row r="321" spans="1:24" x14ac:dyDescent="0.3">
      <c r="A321" t="s">
        <v>740</v>
      </c>
      <c r="B321" s="6">
        <v>45008</v>
      </c>
      <c r="C321" s="2">
        <v>45031</v>
      </c>
      <c r="D321" s="4">
        <f t="shared" si="39"/>
        <v>23</v>
      </c>
      <c r="E321" s="46" t="b">
        <f t="shared" si="34"/>
        <v>0</v>
      </c>
      <c r="F321" s="4" t="str">
        <f>TEXT(Data!B321,"MMM-YYYY")</f>
        <v>May-2024</v>
      </c>
      <c r="G321" s="4" t="str">
        <f t="shared" si="35"/>
        <v>Q1-2023</v>
      </c>
      <c r="H321" t="s">
        <v>16</v>
      </c>
      <c r="I321" t="s">
        <v>17</v>
      </c>
      <c r="J321" t="s">
        <v>113</v>
      </c>
      <c r="K321" t="s">
        <v>62</v>
      </c>
      <c r="L321" t="s">
        <v>20</v>
      </c>
      <c r="M321" t="s">
        <v>21</v>
      </c>
      <c r="N321" t="s">
        <v>81</v>
      </c>
      <c r="O321" t="s">
        <v>741</v>
      </c>
      <c r="P321" s="4">
        <v>875.36</v>
      </c>
      <c r="Q321" s="7" t="str">
        <f t="shared" si="36"/>
        <v>High</v>
      </c>
      <c r="R321" s="4">
        <v>1178.6199999999999</v>
      </c>
      <c r="S321" s="4">
        <v>0.151</v>
      </c>
      <c r="T321" s="4">
        <v>53</v>
      </c>
      <c r="U321" s="4">
        <f t="shared" si="32"/>
        <v>125232.05063999999</v>
      </c>
      <c r="V321">
        <f t="shared" si="33"/>
        <v>46394.080000000002</v>
      </c>
      <c r="W321" s="4">
        <f t="shared" si="37"/>
        <v>78837.970639999985</v>
      </c>
      <c r="X321" s="4">
        <f t="shared" si="38"/>
        <v>0.62953509295022747</v>
      </c>
    </row>
    <row r="322" spans="1:24" x14ac:dyDescent="0.3">
      <c r="A322" t="s">
        <v>742</v>
      </c>
      <c r="B322" s="6">
        <v>45440</v>
      </c>
      <c r="C322" s="2">
        <v>45461</v>
      </c>
      <c r="D322" s="4">
        <f t="shared" si="39"/>
        <v>21</v>
      </c>
      <c r="E322" s="46" t="b">
        <f t="shared" si="34"/>
        <v>0</v>
      </c>
      <c r="F322" s="4" t="str">
        <f>TEXT(Data!B322,"MMM-YYYY")</f>
        <v>Jan-2024</v>
      </c>
      <c r="G322" s="4" t="str">
        <f t="shared" si="35"/>
        <v>Q2-2024</v>
      </c>
      <c r="H322" t="s">
        <v>78</v>
      </c>
      <c r="I322" t="s">
        <v>79</v>
      </c>
      <c r="J322" t="s">
        <v>335</v>
      </c>
      <c r="K322" t="s">
        <v>62</v>
      </c>
      <c r="L322" t="s">
        <v>28</v>
      </c>
      <c r="M322" t="s">
        <v>63</v>
      </c>
      <c r="N322" t="s">
        <v>42</v>
      </c>
      <c r="O322" t="s">
        <v>743</v>
      </c>
      <c r="P322" s="4">
        <v>986.85</v>
      </c>
      <c r="Q322" s="7" t="str">
        <f t="shared" si="36"/>
        <v>High</v>
      </c>
      <c r="R322" s="4">
        <v>2422.1</v>
      </c>
      <c r="S322" s="4">
        <v>7.5999999999999998E-2</v>
      </c>
      <c r="T322" s="4">
        <v>10</v>
      </c>
      <c r="U322" s="4">
        <f t="shared" ref="U322:U385" si="40">(R348*T322)*(1-S322)</f>
        <v>18944.864399999999</v>
      </c>
      <c r="V322">
        <f t="shared" ref="V322:V385" si="41">(P322*T322)</f>
        <v>9868.5</v>
      </c>
      <c r="W322" s="4">
        <f t="shared" si="37"/>
        <v>9076.3643999999986</v>
      </c>
      <c r="X322" s="4">
        <f t="shared" si="38"/>
        <v>0.47909365875429538</v>
      </c>
    </row>
    <row r="323" spans="1:24" x14ac:dyDescent="0.3">
      <c r="A323" t="s">
        <v>744</v>
      </c>
      <c r="B323" s="6">
        <v>45293</v>
      </c>
      <c r="C323" s="2">
        <v>45292</v>
      </c>
      <c r="D323" s="4">
        <f>DATEDIF(C323,B323, "MD")</f>
        <v>1</v>
      </c>
      <c r="E323" s="46" t="str">
        <f t="shared" ref="E323:E386" si="42">IF(D323&lt;=7, "Yes")</f>
        <v>Yes</v>
      </c>
      <c r="F323" s="4" t="str">
        <f>TEXT(Data!B323,"MMM-YYYY")</f>
        <v>Feb-2023</v>
      </c>
      <c r="G323" s="4" t="str">
        <f t="shared" ref="G323:G386" si="43">"Q"&amp;ROUNDUP(MONTH(B323)/3,0)&amp;"-"&amp;YEAR(B323)</f>
        <v>Q1-2024</v>
      </c>
      <c r="H323" t="s">
        <v>52</v>
      </c>
      <c r="I323" t="s">
        <v>122</v>
      </c>
      <c r="J323" t="s">
        <v>123</v>
      </c>
      <c r="K323" t="s">
        <v>27</v>
      </c>
      <c r="L323" t="s">
        <v>40</v>
      </c>
      <c r="M323" t="s">
        <v>56</v>
      </c>
      <c r="N323" t="s">
        <v>35</v>
      </c>
      <c r="O323" t="s">
        <v>745</v>
      </c>
      <c r="P323" s="4">
        <v>404.77</v>
      </c>
      <c r="Q323" s="7" t="str">
        <f t="shared" ref="Q323:Q386" si="44">IF(R323&lt;50, "Low", IF(R323&lt;200, "Medium", "High"))</f>
        <v>High</v>
      </c>
      <c r="R323" s="4">
        <v>433.88</v>
      </c>
      <c r="S323" s="4">
        <v>0.215</v>
      </c>
      <c r="T323" s="4">
        <v>22</v>
      </c>
      <c r="U323" s="4">
        <f t="shared" si="40"/>
        <v>2540.7624000000005</v>
      </c>
      <c r="V323">
        <f t="shared" si="41"/>
        <v>8904.9399999999987</v>
      </c>
      <c r="W323" s="4">
        <f t="shared" ref="W323:W386" si="45">(U323-V323)</f>
        <v>-6364.1775999999982</v>
      </c>
      <c r="X323" s="4">
        <f t="shared" ref="X323:X386" si="46">IF(U323=0, 0, W323/U323)</f>
        <v>-2.504829888855407</v>
      </c>
    </row>
    <row r="324" spans="1:24" x14ac:dyDescent="0.3">
      <c r="A324" t="s">
        <v>746</v>
      </c>
      <c r="B324" s="6">
        <v>44985</v>
      </c>
      <c r="C324" s="2">
        <v>44984</v>
      </c>
      <c r="D324" s="4">
        <f>DATEDIF(C324,B324, "MD")</f>
        <v>1</v>
      </c>
      <c r="E324" s="46" t="str">
        <f t="shared" si="42"/>
        <v>Yes</v>
      </c>
      <c r="F324" s="4" t="str">
        <f>TEXT(Data!B324,"MMM-YYYY")</f>
        <v>Feb-2024</v>
      </c>
      <c r="G324" s="4" t="str">
        <f t="shared" si="43"/>
        <v>Q1-2023</v>
      </c>
      <c r="H324" t="s">
        <v>78</v>
      </c>
      <c r="I324" t="s">
        <v>90</v>
      </c>
      <c r="J324" t="s">
        <v>91</v>
      </c>
      <c r="K324" t="s">
        <v>19</v>
      </c>
      <c r="L324" t="s">
        <v>20</v>
      </c>
      <c r="M324" t="s">
        <v>95</v>
      </c>
      <c r="N324" t="s">
        <v>35</v>
      </c>
      <c r="O324" t="s">
        <v>747</v>
      </c>
      <c r="P324" s="4">
        <v>1299.81</v>
      </c>
      <c r="Q324" s="7" t="str">
        <f t="shared" si="44"/>
        <v>High</v>
      </c>
      <c r="R324" s="4">
        <v>3149.13</v>
      </c>
      <c r="S324" s="4">
        <v>0.10299999999999999</v>
      </c>
      <c r="T324" s="4">
        <v>14</v>
      </c>
      <c r="U324" s="4">
        <f t="shared" si="40"/>
        <v>24902.262840000003</v>
      </c>
      <c r="V324">
        <f t="shared" si="41"/>
        <v>18197.34</v>
      </c>
      <c r="W324" s="4">
        <f t="shared" si="45"/>
        <v>6704.9228400000029</v>
      </c>
      <c r="X324" s="4">
        <f t="shared" si="46"/>
        <v>0.26924954101881943</v>
      </c>
    </row>
    <row r="325" spans="1:24" x14ac:dyDescent="0.3">
      <c r="A325" t="s">
        <v>748</v>
      </c>
      <c r="B325" s="6">
        <v>45340</v>
      </c>
      <c r="C325" s="2">
        <v>45362</v>
      </c>
      <c r="D325" s="4">
        <f t="shared" ref="D325:D388" si="47">DATEDIF(B325,C325, "MD")</f>
        <v>22</v>
      </c>
      <c r="E325" s="46" t="b">
        <f t="shared" si="42"/>
        <v>0</v>
      </c>
      <c r="F325" s="4" t="str">
        <f>TEXT(Data!B325,"MMM-YYYY")</f>
        <v>Sep-2024</v>
      </c>
      <c r="G325" s="4" t="str">
        <f t="shared" si="43"/>
        <v>Q1-2024</v>
      </c>
      <c r="H325" t="s">
        <v>52</v>
      </c>
      <c r="I325" t="s">
        <v>73</v>
      </c>
      <c r="J325" t="s">
        <v>74</v>
      </c>
      <c r="K325" t="s">
        <v>48</v>
      </c>
      <c r="L325" t="s">
        <v>28</v>
      </c>
      <c r="M325" t="s">
        <v>75</v>
      </c>
      <c r="N325" t="s">
        <v>22</v>
      </c>
      <c r="O325" t="s">
        <v>749</v>
      </c>
      <c r="P325" s="4">
        <v>80.48</v>
      </c>
      <c r="Q325" s="7" t="str">
        <f t="shared" si="44"/>
        <v>Medium</v>
      </c>
      <c r="R325" s="4">
        <v>65.650000000000006</v>
      </c>
      <c r="S325" s="4">
        <v>0.17599999999999999</v>
      </c>
      <c r="T325" s="4">
        <v>13</v>
      </c>
      <c r="U325" s="4">
        <f t="shared" si="40"/>
        <v>24630.101600000002</v>
      </c>
      <c r="V325">
        <f t="shared" si="41"/>
        <v>1046.24</v>
      </c>
      <c r="W325" s="4">
        <f t="shared" si="45"/>
        <v>23583.8616</v>
      </c>
      <c r="X325" s="4">
        <f t="shared" si="46"/>
        <v>0.95752189670220433</v>
      </c>
    </row>
    <row r="326" spans="1:24" x14ac:dyDescent="0.3">
      <c r="A326" t="s">
        <v>750</v>
      </c>
      <c r="B326" s="6">
        <v>45544</v>
      </c>
      <c r="C326" s="2">
        <v>45573</v>
      </c>
      <c r="D326" s="4">
        <f t="shared" si="47"/>
        <v>29</v>
      </c>
      <c r="E326" s="46" t="b">
        <f t="shared" si="42"/>
        <v>0</v>
      </c>
      <c r="F326" s="4" t="str">
        <f>TEXT(Data!B326,"MMM-YYYY")</f>
        <v>May-2023</v>
      </c>
      <c r="G326" s="4" t="str">
        <f t="shared" si="43"/>
        <v>Q3-2024</v>
      </c>
      <c r="H326" t="s">
        <v>52</v>
      </c>
      <c r="I326" t="s">
        <v>73</v>
      </c>
      <c r="J326" t="s">
        <v>74</v>
      </c>
      <c r="K326" t="s">
        <v>27</v>
      </c>
      <c r="L326" t="s">
        <v>98</v>
      </c>
      <c r="M326" t="s">
        <v>29</v>
      </c>
      <c r="N326" t="s">
        <v>22</v>
      </c>
      <c r="O326" t="s">
        <v>751</v>
      </c>
      <c r="P326" s="4">
        <v>1010.33</v>
      </c>
      <c r="Q326" s="7" t="str">
        <f t="shared" si="44"/>
        <v>High</v>
      </c>
      <c r="R326" s="4">
        <v>2492.14</v>
      </c>
      <c r="S326" s="4">
        <v>5.0999999999999997E-2</v>
      </c>
      <c r="T326" s="4">
        <v>11</v>
      </c>
      <c r="U326" s="4">
        <f t="shared" si="40"/>
        <v>4829.1857899999995</v>
      </c>
      <c r="V326">
        <f t="shared" si="41"/>
        <v>11113.630000000001</v>
      </c>
      <c r="W326" s="4">
        <f t="shared" si="45"/>
        <v>-6284.4442100000015</v>
      </c>
      <c r="X326" s="4">
        <f t="shared" si="46"/>
        <v>-1.3013465381707756</v>
      </c>
    </row>
    <row r="327" spans="1:24" x14ac:dyDescent="0.3">
      <c r="A327" t="s">
        <v>752</v>
      </c>
      <c r="B327" s="6">
        <v>45053</v>
      </c>
      <c r="C327" s="2">
        <v>45075</v>
      </c>
      <c r="D327" s="4">
        <f t="shared" si="47"/>
        <v>22</v>
      </c>
      <c r="E327" s="46" t="b">
        <f t="shared" si="42"/>
        <v>0</v>
      </c>
      <c r="F327" s="4" t="str">
        <f>TEXT(Data!B327,"MMM-YYYY")</f>
        <v>Jan-2024</v>
      </c>
      <c r="G327" s="4" t="str">
        <f t="shared" si="43"/>
        <v>Q2-2023</v>
      </c>
      <c r="H327" t="s">
        <v>16</v>
      </c>
      <c r="I327" t="s">
        <v>148</v>
      </c>
      <c r="J327" t="s">
        <v>172</v>
      </c>
      <c r="K327" t="s">
        <v>27</v>
      </c>
      <c r="L327" t="s">
        <v>55</v>
      </c>
      <c r="M327" t="s">
        <v>95</v>
      </c>
      <c r="N327" t="s">
        <v>81</v>
      </c>
      <c r="O327" t="s">
        <v>753</v>
      </c>
      <c r="P327" s="4">
        <v>653.86</v>
      </c>
      <c r="Q327" s="7" t="str">
        <f t="shared" si="44"/>
        <v>High</v>
      </c>
      <c r="R327" s="4">
        <v>931.84</v>
      </c>
      <c r="S327" s="4">
        <v>0.121</v>
      </c>
      <c r="T327" s="4">
        <v>12</v>
      </c>
      <c r="U327" s="4">
        <f t="shared" si="40"/>
        <v>11533.077720000001</v>
      </c>
      <c r="V327">
        <f t="shared" si="41"/>
        <v>7846.32</v>
      </c>
      <c r="W327" s="4">
        <f t="shared" si="45"/>
        <v>3686.7577200000014</v>
      </c>
      <c r="X327" s="4">
        <f t="shared" si="46"/>
        <v>0.3196681587956906</v>
      </c>
    </row>
    <row r="328" spans="1:24" x14ac:dyDescent="0.3">
      <c r="A328" t="s">
        <v>754</v>
      </c>
      <c r="B328" s="6">
        <v>45303</v>
      </c>
      <c r="C328" s="2">
        <v>45320</v>
      </c>
      <c r="D328" s="4">
        <f t="shared" si="47"/>
        <v>17</v>
      </c>
      <c r="E328" s="46" t="b">
        <f t="shared" si="42"/>
        <v>0</v>
      </c>
      <c r="F328" s="4" t="str">
        <f>TEXT(Data!B328,"MMM-YYYY")</f>
        <v>Jun-2023</v>
      </c>
      <c r="G328" s="4" t="str">
        <f t="shared" si="43"/>
        <v>Q1-2024</v>
      </c>
      <c r="H328" t="s">
        <v>45</v>
      </c>
      <c r="I328" t="s">
        <v>60</v>
      </c>
      <c r="J328" t="s">
        <v>281</v>
      </c>
      <c r="K328" t="s">
        <v>62</v>
      </c>
      <c r="L328" t="s">
        <v>98</v>
      </c>
      <c r="M328" t="s">
        <v>56</v>
      </c>
      <c r="N328" t="s">
        <v>22</v>
      </c>
      <c r="O328" t="s">
        <v>755</v>
      </c>
      <c r="P328" s="4">
        <v>310.02</v>
      </c>
      <c r="Q328" s="7" t="str">
        <f t="shared" si="44"/>
        <v>High</v>
      </c>
      <c r="R328" s="4">
        <v>619.51</v>
      </c>
      <c r="S328" s="4">
        <v>4.2000000000000003E-2</v>
      </c>
      <c r="T328" s="4">
        <v>4</v>
      </c>
      <c r="U328" s="4">
        <f t="shared" si="40"/>
        <v>5572.5710399999998</v>
      </c>
      <c r="V328">
        <f t="shared" si="41"/>
        <v>1240.08</v>
      </c>
      <c r="W328" s="4">
        <f t="shared" si="45"/>
        <v>4332.4910399999999</v>
      </c>
      <c r="X328" s="4">
        <f t="shared" si="46"/>
        <v>0.77746717070115634</v>
      </c>
    </row>
    <row r="329" spans="1:24" x14ac:dyDescent="0.3">
      <c r="A329" t="s">
        <v>756</v>
      </c>
      <c r="B329" s="6">
        <v>45087</v>
      </c>
      <c r="C329" s="2">
        <v>45095</v>
      </c>
      <c r="D329" s="4">
        <f t="shared" si="47"/>
        <v>8</v>
      </c>
      <c r="E329" s="46" t="b">
        <f t="shared" si="42"/>
        <v>0</v>
      </c>
      <c r="F329" s="4" t="str">
        <f>TEXT(Data!B329,"MMM-YYYY")</f>
        <v>May-2025</v>
      </c>
      <c r="G329" s="4" t="str">
        <f t="shared" si="43"/>
        <v>Q2-2023</v>
      </c>
      <c r="H329" t="s">
        <v>16</v>
      </c>
      <c r="I329" t="s">
        <v>17</v>
      </c>
      <c r="J329" t="s">
        <v>135</v>
      </c>
      <c r="K329" t="s">
        <v>105</v>
      </c>
      <c r="L329" t="s">
        <v>98</v>
      </c>
      <c r="M329" t="s">
        <v>92</v>
      </c>
      <c r="N329" t="s">
        <v>42</v>
      </c>
      <c r="O329" t="s">
        <v>757</v>
      </c>
      <c r="P329" s="4">
        <v>894.23</v>
      </c>
      <c r="Q329" s="7" t="str">
        <f t="shared" si="44"/>
        <v>High</v>
      </c>
      <c r="R329" s="4">
        <v>1421.55</v>
      </c>
      <c r="S329" s="4">
        <v>0.109</v>
      </c>
      <c r="T329" s="4">
        <v>3</v>
      </c>
      <c r="U329" s="4">
        <f t="shared" si="40"/>
        <v>5667.829200000001</v>
      </c>
      <c r="V329">
        <f t="shared" si="41"/>
        <v>2682.69</v>
      </c>
      <c r="W329" s="4">
        <f t="shared" si="45"/>
        <v>2985.139200000001</v>
      </c>
      <c r="X329" s="4">
        <f t="shared" si="46"/>
        <v>0.52668122038681064</v>
      </c>
    </row>
    <row r="330" spans="1:24" x14ac:dyDescent="0.3">
      <c r="A330" t="s">
        <v>758</v>
      </c>
      <c r="B330" s="6">
        <v>45796</v>
      </c>
      <c r="C330" s="2">
        <v>45794</v>
      </c>
      <c r="D330" s="4">
        <f>DATEDIF(C330,B330, "MD")</f>
        <v>2</v>
      </c>
      <c r="E330" s="46" t="str">
        <f t="shared" si="42"/>
        <v>Yes</v>
      </c>
      <c r="F330" s="4" t="str">
        <f>TEXT(Data!B330,"MMM-YYYY")</f>
        <v>Oct-2023</v>
      </c>
      <c r="G330" s="4" t="str">
        <f t="shared" si="43"/>
        <v>Q2-2025</v>
      </c>
      <c r="H330" t="s">
        <v>52</v>
      </c>
      <c r="I330" t="s">
        <v>73</v>
      </c>
      <c r="J330" t="s">
        <v>74</v>
      </c>
      <c r="K330" t="s">
        <v>62</v>
      </c>
      <c r="L330" t="s">
        <v>55</v>
      </c>
      <c r="M330" t="s">
        <v>49</v>
      </c>
      <c r="N330" t="s">
        <v>64</v>
      </c>
      <c r="O330" t="s">
        <v>759</v>
      </c>
      <c r="P330" s="4">
        <v>383.77</v>
      </c>
      <c r="Q330" s="7" t="str">
        <f t="shared" si="44"/>
        <v>High</v>
      </c>
      <c r="R330" s="4">
        <v>952.56</v>
      </c>
      <c r="S330" s="4">
        <v>0.34599999999999997</v>
      </c>
      <c r="T330" s="4">
        <v>10</v>
      </c>
      <c r="U330" s="4">
        <f t="shared" si="40"/>
        <v>841.56720000000018</v>
      </c>
      <c r="V330">
        <f t="shared" si="41"/>
        <v>3837.7</v>
      </c>
      <c r="W330" s="4">
        <f t="shared" si="45"/>
        <v>-2996.1327999999994</v>
      </c>
      <c r="X330" s="4">
        <f t="shared" si="46"/>
        <v>-3.5601824785946965</v>
      </c>
    </row>
    <row r="331" spans="1:24" x14ac:dyDescent="0.3">
      <c r="A331" t="s">
        <v>760</v>
      </c>
      <c r="B331" s="6">
        <v>45221</v>
      </c>
      <c r="C331" s="2">
        <v>45246</v>
      </c>
      <c r="D331" s="4">
        <f t="shared" si="47"/>
        <v>25</v>
      </c>
      <c r="E331" s="46" t="b">
        <f t="shared" si="42"/>
        <v>0</v>
      </c>
      <c r="F331" s="4" t="str">
        <f>TEXT(Data!B331,"MMM-YYYY")</f>
        <v>Jan-2025</v>
      </c>
      <c r="G331" s="4" t="str">
        <f t="shared" si="43"/>
        <v>Q4-2023</v>
      </c>
      <c r="H331" t="s">
        <v>52</v>
      </c>
      <c r="I331" t="s">
        <v>53</v>
      </c>
      <c r="J331" t="s">
        <v>54</v>
      </c>
      <c r="K331" t="s">
        <v>62</v>
      </c>
      <c r="L331" t="s">
        <v>40</v>
      </c>
      <c r="M331" t="s">
        <v>34</v>
      </c>
      <c r="N331" t="s">
        <v>57</v>
      </c>
      <c r="O331" t="s">
        <v>761</v>
      </c>
      <c r="P331" s="4">
        <v>1373.31</v>
      </c>
      <c r="Q331" s="7" t="str">
        <f t="shared" si="44"/>
        <v>High</v>
      </c>
      <c r="R331" s="4">
        <v>3154.14</v>
      </c>
      <c r="S331" s="4">
        <v>0.2</v>
      </c>
      <c r="T331" s="4">
        <v>11</v>
      </c>
      <c r="U331" s="4">
        <f t="shared" si="40"/>
        <v>11668.448000000002</v>
      </c>
      <c r="V331">
        <f t="shared" si="41"/>
        <v>15106.41</v>
      </c>
      <c r="W331" s="4">
        <f t="shared" si="45"/>
        <v>-3437.9619999999977</v>
      </c>
      <c r="X331" s="4">
        <f t="shared" si="46"/>
        <v>-0.29463747021026249</v>
      </c>
    </row>
    <row r="332" spans="1:24" x14ac:dyDescent="0.3">
      <c r="A332" t="s">
        <v>762</v>
      </c>
      <c r="B332" s="6">
        <v>45668</v>
      </c>
      <c r="C332" s="2">
        <v>45680</v>
      </c>
      <c r="D332" s="4">
        <f t="shared" si="47"/>
        <v>12</v>
      </c>
      <c r="E332" s="46" t="b">
        <f t="shared" si="42"/>
        <v>0</v>
      </c>
      <c r="F332" s="4" t="str">
        <f>TEXT(Data!B332,"MMM-YYYY")</f>
        <v>Sep-2025</v>
      </c>
      <c r="G332" s="4" t="str">
        <f t="shared" si="43"/>
        <v>Q1-2025</v>
      </c>
      <c r="H332" t="s">
        <v>52</v>
      </c>
      <c r="I332" t="s">
        <v>122</v>
      </c>
      <c r="J332" t="s">
        <v>326</v>
      </c>
      <c r="K332" t="s">
        <v>48</v>
      </c>
      <c r="L332" t="s">
        <v>55</v>
      </c>
      <c r="M332" t="s">
        <v>92</v>
      </c>
      <c r="N332" t="s">
        <v>42</v>
      </c>
      <c r="O332" t="s">
        <v>763</v>
      </c>
      <c r="P332" s="4">
        <v>100.69</v>
      </c>
      <c r="Q332" s="7" t="str">
        <f t="shared" si="44"/>
        <v>High</v>
      </c>
      <c r="R332" s="4">
        <v>226.14</v>
      </c>
      <c r="S332" s="4">
        <v>6.5000000000000002E-2</v>
      </c>
      <c r="T332" s="4">
        <v>12</v>
      </c>
      <c r="U332" s="4">
        <f t="shared" si="40"/>
        <v>27369.282600000002</v>
      </c>
      <c r="V332">
        <f t="shared" si="41"/>
        <v>1208.28</v>
      </c>
      <c r="W332" s="4">
        <f t="shared" si="45"/>
        <v>26161.002600000003</v>
      </c>
      <c r="X332" s="4">
        <f t="shared" si="46"/>
        <v>0.95585269743241286</v>
      </c>
    </row>
    <row r="333" spans="1:24" x14ac:dyDescent="0.3">
      <c r="A333" t="s">
        <v>764</v>
      </c>
      <c r="B333" s="6">
        <v>45914</v>
      </c>
      <c r="C333" s="2">
        <v>45926</v>
      </c>
      <c r="D333" s="4">
        <f t="shared" si="47"/>
        <v>12</v>
      </c>
      <c r="E333" s="46" t="b">
        <f t="shared" si="42"/>
        <v>0</v>
      </c>
      <c r="F333" s="4" t="str">
        <f>TEXT(Data!B333,"MMM-YYYY")</f>
        <v>Aug-2023</v>
      </c>
      <c r="G333" s="4" t="str">
        <f t="shared" si="43"/>
        <v>Q3-2025</v>
      </c>
      <c r="H333" t="s">
        <v>78</v>
      </c>
      <c r="I333" t="s">
        <v>108</v>
      </c>
      <c r="J333" t="s">
        <v>152</v>
      </c>
      <c r="K333" t="s">
        <v>62</v>
      </c>
      <c r="L333" t="s">
        <v>98</v>
      </c>
      <c r="M333" t="s">
        <v>126</v>
      </c>
      <c r="N333" t="s">
        <v>35</v>
      </c>
      <c r="O333" t="s">
        <v>765</v>
      </c>
      <c r="P333" s="4">
        <v>425.15</v>
      </c>
      <c r="Q333" s="7" t="str">
        <f t="shared" si="44"/>
        <v>High</v>
      </c>
      <c r="R333" s="4">
        <v>885.92</v>
      </c>
      <c r="S333" s="4">
        <v>0.23899999999999999</v>
      </c>
      <c r="T333" s="4">
        <v>13</v>
      </c>
      <c r="U333" s="4">
        <f t="shared" si="40"/>
        <v>21779.835220000001</v>
      </c>
      <c r="V333">
        <f t="shared" si="41"/>
        <v>5526.95</v>
      </c>
      <c r="W333" s="4">
        <f t="shared" si="45"/>
        <v>16252.88522</v>
      </c>
      <c r="X333" s="4">
        <f t="shared" si="46"/>
        <v>0.74623545384196899</v>
      </c>
    </row>
    <row r="334" spans="1:24" x14ac:dyDescent="0.3">
      <c r="A334" t="s">
        <v>766</v>
      </c>
      <c r="B334" s="6">
        <v>45168</v>
      </c>
      <c r="C334" s="2">
        <v>45172</v>
      </c>
      <c r="D334" s="4">
        <f t="shared" si="47"/>
        <v>4</v>
      </c>
      <c r="E334" s="46" t="str">
        <f t="shared" si="42"/>
        <v>Yes</v>
      </c>
      <c r="F334" s="4" t="str">
        <f>TEXT(Data!B334,"MMM-YYYY")</f>
        <v>Nov-2023</v>
      </c>
      <c r="G334" s="4" t="str">
        <f t="shared" si="43"/>
        <v>Q3-2023</v>
      </c>
      <c r="H334" t="s">
        <v>45</v>
      </c>
      <c r="I334" t="s">
        <v>60</v>
      </c>
      <c r="J334" t="s">
        <v>141</v>
      </c>
      <c r="K334" t="s">
        <v>62</v>
      </c>
      <c r="L334" t="s">
        <v>40</v>
      </c>
      <c r="M334" t="s">
        <v>49</v>
      </c>
      <c r="N334" t="s">
        <v>81</v>
      </c>
      <c r="O334" t="s">
        <v>767</v>
      </c>
      <c r="P334" s="4">
        <v>1082.25</v>
      </c>
      <c r="Q334" s="7" t="str">
        <f t="shared" si="44"/>
        <v>High</v>
      </c>
      <c r="R334" s="4">
        <v>2433.34</v>
      </c>
      <c r="S334" s="4">
        <v>0.27</v>
      </c>
      <c r="T334" s="4">
        <v>4</v>
      </c>
      <c r="U334" s="4">
        <f t="shared" si="40"/>
        <v>2377.9312</v>
      </c>
      <c r="V334">
        <f t="shared" si="41"/>
        <v>4329</v>
      </c>
      <c r="W334" s="4">
        <f t="shared" si="45"/>
        <v>-1951.0688</v>
      </c>
      <c r="X334" s="4">
        <f t="shared" si="46"/>
        <v>-0.82049001249489473</v>
      </c>
    </row>
    <row r="335" spans="1:24" x14ac:dyDescent="0.3">
      <c r="A335" t="s">
        <v>768</v>
      </c>
      <c r="B335" s="6">
        <v>45245</v>
      </c>
      <c r="C335" s="2">
        <v>45266</v>
      </c>
      <c r="D335" s="4">
        <f t="shared" si="47"/>
        <v>21</v>
      </c>
      <c r="E335" s="46" t="b">
        <f t="shared" si="42"/>
        <v>0</v>
      </c>
      <c r="F335" s="4" t="str">
        <f>TEXT(Data!B335,"MMM-YYYY")</f>
        <v>Apr-2025</v>
      </c>
      <c r="G335" s="4" t="str">
        <f t="shared" si="43"/>
        <v>Q4-2023</v>
      </c>
      <c r="H335" t="s">
        <v>78</v>
      </c>
      <c r="I335" t="s">
        <v>108</v>
      </c>
      <c r="J335" t="s">
        <v>228</v>
      </c>
      <c r="K335" t="s">
        <v>27</v>
      </c>
      <c r="L335" t="s">
        <v>98</v>
      </c>
      <c r="M335" t="s">
        <v>92</v>
      </c>
      <c r="N335" t="s">
        <v>81</v>
      </c>
      <c r="O335" t="s">
        <v>769</v>
      </c>
      <c r="P335" s="4">
        <v>1184.99</v>
      </c>
      <c r="Q335" s="7" t="str">
        <f t="shared" si="44"/>
        <v>High</v>
      </c>
      <c r="R335" s="4">
        <v>1154.3399999999999</v>
      </c>
      <c r="S335" s="4">
        <v>2.8000000000000001E-2</v>
      </c>
      <c r="T335" s="4">
        <v>5</v>
      </c>
      <c r="U335" s="4">
        <f t="shared" si="40"/>
        <v>6720.9426000000003</v>
      </c>
      <c r="V335">
        <f t="shared" si="41"/>
        <v>5924.95</v>
      </c>
      <c r="W335" s="4">
        <f t="shared" si="45"/>
        <v>795.99260000000049</v>
      </c>
      <c r="X335" s="4">
        <f t="shared" si="46"/>
        <v>0.11843466718492737</v>
      </c>
    </row>
    <row r="336" spans="1:24" x14ac:dyDescent="0.3">
      <c r="A336" t="s">
        <v>770</v>
      </c>
      <c r="B336" s="6">
        <v>45774</v>
      </c>
      <c r="C336" s="2">
        <v>45804</v>
      </c>
      <c r="D336" s="4">
        <f t="shared" si="47"/>
        <v>0</v>
      </c>
      <c r="E336" s="46" t="str">
        <f t="shared" si="42"/>
        <v>Yes</v>
      </c>
      <c r="F336" s="4" t="str">
        <f>TEXT(Data!B336,"MMM-YYYY")</f>
        <v>Apr-2024</v>
      </c>
      <c r="G336" s="4" t="str">
        <f t="shared" si="43"/>
        <v>Q2-2025</v>
      </c>
      <c r="H336" t="s">
        <v>45</v>
      </c>
      <c r="I336" t="s">
        <v>60</v>
      </c>
      <c r="J336" t="s">
        <v>1364</v>
      </c>
      <c r="K336" t="s">
        <v>105</v>
      </c>
      <c r="L336" t="s">
        <v>40</v>
      </c>
      <c r="M336" t="s">
        <v>92</v>
      </c>
      <c r="N336" t="s">
        <v>42</v>
      </c>
      <c r="O336" t="s">
        <v>771</v>
      </c>
      <c r="P336" s="4">
        <v>481.32</v>
      </c>
      <c r="Q336" s="7" t="str">
        <f t="shared" si="44"/>
        <v>High</v>
      </c>
      <c r="R336" s="4">
        <v>1135.99</v>
      </c>
      <c r="S336" s="4">
        <v>0.14499999999999999</v>
      </c>
      <c r="T336" s="4">
        <v>5</v>
      </c>
      <c r="U336" s="4">
        <f t="shared" si="40"/>
        <v>7038.4882499999994</v>
      </c>
      <c r="V336">
        <f t="shared" si="41"/>
        <v>2406.6</v>
      </c>
      <c r="W336" s="4">
        <f t="shared" si="45"/>
        <v>4631.88825</v>
      </c>
      <c r="X336" s="4">
        <f t="shared" si="46"/>
        <v>0.65807998613906904</v>
      </c>
    </row>
    <row r="337" spans="1:24" x14ac:dyDescent="0.3">
      <c r="A337" t="s">
        <v>772</v>
      </c>
      <c r="B337" s="6">
        <v>45391</v>
      </c>
      <c r="C337" s="2">
        <v>45400</v>
      </c>
      <c r="D337" s="4">
        <f t="shared" si="47"/>
        <v>9</v>
      </c>
      <c r="E337" s="46" t="b">
        <f t="shared" si="42"/>
        <v>0</v>
      </c>
      <c r="F337" s="4" t="str">
        <f>TEXT(Data!B337,"MMM-YYYY")</f>
        <v>Jul-2024</v>
      </c>
      <c r="G337" s="4" t="str">
        <f t="shared" si="43"/>
        <v>Q2-2024</v>
      </c>
      <c r="H337" t="s">
        <v>78</v>
      </c>
      <c r="I337" t="s">
        <v>90</v>
      </c>
      <c r="J337" t="s">
        <v>138</v>
      </c>
      <c r="K337" t="s">
        <v>48</v>
      </c>
      <c r="L337" t="s">
        <v>28</v>
      </c>
      <c r="M337" t="s">
        <v>63</v>
      </c>
      <c r="N337" t="s">
        <v>30</v>
      </c>
      <c r="O337" t="s">
        <v>773</v>
      </c>
      <c r="P337" s="4">
        <v>1288.8499999999999</v>
      </c>
      <c r="Q337" s="7" t="str">
        <f t="shared" si="44"/>
        <v>High</v>
      </c>
      <c r="R337" s="4">
        <v>2751.84</v>
      </c>
      <c r="S337" s="4">
        <v>0.158</v>
      </c>
      <c r="T337" s="4">
        <v>7</v>
      </c>
      <c r="U337" s="4">
        <f t="shared" si="40"/>
        <v>2362.5509599999996</v>
      </c>
      <c r="V337">
        <f t="shared" si="41"/>
        <v>9021.9499999999989</v>
      </c>
      <c r="W337" s="4">
        <f t="shared" si="45"/>
        <v>-6659.3990399999993</v>
      </c>
      <c r="X337" s="4">
        <f t="shared" si="46"/>
        <v>-2.8187324433416667</v>
      </c>
    </row>
    <row r="338" spans="1:24" x14ac:dyDescent="0.3">
      <c r="A338" t="s">
        <v>774</v>
      </c>
      <c r="B338" s="6">
        <v>45484</v>
      </c>
      <c r="C338" s="2">
        <v>45504</v>
      </c>
      <c r="D338" s="4">
        <f t="shared" si="47"/>
        <v>20</v>
      </c>
      <c r="E338" s="46" t="b">
        <f t="shared" si="42"/>
        <v>0</v>
      </c>
      <c r="F338" s="4" t="str">
        <f>TEXT(Data!B338,"MMM-YYYY")</f>
        <v>Feb-2024</v>
      </c>
      <c r="G338" s="4" t="str">
        <f t="shared" si="43"/>
        <v>Q3-2024</v>
      </c>
      <c r="H338" t="s">
        <v>45</v>
      </c>
      <c r="I338" t="s">
        <v>116</v>
      </c>
      <c r="J338" t="s">
        <v>117</v>
      </c>
      <c r="K338" t="s">
        <v>48</v>
      </c>
      <c r="L338" t="s">
        <v>28</v>
      </c>
      <c r="M338" t="s">
        <v>41</v>
      </c>
      <c r="N338" t="s">
        <v>42</v>
      </c>
      <c r="O338" t="s">
        <v>775</v>
      </c>
      <c r="P338" s="4">
        <v>647.26</v>
      </c>
      <c r="Q338" s="7" t="str">
        <f t="shared" si="44"/>
        <v>High</v>
      </c>
      <c r="R338" s="4">
        <v>1374.72</v>
      </c>
      <c r="S338" s="4">
        <v>6.6000000000000003E-2</v>
      </c>
      <c r="T338" s="4">
        <v>22</v>
      </c>
      <c r="U338" s="4">
        <f t="shared" si="40"/>
        <v>36586.946879999996</v>
      </c>
      <c r="V338">
        <f t="shared" si="41"/>
        <v>14239.72</v>
      </c>
      <c r="W338" s="4">
        <f t="shared" si="45"/>
        <v>22347.226879999995</v>
      </c>
      <c r="X338" s="4">
        <f t="shared" si="46"/>
        <v>0.6107978059305067</v>
      </c>
    </row>
    <row r="339" spans="1:24" x14ac:dyDescent="0.3">
      <c r="A339" t="s">
        <v>776</v>
      </c>
      <c r="B339" s="6">
        <v>45340</v>
      </c>
      <c r="C339" s="2">
        <v>45354</v>
      </c>
      <c r="D339" s="4">
        <f t="shared" si="47"/>
        <v>14</v>
      </c>
      <c r="E339" s="46" t="b">
        <f t="shared" si="42"/>
        <v>0</v>
      </c>
      <c r="F339" s="4" t="str">
        <f>TEXT(Data!B339,"MMM-YYYY")</f>
        <v>Jul-2023</v>
      </c>
      <c r="G339" s="4" t="str">
        <f t="shared" si="43"/>
        <v>Q1-2024</v>
      </c>
      <c r="H339" t="s">
        <v>52</v>
      </c>
      <c r="I339" t="s">
        <v>73</v>
      </c>
      <c r="J339" t="s">
        <v>1364</v>
      </c>
      <c r="K339" t="s">
        <v>105</v>
      </c>
      <c r="L339" t="s">
        <v>55</v>
      </c>
      <c r="M339" t="s">
        <v>75</v>
      </c>
      <c r="N339" t="s">
        <v>30</v>
      </c>
      <c r="O339" t="s">
        <v>777</v>
      </c>
      <c r="P339" s="4">
        <v>624.23</v>
      </c>
      <c r="Q339" s="7" t="str">
        <f t="shared" si="44"/>
        <v>High</v>
      </c>
      <c r="R339" s="4">
        <v>1318.37</v>
      </c>
      <c r="S339" s="4">
        <v>0.21</v>
      </c>
      <c r="T339" s="4">
        <v>37</v>
      </c>
      <c r="U339" s="4">
        <f t="shared" si="40"/>
        <v>32691.708900000005</v>
      </c>
      <c r="V339">
        <f t="shared" si="41"/>
        <v>23096.510000000002</v>
      </c>
      <c r="W339" s="4">
        <f t="shared" si="45"/>
        <v>9595.1989000000031</v>
      </c>
      <c r="X339" s="4">
        <f t="shared" si="46"/>
        <v>0.29350557749521627</v>
      </c>
    </row>
    <row r="340" spans="1:24" x14ac:dyDescent="0.3">
      <c r="A340" t="s">
        <v>778</v>
      </c>
      <c r="B340" s="6">
        <v>45132</v>
      </c>
      <c r="C340" s="2">
        <v>45148</v>
      </c>
      <c r="D340" s="4">
        <f t="shared" si="47"/>
        <v>16</v>
      </c>
      <c r="E340" s="46" t="b">
        <f t="shared" si="42"/>
        <v>0</v>
      </c>
      <c r="F340" s="4" t="str">
        <f>TEXT(Data!B340,"MMM-YYYY")</f>
        <v>Jul-2023</v>
      </c>
      <c r="G340" s="4" t="str">
        <f t="shared" si="43"/>
        <v>Q3-2023</v>
      </c>
      <c r="H340" t="s">
        <v>16</v>
      </c>
      <c r="I340" t="s">
        <v>25</v>
      </c>
      <c r="J340" t="s">
        <v>26</v>
      </c>
      <c r="K340" t="s">
        <v>19</v>
      </c>
      <c r="L340" t="s">
        <v>55</v>
      </c>
      <c r="M340" t="s">
        <v>34</v>
      </c>
      <c r="N340" t="s">
        <v>81</v>
      </c>
      <c r="O340" t="s">
        <v>779</v>
      </c>
      <c r="P340" s="4">
        <v>506.83</v>
      </c>
      <c r="Q340" s="7" t="str">
        <f t="shared" si="44"/>
        <v>High</v>
      </c>
      <c r="R340" s="4">
        <v>441.74</v>
      </c>
      <c r="S340" s="4">
        <v>0.24</v>
      </c>
      <c r="T340" s="4">
        <v>9</v>
      </c>
      <c r="U340" s="4">
        <f t="shared" si="40"/>
        <v>5274.4607999999998</v>
      </c>
      <c r="V340">
        <f t="shared" si="41"/>
        <v>4561.47</v>
      </c>
      <c r="W340" s="4">
        <f t="shared" si="45"/>
        <v>712.99079999999958</v>
      </c>
      <c r="X340" s="4">
        <f t="shared" si="46"/>
        <v>0.1351779503224291</v>
      </c>
    </row>
    <row r="341" spans="1:24" x14ac:dyDescent="0.3">
      <c r="A341" t="s">
        <v>780</v>
      </c>
      <c r="B341" s="6">
        <v>45121</v>
      </c>
      <c r="C341" s="2">
        <v>45128</v>
      </c>
      <c r="D341" s="4">
        <f t="shared" si="47"/>
        <v>7</v>
      </c>
      <c r="E341" s="46" t="str">
        <f t="shared" si="42"/>
        <v>Yes</v>
      </c>
      <c r="F341" s="4" t="str">
        <f>TEXT(Data!B341,"MMM-YYYY")</f>
        <v>Jul-2023</v>
      </c>
      <c r="G341" s="4" t="str">
        <f t="shared" si="43"/>
        <v>Q3-2023</v>
      </c>
      <c r="H341" t="s">
        <v>16</v>
      </c>
      <c r="I341" t="s">
        <v>148</v>
      </c>
      <c r="J341" t="s">
        <v>172</v>
      </c>
      <c r="K341" t="s">
        <v>105</v>
      </c>
      <c r="L341" t="s">
        <v>40</v>
      </c>
      <c r="M341" t="s">
        <v>1364</v>
      </c>
      <c r="N341" t="s">
        <v>64</v>
      </c>
      <c r="O341" t="s">
        <v>781</v>
      </c>
      <c r="P341" s="4">
        <v>620.74</v>
      </c>
      <c r="Q341" s="7" t="str">
        <f t="shared" si="44"/>
        <v>High</v>
      </c>
      <c r="R341" s="4">
        <v>1330.07</v>
      </c>
      <c r="S341" s="4">
        <v>0.29899999999999999</v>
      </c>
      <c r="T341" s="4">
        <v>28</v>
      </c>
      <c r="U341" s="4">
        <f t="shared" si="40"/>
        <v>23750.665119999998</v>
      </c>
      <c r="V341">
        <f t="shared" si="41"/>
        <v>17380.72</v>
      </c>
      <c r="W341" s="4">
        <f t="shared" si="45"/>
        <v>6369.9451199999967</v>
      </c>
      <c r="X341" s="4">
        <f t="shared" si="46"/>
        <v>0.26820070460409901</v>
      </c>
    </row>
    <row r="342" spans="1:24" x14ac:dyDescent="0.3">
      <c r="A342" t="s">
        <v>782</v>
      </c>
      <c r="B342" s="6">
        <v>45131</v>
      </c>
      <c r="C342" s="2">
        <v>45157</v>
      </c>
      <c r="D342" s="4">
        <f t="shared" si="47"/>
        <v>26</v>
      </c>
      <c r="E342" s="46" t="b">
        <f t="shared" si="42"/>
        <v>0</v>
      </c>
      <c r="F342" s="4" t="str">
        <f>TEXT(Data!B342,"MMM-YYYY")</f>
        <v>Apr-2023</v>
      </c>
      <c r="G342" s="4" t="str">
        <f t="shared" si="43"/>
        <v>Q3-2023</v>
      </c>
      <c r="H342" t="s">
        <v>16</v>
      </c>
      <c r="I342" t="s">
        <v>17</v>
      </c>
      <c r="J342" t="s">
        <v>33</v>
      </c>
      <c r="K342" t="s">
        <v>105</v>
      </c>
      <c r="L342" t="s">
        <v>55</v>
      </c>
      <c r="M342" t="s">
        <v>110</v>
      </c>
      <c r="N342" t="s">
        <v>81</v>
      </c>
      <c r="O342" t="s">
        <v>783</v>
      </c>
      <c r="P342" s="4">
        <v>661.45</v>
      </c>
      <c r="Q342" s="7" t="str">
        <f t="shared" si="44"/>
        <v>High</v>
      </c>
      <c r="R342" s="4">
        <v>1634.86</v>
      </c>
      <c r="S342" s="4">
        <v>0.56499999999999995</v>
      </c>
      <c r="T342" s="4">
        <v>24</v>
      </c>
      <c r="U342" s="4">
        <f t="shared" si="40"/>
        <v>31570.873200000005</v>
      </c>
      <c r="V342">
        <f t="shared" si="41"/>
        <v>15874.800000000001</v>
      </c>
      <c r="W342" s="4">
        <f t="shared" si="45"/>
        <v>15696.073200000004</v>
      </c>
      <c r="X342" s="4">
        <f t="shared" si="46"/>
        <v>0.49716943527555019</v>
      </c>
    </row>
    <row r="343" spans="1:24" x14ac:dyDescent="0.3">
      <c r="A343" t="s">
        <v>784</v>
      </c>
      <c r="B343" s="6">
        <v>45029</v>
      </c>
      <c r="C343" s="2">
        <v>45027</v>
      </c>
      <c r="D343" s="4">
        <f>DATEDIF(C343,B343, "MD")</f>
        <v>2</v>
      </c>
      <c r="E343" s="46" t="str">
        <f t="shared" si="42"/>
        <v>Yes</v>
      </c>
      <c r="F343" s="4" t="str">
        <f>TEXT(Data!B343,"MMM-YYYY")</f>
        <v>Oct-2024</v>
      </c>
      <c r="G343" s="4" t="str">
        <f t="shared" si="43"/>
        <v>Q2-2023</v>
      </c>
      <c r="H343" t="s">
        <v>52</v>
      </c>
      <c r="I343" t="s">
        <v>122</v>
      </c>
      <c r="J343" t="s">
        <v>167</v>
      </c>
      <c r="K343" t="s">
        <v>27</v>
      </c>
      <c r="L343" t="s">
        <v>40</v>
      </c>
      <c r="M343" t="s">
        <v>41</v>
      </c>
      <c r="N343" t="s">
        <v>35</v>
      </c>
      <c r="O343" t="s">
        <v>785</v>
      </c>
      <c r="P343" s="4">
        <v>32.1</v>
      </c>
      <c r="Q343" s="7" t="str">
        <f t="shared" si="44"/>
        <v>Medium</v>
      </c>
      <c r="R343" s="4">
        <v>70.599999999999994</v>
      </c>
      <c r="S343" s="4">
        <v>0.28199999999999997</v>
      </c>
      <c r="T343" s="4">
        <v>22</v>
      </c>
      <c r="U343" s="4">
        <f t="shared" si="40"/>
        <v>36385.454160000001</v>
      </c>
      <c r="V343">
        <f t="shared" si="41"/>
        <v>706.2</v>
      </c>
      <c r="W343" s="4">
        <f t="shared" si="45"/>
        <v>35679.254160000004</v>
      </c>
      <c r="X343" s="4">
        <f t="shared" si="46"/>
        <v>0.98059114510720191</v>
      </c>
    </row>
    <row r="344" spans="1:24" x14ac:dyDescent="0.3">
      <c r="A344" t="s">
        <v>786</v>
      </c>
      <c r="B344" s="6">
        <v>45594</v>
      </c>
      <c r="C344" s="2">
        <v>45600</v>
      </c>
      <c r="D344" s="4">
        <f t="shared" si="47"/>
        <v>6</v>
      </c>
      <c r="E344" s="46" t="str">
        <f t="shared" si="42"/>
        <v>Yes</v>
      </c>
      <c r="F344" s="4" t="str">
        <f>TEXT(Data!B344,"MMM-YYYY")</f>
        <v>Feb-2024</v>
      </c>
      <c r="G344" s="4" t="str">
        <f t="shared" si="43"/>
        <v>Q4-2024</v>
      </c>
      <c r="H344" t="s">
        <v>16</v>
      </c>
      <c r="I344" t="s">
        <v>17</v>
      </c>
      <c r="J344" t="s">
        <v>33</v>
      </c>
      <c r="K344" t="s">
        <v>19</v>
      </c>
      <c r="L344" t="s">
        <v>55</v>
      </c>
      <c r="M344" t="s">
        <v>110</v>
      </c>
      <c r="N344" t="s">
        <v>30</v>
      </c>
      <c r="O344" t="s">
        <v>787</v>
      </c>
      <c r="P344" s="4">
        <v>805.81</v>
      </c>
      <c r="Q344" s="7" t="str">
        <f t="shared" si="44"/>
        <v>High</v>
      </c>
      <c r="R344" s="4">
        <v>1823.04</v>
      </c>
      <c r="S344" s="4">
        <v>0</v>
      </c>
      <c r="T344" s="4">
        <v>11</v>
      </c>
      <c r="U344" s="4">
        <f t="shared" si="40"/>
        <v>33921.800000000003</v>
      </c>
      <c r="V344">
        <f t="shared" si="41"/>
        <v>8863.91</v>
      </c>
      <c r="W344" s="4">
        <f t="shared" si="45"/>
        <v>25057.890000000003</v>
      </c>
      <c r="X344" s="4">
        <f t="shared" si="46"/>
        <v>0.73869576496530254</v>
      </c>
    </row>
    <row r="345" spans="1:24" x14ac:dyDescent="0.3">
      <c r="A345" t="s">
        <v>788</v>
      </c>
      <c r="B345" s="6">
        <v>45339</v>
      </c>
      <c r="C345" s="2">
        <v>45355</v>
      </c>
      <c r="D345" s="4">
        <f t="shared" si="47"/>
        <v>16</v>
      </c>
      <c r="E345" s="46" t="b">
        <f t="shared" si="42"/>
        <v>0</v>
      </c>
      <c r="F345" s="4" t="str">
        <f>TEXT(Data!B345,"MMM-YYYY")</f>
        <v>Jul-2024</v>
      </c>
      <c r="G345" s="4" t="str">
        <f t="shared" si="43"/>
        <v>Q1-2024</v>
      </c>
      <c r="H345" t="s">
        <v>45</v>
      </c>
      <c r="I345" t="s">
        <v>60</v>
      </c>
      <c r="J345" t="s">
        <v>141</v>
      </c>
      <c r="K345" t="s">
        <v>62</v>
      </c>
      <c r="L345" t="s">
        <v>40</v>
      </c>
      <c r="M345" t="s">
        <v>84</v>
      </c>
      <c r="N345" t="s">
        <v>42</v>
      </c>
      <c r="O345" t="s">
        <v>789</v>
      </c>
      <c r="P345" s="4">
        <v>1231.8</v>
      </c>
      <c r="Q345" s="7" t="str">
        <f t="shared" si="44"/>
        <v>High</v>
      </c>
      <c r="R345" s="4">
        <v>2015.99</v>
      </c>
      <c r="S345" s="4">
        <v>0.26100000000000001</v>
      </c>
      <c r="T345" s="4">
        <v>6</v>
      </c>
      <c r="U345" s="4">
        <f t="shared" si="40"/>
        <v>1430.8961399999998</v>
      </c>
      <c r="V345">
        <f t="shared" si="41"/>
        <v>7390.7999999999993</v>
      </c>
      <c r="W345" s="4">
        <f t="shared" si="45"/>
        <v>-5959.9038599999994</v>
      </c>
      <c r="X345" s="4">
        <f t="shared" si="46"/>
        <v>-4.1651547539991265</v>
      </c>
    </row>
    <row r="346" spans="1:24" x14ac:dyDescent="0.3">
      <c r="A346" t="s">
        <v>790</v>
      </c>
      <c r="B346" s="6">
        <v>45486</v>
      </c>
      <c r="C346" s="2">
        <v>45485</v>
      </c>
      <c r="D346" s="4">
        <f>DATEDIF(C346,B346, "MD")</f>
        <v>1</v>
      </c>
      <c r="E346" s="46" t="str">
        <f t="shared" si="42"/>
        <v>Yes</v>
      </c>
      <c r="F346" s="4" t="str">
        <f>TEXT(Data!B346,"MMM-YYYY")</f>
        <v>Dec-2023</v>
      </c>
      <c r="G346" s="4" t="str">
        <f t="shared" si="43"/>
        <v>Q3-2024</v>
      </c>
      <c r="H346" t="s">
        <v>45</v>
      </c>
      <c r="I346" t="s">
        <v>46</v>
      </c>
      <c r="J346" t="s">
        <v>231</v>
      </c>
      <c r="K346" t="s">
        <v>62</v>
      </c>
      <c r="L346" t="s">
        <v>40</v>
      </c>
      <c r="M346" t="s">
        <v>84</v>
      </c>
      <c r="N346" t="s">
        <v>35</v>
      </c>
      <c r="O346" t="s">
        <v>791</v>
      </c>
      <c r="P346" s="4">
        <v>105.13</v>
      </c>
      <c r="Q346" s="7" t="str">
        <f t="shared" si="44"/>
        <v>High</v>
      </c>
      <c r="R346" s="4">
        <v>244.13</v>
      </c>
      <c r="S346" s="4">
        <v>7.0999999999999994E-2</v>
      </c>
      <c r="T346" s="4">
        <v>14</v>
      </c>
      <c r="U346" s="4">
        <f t="shared" si="40"/>
        <v>9511.1577400000006</v>
      </c>
      <c r="V346">
        <f t="shared" si="41"/>
        <v>1471.82</v>
      </c>
      <c r="W346" s="4">
        <f t="shared" si="45"/>
        <v>8039.3377400000008</v>
      </c>
      <c r="X346" s="4">
        <f t="shared" si="46"/>
        <v>0.84525332874986048</v>
      </c>
    </row>
    <row r="347" spans="1:24" x14ac:dyDescent="0.3">
      <c r="A347" t="s">
        <v>792</v>
      </c>
      <c r="B347" s="6">
        <v>45261</v>
      </c>
      <c r="C347" s="2">
        <v>45278</v>
      </c>
      <c r="D347" s="4">
        <f t="shared" si="47"/>
        <v>17</v>
      </c>
      <c r="E347" s="46" t="b">
        <f t="shared" si="42"/>
        <v>0</v>
      </c>
      <c r="F347" s="4" t="str">
        <f>TEXT(Data!B347,"MMM-YYYY")</f>
        <v>Jul-2024</v>
      </c>
      <c r="G347" s="4" t="str">
        <f t="shared" si="43"/>
        <v>Q4-2023</v>
      </c>
      <c r="H347" t="s">
        <v>45</v>
      </c>
      <c r="I347" t="s">
        <v>46</v>
      </c>
      <c r="J347" t="s">
        <v>231</v>
      </c>
      <c r="K347" t="s">
        <v>62</v>
      </c>
      <c r="L347" t="s">
        <v>98</v>
      </c>
      <c r="M347" t="s">
        <v>126</v>
      </c>
      <c r="N347" t="s">
        <v>57</v>
      </c>
      <c r="O347" t="s">
        <v>793</v>
      </c>
      <c r="P347" s="4">
        <v>1495.79</v>
      </c>
      <c r="Q347" s="7" t="str">
        <f t="shared" si="44"/>
        <v>High</v>
      </c>
      <c r="R347" s="4">
        <v>2783.12</v>
      </c>
      <c r="S347" s="4">
        <v>0.02</v>
      </c>
      <c r="T347" s="4">
        <v>5</v>
      </c>
      <c r="U347" s="4">
        <f t="shared" si="40"/>
        <v>7516.3549999999996</v>
      </c>
      <c r="V347">
        <f t="shared" si="41"/>
        <v>7478.95</v>
      </c>
      <c r="W347" s="4">
        <f t="shared" si="45"/>
        <v>37.404999999999745</v>
      </c>
      <c r="X347" s="4">
        <f t="shared" si="46"/>
        <v>4.9764812864745937E-3</v>
      </c>
    </row>
    <row r="348" spans="1:24" x14ac:dyDescent="0.3">
      <c r="A348" t="s">
        <v>794</v>
      </c>
      <c r="B348" s="6">
        <v>45498</v>
      </c>
      <c r="C348" s="2">
        <v>45506</v>
      </c>
      <c r="D348" s="4">
        <f t="shared" si="47"/>
        <v>8</v>
      </c>
      <c r="E348" s="46" t="b">
        <f t="shared" si="42"/>
        <v>0</v>
      </c>
      <c r="F348" s="4" t="str">
        <f>TEXT(Data!B348,"MMM-YYYY")</f>
        <v>May-2023</v>
      </c>
      <c r="G348" s="4" t="str">
        <f t="shared" si="43"/>
        <v>Q3-2024</v>
      </c>
      <c r="H348" t="s">
        <v>52</v>
      </c>
      <c r="I348" t="s">
        <v>53</v>
      </c>
      <c r="J348" t="s">
        <v>144</v>
      </c>
      <c r="K348" t="s">
        <v>48</v>
      </c>
      <c r="L348" t="s">
        <v>98</v>
      </c>
      <c r="M348" t="s">
        <v>29</v>
      </c>
      <c r="N348" t="s">
        <v>81</v>
      </c>
      <c r="O348" t="s">
        <v>795</v>
      </c>
      <c r="P348" s="4">
        <v>986.81</v>
      </c>
      <c r="Q348" s="7" t="str">
        <f t="shared" si="44"/>
        <v>High</v>
      </c>
      <c r="R348" s="4">
        <v>2050.31</v>
      </c>
      <c r="S348" s="4">
        <v>0.10299999999999999</v>
      </c>
      <c r="T348" s="4">
        <v>43</v>
      </c>
      <c r="U348" s="4">
        <f t="shared" si="40"/>
        <v>60620.497860000003</v>
      </c>
      <c r="V348">
        <f t="shared" si="41"/>
        <v>42432.829999999994</v>
      </c>
      <c r="W348" s="4">
        <f t="shared" si="45"/>
        <v>18187.667860000009</v>
      </c>
      <c r="X348" s="4">
        <f t="shared" si="46"/>
        <v>0.30002504931588508</v>
      </c>
    </row>
    <row r="349" spans="1:24" x14ac:dyDescent="0.3">
      <c r="A349" t="s">
        <v>796</v>
      </c>
      <c r="B349" s="6">
        <v>45050</v>
      </c>
      <c r="C349" s="2">
        <v>45062</v>
      </c>
      <c r="D349" s="4">
        <f t="shared" si="47"/>
        <v>12</v>
      </c>
      <c r="E349" s="46" t="b">
        <f t="shared" si="42"/>
        <v>0</v>
      </c>
      <c r="F349" s="4" t="str">
        <f>TEXT(Data!B349,"MMM-YYYY")</f>
        <v>Dec-2023</v>
      </c>
      <c r="G349" s="4" t="str">
        <f t="shared" si="43"/>
        <v>Q2-2023</v>
      </c>
      <c r="H349" t="s">
        <v>16</v>
      </c>
      <c r="I349" t="s">
        <v>25</v>
      </c>
      <c r="J349" t="s">
        <v>67</v>
      </c>
      <c r="K349" t="s">
        <v>62</v>
      </c>
      <c r="L349" t="s">
        <v>40</v>
      </c>
      <c r="M349" t="s">
        <v>29</v>
      </c>
      <c r="N349" t="s">
        <v>42</v>
      </c>
      <c r="O349" t="s">
        <v>797</v>
      </c>
      <c r="P349" s="4">
        <v>77.739999999999995</v>
      </c>
      <c r="Q349" s="7" t="str">
        <f t="shared" si="44"/>
        <v>Medium</v>
      </c>
      <c r="R349" s="4">
        <v>147.12</v>
      </c>
      <c r="S349" s="4">
        <v>0</v>
      </c>
      <c r="T349" s="4">
        <v>15</v>
      </c>
      <c r="U349" s="4">
        <f t="shared" si="40"/>
        <v>3760.95</v>
      </c>
      <c r="V349">
        <f t="shared" si="41"/>
        <v>1166.0999999999999</v>
      </c>
      <c r="W349" s="4">
        <f t="shared" si="45"/>
        <v>2594.85</v>
      </c>
      <c r="X349" s="4">
        <f t="shared" si="46"/>
        <v>0.68994535955011371</v>
      </c>
    </row>
    <row r="350" spans="1:24" x14ac:dyDescent="0.3">
      <c r="A350" t="s">
        <v>798</v>
      </c>
      <c r="B350" s="6">
        <v>45281</v>
      </c>
      <c r="C350" s="2">
        <v>45297</v>
      </c>
      <c r="D350" s="4">
        <f t="shared" si="47"/>
        <v>16</v>
      </c>
      <c r="E350" s="46" t="b">
        <f t="shared" si="42"/>
        <v>0</v>
      </c>
      <c r="F350" s="4" t="str">
        <f>TEXT(Data!B350,"MMM-YYYY")</f>
        <v>Jun-2025</v>
      </c>
      <c r="G350" s="4" t="str">
        <f t="shared" si="43"/>
        <v>Q4-2023</v>
      </c>
      <c r="H350" t="s">
        <v>16</v>
      </c>
      <c r="I350" t="s">
        <v>25</v>
      </c>
      <c r="J350" t="s">
        <v>1364</v>
      </c>
      <c r="K350" t="s">
        <v>19</v>
      </c>
      <c r="L350" t="s">
        <v>40</v>
      </c>
      <c r="M350" t="s">
        <v>95</v>
      </c>
      <c r="N350" t="s">
        <v>22</v>
      </c>
      <c r="O350" t="s">
        <v>799</v>
      </c>
      <c r="P350" s="4">
        <v>932.61</v>
      </c>
      <c r="Q350" s="7" t="str">
        <f t="shared" si="44"/>
        <v>High</v>
      </c>
      <c r="R350" s="4">
        <v>1982.98</v>
      </c>
      <c r="S350" s="4">
        <v>0.14399999999999999</v>
      </c>
      <c r="T350" s="4">
        <v>16</v>
      </c>
      <c r="U350" s="4">
        <f t="shared" si="40"/>
        <v>47563.605759999999</v>
      </c>
      <c r="V350">
        <f t="shared" si="41"/>
        <v>14921.76</v>
      </c>
      <c r="W350" s="4">
        <f t="shared" si="45"/>
        <v>32641.845759999997</v>
      </c>
      <c r="X350" s="4">
        <f t="shared" si="46"/>
        <v>0.68627777979463256</v>
      </c>
    </row>
    <row r="351" spans="1:24" x14ac:dyDescent="0.3">
      <c r="A351" t="s">
        <v>800</v>
      </c>
      <c r="B351" s="6">
        <v>45825</v>
      </c>
      <c r="C351" s="2">
        <v>45843</v>
      </c>
      <c r="D351" s="4">
        <f t="shared" si="47"/>
        <v>18</v>
      </c>
      <c r="E351" s="46" t="b">
        <f t="shared" si="42"/>
        <v>0</v>
      </c>
      <c r="F351" s="4" t="str">
        <f>TEXT(Data!B351,"MMM-YYYY")</f>
        <v>Feb-2023</v>
      </c>
      <c r="G351" s="4" t="str">
        <f t="shared" si="43"/>
        <v>Q2-2025</v>
      </c>
      <c r="H351" t="s">
        <v>45</v>
      </c>
      <c r="I351" t="s">
        <v>60</v>
      </c>
      <c r="J351" t="s">
        <v>141</v>
      </c>
      <c r="K351" t="s">
        <v>48</v>
      </c>
      <c r="L351" t="s">
        <v>40</v>
      </c>
      <c r="M351" t="s">
        <v>49</v>
      </c>
      <c r="N351" t="s">
        <v>57</v>
      </c>
      <c r="O351" t="s">
        <v>801</v>
      </c>
      <c r="P351" s="4">
        <v>982.93</v>
      </c>
      <c r="Q351" s="7" t="str">
        <f t="shared" si="44"/>
        <v>High</v>
      </c>
      <c r="R351" s="4">
        <v>2299.3000000000002</v>
      </c>
      <c r="S351" s="4">
        <v>0.113</v>
      </c>
      <c r="T351" s="4">
        <v>6</v>
      </c>
      <c r="U351" s="4">
        <f t="shared" si="40"/>
        <v>6418.5448799999995</v>
      </c>
      <c r="V351">
        <f t="shared" si="41"/>
        <v>5897.58</v>
      </c>
      <c r="W351" s="4">
        <f t="shared" si="45"/>
        <v>520.96487999999954</v>
      </c>
      <c r="X351" s="4">
        <f t="shared" si="46"/>
        <v>8.1165574088811171E-2</v>
      </c>
    </row>
    <row r="352" spans="1:24" x14ac:dyDescent="0.3">
      <c r="A352" t="s">
        <v>802</v>
      </c>
      <c r="B352" s="6">
        <v>44980</v>
      </c>
      <c r="C352" s="2">
        <v>44993</v>
      </c>
      <c r="D352" s="4">
        <f t="shared" si="47"/>
        <v>13</v>
      </c>
      <c r="E352" s="46" t="b">
        <f t="shared" si="42"/>
        <v>0</v>
      </c>
      <c r="F352" s="4" t="str">
        <f>TEXT(Data!B352,"MMM-YYYY")</f>
        <v>Dec-2023</v>
      </c>
      <c r="G352" s="4" t="str">
        <f t="shared" si="43"/>
        <v>Q1-2023</v>
      </c>
      <c r="H352" t="s">
        <v>78</v>
      </c>
      <c r="I352" t="s">
        <v>108</v>
      </c>
      <c r="J352" t="s">
        <v>228</v>
      </c>
      <c r="K352" t="s">
        <v>62</v>
      </c>
      <c r="L352" t="s">
        <v>98</v>
      </c>
      <c r="M352" t="s">
        <v>21</v>
      </c>
      <c r="N352" t="s">
        <v>30</v>
      </c>
      <c r="O352" t="s">
        <v>803</v>
      </c>
      <c r="P352" s="4">
        <v>307.37</v>
      </c>
      <c r="Q352" s="7" t="str">
        <f t="shared" si="44"/>
        <v>High</v>
      </c>
      <c r="R352" s="4">
        <v>462.61</v>
      </c>
      <c r="S352" s="4">
        <v>0.188</v>
      </c>
      <c r="T352" s="4">
        <v>11</v>
      </c>
      <c r="U352" s="4">
        <f t="shared" si="40"/>
        <v>19625.658360000001</v>
      </c>
      <c r="V352">
        <f t="shared" si="41"/>
        <v>3381.07</v>
      </c>
      <c r="W352" s="4">
        <f t="shared" si="45"/>
        <v>16244.588360000002</v>
      </c>
      <c r="X352" s="4">
        <f t="shared" si="46"/>
        <v>0.82772195775652957</v>
      </c>
    </row>
    <row r="353" spans="1:24" x14ac:dyDescent="0.3">
      <c r="A353" t="s">
        <v>804</v>
      </c>
      <c r="B353" s="6">
        <v>45262</v>
      </c>
      <c r="C353" s="2">
        <v>45276</v>
      </c>
      <c r="D353" s="4">
        <f t="shared" si="47"/>
        <v>14</v>
      </c>
      <c r="E353" s="46" t="b">
        <f t="shared" si="42"/>
        <v>0</v>
      </c>
      <c r="F353" s="4" t="str">
        <f>TEXT(Data!B353,"MMM-YYYY")</f>
        <v>Jul-2023</v>
      </c>
      <c r="G353" s="4" t="str">
        <f t="shared" si="43"/>
        <v>Q4-2023</v>
      </c>
      <c r="H353" t="s">
        <v>78</v>
      </c>
      <c r="I353" t="s">
        <v>79</v>
      </c>
      <c r="J353" t="s">
        <v>335</v>
      </c>
      <c r="K353" t="s">
        <v>27</v>
      </c>
      <c r="L353" t="s">
        <v>98</v>
      </c>
      <c r="M353" t="s">
        <v>126</v>
      </c>
      <c r="N353" t="s">
        <v>64</v>
      </c>
      <c r="O353" t="s">
        <v>805</v>
      </c>
      <c r="P353" s="4">
        <v>879.08</v>
      </c>
      <c r="Q353" s="7" t="str">
        <f t="shared" si="44"/>
        <v>High</v>
      </c>
      <c r="R353" s="4">
        <v>1093.3900000000001</v>
      </c>
      <c r="S353" s="4">
        <v>0.113</v>
      </c>
      <c r="T353" s="4">
        <v>17</v>
      </c>
      <c r="U353" s="4">
        <f t="shared" si="40"/>
        <v>24437.027399999999</v>
      </c>
      <c r="V353">
        <f t="shared" si="41"/>
        <v>14944.36</v>
      </c>
      <c r="W353" s="4">
        <f t="shared" si="45"/>
        <v>9492.6673999999985</v>
      </c>
      <c r="X353" s="4">
        <f t="shared" si="46"/>
        <v>0.38845426019369272</v>
      </c>
    </row>
    <row r="354" spans="1:24" x14ac:dyDescent="0.3">
      <c r="A354" t="s">
        <v>806</v>
      </c>
      <c r="B354" s="6">
        <v>45121</v>
      </c>
      <c r="C354" s="2">
        <v>45121</v>
      </c>
      <c r="D354" s="4">
        <f t="shared" si="47"/>
        <v>0</v>
      </c>
      <c r="E354" s="46" t="str">
        <f t="shared" si="42"/>
        <v>Yes</v>
      </c>
      <c r="F354" s="4" t="str">
        <f>TEXT(Data!B354,"MMM-YYYY")</f>
        <v>Aug-2024</v>
      </c>
      <c r="G354" s="4" t="str">
        <f t="shared" si="43"/>
        <v>Q3-2023</v>
      </c>
      <c r="H354" t="s">
        <v>16</v>
      </c>
      <c r="I354" t="s">
        <v>25</v>
      </c>
      <c r="J354" t="s">
        <v>38</v>
      </c>
      <c r="K354" t="s">
        <v>27</v>
      </c>
      <c r="L354" t="s">
        <v>20</v>
      </c>
      <c r="M354" t="s">
        <v>34</v>
      </c>
      <c r="N354" t="s">
        <v>81</v>
      </c>
      <c r="O354" t="s">
        <v>807</v>
      </c>
      <c r="P354" s="4">
        <v>956.38</v>
      </c>
      <c r="Q354" s="7" t="str">
        <f t="shared" si="44"/>
        <v>High</v>
      </c>
      <c r="R354" s="4">
        <v>1454.22</v>
      </c>
      <c r="S354" s="4">
        <v>3.9E-2</v>
      </c>
      <c r="T354" s="4">
        <v>19</v>
      </c>
      <c r="U354" s="4">
        <f t="shared" si="40"/>
        <v>18891.856940000001</v>
      </c>
      <c r="V354">
        <f t="shared" si="41"/>
        <v>18171.22</v>
      </c>
      <c r="W354" s="4">
        <f t="shared" si="45"/>
        <v>720.63694000000032</v>
      </c>
      <c r="X354" s="4">
        <f t="shared" si="46"/>
        <v>3.8145373548440616E-2</v>
      </c>
    </row>
    <row r="355" spans="1:24" x14ac:dyDescent="0.3">
      <c r="A355" t="s">
        <v>808</v>
      </c>
      <c r="B355" s="6">
        <v>45512</v>
      </c>
      <c r="C355" s="2">
        <v>45524</v>
      </c>
      <c r="D355" s="4">
        <f t="shared" si="47"/>
        <v>12</v>
      </c>
      <c r="E355" s="46" t="b">
        <f t="shared" si="42"/>
        <v>0</v>
      </c>
      <c r="F355" s="4" t="str">
        <f>TEXT(Data!B355,"MMM-YYYY")</f>
        <v>Nov-2024</v>
      </c>
      <c r="G355" s="4" t="str">
        <f t="shared" si="43"/>
        <v>Q3-2024</v>
      </c>
      <c r="H355" t="s">
        <v>45</v>
      </c>
      <c r="I355" t="s">
        <v>46</v>
      </c>
      <c r="J355" t="s">
        <v>47</v>
      </c>
      <c r="K355" t="s">
        <v>62</v>
      </c>
      <c r="L355" t="s">
        <v>20</v>
      </c>
      <c r="M355" t="s">
        <v>92</v>
      </c>
      <c r="N355" t="s">
        <v>35</v>
      </c>
      <c r="O355" t="s">
        <v>809</v>
      </c>
      <c r="P355" s="4">
        <v>1233.3599999999999</v>
      </c>
      <c r="Q355" s="7" t="str">
        <f t="shared" si="44"/>
        <v>High</v>
      </c>
      <c r="R355" s="4">
        <v>2120.4</v>
      </c>
      <c r="S355" s="4">
        <v>0.17899999999999999</v>
      </c>
      <c r="T355" s="4">
        <v>20</v>
      </c>
      <c r="U355" s="4">
        <f t="shared" si="40"/>
        <v>31286.9964</v>
      </c>
      <c r="V355">
        <f t="shared" si="41"/>
        <v>24667.199999999997</v>
      </c>
      <c r="W355" s="4">
        <f t="shared" si="45"/>
        <v>6619.7964000000029</v>
      </c>
      <c r="X355" s="4">
        <f t="shared" si="46"/>
        <v>0.21158299490838958</v>
      </c>
    </row>
    <row r="356" spans="1:24" x14ac:dyDescent="0.3">
      <c r="A356" t="s">
        <v>810</v>
      </c>
      <c r="B356" s="6">
        <v>45603</v>
      </c>
      <c r="C356" s="2">
        <v>45622</v>
      </c>
      <c r="D356" s="4">
        <f t="shared" si="47"/>
        <v>19</v>
      </c>
      <c r="E356" s="46" t="b">
        <f t="shared" si="42"/>
        <v>0</v>
      </c>
      <c r="F356" s="4" t="str">
        <f>TEXT(Data!B356,"MMM-YYYY")</f>
        <v>Jan-2024</v>
      </c>
      <c r="G356" s="4" t="str">
        <f t="shared" si="43"/>
        <v>Q4-2024</v>
      </c>
      <c r="H356" t="s">
        <v>52</v>
      </c>
      <c r="I356" t="s">
        <v>73</v>
      </c>
      <c r="J356" t="s">
        <v>225</v>
      </c>
      <c r="K356" t="s">
        <v>39</v>
      </c>
      <c r="L356" t="s">
        <v>55</v>
      </c>
      <c r="M356" t="s">
        <v>29</v>
      </c>
      <c r="N356" t="s">
        <v>30</v>
      </c>
      <c r="O356" t="s">
        <v>811</v>
      </c>
      <c r="P356" s="4">
        <v>55.35</v>
      </c>
      <c r="Q356" s="7" t="str">
        <f t="shared" si="44"/>
        <v>Medium</v>
      </c>
      <c r="R356" s="4">
        <v>128.68</v>
      </c>
      <c r="S356" s="4">
        <v>0.128</v>
      </c>
      <c r="T356" s="4">
        <v>10</v>
      </c>
      <c r="U356" s="4">
        <f t="shared" si="40"/>
        <v>4722.4031999999997</v>
      </c>
      <c r="V356">
        <f t="shared" si="41"/>
        <v>553.5</v>
      </c>
      <c r="W356" s="4">
        <f t="shared" si="45"/>
        <v>4168.9031999999997</v>
      </c>
      <c r="X356" s="4">
        <f t="shared" si="46"/>
        <v>0.88279272722837387</v>
      </c>
    </row>
    <row r="357" spans="1:24" x14ac:dyDescent="0.3">
      <c r="A357" t="s">
        <v>812</v>
      </c>
      <c r="B357" s="6">
        <v>45292</v>
      </c>
      <c r="C357" s="2">
        <v>45318</v>
      </c>
      <c r="D357" s="4">
        <f t="shared" si="47"/>
        <v>26</v>
      </c>
      <c r="E357" s="46" t="b">
        <f t="shared" si="42"/>
        <v>0</v>
      </c>
      <c r="F357" s="4" t="str">
        <f>TEXT(Data!B357,"MMM-YYYY")</f>
        <v>Aug-2025</v>
      </c>
      <c r="G357" s="4" t="str">
        <f t="shared" si="43"/>
        <v>Q1-2024</v>
      </c>
      <c r="H357" t="s">
        <v>78</v>
      </c>
      <c r="I357" t="s">
        <v>108</v>
      </c>
      <c r="J357" t="s">
        <v>228</v>
      </c>
      <c r="K357" t="s">
        <v>27</v>
      </c>
      <c r="L357" t="s">
        <v>55</v>
      </c>
      <c r="M357" t="s">
        <v>145</v>
      </c>
      <c r="N357" t="s">
        <v>81</v>
      </c>
      <c r="O357" t="s">
        <v>813</v>
      </c>
      <c r="P357" s="4">
        <v>657.45</v>
      </c>
      <c r="Q357" s="7" t="str">
        <f t="shared" si="44"/>
        <v>High</v>
      </c>
      <c r="R357" s="4">
        <v>1325.96</v>
      </c>
      <c r="S357" s="4">
        <v>0.16700000000000001</v>
      </c>
      <c r="T357" s="4">
        <v>21</v>
      </c>
      <c r="U357" s="4">
        <f t="shared" si="40"/>
        <v>19532.683799999999</v>
      </c>
      <c r="V357">
        <f t="shared" si="41"/>
        <v>13806.45</v>
      </c>
      <c r="W357" s="4">
        <f t="shared" si="45"/>
        <v>5726.2337999999982</v>
      </c>
      <c r="X357" s="4">
        <f t="shared" si="46"/>
        <v>0.29316164939914702</v>
      </c>
    </row>
    <row r="358" spans="1:24" x14ac:dyDescent="0.3">
      <c r="A358" t="s">
        <v>814</v>
      </c>
      <c r="B358" s="6">
        <v>45883</v>
      </c>
      <c r="C358" s="2">
        <v>45911</v>
      </c>
      <c r="D358" s="4">
        <f t="shared" si="47"/>
        <v>28</v>
      </c>
      <c r="E358" s="46" t="b">
        <f t="shared" si="42"/>
        <v>0</v>
      </c>
      <c r="F358" s="4" t="str">
        <f>TEXT(Data!B358,"MMM-YYYY")</f>
        <v>Apr-2024</v>
      </c>
      <c r="G358" s="4" t="str">
        <f t="shared" si="43"/>
        <v>Q3-2025</v>
      </c>
      <c r="H358" t="s">
        <v>52</v>
      </c>
      <c r="I358" t="s">
        <v>73</v>
      </c>
      <c r="J358" t="s">
        <v>74</v>
      </c>
      <c r="K358" t="s">
        <v>39</v>
      </c>
      <c r="L358" t="s">
        <v>98</v>
      </c>
      <c r="M358" t="s">
        <v>84</v>
      </c>
      <c r="N358" t="s">
        <v>30</v>
      </c>
      <c r="O358" t="s">
        <v>815</v>
      </c>
      <c r="P358" s="4">
        <v>1203.02</v>
      </c>
      <c r="Q358" s="7" t="str">
        <f t="shared" si="44"/>
        <v>High</v>
      </c>
      <c r="R358" s="4">
        <v>2439.33</v>
      </c>
      <c r="S358" s="4">
        <v>0</v>
      </c>
      <c r="T358" s="4">
        <v>18</v>
      </c>
      <c r="U358" s="4">
        <f t="shared" si="40"/>
        <v>26190</v>
      </c>
      <c r="V358">
        <f t="shared" si="41"/>
        <v>21654.36</v>
      </c>
      <c r="W358" s="4">
        <f t="shared" si="45"/>
        <v>4535.6399999999994</v>
      </c>
      <c r="X358" s="4">
        <f t="shared" si="46"/>
        <v>0.17318213058419241</v>
      </c>
    </row>
    <row r="359" spans="1:24" x14ac:dyDescent="0.3">
      <c r="A359" t="s">
        <v>816</v>
      </c>
      <c r="B359" s="6">
        <v>45385</v>
      </c>
      <c r="C359" s="2">
        <v>45403</v>
      </c>
      <c r="D359" s="4">
        <f t="shared" si="47"/>
        <v>18</v>
      </c>
      <c r="E359" s="46" t="b">
        <f t="shared" si="42"/>
        <v>0</v>
      </c>
      <c r="F359" s="4" t="str">
        <f>TEXT(Data!B359,"MMM-YYYY")</f>
        <v>Nov-2024</v>
      </c>
      <c r="G359" s="4" t="str">
        <f t="shared" si="43"/>
        <v>Q2-2024</v>
      </c>
      <c r="H359" t="s">
        <v>52</v>
      </c>
      <c r="I359" t="s">
        <v>73</v>
      </c>
      <c r="J359" t="s">
        <v>87</v>
      </c>
      <c r="K359" t="s">
        <v>62</v>
      </c>
      <c r="L359" t="s">
        <v>55</v>
      </c>
      <c r="M359" t="s">
        <v>56</v>
      </c>
      <c r="N359" t="s">
        <v>35</v>
      </c>
      <c r="O359" t="s">
        <v>817</v>
      </c>
      <c r="P359" s="4">
        <v>1176.69</v>
      </c>
      <c r="Q359" s="7" t="str">
        <f t="shared" si="44"/>
        <v>High</v>
      </c>
      <c r="R359" s="4">
        <v>2201.54</v>
      </c>
      <c r="S359" s="4">
        <v>0.17</v>
      </c>
      <c r="T359" s="4">
        <v>27</v>
      </c>
      <c r="U359" s="4">
        <f t="shared" si="40"/>
        <v>28646.702999999998</v>
      </c>
      <c r="V359">
        <f t="shared" si="41"/>
        <v>31770.63</v>
      </c>
      <c r="W359" s="4">
        <f t="shared" si="45"/>
        <v>-3123.9270000000033</v>
      </c>
      <c r="X359" s="4">
        <f t="shared" si="46"/>
        <v>-0.1090501409533936</v>
      </c>
    </row>
    <row r="360" spans="1:24" x14ac:dyDescent="0.3">
      <c r="A360" t="s">
        <v>818</v>
      </c>
      <c r="B360" s="6">
        <v>45621</v>
      </c>
      <c r="C360" s="2">
        <v>45633</v>
      </c>
      <c r="D360" s="4">
        <f t="shared" si="47"/>
        <v>12</v>
      </c>
      <c r="E360" s="46" t="b">
        <f t="shared" si="42"/>
        <v>0</v>
      </c>
      <c r="F360" s="4" t="str">
        <f>TEXT(Data!B360,"MMM-YYYY")</f>
        <v>Jan-2024</v>
      </c>
      <c r="G360" s="4" t="str">
        <f t="shared" si="43"/>
        <v>Q4-2024</v>
      </c>
      <c r="H360" t="s">
        <v>45</v>
      </c>
      <c r="I360" t="s">
        <v>116</v>
      </c>
      <c r="J360" t="s">
        <v>162</v>
      </c>
      <c r="K360" t="s">
        <v>19</v>
      </c>
      <c r="L360" t="s">
        <v>55</v>
      </c>
      <c r="M360" t="s">
        <v>75</v>
      </c>
      <c r="N360" t="s">
        <v>81</v>
      </c>
      <c r="O360" t="s">
        <v>819</v>
      </c>
      <c r="P360" s="4">
        <v>769.9</v>
      </c>
      <c r="Q360" s="7" t="str">
        <f t="shared" si="44"/>
        <v>High</v>
      </c>
      <c r="R360" s="4">
        <v>814.36</v>
      </c>
      <c r="S360" s="4">
        <v>0</v>
      </c>
      <c r="T360" s="4">
        <v>5</v>
      </c>
      <c r="U360" s="4">
        <f t="shared" si="40"/>
        <v>4499.1500000000005</v>
      </c>
      <c r="V360">
        <f t="shared" si="41"/>
        <v>3849.5</v>
      </c>
      <c r="W360" s="4">
        <f t="shared" si="45"/>
        <v>649.65000000000055</v>
      </c>
      <c r="X360" s="4">
        <f t="shared" si="46"/>
        <v>0.14439394107775924</v>
      </c>
    </row>
    <row r="361" spans="1:24" x14ac:dyDescent="0.3">
      <c r="A361" t="s">
        <v>820</v>
      </c>
      <c r="B361" s="6">
        <v>45309</v>
      </c>
      <c r="C361" s="2">
        <v>45325</v>
      </c>
      <c r="D361" s="4">
        <f t="shared" si="47"/>
        <v>16</v>
      </c>
      <c r="E361" s="46" t="b">
        <f t="shared" si="42"/>
        <v>0</v>
      </c>
      <c r="F361" s="4" t="str">
        <f>TEXT(Data!B361,"MMM-YYYY")</f>
        <v>Jun-2024</v>
      </c>
      <c r="G361" s="4" t="str">
        <f t="shared" si="43"/>
        <v>Q1-2024</v>
      </c>
      <c r="H361" t="s">
        <v>16</v>
      </c>
      <c r="I361" t="s">
        <v>148</v>
      </c>
      <c r="J361" t="s">
        <v>258</v>
      </c>
      <c r="K361" t="s">
        <v>39</v>
      </c>
      <c r="L361" t="s">
        <v>55</v>
      </c>
      <c r="M361" t="s">
        <v>49</v>
      </c>
      <c r="N361" t="s">
        <v>30</v>
      </c>
      <c r="O361" t="s">
        <v>821</v>
      </c>
      <c r="P361" s="4">
        <v>666.23</v>
      </c>
      <c r="Q361" s="7" t="str">
        <f t="shared" si="44"/>
        <v>High</v>
      </c>
      <c r="R361" s="4">
        <v>1382.91</v>
      </c>
      <c r="S361" s="4">
        <v>0.17599999999999999</v>
      </c>
      <c r="T361" s="4">
        <v>13</v>
      </c>
      <c r="U361" s="4">
        <f t="shared" si="40"/>
        <v>9412.9557600000007</v>
      </c>
      <c r="V361">
        <f t="shared" si="41"/>
        <v>8660.99</v>
      </c>
      <c r="W361" s="4">
        <f t="shared" si="45"/>
        <v>751.96576000000096</v>
      </c>
      <c r="X361" s="4">
        <f t="shared" si="46"/>
        <v>7.9886252434697616E-2</v>
      </c>
    </row>
    <row r="362" spans="1:24" x14ac:dyDescent="0.3">
      <c r="A362" t="s">
        <v>822</v>
      </c>
      <c r="B362" s="6">
        <v>45466</v>
      </c>
      <c r="C362" s="2">
        <v>45468</v>
      </c>
      <c r="D362" s="4">
        <f t="shared" si="47"/>
        <v>2</v>
      </c>
      <c r="E362" s="46" t="str">
        <f t="shared" si="42"/>
        <v>Yes</v>
      </c>
      <c r="F362" s="4" t="str">
        <f>TEXT(Data!B362,"MMM-YYYY")</f>
        <v>Jun-2025</v>
      </c>
      <c r="G362" s="4" t="str">
        <f t="shared" si="43"/>
        <v>Q2-2024</v>
      </c>
      <c r="H362" t="s">
        <v>78</v>
      </c>
      <c r="I362" t="s">
        <v>108</v>
      </c>
      <c r="J362" t="s">
        <v>109</v>
      </c>
      <c r="K362" t="s">
        <v>62</v>
      </c>
      <c r="L362" t="s">
        <v>40</v>
      </c>
      <c r="M362" t="s">
        <v>49</v>
      </c>
      <c r="N362" t="s">
        <v>81</v>
      </c>
      <c r="O362" t="s">
        <v>823</v>
      </c>
      <c r="P362" s="4">
        <v>951.44</v>
      </c>
      <c r="Q362" s="7" t="str">
        <f t="shared" si="44"/>
        <v>High</v>
      </c>
      <c r="R362" s="4">
        <v>1646.43</v>
      </c>
      <c r="S362" s="4">
        <v>0.11</v>
      </c>
      <c r="T362" s="4">
        <v>24</v>
      </c>
      <c r="U362" s="4">
        <f t="shared" si="40"/>
        <v>12696.811199999998</v>
      </c>
      <c r="V362">
        <f t="shared" si="41"/>
        <v>22834.560000000001</v>
      </c>
      <c r="W362" s="4">
        <f t="shared" si="45"/>
        <v>-10137.748800000003</v>
      </c>
      <c r="X362" s="4">
        <f t="shared" si="46"/>
        <v>-0.79844841671741995</v>
      </c>
    </row>
    <row r="363" spans="1:24" x14ac:dyDescent="0.3">
      <c r="A363" t="s">
        <v>824</v>
      </c>
      <c r="B363" s="6">
        <v>45833</v>
      </c>
      <c r="C363" s="2">
        <v>45848</v>
      </c>
      <c r="D363" s="4">
        <f t="shared" si="47"/>
        <v>15</v>
      </c>
      <c r="E363" s="46" t="b">
        <f t="shared" si="42"/>
        <v>0</v>
      </c>
      <c r="F363" s="4" t="str">
        <f>TEXT(Data!B363,"MMM-YYYY")</f>
        <v>Jul-2023</v>
      </c>
      <c r="G363" s="4" t="str">
        <f t="shared" si="43"/>
        <v>Q2-2025</v>
      </c>
      <c r="H363" t="s">
        <v>78</v>
      </c>
      <c r="I363" t="s">
        <v>108</v>
      </c>
      <c r="J363" t="s">
        <v>109</v>
      </c>
      <c r="K363" t="s">
        <v>39</v>
      </c>
      <c r="L363" t="s">
        <v>40</v>
      </c>
      <c r="M363" t="s">
        <v>145</v>
      </c>
      <c r="N363" t="s">
        <v>42</v>
      </c>
      <c r="O363" t="s">
        <v>825</v>
      </c>
      <c r="P363" s="4">
        <v>546.83000000000004</v>
      </c>
      <c r="Q363" s="7" t="str">
        <f t="shared" si="44"/>
        <v>High</v>
      </c>
      <c r="R363" s="4">
        <v>400.84</v>
      </c>
      <c r="S363" s="4">
        <v>7.8E-2</v>
      </c>
      <c r="T363" s="4">
        <v>13</v>
      </c>
      <c r="U363" s="4">
        <f t="shared" si="40"/>
        <v>19391.5501</v>
      </c>
      <c r="V363">
        <f t="shared" si="41"/>
        <v>7108.7900000000009</v>
      </c>
      <c r="W363" s="4">
        <f t="shared" si="45"/>
        <v>12282.7601</v>
      </c>
      <c r="X363" s="4">
        <f t="shared" si="46"/>
        <v>0.63340785221703344</v>
      </c>
    </row>
    <row r="364" spans="1:24" x14ac:dyDescent="0.3">
      <c r="A364" t="s">
        <v>826</v>
      </c>
      <c r="B364" s="6">
        <v>45108</v>
      </c>
      <c r="C364" s="2">
        <v>45115</v>
      </c>
      <c r="D364" s="4">
        <f t="shared" si="47"/>
        <v>7</v>
      </c>
      <c r="E364" s="46" t="str">
        <f t="shared" si="42"/>
        <v>Yes</v>
      </c>
      <c r="F364" s="4" t="str">
        <f>TEXT(Data!B364,"MMM-YYYY")</f>
        <v>Mar-2024</v>
      </c>
      <c r="G364" s="4" t="str">
        <f t="shared" si="43"/>
        <v>Q3-2023</v>
      </c>
      <c r="H364" t="s">
        <v>16</v>
      </c>
      <c r="I364" t="s">
        <v>25</v>
      </c>
      <c r="J364" t="s">
        <v>26</v>
      </c>
      <c r="K364" t="s">
        <v>19</v>
      </c>
      <c r="L364" t="s">
        <v>20</v>
      </c>
      <c r="M364" t="s">
        <v>75</v>
      </c>
      <c r="N364" t="s">
        <v>57</v>
      </c>
      <c r="O364" t="s">
        <v>827</v>
      </c>
      <c r="P364" s="4">
        <v>834.26</v>
      </c>
      <c r="Q364" s="7" t="str">
        <f t="shared" si="44"/>
        <v>High</v>
      </c>
      <c r="R364" s="4">
        <v>1780.56</v>
      </c>
      <c r="S364" s="4">
        <v>1.4E-2</v>
      </c>
      <c r="T364" s="4">
        <v>47</v>
      </c>
      <c r="U364" s="4">
        <f t="shared" si="40"/>
        <v>45086.595219999996</v>
      </c>
      <c r="V364">
        <f t="shared" si="41"/>
        <v>39210.22</v>
      </c>
      <c r="W364" s="4">
        <f t="shared" si="45"/>
        <v>5876.3752199999944</v>
      </c>
      <c r="X364" s="4">
        <f t="shared" si="46"/>
        <v>0.13033530678744376</v>
      </c>
    </row>
    <row r="365" spans="1:24" x14ac:dyDescent="0.3">
      <c r="A365" t="s">
        <v>828</v>
      </c>
      <c r="B365" s="6">
        <v>45360</v>
      </c>
      <c r="C365" s="2">
        <v>45377</v>
      </c>
      <c r="D365" s="4">
        <f t="shared" si="47"/>
        <v>17</v>
      </c>
      <c r="E365" s="46" t="b">
        <f t="shared" si="42"/>
        <v>0</v>
      </c>
      <c r="F365" s="4" t="str">
        <f>TEXT(Data!B365,"MMM-YYYY")</f>
        <v>Jun-2023</v>
      </c>
      <c r="G365" s="4" t="str">
        <f t="shared" si="43"/>
        <v>Q1-2024</v>
      </c>
      <c r="H365" t="s">
        <v>45</v>
      </c>
      <c r="I365" t="s">
        <v>116</v>
      </c>
      <c r="J365" t="s">
        <v>117</v>
      </c>
      <c r="K365" t="s">
        <v>105</v>
      </c>
      <c r="L365" t="s">
        <v>28</v>
      </c>
      <c r="M365" t="s">
        <v>95</v>
      </c>
      <c r="N365" t="s">
        <v>64</v>
      </c>
      <c r="O365" t="s">
        <v>829</v>
      </c>
      <c r="P365" s="4">
        <v>1029.67</v>
      </c>
      <c r="Q365" s="7" t="str">
        <f t="shared" si="44"/>
        <v>High</v>
      </c>
      <c r="R365" s="4">
        <v>1118.43</v>
      </c>
      <c r="S365" s="4">
        <v>0.27200000000000002</v>
      </c>
      <c r="T365" s="4">
        <v>9</v>
      </c>
      <c r="U365" s="4">
        <f t="shared" si="40"/>
        <v>278.85311999999999</v>
      </c>
      <c r="V365">
        <f t="shared" si="41"/>
        <v>9267.0300000000007</v>
      </c>
      <c r="W365" s="4">
        <f t="shared" si="45"/>
        <v>-8988.1768800000009</v>
      </c>
      <c r="X365" s="4">
        <f t="shared" si="46"/>
        <v>-32.232656676030743</v>
      </c>
    </row>
    <row r="366" spans="1:24" x14ac:dyDescent="0.3">
      <c r="A366" t="s">
        <v>830</v>
      </c>
      <c r="B366" s="6">
        <v>45082</v>
      </c>
      <c r="C366" s="2">
        <v>45105</v>
      </c>
      <c r="D366" s="4">
        <f t="shared" si="47"/>
        <v>23</v>
      </c>
      <c r="E366" s="46" t="b">
        <f t="shared" si="42"/>
        <v>0</v>
      </c>
      <c r="F366" s="4" t="str">
        <f>TEXT(Data!B366,"MMM-YYYY")</f>
        <v>Mar-2025</v>
      </c>
      <c r="G366" s="4" t="str">
        <f t="shared" si="43"/>
        <v>Q2-2023</v>
      </c>
      <c r="H366" t="s">
        <v>78</v>
      </c>
      <c r="I366" t="s">
        <v>108</v>
      </c>
      <c r="J366" t="s">
        <v>109</v>
      </c>
      <c r="K366" t="s">
        <v>19</v>
      </c>
      <c r="L366" t="s">
        <v>98</v>
      </c>
      <c r="M366" t="s">
        <v>95</v>
      </c>
      <c r="N366" t="s">
        <v>30</v>
      </c>
      <c r="O366" t="s">
        <v>831</v>
      </c>
      <c r="P366" s="4">
        <v>605.82000000000005</v>
      </c>
      <c r="Q366" s="7" t="str">
        <f t="shared" si="44"/>
        <v>High</v>
      </c>
      <c r="R366" s="4">
        <v>771.12</v>
      </c>
      <c r="S366" s="4">
        <v>0.13200000000000001</v>
      </c>
      <c r="T366" s="4">
        <v>19</v>
      </c>
      <c r="U366" s="4">
        <f t="shared" si="40"/>
        <v>24421.848359999996</v>
      </c>
      <c r="V366">
        <f t="shared" si="41"/>
        <v>11510.580000000002</v>
      </c>
      <c r="W366" s="4">
        <f t="shared" si="45"/>
        <v>12911.268359999995</v>
      </c>
      <c r="X366" s="4">
        <f t="shared" si="46"/>
        <v>0.52867695227962652</v>
      </c>
    </row>
    <row r="367" spans="1:24" x14ac:dyDescent="0.3">
      <c r="A367" t="s">
        <v>832</v>
      </c>
      <c r="B367" s="6">
        <v>45737</v>
      </c>
      <c r="C367" s="2">
        <v>45756</v>
      </c>
      <c r="D367" s="4">
        <f t="shared" si="47"/>
        <v>19</v>
      </c>
      <c r="E367" s="46" t="b">
        <f t="shared" si="42"/>
        <v>0</v>
      </c>
      <c r="F367" s="4" t="str">
        <f>TEXT(Data!B367,"MMM-YYYY")</f>
        <v>Jun-2024</v>
      </c>
      <c r="G367" s="4" t="str">
        <f t="shared" si="43"/>
        <v>Q1-2025</v>
      </c>
      <c r="H367" t="s">
        <v>45</v>
      </c>
      <c r="I367" t="s">
        <v>46</v>
      </c>
      <c r="J367" t="s">
        <v>214</v>
      </c>
      <c r="K367" t="s">
        <v>62</v>
      </c>
      <c r="L367" t="s">
        <v>55</v>
      </c>
      <c r="M367" t="s">
        <v>63</v>
      </c>
      <c r="N367" t="s">
        <v>22</v>
      </c>
      <c r="O367" t="s">
        <v>833</v>
      </c>
      <c r="P367" s="4">
        <v>1055.45</v>
      </c>
      <c r="Q367" s="7" t="str">
        <f t="shared" si="44"/>
        <v>High</v>
      </c>
      <c r="R367" s="4">
        <v>1210.04</v>
      </c>
      <c r="S367" s="4">
        <v>8.9999999999999993E-3</v>
      </c>
      <c r="T367" s="4">
        <v>18</v>
      </c>
      <c r="U367" s="4">
        <f t="shared" si="40"/>
        <v>10065.26988</v>
      </c>
      <c r="V367">
        <f t="shared" si="41"/>
        <v>18998.100000000002</v>
      </c>
      <c r="W367" s="4">
        <f t="shared" si="45"/>
        <v>-8932.8301200000024</v>
      </c>
      <c r="X367" s="4">
        <f t="shared" si="46"/>
        <v>-0.887490372985409</v>
      </c>
    </row>
    <row r="368" spans="1:24" x14ac:dyDescent="0.3">
      <c r="A368" t="s">
        <v>834</v>
      </c>
      <c r="B368" s="6">
        <v>45445</v>
      </c>
      <c r="C368" s="2">
        <v>45458</v>
      </c>
      <c r="D368" s="4">
        <f t="shared" si="47"/>
        <v>13</v>
      </c>
      <c r="E368" s="46" t="b">
        <f t="shared" si="42"/>
        <v>0</v>
      </c>
      <c r="F368" s="4" t="str">
        <f>TEXT(Data!B368,"MMM-YYYY")</f>
        <v>Mar-2025</v>
      </c>
      <c r="G368" s="4" t="str">
        <f t="shared" si="43"/>
        <v>Q2-2024</v>
      </c>
      <c r="H368" t="s">
        <v>16</v>
      </c>
      <c r="I368" t="s">
        <v>17</v>
      </c>
      <c r="J368" t="s">
        <v>113</v>
      </c>
      <c r="K368" t="s">
        <v>27</v>
      </c>
      <c r="L368" t="s">
        <v>28</v>
      </c>
      <c r="M368" t="s">
        <v>68</v>
      </c>
      <c r="N368" t="s">
        <v>42</v>
      </c>
      <c r="O368" t="s">
        <v>835</v>
      </c>
      <c r="P368" s="4">
        <v>1295.18</v>
      </c>
      <c r="Q368" s="7" t="str">
        <f t="shared" si="44"/>
        <v>High</v>
      </c>
      <c r="R368" s="4">
        <v>3024.03</v>
      </c>
      <c r="S368" s="4">
        <v>0.192</v>
      </c>
      <c r="T368" s="4">
        <v>8</v>
      </c>
      <c r="U368" s="4">
        <f t="shared" si="40"/>
        <v>13814.925440000001</v>
      </c>
      <c r="V368">
        <f t="shared" si="41"/>
        <v>10361.44</v>
      </c>
      <c r="W368" s="4">
        <f t="shared" si="45"/>
        <v>3453.4854400000004</v>
      </c>
      <c r="X368" s="4">
        <f t="shared" si="46"/>
        <v>0.24998219896292109</v>
      </c>
    </row>
    <row r="369" spans="1:24" x14ac:dyDescent="0.3">
      <c r="A369" t="s">
        <v>836</v>
      </c>
      <c r="B369" s="6">
        <v>45731</v>
      </c>
      <c r="C369" s="2">
        <v>45745</v>
      </c>
      <c r="D369" s="4">
        <f t="shared" si="47"/>
        <v>14</v>
      </c>
      <c r="E369" s="46" t="b">
        <f t="shared" si="42"/>
        <v>0</v>
      </c>
      <c r="F369" s="4" t="str">
        <f>TEXT(Data!B369,"MMM-YYYY")</f>
        <v>Sep-2023</v>
      </c>
      <c r="G369" s="4" t="str">
        <f t="shared" si="43"/>
        <v>Q1-2025</v>
      </c>
      <c r="H369" t="s">
        <v>45</v>
      </c>
      <c r="I369" t="s">
        <v>60</v>
      </c>
      <c r="J369" t="s">
        <v>220</v>
      </c>
      <c r="K369" t="s">
        <v>105</v>
      </c>
      <c r="L369" t="s">
        <v>98</v>
      </c>
      <c r="M369" t="s">
        <v>21</v>
      </c>
      <c r="N369" t="s">
        <v>22</v>
      </c>
      <c r="O369" t="s">
        <v>837</v>
      </c>
      <c r="P369" s="4">
        <v>935.83</v>
      </c>
      <c r="Q369" s="7" t="str">
        <f t="shared" si="44"/>
        <v>High</v>
      </c>
      <c r="R369" s="4">
        <v>2303.46</v>
      </c>
      <c r="S369" s="4">
        <v>0.105</v>
      </c>
      <c r="T369" s="4">
        <v>9</v>
      </c>
      <c r="U369" s="4">
        <f t="shared" si="40"/>
        <v>13539.891150000001</v>
      </c>
      <c r="V369">
        <f t="shared" si="41"/>
        <v>8422.4700000000012</v>
      </c>
      <c r="W369" s="4">
        <f t="shared" si="45"/>
        <v>5117.4211500000001</v>
      </c>
      <c r="X369" s="4">
        <f t="shared" si="46"/>
        <v>0.37795142466858012</v>
      </c>
    </row>
    <row r="370" spans="1:24" x14ac:dyDescent="0.3">
      <c r="A370" t="s">
        <v>838</v>
      </c>
      <c r="B370" s="6">
        <v>45194</v>
      </c>
      <c r="C370" s="2">
        <v>45208</v>
      </c>
      <c r="D370" s="4">
        <f t="shared" si="47"/>
        <v>14</v>
      </c>
      <c r="E370" s="46" t="b">
        <f t="shared" si="42"/>
        <v>0</v>
      </c>
      <c r="F370" s="4" t="str">
        <f>TEXT(Data!B370,"MMM-YYYY")</f>
        <v>Jun-2025</v>
      </c>
      <c r="G370" s="4" t="str">
        <f t="shared" si="43"/>
        <v>Q3-2023</v>
      </c>
      <c r="H370" t="s">
        <v>52</v>
      </c>
      <c r="I370" t="s">
        <v>122</v>
      </c>
      <c r="J370" t="s">
        <v>387</v>
      </c>
      <c r="K370" t="s">
        <v>62</v>
      </c>
      <c r="L370" t="s">
        <v>40</v>
      </c>
      <c r="M370" t="s">
        <v>29</v>
      </c>
      <c r="N370" t="s">
        <v>57</v>
      </c>
      <c r="O370" t="s">
        <v>839</v>
      </c>
      <c r="P370" s="4">
        <v>1279.56</v>
      </c>
      <c r="Q370" s="7" t="str">
        <f t="shared" si="44"/>
        <v>High</v>
      </c>
      <c r="R370" s="4">
        <v>3083.8</v>
      </c>
      <c r="S370" s="4">
        <v>0.106</v>
      </c>
      <c r="T370" s="4">
        <v>5</v>
      </c>
      <c r="U370" s="4">
        <f t="shared" si="40"/>
        <v>12985.618199999999</v>
      </c>
      <c r="V370">
        <f t="shared" si="41"/>
        <v>6397.7999999999993</v>
      </c>
      <c r="W370" s="4">
        <f t="shared" si="45"/>
        <v>6587.8181999999997</v>
      </c>
      <c r="X370" s="4">
        <f t="shared" si="46"/>
        <v>0.50731648648040495</v>
      </c>
    </row>
    <row r="371" spans="1:24" x14ac:dyDescent="0.3">
      <c r="A371" t="s">
        <v>840</v>
      </c>
      <c r="B371" s="6">
        <v>45832</v>
      </c>
      <c r="C371" s="2">
        <v>45861</v>
      </c>
      <c r="D371" s="4">
        <f t="shared" si="47"/>
        <v>29</v>
      </c>
      <c r="E371" s="46" t="b">
        <f t="shared" si="42"/>
        <v>0</v>
      </c>
      <c r="F371" s="4" t="str">
        <f>TEXT(Data!B371,"MMM-YYYY")</f>
        <v>Dec-2023</v>
      </c>
      <c r="G371" s="4" t="str">
        <f t="shared" si="43"/>
        <v>Q2-2025</v>
      </c>
      <c r="H371" t="s">
        <v>52</v>
      </c>
      <c r="I371" t="s">
        <v>53</v>
      </c>
      <c r="J371" t="s">
        <v>179</v>
      </c>
      <c r="K371" t="s">
        <v>39</v>
      </c>
      <c r="L371" t="s">
        <v>40</v>
      </c>
      <c r="M371" t="s">
        <v>34</v>
      </c>
      <c r="N371" t="s">
        <v>30</v>
      </c>
      <c r="O371" t="s">
        <v>841</v>
      </c>
      <c r="P371" s="4">
        <v>255.4</v>
      </c>
      <c r="Q371" s="7" t="str">
        <f t="shared" si="44"/>
        <v>High</v>
      </c>
      <c r="R371" s="4">
        <v>322.70999999999998</v>
      </c>
      <c r="S371" s="4">
        <v>0.115</v>
      </c>
      <c r="T371" s="4">
        <v>16</v>
      </c>
      <c r="U371" s="4">
        <f t="shared" si="40"/>
        <v>11923.994400000001</v>
      </c>
      <c r="V371">
        <f t="shared" si="41"/>
        <v>4086.4</v>
      </c>
      <c r="W371" s="4">
        <f t="shared" si="45"/>
        <v>7837.5944000000018</v>
      </c>
      <c r="X371" s="4">
        <f t="shared" si="46"/>
        <v>0.65729604837788258</v>
      </c>
    </row>
    <row r="372" spans="1:24" x14ac:dyDescent="0.3">
      <c r="A372" t="s">
        <v>842</v>
      </c>
      <c r="B372" s="6">
        <v>45286</v>
      </c>
      <c r="C372" s="2">
        <v>45294</v>
      </c>
      <c r="D372" s="4">
        <f t="shared" si="47"/>
        <v>8</v>
      </c>
      <c r="E372" s="46" t="b">
        <f t="shared" si="42"/>
        <v>0</v>
      </c>
      <c r="F372" s="4" t="str">
        <f>TEXT(Data!B372,"MMM-YYYY")</f>
        <v>Feb-2023</v>
      </c>
      <c r="G372" s="4" t="str">
        <f t="shared" si="43"/>
        <v>Q4-2023</v>
      </c>
      <c r="H372" t="s">
        <v>78</v>
      </c>
      <c r="I372" t="s">
        <v>90</v>
      </c>
      <c r="J372" t="s">
        <v>138</v>
      </c>
      <c r="K372" t="s">
        <v>62</v>
      </c>
      <c r="L372" t="s">
        <v>20</v>
      </c>
      <c r="M372" t="s">
        <v>110</v>
      </c>
      <c r="N372" t="s">
        <v>57</v>
      </c>
      <c r="O372" t="s">
        <v>843</v>
      </c>
      <c r="P372" s="4">
        <v>492.75</v>
      </c>
      <c r="Q372" s="7" t="str">
        <f t="shared" si="44"/>
        <v>High</v>
      </c>
      <c r="R372" s="4">
        <v>731.29</v>
      </c>
      <c r="S372" s="4">
        <v>5.8000000000000003E-2</v>
      </c>
      <c r="T372" s="4">
        <v>6</v>
      </c>
      <c r="U372" s="4">
        <f t="shared" si="40"/>
        <v>17698.503240000002</v>
      </c>
      <c r="V372">
        <f t="shared" si="41"/>
        <v>2956.5</v>
      </c>
      <c r="W372" s="4">
        <f t="shared" si="45"/>
        <v>14742.003240000002</v>
      </c>
      <c r="X372" s="4">
        <f t="shared" si="46"/>
        <v>0.83295197566096557</v>
      </c>
    </row>
    <row r="373" spans="1:24" x14ac:dyDescent="0.3">
      <c r="A373" t="s">
        <v>844</v>
      </c>
      <c r="B373" s="6">
        <v>44962</v>
      </c>
      <c r="C373" s="2">
        <v>44985</v>
      </c>
      <c r="D373" s="4">
        <f t="shared" si="47"/>
        <v>23</v>
      </c>
      <c r="E373" s="46" t="b">
        <f t="shared" si="42"/>
        <v>0</v>
      </c>
      <c r="F373" s="4" t="str">
        <f>TEXT(Data!B373,"MMM-YYYY")</f>
        <v>Apr-2023</v>
      </c>
      <c r="G373" s="4" t="str">
        <f t="shared" si="43"/>
        <v>Q1-2023</v>
      </c>
      <c r="H373" t="s">
        <v>52</v>
      </c>
      <c r="I373" t="s">
        <v>122</v>
      </c>
      <c r="J373" t="s">
        <v>326</v>
      </c>
      <c r="K373" t="s">
        <v>39</v>
      </c>
      <c r="L373" t="s">
        <v>55</v>
      </c>
      <c r="M373" t="s">
        <v>49</v>
      </c>
      <c r="N373" t="s">
        <v>42</v>
      </c>
      <c r="O373" t="s">
        <v>845</v>
      </c>
      <c r="P373" s="4">
        <v>1214.49</v>
      </c>
      <c r="Q373" s="7" t="str">
        <f t="shared" si="44"/>
        <v>High</v>
      </c>
      <c r="R373" s="4">
        <v>1533.95</v>
      </c>
      <c r="S373" s="4">
        <v>0</v>
      </c>
      <c r="T373" s="4">
        <v>11</v>
      </c>
      <c r="U373" s="4">
        <f t="shared" si="40"/>
        <v>15891.92</v>
      </c>
      <c r="V373">
        <f t="shared" si="41"/>
        <v>13359.39</v>
      </c>
      <c r="W373" s="4">
        <f t="shared" si="45"/>
        <v>2532.5300000000007</v>
      </c>
      <c r="X373" s="4">
        <f t="shared" si="46"/>
        <v>0.15935959909186559</v>
      </c>
    </row>
    <row r="374" spans="1:24" x14ac:dyDescent="0.3">
      <c r="A374" t="s">
        <v>846</v>
      </c>
      <c r="B374" s="6">
        <v>45022</v>
      </c>
      <c r="C374" s="2">
        <v>45024</v>
      </c>
      <c r="D374" s="4">
        <f t="shared" si="47"/>
        <v>2</v>
      </c>
      <c r="E374" s="46" t="str">
        <f t="shared" si="42"/>
        <v>Yes</v>
      </c>
      <c r="F374" s="4" t="str">
        <f>TEXT(Data!B374,"MMM-YYYY")</f>
        <v>Apr-2025</v>
      </c>
      <c r="G374" s="4" t="str">
        <f t="shared" si="43"/>
        <v>Q2-2023</v>
      </c>
      <c r="H374" t="s">
        <v>16</v>
      </c>
      <c r="I374" t="s">
        <v>25</v>
      </c>
      <c r="J374" t="s">
        <v>67</v>
      </c>
      <c r="K374" t="s">
        <v>62</v>
      </c>
      <c r="L374" t="s">
        <v>40</v>
      </c>
      <c r="M374" t="s">
        <v>95</v>
      </c>
      <c r="N374" t="s">
        <v>64</v>
      </c>
      <c r="O374" t="s">
        <v>847</v>
      </c>
      <c r="P374" s="4">
        <v>720.35</v>
      </c>
      <c r="Q374" s="7" t="str">
        <f t="shared" si="44"/>
        <v>High</v>
      </c>
      <c r="R374" s="4">
        <v>1571.66</v>
      </c>
      <c r="S374" s="4">
        <v>0.107</v>
      </c>
      <c r="T374" s="4">
        <v>23</v>
      </c>
      <c r="U374" s="4">
        <f t="shared" si="40"/>
        <v>59066.056200000006</v>
      </c>
      <c r="V374">
        <f t="shared" si="41"/>
        <v>16568.05</v>
      </c>
      <c r="W374" s="4">
        <f t="shared" si="45"/>
        <v>42498.006200000003</v>
      </c>
      <c r="X374" s="4">
        <f t="shared" si="46"/>
        <v>0.71949964047201787</v>
      </c>
    </row>
    <row r="375" spans="1:24" x14ac:dyDescent="0.3">
      <c r="A375" t="s">
        <v>848</v>
      </c>
      <c r="B375" s="6">
        <v>45751</v>
      </c>
      <c r="C375" s="2">
        <v>45757</v>
      </c>
      <c r="D375" s="4">
        <f t="shared" si="47"/>
        <v>6</v>
      </c>
      <c r="E375" s="46" t="str">
        <f t="shared" si="42"/>
        <v>Yes</v>
      </c>
      <c r="F375" s="4" t="str">
        <f>TEXT(Data!B375,"MMM-YYYY")</f>
        <v>May-2024</v>
      </c>
      <c r="G375" s="4" t="str">
        <f t="shared" si="43"/>
        <v>Q2-2025</v>
      </c>
      <c r="H375" t="s">
        <v>78</v>
      </c>
      <c r="I375" t="s">
        <v>108</v>
      </c>
      <c r="J375" t="s">
        <v>109</v>
      </c>
      <c r="K375" t="s">
        <v>39</v>
      </c>
      <c r="L375" t="s">
        <v>98</v>
      </c>
      <c r="M375" t="s">
        <v>126</v>
      </c>
      <c r="N375" t="s">
        <v>30</v>
      </c>
      <c r="O375" t="s">
        <v>849</v>
      </c>
      <c r="P375" s="4">
        <v>290.14</v>
      </c>
      <c r="Q375" s="7" t="str">
        <f t="shared" si="44"/>
        <v>High</v>
      </c>
      <c r="R375" s="4">
        <v>250.73</v>
      </c>
      <c r="S375" s="4">
        <v>3.4000000000000002E-2</v>
      </c>
      <c r="T375" s="4">
        <v>17</v>
      </c>
      <c r="U375" s="4">
        <f t="shared" si="40"/>
        <v>26958.519419999997</v>
      </c>
      <c r="V375">
        <f t="shared" si="41"/>
        <v>4932.38</v>
      </c>
      <c r="W375" s="4">
        <f t="shared" si="45"/>
        <v>22026.139419999996</v>
      </c>
      <c r="X375" s="4">
        <f t="shared" si="46"/>
        <v>0.81703817174986382</v>
      </c>
    </row>
    <row r="376" spans="1:24" x14ac:dyDescent="0.3">
      <c r="A376" t="s">
        <v>850</v>
      </c>
      <c r="B376" s="6">
        <v>45429</v>
      </c>
      <c r="C376" s="2">
        <v>45439</v>
      </c>
      <c r="D376" s="4">
        <f t="shared" si="47"/>
        <v>10</v>
      </c>
      <c r="E376" s="46" t="b">
        <f t="shared" si="42"/>
        <v>0</v>
      </c>
      <c r="F376" s="4" t="str">
        <f>TEXT(Data!B376,"MMM-YYYY")</f>
        <v>Mar-2024</v>
      </c>
      <c r="G376" s="4" t="str">
        <f t="shared" si="43"/>
        <v>Q2-2024</v>
      </c>
      <c r="H376" t="s">
        <v>52</v>
      </c>
      <c r="I376" t="s">
        <v>122</v>
      </c>
      <c r="J376" t="s">
        <v>326</v>
      </c>
      <c r="K376" t="s">
        <v>39</v>
      </c>
      <c r="L376" t="s">
        <v>28</v>
      </c>
      <c r="M376" t="s">
        <v>21</v>
      </c>
      <c r="N376" t="s">
        <v>42</v>
      </c>
      <c r="O376" t="s">
        <v>851</v>
      </c>
      <c r="P376" s="4">
        <v>1484.23</v>
      </c>
      <c r="Q376" s="7" t="str">
        <f t="shared" si="44"/>
        <v>High</v>
      </c>
      <c r="R376" s="4">
        <v>3472.81</v>
      </c>
      <c r="S376" s="4">
        <v>0.25600000000000001</v>
      </c>
      <c r="T376" s="4">
        <v>12</v>
      </c>
      <c r="U376" s="4">
        <f t="shared" si="40"/>
        <v>11597.65056</v>
      </c>
      <c r="V376">
        <f t="shared" si="41"/>
        <v>17810.760000000002</v>
      </c>
      <c r="W376" s="4">
        <f t="shared" si="45"/>
        <v>-6213.109440000002</v>
      </c>
      <c r="X376" s="4">
        <f t="shared" si="46"/>
        <v>-0.53572138665988589</v>
      </c>
    </row>
    <row r="377" spans="1:24" x14ac:dyDescent="0.3">
      <c r="A377" t="s">
        <v>852</v>
      </c>
      <c r="B377" s="6">
        <v>45354</v>
      </c>
      <c r="C377" s="2">
        <v>45370</v>
      </c>
      <c r="D377" s="4">
        <f t="shared" si="47"/>
        <v>16</v>
      </c>
      <c r="E377" s="46" t="b">
        <f t="shared" si="42"/>
        <v>0</v>
      </c>
      <c r="F377" s="4" t="str">
        <f>TEXT(Data!B377,"MMM-YYYY")</f>
        <v>Jun-2025</v>
      </c>
      <c r="G377" s="4" t="str">
        <f t="shared" si="43"/>
        <v>Q1-2024</v>
      </c>
      <c r="H377" t="s">
        <v>45</v>
      </c>
      <c r="I377" t="s">
        <v>116</v>
      </c>
      <c r="J377" t="s">
        <v>338</v>
      </c>
      <c r="K377" t="s">
        <v>48</v>
      </c>
      <c r="L377" t="s">
        <v>55</v>
      </c>
      <c r="M377" t="s">
        <v>41</v>
      </c>
      <c r="N377" t="s">
        <v>42</v>
      </c>
      <c r="O377" t="s">
        <v>853</v>
      </c>
      <c r="P377" s="4">
        <v>988.83</v>
      </c>
      <c r="Q377" s="7" t="str">
        <f t="shared" si="44"/>
        <v>High</v>
      </c>
      <c r="R377" s="4">
        <v>1206.04</v>
      </c>
      <c r="S377" s="4">
        <v>6.3E-2</v>
      </c>
      <c r="T377" s="4">
        <v>34</v>
      </c>
      <c r="U377" s="4">
        <f t="shared" si="40"/>
        <v>35635.084480000005</v>
      </c>
      <c r="V377">
        <f t="shared" si="41"/>
        <v>33620.22</v>
      </c>
      <c r="W377" s="4">
        <f t="shared" si="45"/>
        <v>2014.8644800000038</v>
      </c>
      <c r="X377" s="4">
        <f t="shared" si="46"/>
        <v>5.6541594033005182E-2</v>
      </c>
    </row>
    <row r="378" spans="1:24" x14ac:dyDescent="0.3">
      <c r="A378" t="s">
        <v>854</v>
      </c>
      <c r="B378" s="6">
        <v>45835</v>
      </c>
      <c r="C378" s="2">
        <v>45849</v>
      </c>
      <c r="D378" s="4">
        <f t="shared" si="47"/>
        <v>14</v>
      </c>
      <c r="E378" s="46" t="b">
        <f t="shared" si="42"/>
        <v>0</v>
      </c>
      <c r="F378" s="4" t="str">
        <f>TEXT(Data!B378,"MMM-YYYY")</f>
        <v>Mar-2023</v>
      </c>
      <c r="G378" s="4" t="str">
        <f t="shared" si="43"/>
        <v>Q2-2025</v>
      </c>
      <c r="H378" t="s">
        <v>45</v>
      </c>
      <c r="I378" t="s">
        <v>116</v>
      </c>
      <c r="J378" t="s">
        <v>162</v>
      </c>
      <c r="K378" t="s">
        <v>62</v>
      </c>
      <c r="L378" t="s">
        <v>40</v>
      </c>
      <c r="M378" t="s">
        <v>49</v>
      </c>
      <c r="N378" t="s">
        <v>35</v>
      </c>
      <c r="O378" t="s">
        <v>855</v>
      </c>
      <c r="P378" s="4">
        <v>1227.7</v>
      </c>
      <c r="Q378" s="7" t="str">
        <f t="shared" si="44"/>
        <v>High</v>
      </c>
      <c r="R378" s="4">
        <v>2197.23</v>
      </c>
      <c r="S378" s="4">
        <v>9.9000000000000005E-2</v>
      </c>
      <c r="T378" s="4">
        <v>22</v>
      </c>
      <c r="U378" s="4">
        <f t="shared" si="40"/>
        <v>23483.321620000002</v>
      </c>
      <c r="V378">
        <f t="shared" si="41"/>
        <v>27009.4</v>
      </c>
      <c r="W378" s="4">
        <f t="shared" si="45"/>
        <v>-3526.078379999999</v>
      </c>
      <c r="X378" s="4">
        <f t="shared" si="46"/>
        <v>-0.15015245445503542</v>
      </c>
    </row>
    <row r="379" spans="1:24" x14ac:dyDescent="0.3">
      <c r="A379" t="s">
        <v>856</v>
      </c>
      <c r="B379" s="6">
        <v>44998</v>
      </c>
      <c r="C379" s="2">
        <v>45020</v>
      </c>
      <c r="D379" s="4">
        <f t="shared" si="47"/>
        <v>22</v>
      </c>
      <c r="E379" s="46" t="b">
        <f t="shared" si="42"/>
        <v>0</v>
      </c>
      <c r="F379" s="4" t="str">
        <f>TEXT(Data!B379,"MMM-YYYY")</f>
        <v>Jan-2025</v>
      </c>
      <c r="G379" s="4" t="str">
        <f t="shared" si="43"/>
        <v>Q1-2023</v>
      </c>
      <c r="H379" t="s">
        <v>16</v>
      </c>
      <c r="I379" t="s">
        <v>148</v>
      </c>
      <c r="J379" t="s">
        <v>172</v>
      </c>
      <c r="K379" t="s">
        <v>62</v>
      </c>
      <c r="L379" t="s">
        <v>20</v>
      </c>
      <c r="M379" t="s">
        <v>75</v>
      </c>
      <c r="N379" t="s">
        <v>22</v>
      </c>
      <c r="O379" t="s">
        <v>857</v>
      </c>
      <c r="P379" s="4">
        <v>1113.7</v>
      </c>
      <c r="Q379" s="7" t="str">
        <f t="shared" si="44"/>
        <v>High</v>
      </c>
      <c r="R379" s="4">
        <v>1620.6</v>
      </c>
      <c r="S379" s="4">
        <v>0.13900000000000001</v>
      </c>
      <c r="T379" s="4">
        <v>11</v>
      </c>
      <c r="U379" s="4">
        <f t="shared" si="40"/>
        <v>11379.122369999999</v>
      </c>
      <c r="V379">
        <f t="shared" si="41"/>
        <v>12250.7</v>
      </c>
      <c r="W379" s="4">
        <f t="shared" si="45"/>
        <v>-871.57763000000159</v>
      </c>
      <c r="X379" s="4">
        <f t="shared" si="46"/>
        <v>-7.6594450930401736E-2</v>
      </c>
    </row>
    <row r="380" spans="1:24" x14ac:dyDescent="0.3">
      <c r="A380" t="s">
        <v>858</v>
      </c>
      <c r="B380" s="6">
        <v>45664</v>
      </c>
      <c r="C380" s="2">
        <v>45677</v>
      </c>
      <c r="D380" s="4">
        <f t="shared" si="47"/>
        <v>13</v>
      </c>
      <c r="E380" s="46" t="b">
        <f t="shared" si="42"/>
        <v>0</v>
      </c>
      <c r="F380" s="4" t="str">
        <f>TEXT(Data!B380,"MMM-YYYY")</f>
        <v>Feb-2025</v>
      </c>
      <c r="G380" s="4" t="str">
        <f t="shared" si="43"/>
        <v>Q1-2025</v>
      </c>
      <c r="H380" t="s">
        <v>16</v>
      </c>
      <c r="I380" t="s">
        <v>148</v>
      </c>
      <c r="J380" t="s">
        <v>258</v>
      </c>
      <c r="K380" t="s">
        <v>19</v>
      </c>
      <c r="L380" t="s">
        <v>98</v>
      </c>
      <c r="M380" t="s">
        <v>95</v>
      </c>
      <c r="N380" t="s">
        <v>35</v>
      </c>
      <c r="O380" t="s">
        <v>859</v>
      </c>
      <c r="P380" s="4">
        <v>432.13</v>
      </c>
      <c r="Q380" s="7" t="str">
        <f t="shared" si="44"/>
        <v>High</v>
      </c>
      <c r="R380" s="4">
        <v>1034.6600000000001</v>
      </c>
      <c r="S380" s="4">
        <v>9.1999999999999998E-2</v>
      </c>
      <c r="T380" s="4">
        <v>7</v>
      </c>
      <c r="U380" s="4">
        <f t="shared" si="40"/>
        <v>5599.5724400000008</v>
      </c>
      <c r="V380">
        <f t="shared" si="41"/>
        <v>3024.91</v>
      </c>
      <c r="W380" s="4">
        <f t="shared" si="45"/>
        <v>2574.662440000001</v>
      </c>
      <c r="X380" s="4">
        <f t="shared" si="46"/>
        <v>0.45979625544410324</v>
      </c>
    </row>
    <row r="381" spans="1:24" x14ac:dyDescent="0.3">
      <c r="A381" t="s">
        <v>860</v>
      </c>
      <c r="B381" s="6">
        <v>45694</v>
      </c>
      <c r="C381" s="2">
        <v>45703</v>
      </c>
      <c r="D381" s="4">
        <f t="shared" si="47"/>
        <v>9</v>
      </c>
      <c r="E381" s="46" t="b">
        <f t="shared" si="42"/>
        <v>0</v>
      </c>
      <c r="F381" s="4" t="str">
        <f>TEXT(Data!B381,"MMM-YYYY")</f>
        <v>Jan-2025</v>
      </c>
      <c r="G381" s="4" t="str">
        <f t="shared" si="43"/>
        <v>Q1-2025</v>
      </c>
      <c r="H381" t="s">
        <v>52</v>
      </c>
      <c r="I381" t="s">
        <v>73</v>
      </c>
      <c r="J381" t="s">
        <v>74</v>
      </c>
      <c r="K381" t="s">
        <v>39</v>
      </c>
      <c r="L381" t="s">
        <v>55</v>
      </c>
      <c r="M381" t="s">
        <v>84</v>
      </c>
      <c r="N381" t="s">
        <v>35</v>
      </c>
      <c r="O381" t="s">
        <v>861</v>
      </c>
      <c r="P381" s="4">
        <v>837.39</v>
      </c>
      <c r="Q381" s="7" t="str">
        <f t="shared" si="44"/>
        <v>High</v>
      </c>
      <c r="R381" s="4">
        <v>1905.42</v>
      </c>
      <c r="S381" s="4">
        <v>3.2000000000000001E-2</v>
      </c>
      <c r="T381" s="4">
        <v>18</v>
      </c>
      <c r="U381" s="4">
        <f t="shared" si="40"/>
        <v>35734.358879999992</v>
      </c>
      <c r="V381">
        <f t="shared" si="41"/>
        <v>15073.02</v>
      </c>
      <c r="W381" s="4">
        <f t="shared" si="45"/>
        <v>20661.338879999992</v>
      </c>
      <c r="X381" s="4">
        <f t="shared" si="46"/>
        <v>0.57819251632254265</v>
      </c>
    </row>
    <row r="382" spans="1:24" x14ac:dyDescent="0.3">
      <c r="A382" t="s">
        <v>862</v>
      </c>
      <c r="B382" s="6">
        <v>45688</v>
      </c>
      <c r="C382" s="2">
        <v>45705</v>
      </c>
      <c r="D382" s="4">
        <f t="shared" si="47"/>
        <v>17</v>
      </c>
      <c r="E382" s="46" t="b">
        <f t="shared" si="42"/>
        <v>0</v>
      </c>
      <c r="F382" s="4" t="str">
        <f>TEXT(Data!B382,"MMM-YYYY")</f>
        <v>Aug-2025</v>
      </c>
      <c r="G382" s="4" t="str">
        <f t="shared" si="43"/>
        <v>Q1-2025</v>
      </c>
      <c r="H382" t="s">
        <v>78</v>
      </c>
      <c r="I382" t="s">
        <v>108</v>
      </c>
      <c r="J382" t="s">
        <v>152</v>
      </c>
      <c r="K382" t="s">
        <v>105</v>
      </c>
      <c r="L382" t="s">
        <v>20</v>
      </c>
      <c r="M382" t="s">
        <v>92</v>
      </c>
      <c r="N382" t="s">
        <v>22</v>
      </c>
      <c r="O382" t="s">
        <v>254</v>
      </c>
      <c r="P382" s="4">
        <v>378.26</v>
      </c>
      <c r="Q382" s="7" t="str">
        <f t="shared" si="44"/>
        <v>High</v>
      </c>
      <c r="R382" s="4">
        <v>541.55999999999995</v>
      </c>
      <c r="S382" s="4">
        <v>0.16300000000000001</v>
      </c>
      <c r="T382" s="4">
        <v>25</v>
      </c>
      <c r="U382" s="4">
        <f t="shared" si="40"/>
        <v>36365.557499999995</v>
      </c>
      <c r="V382">
        <f t="shared" si="41"/>
        <v>9456.5</v>
      </c>
      <c r="W382" s="4">
        <f t="shared" si="45"/>
        <v>26909.057499999995</v>
      </c>
      <c r="X382" s="4">
        <f t="shared" si="46"/>
        <v>0.73995998823887132</v>
      </c>
    </row>
    <row r="383" spans="1:24" x14ac:dyDescent="0.3">
      <c r="A383" t="s">
        <v>863</v>
      </c>
      <c r="B383" s="6">
        <v>45876</v>
      </c>
      <c r="C383" s="2">
        <v>45906</v>
      </c>
      <c r="D383" s="4">
        <f t="shared" si="47"/>
        <v>30</v>
      </c>
      <c r="E383" s="46" t="b">
        <f t="shared" si="42"/>
        <v>0</v>
      </c>
      <c r="F383" s="4" t="str">
        <f>TEXT(Data!B383,"MMM-YYYY")</f>
        <v>Jul-2025</v>
      </c>
      <c r="G383" s="4" t="str">
        <f t="shared" si="43"/>
        <v>Q3-2025</v>
      </c>
      <c r="H383" t="s">
        <v>52</v>
      </c>
      <c r="I383" t="s">
        <v>53</v>
      </c>
      <c r="J383" t="s">
        <v>144</v>
      </c>
      <c r="K383" t="s">
        <v>27</v>
      </c>
      <c r="L383" t="s">
        <v>98</v>
      </c>
      <c r="M383" t="s">
        <v>110</v>
      </c>
      <c r="N383" t="s">
        <v>35</v>
      </c>
      <c r="O383" t="s">
        <v>864</v>
      </c>
      <c r="P383" s="4">
        <v>833.73</v>
      </c>
      <c r="Q383" s="7" t="str">
        <f t="shared" si="44"/>
        <v>High</v>
      </c>
      <c r="R383" s="4">
        <v>1116.5999999999999</v>
      </c>
      <c r="S383" s="4">
        <v>0.17599999999999999</v>
      </c>
      <c r="T383" s="4">
        <v>14</v>
      </c>
      <c r="U383" s="4">
        <f t="shared" si="40"/>
        <v>16015.544160000001</v>
      </c>
      <c r="V383">
        <f t="shared" si="41"/>
        <v>11672.220000000001</v>
      </c>
      <c r="W383" s="4">
        <f t="shared" si="45"/>
        <v>4343.3241600000001</v>
      </c>
      <c r="X383" s="4">
        <f t="shared" si="46"/>
        <v>0.27119429203334666</v>
      </c>
    </row>
    <row r="384" spans="1:24" x14ac:dyDescent="0.3">
      <c r="A384" t="s">
        <v>865</v>
      </c>
      <c r="B384" s="6">
        <v>45861</v>
      </c>
      <c r="C384" s="2">
        <v>45886</v>
      </c>
      <c r="D384" s="4">
        <f t="shared" si="47"/>
        <v>25</v>
      </c>
      <c r="E384" s="46" t="b">
        <f t="shared" si="42"/>
        <v>0</v>
      </c>
      <c r="F384" s="4" t="str">
        <f>TEXT(Data!B384,"MMM-YYYY")</f>
        <v>Jun-2023</v>
      </c>
      <c r="G384" s="4" t="str">
        <f t="shared" si="43"/>
        <v>Q3-2025</v>
      </c>
      <c r="H384" t="s">
        <v>78</v>
      </c>
      <c r="I384" t="s">
        <v>108</v>
      </c>
      <c r="J384" t="s">
        <v>109</v>
      </c>
      <c r="K384" t="s">
        <v>27</v>
      </c>
      <c r="L384" t="s">
        <v>28</v>
      </c>
      <c r="M384" t="s">
        <v>34</v>
      </c>
      <c r="N384" t="s">
        <v>30</v>
      </c>
      <c r="O384" t="s">
        <v>866</v>
      </c>
      <c r="P384" s="4">
        <v>1142.06</v>
      </c>
      <c r="Q384" s="7" t="str">
        <f t="shared" si="44"/>
        <v>High</v>
      </c>
      <c r="R384" s="4">
        <v>1455</v>
      </c>
      <c r="S384" s="4">
        <v>7.8E-2</v>
      </c>
      <c r="T384" s="4">
        <v>28</v>
      </c>
      <c r="U384" s="4">
        <f t="shared" si="40"/>
        <v>13660.278240000001</v>
      </c>
      <c r="V384">
        <f t="shared" si="41"/>
        <v>31977.68</v>
      </c>
      <c r="W384" s="4">
        <f t="shared" si="45"/>
        <v>-18317.401760000001</v>
      </c>
      <c r="X384" s="4">
        <f t="shared" si="46"/>
        <v>-1.3409244993533893</v>
      </c>
    </row>
    <row r="385" spans="1:24" x14ac:dyDescent="0.3">
      <c r="A385" t="s">
        <v>867</v>
      </c>
      <c r="B385" s="6">
        <v>45097</v>
      </c>
      <c r="C385" s="2">
        <v>45115</v>
      </c>
      <c r="D385" s="4">
        <f t="shared" si="47"/>
        <v>18</v>
      </c>
      <c r="E385" s="46" t="b">
        <f t="shared" si="42"/>
        <v>0</v>
      </c>
      <c r="F385" s="4" t="str">
        <f>TEXT(Data!B385,"MMM-YYYY")</f>
        <v>Jul-2024</v>
      </c>
      <c r="G385" s="4" t="str">
        <f t="shared" si="43"/>
        <v>Q2-2023</v>
      </c>
      <c r="H385" t="s">
        <v>52</v>
      </c>
      <c r="I385" t="s">
        <v>122</v>
      </c>
      <c r="J385" t="s">
        <v>387</v>
      </c>
      <c r="K385" t="s">
        <v>48</v>
      </c>
      <c r="L385" t="s">
        <v>40</v>
      </c>
      <c r="M385" t="s">
        <v>68</v>
      </c>
      <c r="N385" t="s">
        <v>35</v>
      </c>
      <c r="O385" t="s">
        <v>868</v>
      </c>
      <c r="P385" s="4">
        <v>1145.53</v>
      </c>
      <c r="Q385" s="7" t="str">
        <f t="shared" si="44"/>
        <v>High</v>
      </c>
      <c r="R385" s="4">
        <v>1278.3</v>
      </c>
      <c r="S385" s="4">
        <v>0.09</v>
      </c>
      <c r="T385" s="4">
        <v>41</v>
      </c>
      <c r="U385" s="4">
        <f t="shared" si="40"/>
        <v>73589.497799999997</v>
      </c>
      <c r="V385">
        <f t="shared" si="41"/>
        <v>46966.729999999996</v>
      </c>
      <c r="W385" s="4">
        <f t="shared" si="45"/>
        <v>26622.767800000001</v>
      </c>
      <c r="X385" s="4">
        <f t="shared" si="46"/>
        <v>0.36177401118234026</v>
      </c>
    </row>
    <row r="386" spans="1:24" x14ac:dyDescent="0.3">
      <c r="A386" t="s">
        <v>869</v>
      </c>
      <c r="B386" s="6">
        <v>45491</v>
      </c>
      <c r="C386" s="2">
        <v>45511</v>
      </c>
      <c r="D386" s="4">
        <f t="shared" si="47"/>
        <v>20</v>
      </c>
      <c r="E386" s="46" t="b">
        <f t="shared" si="42"/>
        <v>0</v>
      </c>
      <c r="F386" s="4" t="str">
        <f>TEXT(Data!B386,"MMM-YYYY")</f>
        <v>May-2023</v>
      </c>
      <c r="G386" s="4" t="str">
        <f t="shared" si="43"/>
        <v>Q3-2024</v>
      </c>
      <c r="H386" t="s">
        <v>78</v>
      </c>
      <c r="I386" t="s">
        <v>90</v>
      </c>
      <c r="J386" t="s">
        <v>91</v>
      </c>
      <c r="K386" t="s">
        <v>19</v>
      </c>
      <c r="L386" t="s">
        <v>20</v>
      </c>
      <c r="M386" t="s">
        <v>84</v>
      </c>
      <c r="N386" t="s">
        <v>64</v>
      </c>
      <c r="O386" t="s">
        <v>870</v>
      </c>
      <c r="P386" s="4">
        <v>941.35</v>
      </c>
      <c r="Q386" s="7" t="str">
        <f t="shared" si="44"/>
        <v>High</v>
      </c>
      <c r="R386" s="4">
        <v>899.83</v>
      </c>
      <c r="S386" s="4">
        <v>5.8000000000000003E-2</v>
      </c>
      <c r="T386" s="4">
        <v>18</v>
      </c>
      <c r="U386" s="4">
        <f t="shared" ref="U386:U449" si="48">(R412*T386)*(1-S386)</f>
        <v>14867.190359999997</v>
      </c>
      <c r="V386">
        <f t="shared" ref="V386:V449" si="49">(P386*T386)</f>
        <v>16944.3</v>
      </c>
      <c r="W386" s="4">
        <f t="shared" si="45"/>
        <v>-2077.1096400000024</v>
      </c>
      <c r="X386" s="4">
        <f t="shared" si="46"/>
        <v>-0.13971097360725546</v>
      </c>
    </row>
    <row r="387" spans="1:24" x14ac:dyDescent="0.3">
      <c r="A387" t="s">
        <v>871</v>
      </c>
      <c r="B387" s="6">
        <v>45066</v>
      </c>
      <c r="C387" s="2">
        <v>45096</v>
      </c>
      <c r="D387" s="4">
        <f t="shared" si="47"/>
        <v>30</v>
      </c>
      <c r="E387" s="46" t="b">
        <f t="shared" ref="E387:E450" si="50">IF(D387&lt;=7, "Yes")</f>
        <v>0</v>
      </c>
      <c r="F387" s="4" t="str">
        <f>TEXT(Data!B387,"MMM-YYYY")</f>
        <v>May-2025</v>
      </c>
      <c r="G387" s="4" t="str">
        <f t="shared" ref="G387:G450" si="51">"Q"&amp;ROUNDUP(MONTH(B387)/3,0)&amp;"-"&amp;YEAR(B387)</f>
        <v>Q2-2023</v>
      </c>
      <c r="H387" t="s">
        <v>45</v>
      </c>
      <c r="I387" t="s">
        <v>60</v>
      </c>
      <c r="J387" t="s">
        <v>141</v>
      </c>
      <c r="K387" t="s">
        <v>39</v>
      </c>
      <c r="L387" t="s">
        <v>40</v>
      </c>
      <c r="M387" t="s">
        <v>92</v>
      </c>
      <c r="N387" t="s">
        <v>57</v>
      </c>
      <c r="O387" t="s">
        <v>872</v>
      </c>
      <c r="P387" s="4">
        <v>1161.2</v>
      </c>
      <c r="Q387" s="7" t="str">
        <f t="shared" ref="Q387:Q450" si="52">IF(R387&lt;50, "Low", IF(R387&lt;200, "Medium", "High"))</f>
        <v>High</v>
      </c>
      <c r="R387" s="4">
        <v>878.73</v>
      </c>
      <c r="S387" s="4">
        <v>0.19</v>
      </c>
      <c r="T387" s="4">
        <v>31</v>
      </c>
      <c r="U387" s="4">
        <f t="shared" si="48"/>
        <v>20697.168600000001</v>
      </c>
      <c r="V387">
        <f t="shared" si="49"/>
        <v>35997.200000000004</v>
      </c>
      <c r="W387" s="4">
        <f t="shared" ref="W387:W450" si="53">(U387-V387)</f>
        <v>-15300.031400000003</v>
      </c>
      <c r="X387" s="4">
        <f t="shared" ref="X387:X450" si="54">IF(U387=0, 0, W387/U387)</f>
        <v>-0.73923306591801174</v>
      </c>
    </row>
    <row r="388" spans="1:24" x14ac:dyDescent="0.3">
      <c r="A388" t="s">
        <v>873</v>
      </c>
      <c r="B388" s="6">
        <v>45789</v>
      </c>
      <c r="C388" s="2">
        <v>45803</v>
      </c>
      <c r="D388" s="4">
        <f t="shared" si="47"/>
        <v>14</v>
      </c>
      <c r="E388" s="46" t="b">
        <f t="shared" si="50"/>
        <v>0</v>
      </c>
      <c r="F388" s="4" t="str">
        <f>TEXT(Data!B388,"MMM-YYYY")</f>
        <v>May-2024</v>
      </c>
      <c r="G388" s="4" t="str">
        <f t="shared" si="51"/>
        <v>Q2-2025</v>
      </c>
      <c r="H388" t="s">
        <v>45</v>
      </c>
      <c r="I388" t="s">
        <v>60</v>
      </c>
      <c r="J388" t="s">
        <v>281</v>
      </c>
      <c r="K388" t="s">
        <v>19</v>
      </c>
      <c r="L388" t="s">
        <v>40</v>
      </c>
      <c r="M388" t="s">
        <v>41</v>
      </c>
      <c r="N388" t="s">
        <v>30</v>
      </c>
      <c r="O388" t="s">
        <v>874</v>
      </c>
      <c r="P388" s="4">
        <v>320.12</v>
      </c>
      <c r="Q388" s="7" t="str">
        <f t="shared" si="52"/>
        <v>High</v>
      </c>
      <c r="R388" s="4">
        <v>594.41999999999996</v>
      </c>
      <c r="S388" s="4">
        <v>0.104</v>
      </c>
      <c r="T388" s="4">
        <v>18</v>
      </c>
      <c r="U388" s="4">
        <f t="shared" si="48"/>
        <v>18697.996800000001</v>
      </c>
      <c r="V388">
        <f t="shared" si="49"/>
        <v>5762.16</v>
      </c>
      <c r="W388" s="4">
        <f t="shared" si="53"/>
        <v>12935.836800000001</v>
      </c>
      <c r="X388" s="4">
        <f t="shared" si="54"/>
        <v>0.69183008952060576</v>
      </c>
    </row>
    <row r="389" spans="1:24" x14ac:dyDescent="0.3">
      <c r="A389" t="s">
        <v>875</v>
      </c>
      <c r="B389" s="6">
        <v>45419</v>
      </c>
      <c r="C389" s="2">
        <v>45424</v>
      </c>
      <c r="D389" s="4">
        <f t="shared" ref="D389:D451" si="55">DATEDIF(B389,C389, "MD")</f>
        <v>5</v>
      </c>
      <c r="E389" s="46" t="str">
        <f t="shared" si="50"/>
        <v>Yes</v>
      </c>
      <c r="F389" s="4" t="str">
        <f>TEXT(Data!B389,"MMM-YYYY")</f>
        <v>Sep-2023</v>
      </c>
      <c r="G389" s="4" t="str">
        <f t="shared" si="51"/>
        <v>Q2-2024</v>
      </c>
      <c r="H389" t="s">
        <v>16</v>
      </c>
      <c r="I389" t="s">
        <v>25</v>
      </c>
      <c r="J389" t="s">
        <v>67</v>
      </c>
      <c r="K389" t="s">
        <v>39</v>
      </c>
      <c r="L389" t="s">
        <v>55</v>
      </c>
      <c r="M389" t="s">
        <v>49</v>
      </c>
      <c r="N389" t="s">
        <v>57</v>
      </c>
      <c r="O389" t="s">
        <v>876</v>
      </c>
      <c r="P389" s="4">
        <v>1163.99</v>
      </c>
      <c r="Q389" s="7" t="str">
        <f t="shared" si="52"/>
        <v>High</v>
      </c>
      <c r="R389" s="4">
        <v>1617.85</v>
      </c>
      <c r="S389" s="4">
        <v>0.127</v>
      </c>
      <c r="T389" s="4">
        <v>14</v>
      </c>
      <c r="U389" s="4">
        <f t="shared" si="48"/>
        <v>30720.11922</v>
      </c>
      <c r="V389">
        <f t="shared" si="49"/>
        <v>16295.86</v>
      </c>
      <c r="W389" s="4">
        <f t="shared" si="53"/>
        <v>14424.25922</v>
      </c>
      <c r="X389" s="4">
        <f t="shared" si="54"/>
        <v>0.4695378659406127</v>
      </c>
    </row>
    <row r="390" spans="1:24" x14ac:dyDescent="0.3">
      <c r="A390" t="s">
        <v>877</v>
      </c>
      <c r="B390" s="6">
        <v>45199</v>
      </c>
      <c r="C390" s="2">
        <v>45202</v>
      </c>
      <c r="D390" s="4">
        <f t="shared" si="55"/>
        <v>3</v>
      </c>
      <c r="E390" s="46" t="str">
        <f t="shared" si="50"/>
        <v>Yes</v>
      </c>
      <c r="F390" s="4" t="str">
        <f>TEXT(Data!B390,"MMM-YYYY")</f>
        <v>Oct-2023</v>
      </c>
      <c r="G390" s="4" t="str">
        <f t="shared" si="51"/>
        <v>Q3-2023</v>
      </c>
      <c r="H390" t="s">
        <v>45</v>
      </c>
      <c r="I390" t="s">
        <v>116</v>
      </c>
      <c r="J390" t="s">
        <v>338</v>
      </c>
      <c r="K390" t="s">
        <v>39</v>
      </c>
      <c r="L390" t="s">
        <v>20</v>
      </c>
      <c r="M390" t="s">
        <v>29</v>
      </c>
      <c r="N390" t="s">
        <v>57</v>
      </c>
      <c r="O390" t="s">
        <v>878</v>
      </c>
      <c r="P390" s="4">
        <v>1019.36</v>
      </c>
      <c r="Q390" s="7" t="str">
        <f t="shared" si="52"/>
        <v>High</v>
      </c>
      <c r="R390" s="4">
        <v>972.91</v>
      </c>
      <c r="S390" s="4">
        <v>0.14699999999999999</v>
      </c>
      <c r="T390" s="4">
        <v>17</v>
      </c>
      <c r="U390" s="4">
        <f t="shared" si="48"/>
        <v>44766.472129999995</v>
      </c>
      <c r="V390">
        <f t="shared" si="49"/>
        <v>17329.12</v>
      </c>
      <c r="W390" s="4">
        <f t="shared" si="53"/>
        <v>27437.352129999996</v>
      </c>
      <c r="X390" s="4">
        <f t="shared" si="54"/>
        <v>0.61289958365097552</v>
      </c>
    </row>
    <row r="391" spans="1:24" x14ac:dyDescent="0.3">
      <c r="A391" t="s">
        <v>879</v>
      </c>
      <c r="B391" s="6">
        <v>45225</v>
      </c>
      <c r="C391" s="2">
        <v>45235</v>
      </c>
      <c r="D391" s="4">
        <f t="shared" si="55"/>
        <v>10</v>
      </c>
      <c r="E391" s="46" t="b">
        <f t="shared" si="50"/>
        <v>0</v>
      </c>
      <c r="F391" s="4" t="str">
        <f>TEXT(Data!B391,"MMM-YYYY")</f>
        <v>Jun-2025</v>
      </c>
      <c r="G391" s="4" t="str">
        <f t="shared" si="51"/>
        <v>Q4-2023</v>
      </c>
      <c r="H391" t="s">
        <v>16</v>
      </c>
      <c r="I391" t="s">
        <v>148</v>
      </c>
      <c r="J391" t="s">
        <v>258</v>
      </c>
      <c r="K391" t="s">
        <v>39</v>
      </c>
      <c r="L391" t="s">
        <v>28</v>
      </c>
      <c r="M391" t="s">
        <v>34</v>
      </c>
      <c r="N391" t="s">
        <v>57</v>
      </c>
      <c r="O391" t="s">
        <v>880</v>
      </c>
      <c r="P391" s="4">
        <v>20.38</v>
      </c>
      <c r="Q391" s="7" t="str">
        <f t="shared" si="52"/>
        <v>Low</v>
      </c>
      <c r="R391" s="4">
        <v>42.56</v>
      </c>
      <c r="S391" s="4">
        <v>7.1999999999999995E-2</v>
      </c>
      <c r="T391" s="4">
        <v>11</v>
      </c>
      <c r="U391" s="4">
        <f t="shared" si="48"/>
        <v>27736.667200000004</v>
      </c>
      <c r="V391">
        <f t="shared" si="49"/>
        <v>224.17999999999998</v>
      </c>
      <c r="W391" s="4">
        <f t="shared" si="53"/>
        <v>27512.487200000003</v>
      </c>
      <c r="X391" s="4">
        <f t="shared" si="54"/>
        <v>0.99191755814123195</v>
      </c>
    </row>
    <row r="392" spans="1:24" x14ac:dyDescent="0.3">
      <c r="A392" t="s">
        <v>881</v>
      </c>
      <c r="B392" s="6">
        <v>45823</v>
      </c>
      <c r="C392" s="2">
        <v>45838</v>
      </c>
      <c r="D392" s="4">
        <f t="shared" si="55"/>
        <v>15</v>
      </c>
      <c r="E392" s="46" t="b">
        <f t="shared" si="50"/>
        <v>0</v>
      </c>
      <c r="F392" s="4" t="str">
        <f>TEXT(Data!B392,"MMM-YYYY")</f>
        <v>Aug-2024</v>
      </c>
      <c r="G392" s="4" t="str">
        <f t="shared" si="51"/>
        <v>Q2-2025</v>
      </c>
      <c r="H392" t="s">
        <v>16</v>
      </c>
      <c r="I392" t="s">
        <v>148</v>
      </c>
      <c r="J392" t="s">
        <v>149</v>
      </c>
      <c r="K392" t="s">
        <v>62</v>
      </c>
      <c r="L392" t="s">
        <v>98</v>
      </c>
      <c r="M392" t="s">
        <v>21</v>
      </c>
      <c r="N392" t="s">
        <v>64</v>
      </c>
      <c r="O392" t="s">
        <v>882</v>
      </c>
      <c r="P392" s="4">
        <v>1487.59</v>
      </c>
      <c r="Q392" s="7" t="str">
        <f t="shared" si="52"/>
        <v>High</v>
      </c>
      <c r="R392" s="4">
        <v>1480.83</v>
      </c>
      <c r="S392" s="4">
        <v>8.9999999999999993E-3</v>
      </c>
      <c r="T392" s="4">
        <v>11</v>
      </c>
      <c r="U392" s="4">
        <f t="shared" si="48"/>
        <v>9830.4127899999985</v>
      </c>
      <c r="V392">
        <f t="shared" si="49"/>
        <v>16363.49</v>
      </c>
      <c r="W392" s="4">
        <f t="shared" si="53"/>
        <v>-6533.0772100000013</v>
      </c>
      <c r="X392" s="4">
        <f t="shared" si="54"/>
        <v>-0.66457811584939586</v>
      </c>
    </row>
    <row r="393" spans="1:24" x14ac:dyDescent="0.3">
      <c r="A393" t="s">
        <v>883</v>
      </c>
      <c r="B393" s="6">
        <v>45514</v>
      </c>
      <c r="C393" s="2">
        <v>45542</v>
      </c>
      <c r="D393" s="4">
        <f t="shared" si="55"/>
        <v>28</v>
      </c>
      <c r="E393" s="46" t="b">
        <f t="shared" si="50"/>
        <v>0</v>
      </c>
      <c r="F393" s="4" t="str">
        <f>TEXT(Data!B393,"MMM-YYYY")</f>
        <v>Oct-2023</v>
      </c>
      <c r="G393" s="4" t="str">
        <f t="shared" si="51"/>
        <v>Q3-2024</v>
      </c>
      <c r="H393" t="s">
        <v>78</v>
      </c>
      <c r="I393" t="s">
        <v>90</v>
      </c>
      <c r="J393" t="s">
        <v>91</v>
      </c>
      <c r="K393" t="s">
        <v>39</v>
      </c>
      <c r="L393" t="s">
        <v>98</v>
      </c>
      <c r="M393" t="s">
        <v>84</v>
      </c>
      <c r="N393" t="s">
        <v>30</v>
      </c>
      <c r="O393" t="s">
        <v>884</v>
      </c>
      <c r="P393" s="4">
        <v>229.96</v>
      </c>
      <c r="Q393" s="7" t="str">
        <f t="shared" si="52"/>
        <v>High</v>
      </c>
      <c r="R393" s="4">
        <v>564.26</v>
      </c>
      <c r="S393" s="4">
        <v>0.105</v>
      </c>
      <c r="T393" s="4">
        <v>5</v>
      </c>
      <c r="U393" s="4">
        <f t="shared" si="48"/>
        <v>3562.7712500000002</v>
      </c>
      <c r="V393">
        <f t="shared" si="49"/>
        <v>1149.8</v>
      </c>
      <c r="W393" s="4">
        <f t="shared" si="53"/>
        <v>2412.9712500000005</v>
      </c>
      <c r="X393" s="4">
        <f t="shared" si="54"/>
        <v>0.67727369530109471</v>
      </c>
    </row>
    <row r="394" spans="1:24" x14ac:dyDescent="0.3">
      <c r="A394" t="s">
        <v>885</v>
      </c>
      <c r="B394" s="6">
        <v>45208</v>
      </c>
      <c r="C394" s="2">
        <v>45225</v>
      </c>
      <c r="D394" s="4">
        <f t="shared" si="55"/>
        <v>17</v>
      </c>
      <c r="E394" s="46" t="b">
        <f t="shared" si="50"/>
        <v>0</v>
      </c>
      <c r="F394" s="4" t="str">
        <f>TEXT(Data!B394,"MMM-YYYY")</f>
        <v>Mar-2024</v>
      </c>
      <c r="G394" s="4" t="str">
        <f t="shared" si="51"/>
        <v>Q4-2023</v>
      </c>
      <c r="H394" t="s">
        <v>45</v>
      </c>
      <c r="I394" t="s">
        <v>116</v>
      </c>
      <c r="J394" t="s">
        <v>162</v>
      </c>
      <c r="K394" t="s">
        <v>48</v>
      </c>
      <c r="L394" t="s">
        <v>40</v>
      </c>
      <c r="M394" t="s">
        <v>21</v>
      </c>
      <c r="N394" t="s">
        <v>22</v>
      </c>
      <c r="O394" t="s">
        <v>886</v>
      </c>
      <c r="P394" s="4">
        <v>1132.03</v>
      </c>
      <c r="Q394" s="7" t="str">
        <f t="shared" si="52"/>
        <v>High</v>
      </c>
      <c r="R394" s="4">
        <v>2137.21</v>
      </c>
      <c r="S394" s="4">
        <v>0.35699999999999998</v>
      </c>
      <c r="T394" s="4">
        <v>35</v>
      </c>
      <c r="U394" s="4">
        <f t="shared" si="48"/>
        <v>3551.7390999999998</v>
      </c>
      <c r="V394">
        <f t="shared" si="49"/>
        <v>39621.049999999996</v>
      </c>
      <c r="W394" s="4">
        <f t="shared" si="53"/>
        <v>-36069.310899999997</v>
      </c>
      <c r="X394" s="4">
        <f t="shared" si="54"/>
        <v>-10.155394268683755</v>
      </c>
    </row>
    <row r="395" spans="1:24" x14ac:dyDescent="0.3">
      <c r="A395" t="s">
        <v>887</v>
      </c>
      <c r="B395" s="6">
        <v>45360</v>
      </c>
      <c r="C395" s="2">
        <v>45377</v>
      </c>
      <c r="D395" s="4">
        <f t="shared" si="55"/>
        <v>17</v>
      </c>
      <c r="E395" s="46" t="b">
        <f t="shared" si="50"/>
        <v>0</v>
      </c>
      <c r="F395" s="4" t="str">
        <f>TEXT(Data!B395,"MMM-YYYY")</f>
        <v>May-2023</v>
      </c>
      <c r="G395" s="4" t="str">
        <f t="shared" si="51"/>
        <v>Q1-2024</v>
      </c>
      <c r="H395" t="s">
        <v>52</v>
      </c>
      <c r="I395" t="s">
        <v>122</v>
      </c>
      <c r="J395" t="s">
        <v>167</v>
      </c>
      <c r="K395" t="s">
        <v>27</v>
      </c>
      <c r="L395" t="s">
        <v>98</v>
      </c>
      <c r="M395" t="s">
        <v>34</v>
      </c>
      <c r="N395" t="s">
        <v>42</v>
      </c>
      <c r="O395" t="s">
        <v>888</v>
      </c>
      <c r="P395" s="4">
        <v>1137.4100000000001</v>
      </c>
      <c r="Q395" s="7" t="str">
        <f t="shared" si="52"/>
        <v>High</v>
      </c>
      <c r="R395" s="4">
        <v>1680.93</v>
      </c>
      <c r="S395" s="4">
        <v>0.254</v>
      </c>
      <c r="T395" s="4">
        <v>9</v>
      </c>
      <c r="U395" s="4">
        <f t="shared" si="48"/>
        <v>5499.1688399999994</v>
      </c>
      <c r="V395">
        <f t="shared" si="49"/>
        <v>10236.69</v>
      </c>
      <c r="W395" s="4">
        <f t="shared" si="53"/>
        <v>-4737.5211600000011</v>
      </c>
      <c r="X395" s="4">
        <f t="shared" si="54"/>
        <v>-0.86149767316473258</v>
      </c>
    </row>
    <row r="396" spans="1:24" x14ac:dyDescent="0.3">
      <c r="A396" t="s">
        <v>889</v>
      </c>
      <c r="B396" s="6">
        <v>45075</v>
      </c>
      <c r="C396" s="2">
        <v>45097</v>
      </c>
      <c r="D396" s="4">
        <f t="shared" si="55"/>
        <v>22</v>
      </c>
      <c r="E396" s="46" t="b">
        <f t="shared" si="50"/>
        <v>0</v>
      </c>
      <c r="F396" s="4" t="str">
        <f>TEXT(Data!B396,"MMM-YYYY")</f>
        <v>May-2025</v>
      </c>
      <c r="G396" s="4" t="str">
        <f t="shared" si="51"/>
        <v>Q2-2023</v>
      </c>
      <c r="H396" t="s">
        <v>78</v>
      </c>
      <c r="I396" t="s">
        <v>108</v>
      </c>
      <c r="J396" t="s">
        <v>152</v>
      </c>
      <c r="K396" t="s">
        <v>62</v>
      </c>
      <c r="L396" t="s">
        <v>98</v>
      </c>
      <c r="M396" t="s">
        <v>95</v>
      </c>
      <c r="N396" t="s">
        <v>22</v>
      </c>
      <c r="O396" t="s">
        <v>890</v>
      </c>
      <c r="P396" s="4">
        <v>1295.3900000000001</v>
      </c>
      <c r="Q396" s="7" t="str">
        <f t="shared" si="52"/>
        <v>High</v>
      </c>
      <c r="R396" s="4">
        <v>2905.06</v>
      </c>
      <c r="S396" s="4">
        <v>0.14799999999999999</v>
      </c>
      <c r="T396" s="4">
        <v>8</v>
      </c>
      <c r="U396" s="4">
        <f t="shared" si="48"/>
        <v>11663.26656</v>
      </c>
      <c r="V396">
        <f t="shared" si="49"/>
        <v>10363.120000000001</v>
      </c>
      <c r="W396" s="4">
        <f t="shared" si="53"/>
        <v>1300.1465599999992</v>
      </c>
      <c r="X396" s="4">
        <f t="shared" si="54"/>
        <v>0.11147362133168971</v>
      </c>
    </row>
    <row r="397" spans="1:24" x14ac:dyDescent="0.3">
      <c r="A397" t="s">
        <v>891</v>
      </c>
      <c r="B397" s="6">
        <v>45804</v>
      </c>
      <c r="C397" s="2">
        <v>45816</v>
      </c>
      <c r="D397" s="4">
        <f t="shared" si="55"/>
        <v>12</v>
      </c>
      <c r="E397" s="46" t="b">
        <f t="shared" si="50"/>
        <v>0</v>
      </c>
      <c r="F397" s="4" t="str">
        <f>TEXT(Data!B397,"MMM-YYYY")</f>
        <v>Aug-2025</v>
      </c>
      <c r="G397" s="4" t="str">
        <f t="shared" si="51"/>
        <v>Q2-2025</v>
      </c>
      <c r="H397" t="s">
        <v>45</v>
      </c>
      <c r="I397" t="s">
        <v>46</v>
      </c>
      <c r="J397" t="s">
        <v>47</v>
      </c>
      <c r="K397" t="s">
        <v>19</v>
      </c>
      <c r="L397" t="s">
        <v>20</v>
      </c>
      <c r="M397" t="s">
        <v>92</v>
      </c>
      <c r="N397" t="s">
        <v>81</v>
      </c>
      <c r="O397" t="s">
        <v>892</v>
      </c>
      <c r="P397" s="4">
        <v>653.6</v>
      </c>
      <c r="Q397" s="7" t="str">
        <f t="shared" si="52"/>
        <v>High</v>
      </c>
      <c r="R397" s="4">
        <v>842.09</v>
      </c>
      <c r="S397" s="4">
        <v>9.8000000000000004E-2</v>
      </c>
      <c r="T397" s="4">
        <v>19</v>
      </c>
      <c r="U397" s="4">
        <f t="shared" si="48"/>
        <v>29072.046299999998</v>
      </c>
      <c r="V397">
        <f t="shared" si="49"/>
        <v>12418.4</v>
      </c>
      <c r="W397" s="4">
        <f t="shared" si="53"/>
        <v>16653.6463</v>
      </c>
      <c r="X397" s="4">
        <f t="shared" si="54"/>
        <v>0.5728405261930255</v>
      </c>
    </row>
    <row r="398" spans="1:24" x14ac:dyDescent="0.3">
      <c r="A398" t="s">
        <v>893</v>
      </c>
      <c r="B398" s="6">
        <v>45890</v>
      </c>
      <c r="C398" s="2">
        <v>45914</v>
      </c>
      <c r="D398" s="4">
        <f t="shared" si="55"/>
        <v>24</v>
      </c>
      <c r="E398" s="46" t="b">
        <f t="shared" si="50"/>
        <v>0</v>
      </c>
      <c r="F398" s="4" t="str">
        <f>TEXT(Data!B398,"MMM-YYYY")</f>
        <v>Dec-2024</v>
      </c>
      <c r="G398" s="4" t="str">
        <f t="shared" si="51"/>
        <v>Q3-2025</v>
      </c>
      <c r="H398" t="s">
        <v>78</v>
      </c>
      <c r="I398" t="s">
        <v>79</v>
      </c>
      <c r="J398" t="s">
        <v>80</v>
      </c>
      <c r="K398" t="s">
        <v>39</v>
      </c>
      <c r="L398" t="s">
        <v>28</v>
      </c>
      <c r="M398" t="s">
        <v>75</v>
      </c>
      <c r="N398" t="s">
        <v>64</v>
      </c>
      <c r="O398" t="s">
        <v>894</v>
      </c>
      <c r="P398" s="4">
        <v>1397.67</v>
      </c>
      <c r="Q398" s="7" t="str">
        <f t="shared" si="52"/>
        <v>High</v>
      </c>
      <c r="R398" s="4">
        <v>3131.37</v>
      </c>
      <c r="S398" s="4">
        <v>0.10299999999999999</v>
      </c>
      <c r="T398" s="4">
        <v>20</v>
      </c>
      <c r="U398" s="4">
        <f t="shared" si="48"/>
        <v>51745.059600000001</v>
      </c>
      <c r="V398">
        <f t="shared" si="49"/>
        <v>27953.4</v>
      </c>
      <c r="W398" s="4">
        <f t="shared" si="53"/>
        <v>23791.659599999999</v>
      </c>
      <c r="X398" s="4">
        <f t="shared" si="54"/>
        <v>0.45978610873993464</v>
      </c>
    </row>
    <row r="399" spans="1:24" x14ac:dyDescent="0.3">
      <c r="A399" t="s">
        <v>895</v>
      </c>
      <c r="B399" s="6">
        <v>45638</v>
      </c>
      <c r="C399" s="2">
        <v>45646</v>
      </c>
      <c r="D399" s="4">
        <f t="shared" si="55"/>
        <v>8</v>
      </c>
      <c r="E399" s="46" t="b">
        <f t="shared" si="50"/>
        <v>0</v>
      </c>
      <c r="F399" s="4" t="str">
        <f>TEXT(Data!B399,"MMM-YYYY")</f>
        <v>Sep-2025</v>
      </c>
      <c r="G399" s="4" t="str">
        <f t="shared" si="51"/>
        <v>Q4-2024</v>
      </c>
      <c r="H399" t="s">
        <v>45</v>
      </c>
      <c r="I399" t="s">
        <v>46</v>
      </c>
      <c r="J399" t="s">
        <v>214</v>
      </c>
      <c r="K399" t="s">
        <v>19</v>
      </c>
      <c r="L399" t="s">
        <v>20</v>
      </c>
      <c r="M399" t="s">
        <v>56</v>
      </c>
      <c r="N399" t="s">
        <v>57</v>
      </c>
      <c r="O399" t="s">
        <v>896</v>
      </c>
      <c r="P399" s="4">
        <v>1202.47</v>
      </c>
      <c r="Q399" s="7" t="str">
        <f t="shared" si="52"/>
        <v>High</v>
      </c>
      <c r="R399" s="4">
        <v>1444.72</v>
      </c>
      <c r="S399" s="4">
        <v>0.24099999999999999</v>
      </c>
      <c r="T399" s="4">
        <v>17</v>
      </c>
      <c r="U399" s="4">
        <f t="shared" si="48"/>
        <v>19144.697220000002</v>
      </c>
      <c r="V399">
        <f t="shared" si="49"/>
        <v>20441.990000000002</v>
      </c>
      <c r="W399" s="4">
        <f t="shared" si="53"/>
        <v>-1297.2927799999998</v>
      </c>
      <c r="X399" s="4">
        <f t="shared" si="54"/>
        <v>-6.7762512255599913E-2</v>
      </c>
    </row>
    <row r="400" spans="1:24" x14ac:dyDescent="0.3">
      <c r="A400" t="s">
        <v>897</v>
      </c>
      <c r="B400" s="6">
        <v>45914</v>
      </c>
      <c r="C400" s="2">
        <v>45923</v>
      </c>
      <c r="D400" s="4">
        <f t="shared" si="55"/>
        <v>9</v>
      </c>
      <c r="E400" s="46" t="b">
        <f t="shared" si="50"/>
        <v>0</v>
      </c>
      <c r="F400" s="4" t="str">
        <f>TEXT(Data!B400,"MMM-YYYY")</f>
        <v>Sep-2024</v>
      </c>
      <c r="G400" s="4" t="str">
        <f t="shared" si="51"/>
        <v>Q3-2025</v>
      </c>
      <c r="H400" t="s">
        <v>16</v>
      </c>
      <c r="I400" t="s">
        <v>148</v>
      </c>
      <c r="J400" t="s">
        <v>172</v>
      </c>
      <c r="K400" t="s">
        <v>39</v>
      </c>
      <c r="L400" t="s">
        <v>28</v>
      </c>
      <c r="M400" t="s">
        <v>145</v>
      </c>
      <c r="N400" t="s">
        <v>22</v>
      </c>
      <c r="O400" t="s">
        <v>898</v>
      </c>
      <c r="P400" s="4">
        <v>1310.3</v>
      </c>
      <c r="Q400" s="7" t="str">
        <f t="shared" si="52"/>
        <v>High</v>
      </c>
      <c r="R400" s="4">
        <v>2875.8</v>
      </c>
      <c r="S400" s="4">
        <v>8.3000000000000004E-2</v>
      </c>
      <c r="T400" s="4">
        <v>5</v>
      </c>
      <c r="U400" s="4">
        <f t="shared" si="48"/>
        <v>14660.399949999999</v>
      </c>
      <c r="V400">
        <f t="shared" si="49"/>
        <v>6551.5</v>
      </c>
      <c r="W400" s="4">
        <f t="shared" si="53"/>
        <v>8108.8999499999991</v>
      </c>
      <c r="X400" s="4">
        <f t="shared" si="54"/>
        <v>0.55311587525959682</v>
      </c>
    </row>
    <row r="401" spans="1:24" x14ac:dyDescent="0.3">
      <c r="A401" t="s">
        <v>899</v>
      </c>
      <c r="B401" s="6">
        <v>45541</v>
      </c>
      <c r="C401" s="2">
        <v>45569</v>
      </c>
      <c r="D401" s="4">
        <f t="shared" si="55"/>
        <v>28</v>
      </c>
      <c r="E401" s="46" t="b">
        <f t="shared" si="50"/>
        <v>0</v>
      </c>
      <c r="F401" s="4" t="str">
        <f>TEXT(Data!B401,"MMM-YYYY")</f>
        <v>Apr-2025</v>
      </c>
      <c r="G401" s="4" t="str">
        <f t="shared" si="51"/>
        <v>Q3-2024</v>
      </c>
      <c r="H401" t="s">
        <v>16</v>
      </c>
      <c r="I401" t="s">
        <v>148</v>
      </c>
      <c r="J401" t="s">
        <v>258</v>
      </c>
      <c r="K401" t="s">
        <v>19</v>
      </c>
      <c r="L401" t="s">
        <v>40</v>
      </c>
      <c r="M401" t="s">
        <v>145</v>
      </c>
      <c r="N401" t="s">
        <v>64</v>
      </c>
      <c r="O401" t="s">
        <v>900</v>
      </c>
      <c r="P401" s="4">
        <v>1174.17</v>
      </c>
      <c r="Q401" s="7" t="str">
        <f t="shared" si="52"/>
        <v>High</v>
      </c>
      <c r="R401" s="4">
        <v>1641.61</v>
      </c>
      <c r="S401" s="4">
        <v>0.122</v>
      </c>
      <c r="T401" s="4">
        <v>9</v>
      </c>
      <c r="U401" s="4">
        <f t="shared" si="48"/>
        <v>18353.975399999999</v>
      </c>
      <c r="V401">
        <f t="shared" si="49"/>
        <v>10567.53</v>
      </c>
      <c r="W401" s="4">
        <f t="shared" si="53"/>
        <v>7786.4453999999987</v>
      </c>
      <c r="X401" s="4">
        <f t="shared" si="54"/>
        <v>0.42423754147561943</v>
      </c>
    </row>
    <row r="402" spans="1:24" x14ac:dyDescent="0.3">
      <c r="A402" t="s">
        <v>901</v>
      </c>
      <c r="B402" s="6">
        <v>45759</v>
      </c>
      <c r="C402" s="2">
        <v>45777</v>
      </c>
      <c r="D402" s="4">
        <f t="shared" si="55"/>
        <v>18</v>
      </c>
      <c r="E402" s="46" t="b">
        <f t="shared" si="50"/>
        <v>0</v>
      </c>
      <c r="F402" s="4" t="str">
        <f>TEXT(Data!B402,"MMM-YYYY")</f>
        <v>Aug-2024</v>
      </c>
      <c r="G402" s="4" t="str">
        <f t="shared" si="51"/>
        <v>Q2-2025</v>
      </c>
      <c r="H402" t="s">
        <v>16</v>
      </c>
      <c r="I402" t="s">
        <v>17</v>
      </c>
      <c r="J402" t="s">
        <v>18</v>
      </c>
      <c r="K402" t="s">
        <v>19</v>
      </c>
      <c r="L402" t="s">
        <v>40</v>
      </c>
      <c r="M402" t="s">
        <v>84</v>
      </c>
      <c r="N402" t="s">
        <v>35</v>
      </c>
      <c r="O402" t="s">
        <v>902</v>
      </c>
      <c r="P402" s="4">
        <v>1119.04</v>
      </c>
      <c r="Q402" s="7" t="str">
        <f t="shared" si="52"/>
        <v>High</v>
      </c>
      <c r="R402" s="4">
        <v>1299.02</v>
      </c>
      <c r="S402" s="4">
        <v>2.5000000000000001E-2</v>
      </c>
      <c r="T402" s="4">
        <v>14</v>
      </c>
      <c r="U402" s="4">
        <f t="shared" si="48"/>
        <v>26377.532999999999</v>
      </c>
      <c r="V402">
        <f t="shared" si="49"/>
        <v>15666.56</v>
      </c>
      <c r="W402" s="4">
        <f t="shared" si="53"/>
        <v>10710.973</v>
      </c>
      <c r="X402" s="4">
        <f t="shared" si="54"/>
        <v>0.40606424414292269</v>
      </c>
    </row>
    <row r="403" spans="1:24" x14ac:dyDescent="0.3">
      <c r="A403" t="s">
        <v>903</v>
      </c>
      <c r="B403" s="6">
        <v>45516</v>
      </c>
      <c r="C403" s="2">
        <v>45519</v>
      </c>
      <c r="D403" s="4">
        <f t="shared" si="55"/>
        <v>3</v>
      </c>
      <c r="E403" s="46" t="str">
        <f t="shared" si="50"/>
        <v>Yes</v>
      </c>
      <c r="F403" s="4" t="str">
        <f>TEXT(Data!B403,"MMM-YYYY")</f>
        <v>Nov-2024</v>
      </c>
      <c r="G403" s="4" t="str">
        <f t="shared" si="51"/>
        <v>Q3-2024</v>
      </c>
      <c r="H403" t="s">
        <v>52</v>
      </c>
      <c r="I403" t="s">
        <v>122</v>
      </c>
      <c r="J403" t="s">
        <v>123</v>
      </c>
      <c r="K403" t="s">
        <v>19</v>
      </c>
      <c r="L403" t="s">
        <v>40</v>
      </c>
      <c r="M403" t="s">
        <v>145</v>
      </c>
      <c r="N403" t="s">
        <v>30</v>
      </c>
      <c r="O403" t="s">
        <v>904</v>
      </c>
      <c r="P403" s="4">
        <v>850.7</v>
      </c>
      <c r="Q403" s="7" t="str">
        <f t="shared" si="52"/>
        <v>High</v>
      </c>
      <c r="R403" s="4">
        <v>1118.56</v>
      </c>
      <c r="S403" s="4">
        <v>0.18</v>
      </c>
      <c r="T403" s="4">
        <v>19</v>
      </c>
      <c r="U403" s="4">
        <f t="shared" si="48"/>
        <v>24777.808799999999</v>
      </c>
      <c r="V403">
        <f t="shared" si="49"/>
        <v>16163.300000000001</v>
      </c>
      <c r="W403" s="4">
        <f t="shared" si="53"/>
        <v>8614.5087999999978</v>
      </c>
      <c r="X403" s="4">
        <f t="shared" si="54"/>
        <v>0.34767032345491333</v>
      </c>
    </row>
    <row r="404" spans="1:24" x14ac:dyDescent="0.3">
      <c r="A404" t="s">
        <v>905</v>
      </c>
      <c r="B404" s="6">
        <v>45601</v>
      </c>
      <c r="C404" s="2">
        <v>45604</v>
      </c>
      <c r="D404" s="4">
        <f t="shared" si="55"/>
        <v>3</v>
      </c>
      <c r="E404" s="46" t="str">
        <f t="shared" si="50"/>
        <v>Yes</v>
      </c>
      <c r="F404" s="4" t="str">
        <f>TEXT(Data!B404,"MMM-YYYY")</f>
        <v>Jul-2024</v>
      </c>
      <c r="G404" s="4" t="str">
        <f t="shared" si="51"/>
        <v>Q4-2024</v>
      </c>
      <c r="H404" t="s">
        <v>52</v>
      </c>
      <c r="I404" t="s">
        <v>53</v>
      </c>
      <c r="J404" t="s">
        <v>54</v>
      </c>
      <c r="K404" t="s">
        <v>27</v>
      </c>
      <c r="L404" t="s">
        <v>40</v>
      </c>
      <c r="M404" t="s">
        <v>68</v>
      </c>
      <c r="N404" t="s">
        <v>22</v>
      </c>
      <c r="O404" t="s">
        <v>906</v>
      </c>
      <c r="P404" s="4">
        <v>1020.4</v>
      </c>
      <c r="Q404" s="7" t="str">
        <f t="shared" si="52"/>
        <v>High</v>
      </c>
      <c r="R404" s="4">
        <v>1184.71</v>
      </c>
      <c r="S404" s="4">
        <v>0.106</v>
      </c>
      <c r="T404" s="4">
        <v>16</v>
      </c>
      <c r="U404" s="4">
        <f t="shared" si="48"/>
        <v>5658.8054400000001</v>
      </c>
      <c r="V404">
        <f t="shared" si="49"/>
        <v>16326.4</v>
      </c>
      <c r="W404" s="4">
        <f t="shared" si="53"/>
        <v>-10667.59456</v>
      </c>
      <c r="X404" s="4">
        <f t="shared" si="54"/>
        <v>-1.8851318839475772</v>
      </c>
    </row>
    <row r="405" spans="1:24" x14ac:dyDescent="0.3">
      <c r="A405" t="s">
        <v>907</v>
      </c>
      <c r="B405" s="6">
        <v>45497</v>
      </c>
      <c r="C405" s="2">
        <v>45512</v>
      </c>
      <c r="D405" s="4">
        <f t="shared" si="55"/>
        <v>15</v>
      </c>
      <c r="E405" s="46" t="b">
        <f t="shared" si="50"/>
        <v>0</v>
      </c>
      <c r="F405" s="4" t="str">
        <f>TEXT(Data!B405,"MMM-YYYY")</f>
        <v>Jan-2025</v>
      </c>
      <c r="G405" s="4" t="str">
        <f t="shared" si="51"/>
        <v>Q3-2024</v>
      </c>
      <c r="H405" t="s">
        <v>78</v>
      </c>
      <c r="I405" t="s">
        <v>90</v>
      </c>
      <c r="J405" t="s">
        <v>91</v>
      </c>
      <c r="K405" t="s">
        <v>105</v>
      </c>
      <c r="L405" t="s">
        <v>40</v>
      </c>
      <c r="M405" t="s">
        <v>92</v>
      </c>
      <c r="N405" t="s">
        <v>57</v>
      </c>
      <c r="O405" t="s">
        <v>908</v>
      </c>
      <c r="P405" s="4">
        <v>501.5</v>
      </c>
      <c r="Q405" s="7" t="str">
        <f t="shared" si="52"/>
        <v>High</v>
      </c>
      <c r="R405" s="4">
        <v>1201.47</v>
      </c>
      <c r="S405" s="4">
        <v>0.126</v>
      </c>
      <c r="T405" s="4">
        <v>5</v>
      </c>
      <c r="U405" s="4">
        <f t="shared" si="48"/>
        <v>9079.5053000000007</v>
      </c>
      <c r="V405">
        <f t="shared" si="49"/>
        <v>2507.5</v>
      </c>
      <c r="W405" s="4">
        <f t="shared" si="53"/>
        <v>6572.0053000000007</v>
      </c>
      <c r="X405" s="4">
        <f t="shared" si="54"/>
        <v>0.72382856585809807</v>
      </c>
    </row>
    <row r="406" spans="1:24" x14ac:dyDescent="0.3">
      <c r="A406" t="s">
        <v>909</v>
      </c>
      <c r="B406" s="6">
        <v>45677</v>
      </c>
      <c r="C406" s="2">
        <v>45691</v>
      </c>
      <c r="D406" s="4">
        <f t="shared" si="55"/>
        <v>14</v>
      </c>
      <c r="E406" s="46" t="b">
        <f t="shared" si="50"/>
        <v>0</v>
      </c>
      <c r="F406" s="4" t="str">
        <f>TEXT(Data!B406,"MMM-YYYY")</f>
        <v>Mar-2023</v>
      </c>
      <c r="G406" s="4" t="str">
        <f t="shared" si="51"/>
        <v>Q1-2025</v>
      </c>
      <c r="H406" t="s">
        <v>52</v>
      </c>
      <c r="I406" t="s">
        <v>73</v>
      </c>
      <c r="J406" t="s">
        <v>87</v>
      </c>
      <c r="K406" t="s">
        <v>105</v>
      </c>
      <c r="L406" t="s">
        <v>40</v>
      </c>
      <c r="M406" t="s">
        <v>84</v>
      </c>
      <c r="N406" t="s">
        <v>22</v>
      </c>
      <c r="O406" t="s">
        <v>910</v>
      </c>
      <c r="P406" s="4">
        <v>974.11</v>
      </c>
      <c r="Q406" s="7" t="str">
        <f t="shared" si="52"/>
        <v>High</v>
      </c>
      <c r="R406" s="4">
        <v>880.99</v>
      </c>
      <c r="S406" s="4">
        <v>0.111</v>
      </c>
      <c r="T406" s="4">
        <v>10</v>
      </c>
      <c r="U406" s="4">
        <f t="shared" si="48"/>
        <v>11831.2565</v>
      </c>
      <c r="V406">
        <f t="shared" si="49"/>
        <v>9741.1</v>
      </c>
      <c r="W406" s="4">
        <f t="shared" si="53"/>
        <v>2090.1564999999991</v>
      </c>
      <c r="X406" s="4">
        <f t="shared" si="54"/>
        <v>0.17666394942920891</v>
      </c>
    </row>
    <row r="407" spans="1:24" x14ac:dyDescent="0.3">
      <c r="A407" t="s">
        <v>911</v>
      </c>
      <c r="B407" s="6">
        <v>44991</v>
      </c>
      <c r="C407" s="2">
        <v>45020</v>
      </c>
      <c r="D407" s="4">
        <f t="shared" si="55"/>
        <v>29</v>
      </c>
      <c r="E407" s="46" t="b">
        <f t="shared" si="50"/>
        <v>0</v>
      </c>
      <c r="F407" s="4" t="str">
        <f>TEXT(Data!B407,"MMM-YYYY")</f>
        <v>Dec-2024</v>
      </c>
      <c r="G407" s="4" t="str">
        <f t="shared" si="51"/>
        <v>Q1-2023</v>
      </c>
      <c r="H407" t="s">
        <v>45</v>
      </c>
      <c r="I407" t="s">
        <v>116</v>
      </c>
      <c r="J407" t="s">
        <v>338</v>
      </c>
      <c r="K407" t="s">
        <v>62</v>
      </c>
      <c r="L407" t="s">
        <v>98</v>
      </c>
      <c r="M407" t="s">
        <v>21</v>
      </c>
      <c r="N407" t="s">
        <v>64</v>
      </c>
      <c r="O407" t="s">
        <v>912</v>
      </c>
      <c r="P407" s="4">
        <v>1126.29</v>
      </c>
      <c r="Q407" s="7" t="str">
        <f t="shared" si="52"/>
        <v>High</v>
      </c>
      <c r="R407" s="4">
        <v>2050.87</v>
      </c>
      <c r="S407" s="4">
        <v>6.4000000000000001E-2</v>
      </c>
      <c r="T407" s="4">
        <v>7</v>
      </c>
      <c r="U407" s="4">
        <f t="shared" si="48"/>
        <v>18113.986799999999</v>
      </c>
      <c r="V407">
        <f t="shared" si="49"/>
        <v>7884.03</v>
      </c>
      <c r="W407" s="4">
        <f t="shared" si="53"/>
        <v>10229.9568</v>
      </c>
      <c r="X407" s="4">
        <f t="shared" si="54"/>
        <v>0.56475456855251771</v>
      </c>
    </row>
    <row r="408" spans="1:24" x14ac:dyDescent="0.3">
      <c r="A408" t="s">
        <v>913</v>
      </c>
      <c r="B408" s="6">
        <v>45646</v>
      </c>
      <c r="C408" s="2">
        <v>45671</v>
      </c>
      <c r="D408" s="4">
        <f t="shared" si="55"/>
        <v>25</v>
      </c>
      <c r="E408" s="46" t="b">
        <f t="shared" si="50"/>
        <v>0</v>
      </c>
      <c r="F408" s="4" t="str">
        <f>TEXT(Data!B408,"MMM-YYYY")</f>
        <v>Feb-2025</v>
      </c>
      <c r="G408" s="4" t="str">
        <f t="shared" si="51"/>
        <v>Q4-2024</v>
      </c>
      <c r="H408" t="s">
        <v>45</v>
      </c>
      <c r="I408" t="s">
        <v>60</v>
      </c>
      <c r="J408" t="s">
        <v>141</v>
      </c>
      <c r="K408" t="s">
        <v>62</v>
      </c>
      <c r="L408" t="s">
        <v>20</v>
      </c>
      <c r="M408" t="s">
        <v>110</v>
      </c>
      <c r="N408" t="s">
        <v>30</v>
      </c>
      <c r="O408" t="s">
        <v>914</v>
      </c>
      <c r="P408" s="4">
        <v>1361.34</v>
      </c>
      <c r="Q408" s="7" t="str">
        <f t="shared" si="52"/>
        <v>High</v>
      </c>
      <c r="R408" s="4">
        <v>1737.9</v>
      </c>
      <c r="S408" s="4">
        <v>7.6999999999999999E-2</v>
      </c>
      <c r="T408" s="4">
        <v>14</v>
      </c>
      <c r="U408" s="4">
        <f t="shared" si="48"/>
        <v>3596.8387000000007</v>
      </c>
      <c r="V408">
        <f t="shared" si="49"/>
        <v>19058.759999999998</v>
      </c>
      <c r="W408" s="4">
        <f t="shared" si="53"/>
        <v>-15461.921299999998</v>
      </c>
      <c r="X408" s="4">
        <f t="shared" si="54"/>
        <v>-4.2987530411080135</v>
      </c>
    </row>
    <row r="409" spans="1:24" x14ac:dyDescent="0.3">
      <c r="A409" t="s">
        <v>915</v>
      </c>
      <c r="B409" s="6">
        <v>45709</v>
      </c>
      <c r="C409" s="2">
        <v>45737</v>
      </c>
      <c r="D409" s="4">
        <f t="shared" si="55"/>
        <v>0</v>
      </c>
      <c r="E409" s="46" t="str">
        <f t="shared" si="50"/>
        <v>Yes</v>
      </c>
      <c r="F409" s="4" t="str">
        <f>TEXT(Data!B409,"MMM-YYYY")</f>
        <v>Mar-2025</v>
      </c>
      <c r="G409" s="4" t="str">
        <f t="shared" si="51"/>
        <v>Q1-2025</v>
      </c>
      <c r="H409" t="s">
        <v>16</v>
      </c>
      <c r="I409" t="s">
        <v>25</v>
      </c>
      <c r="J409" t="s">
        <v>67</v>
      </c>
      <c r="K409" t="s">
        <v>105</v>
      </c>
      <c r="L409" t="s">
        <v>40</v>
      </c>
      <c r="M409" t="s">
        <v>34</v>
      </c>
      <c r="N409" t="s">
        <v>42</v>
      </c>
      <c r="O409" t="s">
        <v>916</v>
      </c>
      <c r="P409" s="4">
        <v>1437.39</v>
      </c>
      <c r="Q409" s="7" t="str">
        <f t="shared" si="52"/>
        <v>High</v>
      </c>
      <c r="R409" s="4">
        <v>1388.31</v>
      </c>
      <c r="S409" s="4">
        <v>0.13800000000000001</v>
      </c>
      <c r="T409" s="4">
        <v>18</v>
      </c>
      <c r="U409" s="4">
        <f t="shared" si="48"/>
        <v>15273.329759999999</v>
      </c>
      <c r="V409">
        <f t="shared" si="49"/>
        <v>25873.02</v>
      </c>
      <c r="W409" s="4">
        <f t="shared" si="53"/>
        <v>-10599.690240000002</v>
      </c>
      <c r="X409" s="4">
        <f t="shared" si="54"/>
        <v>-0.69399995983587026</v>
      </c>
    </row>
    <row r="410" spans="1:24" x14ac:dyDescent="0.3">
      <c r="A410" t="s">
        <v>917</v>
      </c>
      <c r="B410" s="6">
        <v>45724</v>
      </c>
      <c r="C410" s="2">
        <v>45731</v>
      </c>
      <c r="D410" s="4">
        <f t="shared" si="55"/>
        <v>7</v>
      </c>
      <c r="E410" s="46" t="str">
        <f t="shared" si="50"/>
        <v>Yes</v>
      </c>
      <c r="F410" s="4" t="str">
        <f>TEXT(Data!B410,"MMM-YYYY")</f>
        <v>Dec-2023</v>
      </c>
      <c r="G410" s="4" t="str">
        <f t="shared" si="51"/>
        <v>Q1-2025</v>
      </c>
      <c r="H410" t="s">
        <v>45</v>
      </c>
      <c r="I410" t="s">
        <v>60</v>
      </c>
      <c r="J410" t="s">
        <v>61</v>
      </c>
      <c r="K410" t="s">
        <v>19</v>
      </c>
      <c r="L410" t="s">
        <v>55</v>
      </c>
      <c r="M410" t="s">
        <v>95</v>
      </c>
      <c r="N410" t="s">
        <v>57</v>
      </c>
      <c r="O410" t="s">
        <v>918</v>
      </c>
      <c r="P410" s="4">
        <v>475.66</v>
      </c>
      <c r="Q410" s="7" t="str">
        <f t="shared" si="52"/>
        <v>High</v>
      </c>
      <c r="R410" s="4">
        <v>529.14</v>
      </c>
      <c r="S410" s="4">
        <v>0.19600000000000001</v>
      </c>
      <c r="T410" s="4">
        <v>11</v>
      </c>
      <c r="U410" s="4">
        <f t="shared" si="48"/>
        <v>1687.7889600000003</v>
      </c>
      <c r="V410">
        <f t="shared" si="49"/>
        <v>5232.26</v>
      </c>
      <c r="W410" s="4">
        <f t="shared" si="53"/>
        <v>-3544.4710399999999</v>
      </c>
      <c r="X410" s="4">
        <f t="shared" si="54"/>
        <v>-2.1000676767076372</v>
      </c>
    </row>
    <row r="411" spans="1:24" x14ac:dyDescent="0.3">
      <c r="A411" t="s">
        <v>919</v>
      </c>
      <c r="B411" s="6">
        <v>45276</v>
      </c>
      <c r="C411" s="2">
        <v>45279</v>
      </c>
      <c r="D411" s="4">
        <f t="shared" si="55"/>
        <v>3</v>
      </c>
      <c r="E411" s="46" t="str">
        <f t="shared" si="50"/>
        <v>Yes</v>
      </c>
      <c r="F411" s="4" t="str">
        <f>TEXT(Data!B411,"MMM-YYYY")</f>
        <v>Aug-2024</v>
      </c>
      <c r="G411" s="4" t="str">
        <f t="shared" si="51"/>
        <v>Q4-2023</v>
      </c>
      <c r="H411" t="s">
        <v>45</v>
      </c>
      <c r="I411" t="s">
        <v>116</v>
      </c>
      <c r="J411" t="s">
        <v>338</v>
      </c>
      <c r="K411" t="s">
        <v>27</v>
      </c>
      <c r="L411" t="s">
        <v>20</v>
      </c>
      <c r="M411" t="s">
        <v>75</v>
      </c>
      <c r="N411" t="s">
        <v>81</v>
      </c>
      <c r="O411" t="s">
        <v>920</v>
      </c>
      <c r="P411" s="4">
        <v>1415.05</v>
      </c>
      <c r="Q411" s="7" t="str">
        <f t="shared" si="52"/>
        <v>High</v>
      </c>
      <c r="R411" s="4">
        <v>1972.38</v>
      </c>
      <c r="S411" s="4">
        <v>0</v>
      </c>
      <c r="T411" s="4">
        <v>12</v>
      </c>
      <c r="U411" s="4">
        <f t="shared" si="48"/>
        <v>10899.599999999999</v>
      </c>
      <c r="V411">
        <f t="shared" si="49"/>
        <v>16980.599999999999</v>
      </c>
      <c r="W411" s="4">
        <f t="shared" si="53"/>
        <v>-6081</v>
      </c>
      <c r="X411" s="4">
        <f t="shared" si="54"/>
        <v>-0.5579103820323682</v>
      </c>
    </row>
    <row r="412" spans="1:24" x14ac:dyDescent="0.3">
      <c r="A412" t="s">
        <v>921</v>
      </c>
      <c r="B412" s="6">
        <v>45534</v>
      </c>
      <c r="C412" s="2">
        <v>45540</v>
      </c>
      <c r="D412" s="4">
        <f t="shared" si="55"/>
        <v>6</v>
      </c>
      <c r="E412" s="46" t="str">
        <f t="shared" si="50"/>
        <v>Yes</v>
      </c>
      <c r="F412" s="4" t="str">
        <f>TEXT(Data!B412,"MMM-YYYY")</f>
        <v>May-2024</v>
      </c>
      <c r="G412" s="4" t="str">
        <f t="shared" si="51"/>
        <v>Q3-2024</v>
      </c>
      <c r="H412" t="s">
        <v>45</v>
      </c>
      <c r="I412" t="s">
        <v>46</v>
      </c>
      <c r="J412" t="s">
        <v>231</v>
      </c>
      <c r="K412" t="s">
        <v>27</v>
      </c>
      <c r="L412" t="s">
        <v>28</v>
      </c>
      <c r="M412" t="s">
        <v>126</v>
      </c>
      <c r="N412" t="s">
        <v>57</v>
      </c>
      <c r="O412" t="s">
        <v>922</v>
      </c>
      <c r="P412" s="4">
        <v>466.16</v>
      </c>
      <c r="Q412" s="7" t="str">
        <f t="shared" si="52"/>
        <v>High</v>
      </c>
      <c r="R412" s="4">
        <v>876.81</v>
      </c>
      <c r="S412" s="4">
        <v>0.24099999999999999</v>
      </c>
      <c r="T412" s="4">
        <v>8</v>
      </c>
      <c r="U412" s="4">
        <f t="shared" si="48"/>
        <v>1725.8445600000002</v>
      </c>
      <c r="V412">
        <f t="shared" si="49"/>
        <v>3729.28</v>
      </c>
      <c r="W412" s="4">
        <f t="shared" si="53"/>
        <v>-2003.43544</v>
      </c>
      <c r="X412" s="4">
        <f t="shared" si="54"/>
        <v>-1.1608435002976165</v>
      </c>
    </row>
    <row r="413" spans="1:24" x14ac:dyDescent="0.3">
      <c r="A413" t="s">
        <v>923</v>
      </c>
      <c r="B413" s="6">
        <v>45430</v>
      </c>
      <c r="C413" s="2">
        <v>45433</v>
      </c>
      <c r="D413" s="4">
        <f t="shared" si="55"/>
        <v>3</v>
      </c>
      <c r="E413" s="46" t="str">
        <f t="shared" si="50"/>
        <v>Yes</v>
      </c>
      <c r="F413" s="4" t="str">
        <f>TEXT(Data!B413,"MMM-YYYY")</f>
        <v>Mar-2023</v>
      </c>
      <c r="G413" s="4" t="str">
        <f t="shared" si="51"/>
        <v>Q2-2024</v>
      </c>
      <c r="H413" t="s">
        <v>78</v>
      </c>
      <c r="I413" t="s">
        <v>90</v>
      </c>
      <c r="J413" t="s">
        <v>91</v>
      </c>
      <c r="K413" t="s">
        <v>39</v>
      </c>
      <c r="L413" t="s">
        <v>40</v>
      </c>
      <c r="M413" t="s">
        <v>145</v>
      </c>
      <c r="N413" t="s">
        <v>30</v>
      </c>
      <c r="O413" t="s">
        <v>924</v>
      </c>
      <c r="P413" s="4">
        <v>663.66</v>
      </c>
      <c r="Q413" s="7" t="str">
        <f t="shared" si="52"/>
        <v>High</v>
      </c>
      <c r="R413" s="4">
        <v>824.26</v>
      </c>
      <c r="S413" s="4">
        <v>0.23899999999999999</v>
      </c>
      <c r="T413" s="4">
        <v>11</v>
      </c>
      <c r="U413" s="4">
        <f t="shared" si="48"/>
        <v>10290.80514</v>
      </c>
      <c r="V413">
        <f t="shared" si="49"/>
        <v>7300.2599999999993</v>
      </c>
      <c r="W413" s="4">
        <f t="shared" si="53"/>
        <v>2990.5451400000011</v>
      </c>
      <c r="X413" s="4">
        <f t="shared" si="54"/>
        <v>0.29060361160429093</v>
      </c>
    </row>
    <row r="414" spans="1:24" x14ac:dyDescent="0.3">
      <c r="A414" t="s">
        <v>925</v>
      </c>
      <c r="B414" s="6">
        <v>45002</v>
      </c>
      <c r="C414" s="2">
        <v>45022</v>
      </c>
      <c r="D414" s="4">
        <f t="shared" si="55"/>
        <v>20</v>
      </c>
      <c r="E414" s="46" t="b">
        <f t="shared" si="50"/>
        <v>0</v>
      </c>
      <c r="F414" s="4" t="str">
        <f>TEXT(Data!B414,"MMM-YYYY")</f>
        <v>Aug-2023</v>
      </c>
      <c r="G414" s="4" t="str">
        <f t="shared" si="51"/>
        <v>Q1-2023</v>
      </c>
      <c r="H414" t="s">
        <v>78</v>
      </c>
      <c r="I414" t="s">
        <v>79</v>
      </c>
      <c r="J414" t="s">
        <v>159</v>
      </c>
      <c r="K414" t="s">
        <v>48</v>
      </c>
      <c r="L414" t="s">
        <v>20</v>
      </c>
      <c r="M414" t="s">
        <v>68</v>
      </c>
      <c r="N414" t="s">
        <v>42</v>
      </c>
      <c r="O414" t="s">
        <v>926</v>
      </c>
      <c r="P414" s="4">
        <v>692.18</v>
      </c>
      <c r="Q414" s="7" t="str">
        <f t="shared" si="52"/>
        <v>High</v>
      </c>
      <c r="R414" s="4">
        <v>1159.3499999999999</v>
      </c>
      <c r="S414" s="4">
        <v>0.112</v>
      </c>
      <c r="T414" s="4">
        <v>2</v>
      </c>
      <c r="U414" s="4">
        <f t="shared" si="48"/>
        <v>2175.1027199999999</v>
      </c>
      <c r="V414">
        <f t="shared" si="49"/>
        <v>1384.36</v>
      </c>
      <c r="W414" s="4">
        <f t="shared" si="53"/>
        <v>790.74271999999996</v>
      </c>
      <c r="X414" s="4">
        <f t="shared" si="54"/>
        <v>0.36354270202006828</v>
      </c>
    </row>
    <row r="415" spans="1:24" x14ac:dyDescent="0.3">
      <c r="A415" t="s">
        <v>927</v>
      </c>
      <c r="B415" s="6">
        <v>45163</v>
      </c>
      <c r="C415" s="2">
        <v>45185</v>
      </c>
      <c r="D415" s="4">
        <f t="shared" si="55"/>
        <v>22</v>
      </c>
      <c r="E415" s="46" t="b">
        <f t="shared" si="50"/>
        <v>0</v>
      </c>
      <c r="F415" s="4" t="str">
        <f>TEXT(Data!B415,"MMM-YYYY")</f>
        <v>Jun-2024</v>
      </c>
      <c r="G415" s="4" t="str">
        <f t="shared" si="51"/>
        <v>Q3-2023</v>
      </c>
      <c r="H415" t="s">
        <v>16</v>
      </c>
      <c r="I415" t="s">
        <v>25</v>
      </c>
      <c r="J415" t="s">
        <v>67</v>
      </c>
      <c r="K415" t="s">
        <v>19</v>
      </c>
      <c r="L415" t="s">
        <v>40</v>
      </c>
      <c r="M415" t="s">
        <v>49</v>
      </c>
      <c r="N415" t="s">
        <v>42</v>
      </c>
      <c r="O415" t="s">
        <v>928</v>
      </c>
      <c r="P415" s="4">
        <v>1196.83</v>
      </c>
      <c r="Q415" s="7" t="str">
        <f t="shared" si="52"/>
        <v>High</v>
      </c>
      <c r="R415" s="4">
        <v>2513.5100000000002</v>
      </c>
      <c r="S415" s="4">
        <v>8.3000000000000004E-2</v>
      </c>
      <c r="T415" s="4">
        <v>7</v>
      </c>
      <c r="U415" s="4">
        <f t="shared" si="48"/>
        <v>3118.7353400000002</v>
      </c>
      <c r="V415">
        <f t="shared" si="49"/>
        <v>8377.81</v>
      </c>
      <c r="W415" s="4">
        <f t="shared" si="53"/>
        <v>-5259.0746599999993</v>
      </c>
      <c r="X415" s="4">
        <f t="shared" si="54"/>
        <v>-1.6862843706385162</v>
      </c>
    </row>
    <row r="416" spans="1:24" x14ac:dyDescent="0.3">
      <c r="A416" t="s">
        <v>929</v>
      </c>
      <c r="B416" s="6">
        <v>45449</v>
      </c>
      <c r="C416" s="2">
        <v>45467</v>
      </c>
      <c r="D416" s="4">
        <f t="shared" si="55"/>
        <v>18</v>
      </c>
      <c r="E416" s="46" t="b">
        <f t="shared" si="50"/>
        <v>0</v>
      </c>
      <c r="F416" s="4" t="str">
        <f>TEXT(Data!B416,"MMM-YYYY")</f>
        <v>Aug-2023</v>
      </c>
      <c r="G416" s="4" t="str">
        <f t="shared" si="51"/>
        <v>Q2-2024</v>
      </c>
      <c r="H416" t="s">
        <v>45</v>
      </c>
      <c r="I416" t="s">
        <v>60</v>
      </c>
      <c r="J416" t="s">
        <v>61</v>
      </c>
      <c r="K416" t="s">
        <v>62</v>
      </c>
      <c r="L416" t="s">
        <v>98</v>
      </c>
      <c r="M416" t="s">
        <v>92</v>
      </c>
      <c r="N416" t="s">
        <v>35</v>
      </c>
      <c r="O416" t="s">
        <v>930</v>
      </c>
      <c r="P416" s="4">
        <v>1253.25</v>
      </c>
      <c r="Q416" s="7" t="str">
        <f t="shared" si="52"/>
        <v>High</v>
      </c>
      <c r="R416" s="4">
        <v>3087.13</v>
      </c>
      <c r="S416" s="4">
        <v>7.1999999999999995E-2</v>
      </c>
      <c r="T416" s="4">
        <v>11</v>
      </c>
      <c r="U416" s="4">
        <f t="shared" si="48"/>
        <v>22569.275520000003</v>
      </c>
      <c r="V416">
        <f t="shared" si="49"/>
        <v>13785.75</v>
      </c>
      <c r="W416" s="4">
        <f t="shared" si="53"/>
        <v>8783.5255200000029</v>
      </c>
      <c r="X416" s="4">
        <f t="shared" si="54"/>
        <v>0.38918065899884063</v>
      </c>
    </row>
    <row r="417" spans="1:24" x14ac:dyDescent="0.3">
      <c r="A417" t="s">
        <v>931</v>
      </c>
      <c r="B417" s="6">
        <v>45167</v>
      </c>
      <c r="C417" s="2">
        <v>45182</v>
      </c>
      <c r="D417" s="4">
        <f t="shared" si="55"/>
        <v>15</v>
      </c>
      <c r="E417" s="46" t="b">
        <f t="shared" si="50"/>
        <v>0</v>
      </c>
      <c r="F417" s="4" t="str">
        <f>TEXT(Data!B417,"MMM-YYYY")</f>
        <v>Nov-2024</v>
      </c>
      <c r="G417" s="4" t="str">
        <f t="shared" si="51"/>
        <v>Q3-2023</v>
      </c>
      <c r="H417" t="s">
        <v>52</v>
      </c>
      <c r="I417" t="s">
        <v>53</v>
      </c>
      <c r="J417" t="s">
        <v>179</v>
      </c>
      <c r="K417" t="s">
        <v>62</v>
      </c>
      <c r="L417" t="s">
        <v>40</v>
      </c>
      <c r="M417" t="s">
        <v>68</v>
      </c>
      <c r="N417" t="s">
        <v>30</v>
      </c>
      <c r="O417" t="s">
        <v>932</v>
      </c>
      <c r="P417" s="4">
        <v>1287.6400000000001</v>
      </c>
      <c r="Q417" s="7" t="str">
        <f t="shared" si="52"/>
        <v>High</v>
      </c>
      <c r="R417" s="4">
        <v>2717.15</v>
      </c>
      <c r="S417" s="4">
        <v>3.2000000000000001E-2</v>
      </c>
      <c r="T417" s="4">
        <v>7</v>
      </c>
      <c r="U417" s="4">
        <f t="shared" si="48"/>
        <v>3875.12664</v>
      </c>
      <c r="V417">
        <f t="shared" si="49"/>
        <v>9013.4800000000014</v>
      </c>
      <c r="W417" s="4">
        <f t="shared" si="53"/>
        <v>-5138.353360000001</v>
      </c>
      <c r="X417" s="4">
        <f t="shared" si="54"/>
        <v>-1.3259833387019324</v>
      </c>
    </row>
    <row r="418" spans="1:24" x14ac:dyDescent="0.3">
      <c r="A418" t="s">
        <v>933</v>
      </c>
      <c r="B418" s="6">
        <v>45626</v>
      </c>
      <c r="C418" s="2">
        <v>45636</v>
      </c>
      <c r="D418" s="4">
        <f t="shared" si="55"/>
        <v>10</v>
      </c>
      <c r="E418" s="46" t="b">
        <f t="shared" si="50"/>
        <v>0</v>
      </c>
      <c r="F418" s="4" t="str">
        <f>TEXT(Data!B418,"MMM-YYYY")</f>
        <v>Jun-2025</v>
      </c>
      <c r="G418" s="4" t="str">
        <f t="shared" si="51"/>
        <v>Q4-2024</v>
      </c>
      <c r="H418" t="s">
        <v>45</v>
      </c>
      <c r="I418" t="s">
        <v>60</v>
      </c>
      <c r="J418" t="s">
        <v>281</v>
      </c>
      <c r="K418" t="s">
        <v>62</v>
      </c>
      <c r="L418" t="s">
        <v>20</v>
      </c>
      <c r="M418" t="s">
        <v>84</v>
      </c>
      <c r="N418" t="s">
        <v>81</v>
      </c>
      <c r="O418" t="s">
        <v>934</v>
      </c>
      <c r="P418" s="4">
        <v>851.49</v>
      </c>
      <c r="Q418" s="7" t="str">
        <f t="shared" si="52"/>
        <v>High</v>
      </c>
      <c r="R418" s="4">
        <v>901.79</v>
      </c>
      <c r="S418" s="4">
        <v>0.245</v>
      </c>
      <c r="T418" s="4">
        <v>16</v>
      </c>
      <c r="U418" s="4">
        <f t="shared" si="48"/>
        <v>41052.309600000001</v>
      </c>
      <c r="V418">
        <f t="shared" si="49"/>
        <v>13623.84</v>
      </c>
      <c r="W418" s="4">
        <f t="shared" si="53"/>
        <v>27428.4696</v>
      </c>
      <c r="X418" s="4">
        <f t="shared" si="54"/>
        <v>0.66813462792358946</v>
      </c>
    </row>
    <row r="419" spans="1:24" x14ac:dyDescent="0.3">
      <c r="A419" t="s">
        <v>935</v>
      </c>
      <c r="B419" s="6">
        <v>45813</v>
      </c>
      <c r="C419" s="2">
        <v>45822</v>
      </c>
      <c r="D419" s="4">
        <f t="shared" si="55"/>
        <v>9</v>
      </c>
      <c r="E419" s="46" t="b">
        <f t="shared" si="50"/>
        <v>0</v>
      </c>
      <c r="F419" s="4" t="str">
        <f>TEXT(Data!B419,"MMM-YYYY")</f>
        <v>Mar-2025</v>
      </c>
      <c r="G419" s="4" t="str">
        <f t="shared" si="51"/>
        <v>Q2-2025</v>
      </c>
      <c r="H419" t="s">
        <v>45</v>
      </c>
      <c r="I419" t="s">
        <v>60</v>
      </c>
      <c r="J419" t="s">
        <v>141</v>
      </c>
      <c r="K419" t="s">
        <v>39</v>
      </c>
      <c r="L419" t="s">
        <v>20</v>
      </c>
      <c r="M419" t="s">
        <v>75</v>
      </c>
      <c r="N419" t="s">
        <v>81</v>
      </c>
      <c r="O419" t="s">
        <v>936</v>
      </c>
      <c r="P419" s="4">
        <v>618.69000000000005</v>
      </c>
      <c r="Q419" s="7" t="str">
        <f t="shared" si="52"/>
        <v>High</v>
      </c>
      <c r="R419" s="4">
        <v>796.15</v>
      </c>
      <c r="S419" s="4">
        <v>0.09</v>
      </c>
      <c r="T419" s="4">
        <v>11</v>
      </c>
      <c r="U419" s="4">
        <f t="shared" si="48"/>
        <v>1948.1462000000001</v>
      </c>
      <c r="V419">
        <f t="shared" si="49"/>
        <v>6805.59</v>
      </c>
      <c r="W419" s="4">
        <f t="shared" si="53"/>
        <v>-4857.4438</v>
      </c>
      <c r="X419" s="4">
        <f t="shared" si="54"/>
        <v>-2.4933671815801093</v>
      </c>
    </row>
    <row r="420" spans="1:24" x14ac:dyDescent="0.3">
      <c r="A420" t="s">
        <v>937</v>
      </c>
      <c r="B420" s="6">
        <v>45730</v>
      </c>
      <c r="C420" s="2">
        <v>45755</v>
      </c>
      <c r="D420" s="4">
        <f t="shared" si="55"/>
        <v>25</v>
      </c>
      <c r="E420" s="46" t="b">
        <f t="shared" si="50"/>
        <v>0</v>
      </c>
      <c r="F420" s="4" t="str">
        <f>TEXT(Data!B420,"MMM-YYYY")</f>
        <v>Jan-2024</v>
      </c>
      <c r="G420" s="4" t="str">
        <f t="shared" si="51"/>
        <v>Q1-2025</v>
      </c>
      <c r="H420" t="s">
        <v>45</v>
      </c>
      <c r="I420" t="s">
        <v>116</v>
      </c>
      <c r="J420" t="s">
        <v>1364</v>
      </c>
      <c r="K420" t="s">
        <v>19</v>
      </c>
      <c r="L420" t="s">
        <v>55</v>
      </c>
      <c r="M420" t="s">
        <v>145</v>
      </c>
      <c r="N420" t="s">
        <v>30</v>
      </c>
      <c r="O420" t="s">
        <v>938</v>
      </c>
      <c r="P420" s="4">
        <v>80.59</v>
      </c>
      <c r="Q420" s="7" t="str">
        <f t="shared" si="52"/>
        <v>Medium</v>
      </c>
      <c r="R420" s="4">
        <v>157.82</v>
      </c>
      <c r="S420" s="4">
        <v>0.217</v>
      </c>
      <c r="T420" s="4">
        <v>6</v>
      </c>
      <c r="U420" s="4">
        <f t="shared" si="48"/>
        <v>4846.6447200000002</v>
      </c>
      <c r="V420">
        <f t="shared" si="49"/>
        <v>483.54</v>
      </c>
      <c r="W420" s="4">
        <f t="shared" si="53"/>
        <v>4363.1047200000003</v>
      </c>
      <c r="X420" s="4">
        <f t="shared" si="54"/>
        <v>0.90023201040409662</v>
      </c>
    </row>
    <row r="421" spans="1:24" x14ac:dyDescent="0.3">
      <c r="A421" t="s">
        <v>939</v>
      </c>
      <c r="B421" s="6">
        <v>45307</v>
      </c>
      <c r="C421" s="2">
        <v>45333</v>
      </c>
      <c r="D421" s="4">
        <f t="shared" si="55"/>
        <v>26</v>
      </c>
      <c r="E421" s="46" t="b">
        <f t="shared" si="50"/>
        <v>0</v>
      </c>
      <c r="F421" s="4" t="str">
        <f>TEXT(Data!B421,"MMM-YYYY")</f>
        <v>Oct-2023</v>
      </c>
      <c r="G421" s="4" t="str">
        <f t="shared" si="51"/>
        <v>Q1-2024</v>
      </c>
      <c r="H421" t="s">
        <v>78</v>
      </c>
      <c r="I421" t="s">
        <v>79</v>
      </c>
      <c r="J421" t="s">
        <v>335</v>
      </c>
      <c r="K421" t="s">
        <v>39</v>
      </c>
      <c r="L421" t="s">
        <v>55</v>
      </c>
      <c r="M421" t="s">
        <v>63</v>
      </c>
      <c r="N421" t="s">
        <v>64</v>
      </c>
      <c r="O421" t="s">
        <v>940</v>
      </c>
      <c r="P421" s="4">
        <v>504.93</v>
      </c>
      <c r="Q421" s="7" t="str">
        <f t="shared" si="52"/>
        <v>High</v>
      </c>
      <c r="R421" s="4">
        <v>819.06</v>
      </c>
      <c r="S421" s="4">
        <v>0.22600000000000001</v>
      </c>
      <c r="T421" s="4">
        <v>15</v>
      </c>
      <c r="U421" s="4">
        <f t="shared" si="48"/>
        <v>5749.1559000000007</v>
      </c>
      <c r="V421">
        <f t="shared" si="49"/>
        <v>7573.95</v>
      </c>
      <c r="W421" s="4">
        <f t="shared" si="53"/>
        <v>-1824.7940999999992</v>
      </c>
      <c r="X421" s="4">
        <f t="shared" si="54"/>
        <v>-0.31740209027902672</v>
      </c>
    </row>
    <row r="422" spans="1:24" x14ac:dyDescent="0.3">
      <c r="A422" t="s">
        <v>941</v>
      </c>
      <c r="B422" s="6">
        <v>45211</v>
      </c>
      <c r="C422" s="2">
        <v>45228</v>
      </c>
      <c r="D422" s="4">
        <f t="shared" si="55"/>
        <v>17</v>
      </c>
      <c r="E422" s="46" t="b">
        <f t="shared" si="50"/>
        <v>0</v>
      </c>
      <c r="F422" s="4" t="str">
        <f>TEXT(Data!B422,"MMM-YYYY")</f>
        <v>Feb-2025</v>
      </c>
      <c r="G422" s="4" t="str">
        <f t="shared" si="51"/>
        <v>Q4-2023</v>
      </c>
      <c r="H422" t="s">
        <v>45</v>
      </c>
      <c r="I422" t="s">
        <v>46</v>
      </c>
      <c r="J422" t="s">
        <v>231</v>
      </c>
      <c r="K422" t="s">
        <v>39</v>
      </c>
      <c r="L422" t="s">
        <v>98</v>
      </c>
      <c r="M422" t="s">
        <v>92</v>
      </c>
      <c r="N422" t="s">
        <v>42</v>
      </c>
      <c r="O422" t="s">
        <v>942</v>
      </c>
      <c r="P422" s="4">
        <v>1102.19</v>
      </c>
      <c r="Q422" s="7" t="str">
        <f t="shared" si="52"/>
        <v>High</v>
      </c>
      <c r="R422" s="4">
        <v>1711.16</v>
      </c>
      <c r="S422" s="4">
        <v>0.151</v>
      </c>
      <c r="T422" s="4">
        <v>10</v>
      </c>
      <c r="U422" s="4">
        <f t="shared" si="48"/>
        <v>11198.649599999999</v>
      </c>
      <c r="V422">
        <f t="shared" si="49"/>
        <v>11021.900000000001</v>
      </c>
      <c r="W422" s="4">
        <f t="shared" si="53"/>
        <v>176.74959999999737</v>
      </c>
      <c r="X422" s="4">
        <f t="shared" si="54"/>
        <v>1.5783117278711657E-2</v>
      </c>
    </row>
    <row r="423" spans="1:24" x14ac:dyDescent="0.3">
      <c r="A423" t="s">
        <v>943</v>
      </c>
      <c r="B423" s="6">
        <v>45713</v>
      </c>
      <c r="C423" s="2">
        <v>45733</v>
      </c>
      <c r="D423" s="4">
        <f t="shared" si="55"/>
        <v>20</v>
      </c>
      <c r="E423" s="46" t="b">
        <f t="shared" si="50"/>
        <v>0</v>
      </c>
      <c r="F423" s="4" t="str">
        <f>TEXT(Data!B423,"MMM-YYYY")</f>
        <v>Jul-2025</v>
      </c>
      <c r="G423" s="4" t="str">
        <f t="shared" si="51"/>
        <v>Q1-2025</v>
      </c>
      <c r="H423" t="s">
        <v>52</v>
      </c>
      <c r="I423" t="s">
        <v>122</v>
      </c>
      <c r="J423" t="s">
        <v>167</v>
      </c>
      <c r="K423" t="s">
        <v>39</v>
      </c>
      <c r="L423" t="s">
        <v>40</v>
      </c>
      <c r="M423" t="s">
        <v>92</v>
      </c>
      <c r="N423" t="s">
        <v>42</v>
      </c>
      <c r="O423" t="s">
        <v>944</v>
      </c>
      <c r="P423" s="4">
        <v>1205.26</v>
      </c>
      <c r="Q423" s="7" t="str">
        <f t="shared" si="52"/>
        <v>High</v>
      </c>
      <c r="R423" s="4">
        <v>1696.35</v>
      </c>
      <c r="S423" s="4">
        <v>1.9E-2</v>
      </c>
      <c r="T423" s="4">
        <v>6</v>
      </c>
      <c r="U423" s="4">
        <f t="shared" si="48"/>
        <v>1853.32482</v>
      </c>
      <c r="V423">
        <f t="shared" si="49"/>
        <v>7231.5599999999995</v>
      </c>
      <c r="W423" s="4">
        <f t="shared" si="53"/>
        <v>-5378.2351799999997</v>
      </c>
      <c r="X423" s="4">
        <f t="shared" si="54"/>
        <v>-2.9019387869634206</v>
      </c>
    </row>
    <row r="424" spans="1:24" x14ac:dyDescent="0.3">
      <c r="A424" t="s">
        <v>945</v>
      </c>
      <c r="B424" s="6">
        <v>45841</v>
      </c>
      <c r="C424" s="2">
        <v>45844</v>
      </c>
      <c r="D424" s="4">
        <f t="shared" si="55"/>
        <v>3</v>
      </c>
      <c r="E424" s="46" t="str">
        <f t="shared" si="50"/>
        <v>Yes</v>
      </c>
      <c r="F424" s="4" t="str">
        <f>TEXT(Data!B424,"MMM-YYYY")</f>
        <v>Sep-2025</v>
      </c>
      <c r="G424" s="4" t="str">
        <f t="shared" si="51"/>
        <v>Q3-2025</v>
      </c>
      <c r="H424" t="s">
        <v>16</v>
      </c>
      <c r="I424" t="s">
        <v>25</v>
      </c>
      <c r="J424" t="s">
        <v>38</v>
      </c>
      <c r="K424" t="s">
        <v>48</v>
      </c>
      <c r="L424" t="s">
        <v>28</v>
      </c>
      <c r="M424" t="s">
        <v>1364</v>
      </c>
      <c r="N424" t="s">
        <v>57</v>
      </c>
      <c r="O424" t="s">
        <v>946</v>
      </c>
      <c r="P424" s="4">
        <v>1313.3</v>
      </c>
      <c r="Q424" s="7" t="str">
        <f t="shared" si="52"/>
        <v>High</v>
      </c>
      <c r="R424" s="4">
        <v>2884.34</v>
      </c>
      <c r="S424" s="4">
        <v>0.157</v>
      </c>
      <c r="T424" s="4">
        <v>42</v>
      </c>
      <c r="U424" s="4">
        <f t="shared" si="48"/>
        <v>78253.279020000002</v>
      </c>
      <c r="V424">
        <f t="shared" si="49"/>
        <v>55158.6</v>
      </c>
      <c r="W424" s="4">
        <f t="shared" si="53"/>
        <v>23094.679020000003</v>
      </c>
      <c r="X424" s="4">
        <f t="shared" si="54"/>
        <v>0.29512730085211453</v>
      </c>
    </row>
    <row r="425" spans="1:24" x14ac:dyDescent="0.3">
      <c r="A425" t="s">
        <v>947</v>
      </c>
      <c r="B425" s="6">
        <v>45915</v>
      </c>
      <c r="C425" s="2">
        <v>45925</v>
      </c>
      <c r="D425" s="4">
        <f t="shared" si="55"/>
        <v>10</v>
      </c>
      <c r="E425" s="46" t="b">
        <f t="shared" si="50"/>
        <v>0</v>
      </c>
      <c r="F425" s="4" t="str">
        <f>TEXT(Data!B425,"MMM-YYYY")</f>
        <v>Feb-2024</v>
      </c>
      <c r="G425" s="4" t="str">
        <f t="shared" si="51"/>
        <v>Q3-2025</v>
      </c>
      <c r="H425" t="s">
        <v>45</v>
      </c>
      <c r="I425" t="s">
        <v>60</v>
      </c>
      <c r="J425" t="s">
        <v>141</v>
      </c>
      <c r="K425" t="s">
        <v>48</v>
      </c>
      <c r="L425" t="s">
        <v>20</v>
      </c>
      <c r="M425" t="s">
        <v>75</v>
      </c>
      <c r="N425" t="s">
        <v>42</v>
      </c>
      <c r="O425" t="s">
        <v>948</v>
      </c>
      <c r="P425" s="4">
        <v>1488.91</v>
      </c>
      <c r="Q425" s="7" t="str">
        <f t="shared" si="52"/>
        <v>High</v>
      </c>
      <c r="R425" s="4">
        <v>1483.74</v>
      </c>
      <c r="S425" s="4">
        <v>0.16800000000000001</v>
      </c>
      <c r="T425" s="4">
        <v>24</v>
      </c>
      <c r="U425" s="4">
        <f t="shared" si="48"/>
        <v>20866.559999999998</v>
      </c>
      <c r="V425">
        <f t="shared" si="49"/>
        <v>35733.840000000004</v>
      </c>
      <c r="W425" s="4">
        <f t="shared" si="53"/>
        <v>-14867.280000000006</v>
      </c>
      <c r="X425" s="4">
        <f t="shared" si="54"/>
        <v>-0.71249309900625724</v>
      </c>
    </row>
    <row r="426" spans="1:24" x14ac:dyDescent="0.3">
      <c r="A426" t="s">
        <v>949</v>
      </c>
      <c r="B426" s="6">
        <v>45341</v>
      </c>
      <c r="C426" s="2">
        <v>45357</v>
      </c>
      <c r="D426" s="4">
        <f t="shared" si="55"/>
        <v>16</v>
      </c>
      <c r="E426" s="46" t="b">
        <f t="shared" si="50"/>
        <v>0</v>
      </c>
      <c r="F426" s="4" t="str">
        <f>TEXT(Data!B426,"MMM-YYYY")</f>
        <v>Feb-2024</v>
      </c>
      <c r="G426" s="4" t="str">
        <f t="shared" si="51"/>
        <v>Q1-2024</v>
      </c>
      <c r="H426" t="s">
        <v>45</v>
      </c>
      <c r="I426" t="s">
        <v>116</v>
      </c>
      <c r="J426" t="s">
        <v>338</v>
      </c>
      <c r="K426" t="s">
        <v>27</v>
      </c>
      <c r="L426" t="s">
        <v>40</v>
      </c>
      <c r="M426" t="s">
        <v>68</v>
      </c>
      <c r="N426" t="s">
        <v>30</v>
      </c>
      <c r="O426" t="s">
        <v>950</v>
      </c>
      <c r="P426" s="4">
        <v>1477.84</v>
      </c>
      <c r="Q426" s="7" t="str">
        <f t="shared" si="52"/>
        <v>High</v>
      </c>
      <c r="R426" s="4">
        <v>3197.47</v>
      </c>
      <c r="S426" s="4">
        <v>0.24299999999999999</v>
      </c>
      <c r="T426" s="4">
        <v>24</v>
      </c>
      <c r="U426" s="4">
        <f t="shared" si="48"/>
        <v>38737.627919999999</v>
      </c>
      <c r="V426">
        <f t="shared" si="49"/>
        <v>35468.159999999996</v>
      </c>
      <c r="W426" s="4">
        <f t="shared" si="53"/>
        <v>3269.4679200000028</v>
      </c>
      <c r="X426" s="4">
        <f t="shared" si="54"/>
        <v>8.4400312965781696E-2</v>
      </c>
    </row>
    <row r="427" spans="1:24" x14ac:dyDescent="0.3">
      <c r="A427" t="s">
        <v>951</v>
      </c>
      <c r="B427" s="6">
        <v>45349</v>
      </c>
      <c r="C427" s="2">
        <v>45377</v>
      </c>
      <c r="D427" s="4">
        <f t="shared" si="55"/>
        <v>28</v>
      </c>
      <c r="E427" s="46" t="b">
        <f t="shared" si="50"/>
        <v>0</v>
      </c>
      <c r="F427" s="4" t="str">
        <f>TEXT(Data!B427,"MMM-YYYY")</f>
        <v>Aug-2025</v>
      </c>
      <c r="G427" s="4" t="str">
        <f t="shared" si="51"/>
        <v>Q1-2024</v>
      </c>
      <c r="H427" t="s">
        <v>45</v>
      </c>
      <c r="I427" t="s">
        <v>60</v>
      </c>
      <c r="J427" t="s">
        <v>220</v>
      </c>
      <c r="K427" t="s">
        <v>27</v>
      </c>
      <c r="L427" t="s">
        <v>40</v>
      </c>
      <c r="M427" t="s">
        <v>41</v>
      </c>
      <c r="N427" t="s">
        <v>57</v>
      </c>
      <c r="O427" t="s">
        <v>952</v>
      </c>
      <c r="P427" s="4">
        <v>1035.19</v>
      </c>
      <c r="Q427" s="7" t="str">
        <f t="shared" si="52"/>
        <v>High</v>
      </c>
      <c r="R427" s="4">
        <v>2322.6999999999998</v>
      </c>
      <c r="S427" s="4">
        <v>0.17299999999999999</v>
      </c>
      <c r="T427" s="4">
        <v>8</v>
      </c>
      <c r="U427" s="4">
        <f t="shared" si="48"/>
        <v>13903.854800000001</v>
      </c>
      <c r="V427">
        <f t="shared" si="49"/>
        <v>8281.52</v>
      </c>
      <c r="W427" s="4">
        <f t="shared" si="53"/>
        <v>5622.3348000000005</v>
      </c>
      <c r="X427" s="4">
        <f t="shared" si="54"/>
        <v>0.40437237592555986</v>
      </c>
    </row>
    <row r="428" spans="1:24" x14ac:dyDescent="0.3">
      <c r="A428" t="s">
        <v>953</v>
      </c>
      <c r="B428" s="6">
        <v>45897</v>
      </c>
      <c r="C428" s="2">
        <v>45905</v>
      </c>
      <c r="D428" s="4">
        <f t="shared" si="55"/>
        <v>8</v>
      </c>
      <c r="E428" s="46" t="b">
        <f t="shared" si="50"/>
        <v>0</v>
      </c>
      <c r="F428" s="4" t="str">
        <f>TEXT(Data!B428,"MMM-YYYY")</f>
        <v>Aug-2024</v>
      </c>
      <c r="G428" s="4" t="str">
        <f t="shared" si="51"/>
        <v>Q3-2025</v>
      </c>
      <c r="H428" t="s">
        <v>16</v>
      </c>
      <c r="I428" t="s">
        <v>25</v>
      </c>
      <c r="J428" t="s">
        <v>26</v>
      </c>
      <c r="K428" t="s">
        <v>62</v>
      </c>
      <c r="L428" t="s">
        <v>40</v>
      </c>
      <c r="M428" t="s">
        <v>63</v>
      </c>
      <c r="N428" t="s">
        <v>57</v>
      </c>
      <c r="O428" t="s">
        <v>954</v>
      </c>
      <c r="P428" s="4">
        <v>1271.0999999999999</v>
      </c>
      <c r="Q428" s="7" t="str">
        <f t="shared" si="52"/>
        <v>High</v>
      </c>
      <c r="R428" s="4">
        <v>1932.42</v>
      </c>
      <c r="S428" s="4">
        <v>0.25</v>
      </c>
      <c r="T428" s="4">
        <v>21</v>
      </c>
      <c r="U428" s="4">
        <f t="shared" si="48"/>
        <v>33475.68</v>
      </c>
      <c r="V428">
        <f t="shared" si="49"/>
        <v>26693.1</v>
      </c>
      <c r="W428" s="4">
        <f t="shared" si="53"/>
        <v>6782.5800000000017</v>
      </c>
      <c r="X428" s="4">
        <f t="shared" si="54"/>
        <v>0.20261216501053905</v>
      </c>
    </row>
    <row r="429" spans="1:24" x14ac:dyDescent="0.3">
      <c r="A429" t="s">
        <v>955</v>
      </c>
      <c r="B429" s="6">
        <v>45522</v>
      </c>
      <c r="C429" s="2">
        <v>45547</v>
      </c>
      <c r="D429" s="4">
        <f t="shared" si="55"/>
        <v>25</v>
      </c>
      <c r="E429" s="46" t="b">
        <f t="shared" si="50"/>
        <v>0</v>
      </c>
      <c r="F429" s="4" t="str">
        <f>TEXT(Data!B429,"MMM-YYYY")</f>
        <v>Feb-2024</v>
      </c>
      <c r="G429" s="4" t="str">
        <f t="shared" si="51"/>
        <v>Q3-2024</v>
      </c>
      <c r="H429" t="s">
        <v>45</v>
      </c>
      <c r="I429" t="s">
        <v>60</v>
      </c>
      <c r="J429" t="s">
        <v>220</v>
      </c>
      <c r="K429" t="s">
        <v>48</v>
      </c>
      <c r="L429" t="s">
        <v>40</v>
      </c>
      <c r="M429" t="s">
        <v>21</v>
      </c>
      <c r="N429" t="s">
        <v>42</v>
      </c>
      <c r="O429" t="s">
        <v>956</v>
      </c>
      <c r="P429" s="4">
        <v>1154.03</v>
      </c>
      <c r="Q429" s="7" t="str">
        <f t="shared" si="52"/>
        <v>High</v>
      </c>
      <c r="R429" s="4">
        <v>1590.36</v>
      </c>
      <c r="S429" s="4">
        <v>0.314</v>
      </c>
      <c r="T429" s="4">
        <v>18</v>
      </c>
      <c r="U429" s="4">
        <f t="shared" si="48"/>
        <v>8801.0369999999984</v>
      </c>
      <c r="V429">
        <f t="shared" si="49"/>
        <v>20772.54</v>
      </c>
      <c r="W429" s="4">
        <f t="shared" si="53"/>
        <v>-11971.503000000002</v>
      </c>
      <c r="X429" s="4">
        <f t="shared" si="54"/>
        <v>-1.360237776525653</v>
      </c>
    </row>
    <row r="430" spans="1:24" x14ac:dyDescent="0.3">
      <c r="A430" t="s">
        <v>957</v>
      </c>
      <c r="B430" s="6">
        <v>45347</v>
      </c>
      <c r="C430" s="2">
        <v>45360</v>
      </c>
      <c r="D430" s="4">
        <f t="shared" si="55"/>
        <v>13</v>
      </c>
      <c r="E430" s="46" t="b">
        <f t="shared" si="50"/>
        <v>0</v>
      </c>
      <c r="F430" s="4" t="str">
        <f>TEXT(Data!B430,"MMM-YYYY")</f>
        <v>May-2025</v>
      </c>
      <c r="G430" s="4" t="str">
        <f t="shared" si="51"/>
        <v>Q1-2024</v>
      </c>
      <c r="H430" t="s">
        <v>78</v>
      </c>
      <c r="I430" t="s">
        <v>90</v>
      </c>
      <c r="J430" t="s">
        <v>91</v>
      </c>
      <c r="K430" t="s">
        <v>62</v>
      </c>
      <c r="L430" t="s">
        <v>55</v>
      </c>
      <c r="M430" t="s">
        <v>63</v>
      </c>
      <c r="N430" t="s">
        <v>64</v>
      </c>
      <c r="O430" t="s">
        <v>958</v>
      </c>
      <c r="P430" s="4">
        <v>322.44</v>
      </c>
      <c r="Q430" s="7" t="str">
        <f t="shared" si="52"/>
        <v>High</v>
      </c>
      <c r="R430" s="4">
        <v>395.61</v>
      </c>
      <c r="S430" s="4">
        <v>0</v>
      </c>
      <c r="T430" s="4">
        <v>34</v>
      </c>
      <c r="U430" s="4">
        <f t="shared" si="48"/>
        <v>53340.22</v>
      </c>
      <c r="V430">
        <f t="shared" si="49"/>
        <v>10962.96</v>
      </c>
      <c r="W430" s="4">
        <f t="shared" si="53"/>
        <v>42377.26</v>
      </c>
      <c r="X430" s="4">
        <f t="shared" si="54"/>
        <v>0.79447103892709858</v>
      </c>
    </row>
    <row r="431" spans="1:24" x14ac:dyDescent="0.3">
      <c r="A431" t="s">
        <v>959</v>
      </c>
      <c r="B431" s="6">
        <v>45784</v>
      </c>
      <c r="C431" s="2">
        <v>45790</v>
      </c>
      <c r="D431" s="4">
        <f t="shared" si="55"/>
        <v>6</v>
      </c>
      <c r="E431" s="46" t="str">
        <f t="shared" si="50"/>
        <v>Yes</v>
      </c>
      <c r="F431" s="4" t="str">
        <f>TEXT(Data!B431,"MMM-YYYY")</f>
        <v>Nov-2024</v>
      </c>
      <c r="G431" s="4" t="str">
        <f t="shared" si="51"/>
        <v>Q2-2025</v>
      </c>
      <c r="H431" t="s">
        <v>45</v>
      </c>
      <c r="I431" t="s">
        <v>60</v>
      </c>
      <c r="J431" t="s">
        <v>61</v>
      </c>
      <c r="K431" t="s">
        <v>105</v>
      </c>
      <c r="L431" t="s">
        <v>98</v>
      </c>
      <c r="M431" t="s">
        <v>29</v>
      </c>
      <c r="N431" t="s">
        <v>42</v>
      </c>
      <c r="O431" t="s">
        <v>960</v>
      </c>
      <c r="P431" s="4">
        <v>935.98</v>
      </c>
      <c r="Q431" s="7" t="str">
        <f t="shared" si="52"/>
        <v>High</v>
      </c>
      <c r="R431" s="4">
        <v>2077.69</v>
      </c>
      <c r="S431" s="4">
        <v>0.17499999999999999</v>
      </c>
      <c r="T431" s="4">
        <v>24</v>
      </c>
      <c r="U431" s="4">
        <f t="shared" si="48"/>
        <v>41071.932000000001</v>
      </c>
      <c r="V431">
        <f t="shared" si="49"/>
        <v>22463.52</v>
      </c>
      <c r="W431" s="4">
        <f t="shared" si="53"/>
        <v>18608.412</v>
      </c>
      <c r="X431" s="4">
        <f t="shared" si="54"/>
        <v>0.4530688256885505</v>
      </c>
    </row>
    <row r="432" spans="1:24" x14ac:dyDescent="0.3">
      <c r="A432" t="s">
        <v>961</v>
      </c>
      <c r="B432" s="6">
        <v>45597</v>
      </c>
      <c r="C432" s="2">
        <v>45608</v>
      </c>
      <c r="D432" s="4">
        <f t="shared" si="55"/>
        <v>11</v>
      </c>
      <c r="E432" s="46" t="b">
        <f t="shared" si="50"/>
        <v>0</v>
      </c>
      <c r="F432" s="4" t="str">
        <f>TEXT(Data!B432,"MMM-YYYY")</f>
        <v>Dec-2024</v>
      </c>
      <c r="G432" s="4" t="str">
        <f t="shared" si="51"/>
        <v>Q4-2024</v>
      </c>
      <c r="H432" t="s">
        <v>78</v>
      </c>
      <c r="I432" t="s">
        <v>79</v>
      </c>
      <c r="J432" t="s">
        <v>335</v>
      </c>
      <c r="K432" t="s">
        <v>48</v>
      </c>
      <c r="L432" t="s">
        <v>28</v>
      </c>
      <c r="M432" t="s">
        <v>56</v>
      </c>
      <c r="N432" t="s">
        <v>30</v>
      </c>
      <c r="O432" t="s">
        <v>962</v>
      </c>
      <c r="P432" s="4">
        <v>599.84</v>
      </c>
      <c r="Q432" s="7" t="str">
        <f t="shared" si="52"/>
        <v>High</v>
      </c>
      <c r="R432" s="4">
        <v>1330.85</v>
      </c>
      <c r="S432" s="4">
        <v>0.115</v>
      </c>
      <c r="T432" s="4">
        <v>11</v>
      </c>
      <c r="U432" s="4">
        <f t="shared" si="48"/>
        <v>4820.6746499999999</v>
      </c>
      <c r="V432">
        <f t="shared" si="49"/>
        <v>6598.2400000000007</v>
      </c>
      <c r="W432" s="4">
        <f t="shared" si="53"/>
        <v>-1777.5653500000008</v>
      </c>
      <c r="X432" s="4">
        <f t="shared" si="54"/>
        <v>-0.36873787987330792</v>
      </c>
    </row>
    <row r="433" spans="1:24" x14ac:dyDescent="0.3">
      <c r="A433" t="s">
        <v>963</v>
      </c>
      <c r="B433" s="6">
        <v>45654</v>
      </c>
      <c r="C433" s="2">
        <v>45665</v>
      </c>
      <c r="D433" s="4">
        <f t="shared" si="55"/>
        <v>11</v>
      </c>
      <c r="E433" s="46" t="b">
        <f t="shared" si="50"/>
        <v>0</v>
      </c>
      <c r="F433" s="4" t="str">
        <f>TEXT(Data!B433,"MMM-YYYY")</f>
        <v>Oct-2023</v>
      </c>
      <c r="G433" s="4" t="str">
        <f t="shared" si="51"/>
        <v>Q4-2024</v>
      </c>
      <c r="H433" t="s">
        <v>45</v>
      </c>
      <c r="I433" t="s">
        <v>116</v>
      </c>
      <c r="J433" t="s">
        <v>117</v>
      </c>
      <c r="K433" t="s">
        <v>105</v>
      </c>
      <c r="L433" t="s">
        <v>28</v>
      </c>
      <c r="M433" t="s">
        <v>95</v>
      </c>
      <c r="N433" t="s">
        <v>57</v>
      </c>
      <c r="O433" t="s">
        <v>964</v>
      </c>
      <c r="P433" s="4">
        <v>1201.31</v>
      </c>
      <c r="Q433" s="7" t="str">
        <f t="shared" si="52"/>
        <v>High</v>
      </c>
      <c r="R433" s="4">
        <v>2764.65</v>
      </c>
      <c r="S433" s="4">
        <v>0</v>
      </c>
      <c r="T433" s="4">
        <v>21</v>
      </c>
      <c r="U433" s="4">
        <f t="shared" si="48"/>
        <v>15909.390000000001</v>
      </c>
      <c r="V433">
        <f t="shared" si="49"/>
        <v>25227.51</v>
      </c>
      <c r="W433" s="4">
        <f t="shared" si="53"/>
        <v>-9318.1199999999972</v>
      </c>
      <c r="X433" s="4">
        <f t="shared" si="54"/>
        <v>-0.58569938885148942</v>
      </c>
    </row>
    <row r="434" spans="1:24" x14ac:dyDescent="0.3">
      <c r="A434" t="s">
        <v>965</v>
      </c>
      <c r="B434" s="6">
        <v>45220</v>
      </c>
      <c r="C434" s="2">
        <v>45220</v>
      </c>
      <c r="D434" s="4">
        <f t="shared" si="55"/>
        <v>0</v>
      </c>
      <c r="E434" s="46" t="str">
        <f t="shared" si="50"/>
        <v>Yes</v>
      </c>
      <c r="F434" s="4" t="str">
        <f>TEXT(Data!B434,"MMM-YYYY")</f>
        <v>Dec-2024</v>
      </c>
      <c r="G434" s="4" t="str">
        <f t="shared" si="51"/>
        <v>Q4-2023</v>
      </c>
      <c r="H434" t="s">
        <v>78</v>
      </c>
      <c r="I434" t="s">
        <v>108</v>
      </c>
      <c r="J434" t="s">
        <v>228</v>
      </c>
      <c r="K434" t="s">
        <v>105</v>
      </c>
      <c r="L434" t="s">
        <v>55</v>
      </c>
      <c r="M434" t="s">
        <v>29</v>
      </c>
      <c r="N434" t="s">
        <v>64</v>
      </c>
      <c r="O434" t="s">
        <v>966</v>
      </c>
      <c r="P434" s="4">
        <v>384.19</v>
      </c>
      <c r="Q434" s="7" t="str">
        <f t="shared" si="52"/>
        <v>High</v>
      </c>
      <c r="R434" s="4">
        <v>278.35000000000002</v>
      </c>
      <c r="S434" s="4">
        <v>5.6000000000000001E-2</v>
      </c>
      <c r="T434" s="4">
        <v>10</v>
      </c>
      <c r="U434" s="4">
        <f t="shared" si="48"/>
        <v>3926.6623999999993</v>
      </c>
      <c r="V434">
        <f t="shared" si="49"/>
        <v>3841.9</v>
      </c>
      <c r="W434" s="4">
        <f t="shared" si="53"/>
        <v>84.762399999999161</v>
      </c>
      <c r="X434" s="4">
        <f t="shared" si="54"/>
        <v>2.1586373200812775E-2</v>
      </c>
    </row>
    <row r="435" spans="1:24" x14ac:dyDescent="0.3">
      <c r="A435" t="s">
        <v>967</v>
      </c>
      <c r="B435" s="6">
        <v>45636</v>
      </c>
      <c r="C435" s="2">
        <v>45645</v>
      </c>
      <c r="D435" s="4">
        <f t="shared" si="55"/>
        <v>9</v>
      </c>
      <c r="E435" s="46" t="b">
        <f t="shared" si="50"/>
        <v>0</v>
      </c>
      <c r="F435" s="4" t="str">
        <f>TEXT(Data!B435,"MMM-YYYY")</f>
        <v>Sep-2024</v>
      </c>
      <c r="G435" s="4" t="str">
        <f t="shared" si="51"/>
        <v>Q4-2024</v>
      </c>
      <c r="H435" t="s">
        <v>16</v>
      </c>
      <c r="I435" t="s">
        <v>25</v>
      </c>
      <c r="J435" t="s">
        <v>38</v>
      </c>
      <c r="K435" t="s">
        <v>19</v>
      </c>
      <c r="L435" t="s">
        <v>20</v>
      </c>
      <c r="M435" t="s">
        <v>68</v>
      </c>
      <c r="N435" t="s">
        <v>64</v>
      </c>
      <c r="O435" t="s">
        <v>968</v>
      </c>
      <c r="P435" s="4">
        <v>488.68</v>
      </c>
      <c r="Q435" s="7" t="str">
        <f t="shared" si="52"/>
        <v>High</v>
      </c>
      <c r="R435" s="4">
        <v>984.36</v>
      </c>
      <c r="S435" s="4">
        <v>5.8999999999999997E-2</v>
      </c>
      <c r="T435" s="4">
        <v>14</v>
      </c>
      <c r="U435" s="4">
        <f t="shared" si="48"/>
        <v>24647.104860000003</v>
      </c>
      <c r="V435">
        <f t="shared" si="49"/>
        <v>6841.52</v>
      </c>
      <c r="W435" s="4">
        <f t="shared" si="53"/>
        <v>17805.584860000003</v>
      </c>
      <c r="X435" s="4">
        <f t="shared" si="54"/>
        <v>0.72242094806424251</v>
      </c>
    </row>
    <row r="436" spans="1:24" x14ac:dyDescent="0.3">
      <c r="A436" t="s">
        <v>969</v>
      </c>
      <c r="B436" s="6">
        <v>45542</v>
      </c>
      <c r="C436" s="2">
        <v>45553</v>
      </c>
      <c r="D436" s="4">
        <f t="shared" si="55"/>
        <v>11</v>
      </c>
      <c r="E436" s="46" t="b">
        <f t="shared" si="50"/>
        <v>0</v>
      </c>
      <c r="F436" s="4" t="str">
        <f>TEXT(Data!B436,"MMM-YYYY")</f>
        <v>Oct-2023</v>
      </c>
      <c r="G436" s="4" t="str">
        <f t="shared" si="51"/>
        <v>Q3-2024</v>
      </c>
      <c r="H436" t="s">
        <v>45</v>
      </c>
      <c r="I436" t="s">
        <v>116</v>
      </c>
      <c r="J436" t="s">
        <v>338</v>
      </c>
      <c r="K436" t="s">
        <v>48</v>
      </c>
      <c r="L436" t="s">
        <v>55</v>
      </c>
      <c r="M436" t="s">
        <v>68</v>
      </c>
      <c r="N436" t="s">
        <v>35</v>
      </c>
      <c r="O436" t="s">
        <v>970</v>
      </c>
      <c r="P436" s="4">
        <v>181.74</v>
      </c>
      <c r="Q436" s="7" t="str">
        <f t="shared" si="52"/>
        <v>Medium</v>
      </c>
      <c r="R436" s="4">
        <v>190.84</v>
      </c>
      <c r="S436" s="4">
        <v>0.214</v>
      </c>
      <c r="T436" s="4">
        <v>13</v>
      </c>
      <c r="U436" s="4">
        <f t="shared" si="48"/>
        <v>2113.89984</v>
      </c>
      <c r="V436">
        <f t="shared" si="49"/>
        <v>2362.62</v>
      </c>
      <c r="W436" s="4">
        <f t="shared" si="53"/>
        <v>-248.72015999999985</v>
      </c>
      <c r="X436" s="4">
        <f t="shared" si="54"/>
        <v>-0.11765938730569177</v>
      </c>
    </row>
    <row r="437" spans="1:24" x14ac:dyDescent="0.3">
      <c r="A437" t="s">
        <v>971</v>
      </c>
      <c r="B437" s="6">
        <v>45217</v>
      </c>
      <c r="C437" s="2">
        <v>45219</v>
      </c>
      <c r="D437" s="4">
        <f t="shared" si="55"/>
        <v>2</v>
      </c>
      <c r="E437" s="46" t="str">
        <f t="shared" si="50"/>
        <v>Yes</v>
      </c>
      <c r="F437" s="4" t="str">
        <f>TEXT(Data!B437,"MMM-YYYY")</f>
        <v>Dec-2024</v>
      </c>
      <c r="G437" s="4" t="str">
        <f t="shared" si="51"/>
        <v>Q4-2023</v>
      </c>
      <c r="H437" t="s">
        <v>16</v>
      </c>
      <c r="I437" t="s">
        <v>17</v>
      </c>
      <c r="J437" t="s">
        <v>18</v>
      </c>
      <c r="K437" t="s">
        <v>48</v>
      </c>
      <c r="L437" t="s">
        <v>20</v>
      </c>
      <c r="M437" t="s">
        <v>29</v>
      </c>
      <c r="N437" t="s">
        <v>42</v>
      </c>
      <c r="O437" t="s">
        <v>972</v>
      </c>
      <c r="P437" s="4">
        <v>774.12</v>
      </c>
      <c r="Q437" s="7" t="str">
        <f t="shared" si="52"/>
        <v>High</v>
      </c>
      <c r="R437" s="4">
        <v>908.3</v>
      </c>
      <c r="S437" s="4">
        <v>0</v>
      </c>
      <c r="T437" s="4">
        <v>30</v>
      </c>
      <c r="U437" s="4">
        <f t="shared" si="48"/>
        <v>1884.6</v>
      </c>
      <c r="V437">
        <f t="shared" si="49"/>
        <v>23223.599999999999</v>
      </c>
      <c r="W437" s="4">
        <f t="shared" si="53"/>
        <v>-21339</v>
      </c>
      <c r="X437" s="4">
        <f t="shared" si="54"/>
        <v>-11.322827125119389</v>
      </c>
    </row>
    <row r="438" spans="1:24" x14ac:dyDescent="0.3">
      <c r="A438" t="s">
        <v>973</v>
      </c>
      <c r="B438" s="6">
        <v>45650</v>
      </c>
      <c r="C438" s="2">
        <v>45670</v>
      </c>
      <c r="D438" s="4">
        <f t="shared" si="55"/>
        <v>20</v>
      </c>
      <c r="E438" s="46" t="b">
        <f t="shared" si="50"/>
        <v>0</v>
      </c>
      <c r="F438" s="4" t="str">
        <f>TEXT(Data!B438,"MMM-YYYY")</f>
        <v>Apr-2023</v>
      </c>
      <c r="G438" s="4" t="str">
        <f t="shared" si="51"/>
        <v>Q4-2024</v>
      </c>
      <c r="H438" t="s">
        <v>45</v>
      </c>
      <c r="I438" t="s">
        <v>60</v>
      </c>
      <c r="J438" t="s">
        <v>61</v>
      </c>
      <c r="K438" t="s">
        <v>19</v>
      </c>
      <c r="L438" t="s">
        <v>40</v>
      </c>
      <c r="M438" t="s">
        <v>145</v>
      </c>
      <c r="N438" t="s">
        <v>35</v>
      </c>
      <c r="O438" t="s">
        <v>974</v>
      </c>
      <c r="P438" s="4">
        <v>126.15</v>
      </c>
      <c r="Q438" s="7" t="str">
        <f t="shared" si="52"/>
        <v>High</v>
      </c>
      <c r="R438" s="4">
        <v>284.23</v>
      </c>
      <c r="S438" s="4">
        <v>0.113</v>
      </c>
      <c r="T438" s="4">
        <v>22</v>
      </c>
      <c r="U438" s="4">
        <f t="shared" si="48"/>
        <v>18664.94586</v>
      </c>
      <c r="V438">
        <f t="shared" si="49"/>
        <v>2775.3</v>
      </c>
      <c r="W438" s="4">
        <f t="shared" si="53"/>
        <v>15889.645860000001</v>
      </c>
      <c r="X438" s="4">
        <f t="shared" si="54"/>
        <v>0.85130950709331443</v>
      </c>
    </row>
    <row r="439" spans="1:24" x14ac:dyDescent="0.3">
      <c r="A439" t="s">
        <v>975</v>
      </c>
      <c r="B439" s="6">
        <v>45037</v>
      </c>
      <c r="C439" s="2">
        <v>45035</v>
      </c>
      <c r="D439" s="4">
        <f>DATEDIF(C439,B439, "MD")</f>
        <v>2</v>
      </c>
      <c r="E439" s="46" t="str">
        <f t="shared" si="50"/>
        <v>Yes</v>
      </c>
      <c r="F439" s="4" t="str">
        <f>TEXT(Data!B439,"MMM-YYYY")</f>
        <v>Dec-2023</v>
      </c>
      <c r="G439" s="4" t="str">
        <f t="shared" si="51"/>
        <v>Q2-2023</v>
      </c>
      <c r="H439" t="s">
        <v>45</v>
      </c>
      <c r="I439" t="s">
        <v>46</v>
      </c>
      <c r="J439" t="s">
        <v>231</v>
      </c>
      <c r="K439" t="s">
        <v>62</v>
      </c>
      <c r="L439" t="s">
        <v>98</v>
      </c>
      <c r="M439" t="s">
        <v>110</v>
      </c>
      <c r="N439" t="s">
        <v>22</v>
      </c>
      <c r="O439" t="s">
        <v>976</v>
      </c>
      <c r="P439" s="4">
        <v>607.04</v>
      </c>
      <c r="Q439" s="7" t="str">
        <f t="shared" si="52"/>
        <v>High</v>
      </c>
      <c r="R439" s="4">
        <v>1229.3399999999999</v>
      </c>
      <c r="S439" s="4">
        <v>0.14699999999999999</v>
      </c>
      <c r="T439" s="4">
        <v>7</v>
      </c>
      <c r="U439" s="4">
        <f t="shared" si="48"/>
        <v>989.39469999999983</v>
      </c>
      <c r="V439">
        <f t="shared" si="49"/>
        <v>4249.28</v>
      </c>
      <c r="W439" s="4">
        <f t="shared" si="53"/>
        <v>-3259.8852999999999</v>
      </c>
      <c r="X439" s="4">
        <f t="shared" si="54"/>
        <v>-3.2948279387387061</v>
      </c>
    </row>
    <row r="440" spans="1:24" x14ac:dyDescent="0.3">
      <c r="A440" t="s">
        <v>977</v>
      </c>
      <c r="B440" s="6">
        <v>45290</v>
      </c>
      <c r="C440" s="2">
        <v>45299</v>
      </c>
      <c r="D440" s="4">
        <f t="shared" si="55"/>
        <v>9</v>
      </c>
      <c r="E440" s="46" t="b">
        <f t="shared" si="50"/>
        <v>0</v>
      </c>
      <c r="F440" s="4" t="str">
        <f>TEXT(Data!B440,"MMM-YYYY")</f>
        <v>Feb-2023</v>
      </c>
      <c r="G440" s="4" t="str">
        <f t="shared" si="51"/>
        <v>Q4-2023</v>
      </c>
      <c r="H440" t="s">
        <v>78</v>
      </c>
      <c r="I440" t="s">
        <v>90</v>
      </c>
      <c r="J440" t="s">
        <v>91</v>
      </c>
      <c r="K440" t="s">
        <v>48</v>
      </c>
      <c r="L440" t="s">
        <v>40</v>
      </c>
      <c r="M440" t="s">
        <v>49</v>
      </c>
      <c r="N440" t="s">
        <v>81</v>
      </c>
      <c r="O440" t="s">
        <v>978</v>
      </c>
      <c r="P440" s="4">
        <v>861.1</v>
      </c>
      <c r="Q440" s="7" t="str">
        <f t="shared" si="52"/>
        <v>High</v>
      </c>
      <c r="R440" s="4">
        <v>1224.72</v>
      </c>
      <c r="S440" s="4">
        <v>0.17399999999999999</v>
      </c>
      <c r="T440" s="4">
        <v>24</v>
      </c>
      <c r="U440" s="4">
        <f t="shared" si="48"/>
        <v>12060.128640000001</v>
      </c>
      <c r="V440">
        <f t="shared" si="49"/>
        <v>20666.400000000001</v>
      </c>
      <c r="W440" s="4">
        <f t="shared" si="53"/>
        <v>-8606.2713600000006</v>
      </c>
      <c r="X440" s="4">
        <f t="shared" si="54"/>
        <v>-0.71361356225135586</v>
      </c>
    </row>
    <row r="441" spans="1:24" x14ac:dyDescent="0.3">
      <c r="A441" t="s">
        <v>979</v>
      </c>
      <c r="B441" s="6">
        <v>44978</v>
      </c>
      <c r="C441" s="2">
        <v>44997</v>
      </c>
      <c r="D441" s="4">
        <f t="shared" si="55"/>
        <v>19</v>
      </c>
      <c r="E441" s="46" t="b">
        <f t="shared" si="50"/>
        <v>0</v>
      </c>
      <c r="F441" s="4" t="str">
        <f>TEXT(Data!B441,"MMM-YYYY")</f>
        <v>May-2023</v>
      </c>
      <c r="G441" s="4" t="str">
        <f t="shared" si="51"/>
        <v>Q1-2023</v>
      </c>
      <c r="H441" t="s">
        <v>16</v>
      </c>
      <c r="I441" t="s">
        <v>17</v>
      </c>
      <c r="J441" t="s">
        <v>135</v>
      </c>
      <c r="K441" t="s">
        <v>19</v>
      </c>
      <c r="L441" t="s">
        <v>28</v>
      </c>
      <c r="M441" t="s">
        <v>84</v>
      </c>
      <c r="N441" t="s">
        <v>35</v>
      </c>
      <c r="O441" t="s">
        <v>980</v>
      </c>
      <c r="P441" s="4">
        <v>352.65</v>
      </c>
      <c r="Q441" s="7" t="str">
        <f t="shared" si="52"/>
        <v>High</v>
      </c>
      <c r="R441" s="4">
        <v>485.86</v>
      </c>
      <c r="S441" s="4">
        <v>4.1000000000000002E-2</v>
      </c>
      <c r="T441" s="4">
        <v>6</v>
      </c>
      <c r="U441" s="4">
        <f t="shared" si="48"/>
        <v>15339.646139999999</v>
      </c>
      <c r="V441">
        <f t="shared" si="49"/>
        <v>2115.8999999999996</v>
      </c>
      <c r="W441" s="4">
        <f t="shared" si="53"/>
        <v>13223.746139999999</v>
      </c>
      <c r="X441" s="4">
        <f t="shared" si="54"/>
        <v>0.86206331093371624</v>
      </c>
    </row>
    <row r="442" spans="1:24" x14ac:dyDescent="0.3">
      <c r="A442" t="s">
        <v>981</v>
      </c>
      <c r="B442" s="6">
        <v>45063</v>
      </c>
      <c r="C442" s="2">
        <v>45080</v>
      </c>
      <c r="D442" s="4">
        <f t="shared" si="55"/>
        <v>17</v>
      </c>
      <c r="E442" s="46" t="b">
        <f t="shared" si="50"/>
        <v>0</v>
      </c>
      <c r="F442" s="4" t="str">
        <f>TEXT(Data!B442,"MMM-YYYY")</f>
        <v>Mar-2024</v>
      </c>
      <c r="G442" s="4" t="str">
        <f t="shared" si="51"/>
        <v>Q2-2023</v>
      </c>
      <c r="H442" t="s">
        <v>45</v>
      </c>
      <c r="I442" t="s">
        <v>116</v>
      </c>
      <c r="J442" t="s">
        <v>338</v>
      </c>
      <c r="K442" t="s">
        <v>39</v>
      </c>
      <c r="L442" t="s">
        <v>55</v>
      </c>
      <c r="M442" t="s">
        <v>110</v>
      </c>
      <c r="N442" t="s">
        <v>30</v>
      </c>
      <c r="O442" t="s">
        <v>982</v>
      </c>
      <c r="P442" s="4">
        <v>979.59</v>
      </c>
      <c r="Q442" s="7" t="str">
        <f t="shared" si="52"/>
        <v>High</v>
      </c>
      <c r="R442" s="4">
        <v>2210.94</v>
      </c>
      <c r="S442" s="4">
        <v>0.15</v>
      </c>
      <c r="T442" s="4">
        <v>11</v>
      </c>
      <c r="U442" s="4">
        <f t="shared" si="48"/>
        <v>5497.3325000000004</v>
      </c>
      <c r="V442">
        <f t="shared" si="49"/>
        <v>10775.49</v>
      </c>
      <c r="W442" s="4">
        <f t="shared" si="53"/>
        <v>-5278.1574999999993</v>
      </c>
      <c r="X442" s="4">
        <f t="shared" si="54"/>
        <v>-0.96013066337173514</v>
      </c>
    </row>
    <row r="443" spans="1:24" x14ac:dyDescent="0.3">
      <c r="A443" t="s">
        <v>983</v>
      </c>
      <c r="B443" s="6">
        <v>45374</v>
      </c>
      <c r="C443" s="2">
        <v>45377</v>
      </c>
      <c r="D443" s="4">
        <f t="shared" si="55"/>
        <v>3</v>
      </c>
      <c r="E443" s="46" t="str">
        <f t="shared" si="50"/>
        <v>Yes</v>
      </c>
      <c r="F443" s="4" t="str">
        <f>TEXT(Data!B443,"MMM-YYYY")</f>
        <v>Sep-2023</v>
      </c>
      <c r="G443" s="4" t="str">
        <f t="shared" si="51"/>
        <v>Q1-2024</v>
      </c>
      <c r="H443" t="s">
        <v>45</v>
      </c>
      <c r="I443" t="s">
        <v>60</v>
      </c>
      <c r="J443" t="s">
        <v>61</v>
      </c>
      <c r="K443" t="s">
        <v>27</v>
      </c>
      <c r="L443" t="s">
        <v>98</v>
      </c>
      <c r="M443" t="s">
        <v>41</v>
      </c>
      <c r="N443" t="s">
        <v>42</v>
      </c>
      <c r="O443" t="s">
        <v>984</v>
      </c>
      <c r="P443" s="4">
        <v>382.21</v>
      </c>
      <c r="Q443" s="7" t="str">
        <f t="shared" si="52"/>
        <v>High</v>
      </c>
      <c r="R443" s="4">
        <v>571.89</v>
      </c>
      <c r="S443" s="4">
        <v>0.14799999999999999</v>
      </c>
      <c r="T443" s="4">
        <v>26</v>
      </c>
      <c r="U443" s="4">
        <f t="shared" si="48"/>
        <v>48582.215760000006</v>
      </c>
      <c r="V443">
        <f t="shared" si="49"/>
        <v>9937.4599999999991</v>
      </c>
      <c r="W443" s="4">
        <f t="shared" si="53"/>
        <v>38644.755760000007</v>
      </c>
      <c r="X443" s="4">
        <f t="shared" si="54"/>
        <v>0.79545066348781124</v>
      </c>
    </row>
    <row r="444" spans="1:24" x14ac:dyDescent="0.3">
      <c r="A444" t="s">
        <v>985</v>
      </c>
      <c r="B444" s="6">
        <v>45189</v>
      </c>
      <c r="C444" s="2">
        <v>45197</v>
      </c>
      <c r="D444" s="4">
        <f t="shared" si="55"/>
        <v>8</v>
      </c>
      <c r="E444" s="46" t="b">
        <f t="shared" si="50"/>
        <v>0</v>
      </c>
      <c r="F444" s="4" t="str">
        <f>TEXT(Data!B444,"MMM-YYYY")</f>
        <v>Aug-2024</v>
      </c>
      <c r="G444" s="4" t="str">
        <f t="shared" si="51"/>
        <v>Q3-2023</v>
      </c>
      <c r="H444" t="s">
        <v>45</v>
      </c>
      <c r="I444" t="s">
        <v>60</v>
      </c>
      <c r="J444" t="s">
        <v>1364</v>
      </c>
      <c r="K444" t="s">
        <v>19</v>
      </c>
      <c r="L444" t="s">
        <v>1364</v>
      </c>
      <c r="M444" t="s">
        <v>56</v>
      </c>
      <c r="N444" t="s">
        <v>81</v>
      </c>
      <c r="O444" t="s">
        <v>986</v>
      </c>
      <c r="P444" s="4">
        <v>1362.06</v>
      </c>
      <c r="Q444" s="7" t="str">
        <f t="shared" si="52"/>
        <v>High</v>
      </c>
      <c r="R444" s="4">
        <v>3398.37</v>
      </c>
      <c r="S444" s="4">
        <v>0.157</v>
      </c>
      <c r="T444" s="4">
        <v>11</v>
      </c>
      <c r="U444" s="4">
        <f t="shared" si="48"/>
        <v>20287.469400000002</v>
      </c>
      <c r="V444">
        <f t="shared" si="49"/>
        <v>14982.66</v>
      </c>
      <c r="W444" s="4">
        <f t="shared" si="53"/>
        <v>5304.8094000000019</v>
      </c>
      <c r="X444" s="4">
        <f t="shared" si="54"/>
        <v>0.26148206537775487</v>
      </c>
    </row>
    <row r="445" spans="1:24" x14ac:dyDescent="0.3">
      <c r="A445" t="s">
        <v>987</v>
      </c>
      <c r="B445" s="6">
        <v>45526</v>
      </c>
      <c r="C445" s="2">
        <v>45539</v>
      </c>
      <c r="D445" s="4">
        <f t="shared" si="55"/>
        <v>13</v>
      </c>
      <c r="E445" s="46" t="b">
        <f t="shared" si="50"/>
        <v>0</v>
      </c>
      <c r="F445" s="4" t="str">
        <f>TEXT(Data!B445,"MMM-YYYY")</f>
        <v>Sep-2024</v>
      </c>
      <c r="G445" s="4" t="str">
        <f t="shared" si="51"/>
        <v>Q3-2024</v>
      </c>
      <c r="H445" t="s">
        <v>78</v>
      </c>
      <c r="I445" t="s">
        <v>79</v>
      </c>
      <c r="J445" t="s">
        <v>335</v>
      </c>
      <c r="K445" t="s">
        <v>39</v>
      </c>
      <c r="L445" t="s">
        <v>20</v>
      </c>
      <c r="M445" t="s">
        <v>49</v>
      </c>
      <c r="N445" t="s">
        <v>30</v>
      </c>
      <c r="O445" t="s">
        <v>988</v>
      </c>
      <c r="P445" s="4">
        <v>90.04</v>
      </c>
      <c r="Q445" s="7" t="str">
        <f t="shared" si="52"/>
        <v>Medium</v>
      </c>
      <c r="R445" s="4">
        <v>194.62</v>
      </c>
      <c r="S445" s="4">
        <v>4.2999999999999997E-2</v>
      </c>
      <c r="T445" s="4">
        <v>32</v>
      </c>
      <c r="U445" s="4">
        <f t="shared" si="48"/>
        <v>30688.61664</v>
      </c>
      <c r="V445">
        <f t="shared" si="49"/>
        <v>2881.28</v>
      </c>
      <c r="W445" s="4">
        <f t="shared" si="53"/>
        <v>27807.336640000001</v>
      </c>
      <c r="X445" s="4">
        <f t="shared" si="54"/>
        <v>0.90611241836673417</v>
      </c>
    </row>
    <row r="446" spans="1:24" x14ac:dyDescent="0.3">
      <c r="A446" t="s">
        <v>989</v>
      </c>
      <c r="B446" s="6">
        <v>45560</v>
      </c>
      <c r="C446" s="2">
        <v>45568</v>
      </c>
      <c r="D446" s="4">
        <f t="shared" si="55"/>
        <v>8</v>
      </c>
      <c r="E446" s="46" t="b">
        <f t="shared" si="50"/>
        <v>0</v>
      </c>
      <c r="F446" s="4" t="str">
        <f>TEXT(Data!B446,"MMM-YYYY")</f>
        <v>Jun-2023</v>
      </c>
      <c r="G446" s="4" t="str">
        <f t="shared" si="51"/>
        <v>Q3-2024</v>
      </c>
      <c r="H446" t="s">
        <v>52</v>
      </c>
      <c r="I446" t="s">
        <v>53</v>
      </c>
      <c r="J446" t="s">
        <v>54</v>
      </c>
      <c r="K446" t="s">
        <v>48</v>
      </c>
      <c r="L446" t="s">
        <v>28</v>
      </c>
      <c r="M446" t="s">
        <v>63</v>
      </c>
      <c r="N446" t="s">
        <v>30</v>
      </c>
      <c r="O446" t="s">
        <v>990</v>
      </c>
      <c r="P446" s="4">
        <v>558.19000000000005</v>
      </c>
      <c r="Q446" s="7" t="str">
        <f t="shared" si="52"/>
        <v>High</v>
      </c>
      <c r="R446" s="4">
        <v>1031.6400000000001</v>
      </c>
      <c r="S446" s="4">
        <v>0</v>
      </c>
      <c r="T446" s="4">
        <v>21</v>
      </c>
      <c r="U446" s="4">
        <f t="shared" si="48"/>
        <v>19189.38</v>
      </c>
      <c r="V446">
        <f t="shared" si="49"/>
        <v>11721.990000000002</v>
      </c>
      <c r="W446" s="4">
        <f t="shared" si="53"/>
        <v>7467.3899999999994</v>
      </c>
      <c r="X446" s="4">
        <f t="shared" si="54"/>
        <v>0.3891418065617544</v>
      </c>
    </row>
    <row r="447" spans="1:24" x14ac:dyDescent="0.3">
      <c r="A447" t="s">
        <v>991</v>
      </c>
      <c r="B447" s="6">
        <v>45090</v>
      </c>
      <c r="C447" s="2">
        <v>45101</v>
      </c>
      <c r="D447" s="4">
        <f t="shared" si="55"/>
        <v>11</v>
      </c>
      <c r="E447" s="46" t="b">
        <f t="shared" si="50"/>
        <v>0</v>
      </c>
      <c r="F447" s="4" t="str">
        <f>TEXT(Data!B447,"MMM-YYYY")</f>
        <v>Dec-2023</v>
      </c>
      <c r="G447" s="4" t="str">
        <f t="shared" si="51"/>
        <v>Q2-2023</v>
      </c>
      <c r="H447" t="s">
        <v>52</v>
      </c>
      <c r="I447" t="s">
        <v>53</v>
      </c>
      <c r="J447" t="s">
        <v>54</v>
      </c>
      <c r="K447" t="s">
        <v>19</v>
      </c>
      <c r="L447" t="s">
        <v>28</v>
      </c>
      <c r="M447" t="s">
        <v>21</v>
      </c>
      <c r="N447" t="s">
        <v>30</v>
      </c>
      <c r="O447" t="s">
        <v>992</v>
      </c>
      <c r="P447" s="4">
        <v>247.07</v>
      </c>
      <c r="Q447" s="7" t="str">
        <f t="shared" si="52"/>
        <v>High</v>
      </c>
      <c r="R447" s="4">
        <v>495.19</v>
      </c>
      <c r="S447" s="4">
        <v>2.8000000000000001E-2</v>
      </c>
      <c r="T447" s="4">
        <v>4</v>
      </c>
      <c r="U447" s="4">
        <f t="shared" si="48"/>
        <v>7167.5668799999994</v>
      </c>
      <c r="V447">
        <f t="shared" si="49"/>
        <v>988.28</v>
      </c>
      <c r="W447" s="4">
        <f t="shared" si="53"/>
        <v>6179.2868799999997</v>
      </c>
      <c r="X447" s="4">
        <f t="shared" si="54"/>
        <v>0.86211778466167588</v>
      </c>
    </row>
    <row r="448" spans="1:24" x14ac:dyDescent="0.3">
      <c r="A448" t="s">
        <v>993</v>
      </c>
      <c r="B448" s="6">
        <v>45284</v>
      </c>
      <c r="C448" s="2">
        <v>45304</v>
      </c>
      <c r="D448" s="4">
        <f t="shared" si="55"/>
        <v>20</v>
      </c>
      <c r="E448" s="46" t="b">
        <f t="shared" si="50"/>
        <v>0</v>
      </c>
      <c r="F448" s="4" t="str">
        <f>TEXT(Data!B448,"MMM-YYYY")</f>
        <v>Mar-2025</v>
      </c>
      <c r="G448" s="4" t="str">
        <f t="shared" si="51"/>
        <v>Q4-2023</v>
      </c>
      <c r="H448" t="s">
        <v>45</v>
      </c>
      <c r="I448" t="s">
        <v>46</v>
      </c>
      <c r="J448" t="s">
        <v>231</v>
      </c>
      <c r="K448" t="s">
        <v>27</v>
      </c>
      <c r="L448" t="s">
        <v>98</v>
      </c>
      <c r="M448" t="s">
        <v>56</v>
      </c>
      <c r="N448" t="s">
        <v>57</v>
      </c>
      <c r="O448" t="s">
        <v>994</v>
      </c>
      <c r="P448" s="4">
        <v>625.37</v>
      </c>
      <c r="Q448" s="7" t="str">
        <f t="shared" si="52"/>
        <v>High</v>
      </c>
      <c r="R448" s="4">
        <v>1319.04</v>
      </c>
      <c r="S448" s="4">
        <v>7.3999999999999996E-2</v>
      </c>
      <c r="T448" s="4">
        <v>8</v>
      </c>
      <c r="U448" s="4">
        <f t="shared" si="48"/>
        <v>10249.7088</v>
      </c>
      <c r="V448">
        <f t="shared" si="49"/>
        <v>5002.96</v>
      </c>
      <c r="W448" s="4">
        <f t="shared" si="53"/>
        <v>5246.7488000000003</v>
      </c>
      <c r="X448" s="4">
        <f t="shared" si="54"/>
        <v>0.51189247444766428</v>
      </c>
    </row>
    <row r="449" spans="1:24" x14ac:dyDescent="0.3">
      <c r="A449" t="s">
        <v>995</v>
      </c>
      <c r="B449" s="6">
        <v>45746</v>
      </c>
      <c r="C449" s="2">
        <v>45776</v>
      </c>
      <c r="D449" s="4">
        <f t="shared" si="55"/>
        <v>30</v>
      </c>
      <c r="E449" s="46" t="b">
        <f t="shared" si="50"/>
        <v>0</v>
      </c>
      <c r="F449" s="4" t="str">
        <f>TEXT(Data!B449,"MMM-YYYY")</f>
        <v>Jun-2024</v>
      </c>
      <c r="G449" s="4" t="str">
        <f t="shared" si="51"/>
        <v>Q1-2025</v>
      </c>
      <c r="H449" t="s">
        <v>16</v>
      </c>
      <c r="I449" t="s">
        <v>148</v>
      </c>
      <c r="J449" t="s">
        <v>172</v>
      </c>
      <c r="K449" t="s">
        <v>48</v>
      </c>
      <c r="L449" t="s">
        <v>40</v>
      </c>
      <c r="M449" t="s">
        <v>29</v>
      </c>
      <c r="N449" t="s">
        <v>64</v>
      </c>
      <c r="O449" t="s">
        <v>996</v>
      </c>
      <c r="P449" s="4">
        <v>194.6</v>
      </c>
      <c r="Q449" s="7" t="str">
        <f t="shared" si="52"/>
        <v>High</v>
      </c>
      <c r="R449" s="4">
        <v>314.87</v>
      </c>
      <c r="S449" s="4">
        <v>0.29299999999999998</v>
      </c>
      <c r="T449" s="4">
        <v>25</v>
      </c>
      <c r="U449" s="4">
        <f t="shared" si="48"/>
        <v>28077.267750000003</v>
      </c>
      <c r="V449">
        <f t="shared" si="49"/>
        <v>4865</v>
      </c>
      <c r="W449" s="4">
        <f t="shared" si="53"/>
        <v>23212.267750000003</v>
      </c>
      <c r="X449" s="4">
        <f t="shared" si="54"/>
        <v>0.82672815448718295</v>
      </c>
    </row>
    <row r="450" spans="1:24" x14ac:dyDescent="0.3">
      <c r="A450" t="s">
        <v>997</v>
      </c>
      <c r="B450" s="6">
        <v>45446</v>
      </c>
      <c r="C450" s="2">
        <v>45467</v>
      </c>
      <c r="D450" s="4">
        <f t="shared" si="55"/>
        <v>21</v>
      </c>
      <c r="E450" s="46" t="b">
        <f t="shared" si="50"/>
        <v>0</v>
      </c>
      <c r="F450" s="4" t="str">
        <f>TEXT(Data!B450,"MMM-YYYY")</f>
        <v>Jun-2024</v>
      </c>
      <c r="G450" s="4" t="str">
        <f t="shared" si="51"/>
        <v>Q2-2024</v>
      </c>
      <c r="H450" t="s">
        <v>52</v>
      </c>
      <c r="I450" t="s">
        <v>53</v>
      </c>
      <c r="J450" t="s">
        <v>54</v>
      </c>
      <c r="K450" t="s">
        <v>62</v>
      </c>
      <c r="L450" t="s">
        <v>98</v>
      </c>
      <c r="M450" t="s">
        <v>41</v>
      </c>
      <c r="N450" t="s">
        <v>64</v>
      </c>
      <c r="O450" t="s">
        <v>998</v>
      </c>
      <c r="P450" s="4">
        <v>1205.5</v>
      </c>
      <c r="Q450" s="7" t="str">
        <f t="shared" si="52"/>
        <v>High</v>
      </c>
      <c r="R450" s="4">
        <v>2210.17</v>
      </c>
      <c r="S450" s="4">
        <v>0.104</v>
      </c>
      <c r="T450" s="4">
        <v>23</v>
      </c>
      <c r="U450" s="4">
        <f t="shared" ref="U450:U513" si="56">(R476*T450)*(1-S450)</f>
        <v>27698.182399999998</v>
      </c>
      <c r="V450">
        <f t="shared" ref="V450:V513" si="57">(P450*T450)</f>
        <v>27726.5</v>
      </c>
      <c r="W450" s="4">
        <f t="shared" si="53"/>
        <v>-28.31760000000213</v>
      </c>
      <c r="X450" s="4">
        <f t="shared" si="54"/>
        <v>-1.0223631136172362E-3</v>
      </c>
    </row>
    <row r="451" spans="1:24" x14ac:dyDescent="0.3">
      <c r="A451" t="s">
        <v>999</v>
      </c>
      <c r="B451" s="6">
        <v>45454</v>
      </c>
      <c r="C451" s="2">
        <v>45482</v>
      </c>
      <c r="D451" s="4">
        <f t="shared" si="55"/>
        <v>28</v>
      </c>
      <c r="E451" s="46" t="b">
        <f t="shared" ref="E451:E514" si="58">IF(D451&lt;=7, "Yes")</f>
        <v>0</v>
      </c>
      <c r="F451" s="4" t="str">
        <f>TEXT(Data!B451,"MMM-YYYY")</f>
        <v>Jul-2023</v>
      </c>
      <c r="G451" s="4" t="str">
        <f t="shared" ref="G451:G514" si="59">"Q"&amp;ROUNDUP(MONTH(B451)/3,0)&amp;"-"&amp;YEAR(B451)</f>
        <v>Q2-2024</v>
      </c>
      <c r="H451" t="s">
        <v>16</v>
      </c>
      <c r="I451" t="s">
        <v>25</v>
      </c>
      <c r="J451" t="s">
        <v>26</v>
      </c>
      <c r="K451" t="s">
        <v>19</v>
      </c>
      <c r="L451" t="s">
        <v>40</v>
      </c>
      <c r="M451" t="s">
        <v>34</v>
      </c>
      <c r="N451" t="s">
        <v>42</v>
      </c>
      <c r="O451" t="s">
        <v>1000</v>
      </c>
      <c r="P451" s="4">
        <v>895.54</v>
      </c>
      <c r="Q451" s="7" t="str">
        <f t="shared" ref="Q451:Q514" si="60">IF(R451&lt;50, "Low", IF(R451&lt;200, "Medium", "High"))</f>
        <v>High</v>
      </c>
      <c r="R451" s="4">
        <v>1045</v>
      </c>
      <c r="S451" s="4">
        <v>0.216</v>
      </c>
      <c r="T451" s="4">
        <v>15</v>
      </c>
      <c r="U451" s="4">
        <f t="shared" si="56"/>
        <v>15173.8104</v>
      </c>
      <c r="V451">
        <f t="shared" si="57"/>
        <v>13433.099999999999</v>
      </c>
      <c r="W451" s="4">
        <f t="shared" ref="W451:W514" si="61">(U451-V451)</f>
        <v>1740.7104000000018</v>
      </c>
      <c r="X451" s="4">
        <f t="shared" ref="X451:X514" si="62">IF(U451=0, 0, W451/U451)</f>
        <v>0.11471808030499721</v>
      </c>
    </row>
    <row r="452" spans="1:24" x14ac:dyDescent="0.3">
      <c r="A452" t="s">
        <v>1001</v>
      </c>
      <c r="B452" s="6">
        <v>45129</v>
      </c>
      <c r="C452" s="2">
        <v>45128</v>
      </c>
      <c r="D452" s="4">
        <f>DATEDIF(C452,B452, "MD")</f>
        <v>1</v>
      </c>
      <c r="E452" s="46" t="str">
        <f t="shared" si="58"/>
        <v>Yes</v>
      </c>
      <c r="F452" s="4" t="str">
        <f>TEXT(Data!B452,"MMM-YYYY")</f>
        <v>Jan-2023</v>
      </c>
      <c r="G452" s="4" t="str">
        <f t="shared" si="59"/>
        <v>Q3-2023</v>
      </c>
      <c r="H452" t="s">
        <v>45</v>
      </c>
      <c r="I452" t="s">
        <v>60</v>
      </c>
      <c r="J452" t="s">
        <v>141</v>
      </c>
      <c r="K452" t="s">
        <v>62</v>
      </c>
      <c r="L452" t="s">
        <v>55</v>
      </c>
      <c r="M452" t="s">
        <v>63</v>
      </c>
      <c r="N452" t="s">
        <v>30</v>
      </c>
      <c r="O452" t="s">
        <v>1002</v>
      </c>
      <c r="P452" s="4">
        <v>946.99</v>
      </c>
      <c r="Q452" s="7" t="str">
        <f t="shared" si="60"/>
        <v>High</v>
      </c>
      <c r="R452" s="4">
        <v>2132.19</v>
      </c>
      <c r="S452" s="4">
        <v>0.16500000000000001</v>
      </c>
      <c r="T452" s="4">
        <v>7</v>
      </c>
      <c r="U452" s="4">
        <f t="shared" si="56"/>
        <v>1295.1351000000002</v>
      </c>
      <c r="V452">
        <f t="shared" si="57"/>
        <v>6628.93</v>
      </c>
      <c r="W452" s="4">
        <f t="shared" si="61"/>
        <v>-5333.7948999999999</v>
      </c>
      <c r="X452" s="4">
        <f t="shared" si="62"/>
        <v>-4.1183308984522151</v>
      </c>
    </row>
    <row r="453" spans="1:24" x14ac:dyDescent="0.3">
      <c r="A453" t="s">
        <v>1003</v>
      </c>
      <c r="B453" s="6">
        <v>44945</v>
      </c>
      <c r="C453" s="2">
        <v>44960</v>
      </c>
      <c r="D453" s="4">
        <f t="shared" ref="D453:D516" si="63">DATEDIF(B453,C453, "MD")</f>
        <v>15</v>
      </c>
      <c r="E453" s="46" t="b">
        <f t="shared" si="58"/>
        <v>0</v>
      </c>
      <c r="F453" s="4" t="str">
        <f>TEXT(Data!B453,"MMM-YYYY")</f>
        <v>May-2024</v>
      </c>
      <c r="G453" s="4" t="str">
        <f t="shared" si="59"/>
        <v>Q1-2023</v>
      </c>
      <c r="H453" t="s">
        <v>78</v>
      </c>
      <c r="I453" t="s">
        <v>108</v>
      </c>
      <c r="J453" t="s">
        <v>152</v>
      </c>
      <c r="K453" t="s">
        <v>105</v>
      </c>
      <c r="L453" t="s">
        <v>55</v>
      </c>
      <c r="M453" t="s">
        <v>41</v>
      </c>
      <c r="N453" t="s">
        <v>81</v>
      </c>
      <c r="O453" t="s">
        <v>1004</v>
      </c>
      <c r="P453" s="4">
        <v>873.06</v>
      </c>
      <c r="Q453" s="7" t="str">
        <f t="shared" si="60"/>
        <v>High</v>
      </c>
      <c r="R453" s="4">
        <v>2101.5500000000002</v>
      </c>
      <c r="S453" s="4">
        <v>6.6000000000000003E-2</v>
      </c>
      <c r="T453" s="4">
        <v>10</v>
      </c>
      <c r="U453" s="4">
        <f t="shared" si="56"/>
        <v>3365.5755999999997</v>
      </c>
      <c r="V453">
        <f t="shared" si="57"/>
        <v>8730.5999999999985</v>
      </c>
      <c r="W453" s="4">
        <f t="shared" si="61"/>
        <v>-5365.0243999999984</v>
      </c>
      <c r="X453" s="4">
        <f t="shared" si="62"/>
        <v>-1.5940882148064062</v>
      </c>
    </row>
    <row r="454" spans="1:24" x14ac:dyDescent="0.3">
      <c r="A454" t="s">
        <v>1005</v>
      </c>
      <c r="B454" s="6">
        <v>45413</v>
      </c>
      <c r="C454" s="2">
        <v>45428</v>
      </c>
      <c r="D454" s="4">
        <f t="shared" si="63"/>
        <v>15</v>
      </c>
      <c r="E454" s="46" t="b">
        <f t="shared" si="58"/>
        <v>0</v>
      </c>
      <c r="F454" s="4" t="str">
        <f>TEXT(Data!B454,"MMM-YYYY")</f>
        <v>Jun-2025</v>
      </c>
      <c r="G454" s="4" t="str">
        <f t="shared" si="59"/>
        <v>Q2-2024</v>
      </c>
      <c r="H454" t="s">
        <v>45</v>
      </c>
      <c r="I454" t="s">
        <v>60</v>
      </c>
      <c r="J454" t="s">
        <v>61</v>
      </c>
      <c r="K454" t="s">
        <v>62</v>
      </c>
      <c r="L454" t="s">
        <v>20</v>
      </c>
      <c r="M454" t="s">
        <v>49</v>
      </c>
      <c r="N454" t="s">
        <v>22</v>
      </c>
      <c r="O454" t="s">
        <v>1006</v>
      </c>
      <c r="P454" s="4">
        <v>901.19</v>
      </c>
      <c r="Q454" s="7" t="str">
        <f t="shared" si="60"/>
        <v>High</v>
      </c>
      <c r="R454" s="4">
        <v>2125.44</v>
      </c>
      <c r="S454" s="4">
        <v>7.0999999999999994E-2</v>
      </c>
      <c r="T454" s="4">
        <v>12</v>
      </c>
      <c r="U454" s="4">
        <f t="shared" si="56"/>
        <v>28380.689880000002</v>
      </c>
      <c r="V454">
        <f t="shared" si="57"/>
        <v>10814.28</v>
      </c>
      <c r="W454" s="4">
        <f t="shared" si="61"/>
        <v>17566.409879999999</v>
      </c>
      <c r="X454" s="4">
        <f t="shared" si="62"/>
        <v>0.61895640853956568</v>
      </c>
    </row>
    <row r="455" spans="1:24" x14ac:dyDescent="0.3">
      <c r="A455" t="s">
        <v>1007</v>
      </c>
      <c r="B455" s="6">
        <v>45817</v>
      </c>
      <c r="C455" s="2">
        <v>45832</v>
      </c>
      <c r="D455" s="4">
        <f t="shared" si="63"/>
        <v>15</v>
      </c>
      <c r="E455" s="46" t="b">
        <f t="shared" si="58"/>
        <v>0</v>
      </c>
      <c r="F455" s="4" t="str">
        <f>TEXT(Data!B455,"MMM-YYYY")</f>
        <v>May-2023</v>
      </c>
      <c r="G455" s="4" t="str">
        <f t="shared" si="59"/>
        <v>Q2-2025</v>
      </c>
      <c r="H455" t="s">
        <v>45</v>
      </c>
      <c r="I455" t="s">
        <v>46</v>
      </c>
      <c r="J455" t="s">
        <v>231</v>
      </c>
      <c r="K455" t="s">
        <v>19</v>
      </c>
      <c r="L455" t="s">
        <v>98</v>
      </c>
      <c r="M455" t="s">
        <v>56</v>
      </c>
      <c r="N455" t="s">
        <v>42</v>
      </c>
      <c r="O455" t="s">
        <v>1008</v>
      </c>
      <c r="P455" s="4">
        <v>400.39</v>
      </c>
      <c r="Q455" s="7" t="str">
        <f t="shared" si="60"/>
        <v>High</v>
      </c>
      <c r="R455" s="4">
        <v>712.75</v>
      </c>
      <c r="S455" s="4">
        <v>0.115</v>
      </c>
      <c r="T455" s="4">
        <v>19</v>
      </c>
      <c r="U455" s="4">
        <f t="shared" si="56"/>
        <v>11761.58805</v>
      </c>
      <c r="V455">
        <f t="shared" si="57"/>
        <v>7607.41</v>
      </c>
      <c r="W455" s="4">
        <f t="shared" si="61"/>
        <v>4154.1780500000004</v>
      </c>
      <c r="X455" s="4">
        <f t="shared" si="62"/>
        <v>0.35319873747831187</v>
      </c>
    </row>
    <row r="456" spans="1:24" x14ac:dyDescent="0.3">
      <c r="A456" t="s">
        <v>1009</v>
      </c>
      <c r="B456" s="6">
        <v>45070</v>
      </c>
      <c r="C456" s="2">
        <v>45098</v>
      </c>
      <c r="D456" s="4">
        <f t="shared" si="63"/>
        <v>28</v>
      </c>
      <c r="E456" s="46" t="b">
        <f t="shared" si="58"/>
        <v>0</v>
      </c>
      <c r="F456" s="4" t="str">
        <f>TEXT(Data!B456,"MMM-YYYY")</f>
        <v>Dec-2024</v>
      </c>
      <c r="G456" s="4" t="str">
        <f t="shared" si="59"/>
        <v>Q2-2023</v>
      </c>
      <c r="H456" t="s">
        <v>52</v>
      </c>
      <c r="I456" t="s">
        <v>122</v>
      </c>
      <c r="J456" t="s">
        <v>326</v>
      </c>
      <c r="K456" t="s">
        <v>62</v>
      </c>
      <c r="L456" t="s">
        <v>40</v>
      </c>
      <c r="M456" t="s">
        <v>41</v>
      </c>
      <c r="N456" t="s">
        <v>64</v>
      </c>
      <c r="O456" t="s">
        <v>1010</v>
      </c>
      <c r="P456" s="4">
        <v>813.97</v>
      </c>
      <c r="Q456" s="7" t="str">
        <f t="shared" si="60"/>
        <v>High</v>
      </c>
      <c r="R456" s="4">
        <v>1568.83</v>
      </c>
      <c r="S456" s="4">
        <v>1.7000000000000001E-2</v>
      </c>
      <c r="T456" s="4">
        <v>15</v>
      </c>
      <c r="U456" s="4">
        <f t="shared" si="56"/>
        <v>40381.984049999999</v>
      </c>
      <c r="V456">
        <f t="shared" si="57"/>
        <v>12209.550000000001</v>
      </c>
      <c r="W456" s="4">
        <f t="shared" si="61"/>
        <v>28172.434049999996</v>
      </c>
      <c r="X456" s="4">
        <f t="shared" si="62"/>
        <v>0.69764858544636066</v>
      </c>
    </row>
    <row r="457" spans="1:24" x14ac:dyDescent="0.3">
      <c r="A457" t="s">
        <v>1011</v>
      </c>
      <c r="B457" s="6">
        <v>45653</v>
      </c>
      <c r="C457" s="2">
        <v>45655</v>
      </c>
      <c r="D457" s="4">
        <f t="shared" si="63"/>
        <v>2</v>
      </c>
      <c r="E457" s="46" t="str">
        <f t="shared" si="58"/>
        <v>Yes</v>
      </c>
      <c r="F457" s="4" t="str">
        <f>TEXT(Data!B457,"MMM-YYYY")</f>
        <v>Dec-2023</v>
      </c>
      <c r="G457" s="4" t="str">
        <f t="shared" si="59"/>
        <v>Q4-2024</v>
      </c>
      <c r="H457" t="s">
        <v>52</v>
      </c>
      <c r="I457" t="s">
        <v>53</v>
      </c>
      <c r="J457" t="s">
        <v>179</v>
      </c>
      <c r="K457" t="s">
        <v>105</v>
      </c>
      <c r="L457" t="s">
        <v>40</v>
      </c>
      <c r="M457" t="s">
        <v>21</v>
      </c>
      <c r="N457" t="s">
        <v>81</v>
      </c>
      <c r="O457" t="s">
        <v>1012</v>
      </c>
      <c r="P457" s="4">
        <v>1146.72</v>
      </c>
      <c r="Q457" s="7" t="str">
        <f t="shared" si="60"/>
        <v>High</v>
      </c>
      <c r="R457" s="4">
        <v>2074.34</v>
      </c>
      <c r="S457" s="4">
        <v>0.111</v>
      </c>
      <c r="T457" s="4">
        <v>8</v>
      </c>
      <c r="U457" s="4">
        <f t="shared" si="56"/>
        <v>674.07536000000005</v>
      </c>
      <c r="V457">
        <f t="shared" si="57"/>
        <v>9173.76</v>
      </c>
      <c r="W457" s="4">
        <f t="shared" si="61"/>
        <v>-8499.6846399999995</v>
      </c>
      <c r="X457" s="4">
        <f t="shared" si="62"/>
        <v>-12.60939821327989</v>
      </c>
    </row>
    <row r="458" spans="1:24" x14ac:dyDescent="0.3">
      <c r="A458" t="s">
        <v>1013</v>
      </c>
      <c r="B458" s="6">
        <v>45265</v>
      </c>
      <c r="C458" s="2">
        <v>45272</v>
      </c>
      <c r="D458" s="4">
        <f t="shared" si="63"/>
        <v>7</v>
      </c>
      <c r="E458" s="46" t="str">
        <f t="shared" si="58"/>
        <v>Yes</v>
      </c>
      <c r="F458" s="4" t="str">
        <f>TEXT(Data!B458,"MMM-YYYY")</f>
        <v>May-2023</v>
      </c>
      <c r="G458" s="4" t="str">
        <f t="shared" si="59"/>
        <v>Q4-2023</v>
      </c>
      <c r="H458" t="s">
        <v>52</v>
      </c>
      <c r="I458" t="s">
        <v>73</v>
      </c>
      <c r="J458" t="s">
        <v>87</v>
      </c>
      <c r="K458" t="s">
        <v>19</v>
      </c>
      <c r="L458" t="s">
        <v>98</v>
      </c>
      <c r="M458" t="s">
        <v>84</v>
      </c>
      <c r="N458" t="s">
        <v>42</v>
      </c>
      <c r="O458" t="s">
        <v>1014</v>
      </c>
      <c r="P458" s="4">
        <v>307.43</v>
      </c>
      <c r="Q458" s="7" t="str">
        <f t="shared" si="60"/>
        <v>High</v>
      </c>
      <c r="R458" s="4">
        <v>495.19</v>
      </c>
      <c r="S458" s="4">
        <v>0</v>
      </c>
      <c r="T458" s="4">
        <v>42</v>
      </c>
      <c r="U458" s="4">
        <f t="shared" si="56"/>
        <v>116648.7</v>
      </c>
      <c r="V458">
        <f t="shared" si="57"/>
        <v>12912.06</v>
      </c>
      <c r="W458" s="4">
        <f t="shared" si="61"/>
        <v>103736.64</v>
      </c>
      <c r="X458" s="4">
        <f t="shared" si="62"/>
        <v>0.88930815345563219</v>
      </c>
    </row>
    <row r="459" spans="1:24" x14ac:dyDescent="0.3">
      <c r="A459" t="s">
        <v>1015</v>
      </c>
      <c r="B459" s="6">
        <v>45048</v>
      </c>
      <c r="C459" s="2">
        <v>45065</v>
      </c>
      <c r="D459" s="4">
        <f t="shared" si="63"/>
        <v>17</v>
      </c>
      <c r="E459" s="46" t="b">
        <f t="shared" si="58"/>
        <v>0</v>
      </c>
      <c r="F459" s="4" t="str">
        <f>TEXT(Data!B459,"MMM-YYYY")</f>
        <v>Nov-2023</v>
      </c>
      <c r="G459" s="4" t="str">
        <f t="shared" si="59"/>
        <v>Q2-2023</v>
      </c>
      <c r="H459" t="s">
        <v>45</v>
      </c>
      <c r="I459" t="s">
        <v>116</v>
      </c>
      <c r="J459" t="s">
        <v>162</v>
      </c>
      <c r="K459" t="s">
        <v>39</v>
      </c>
      <c r="L459" t="s">
        <v>98</v>
      </c>
      <c r="M459" t="s">
        <v>29</v>
      </c>
      <c r="N459" t="s">
        <v>64</v>
      </c>
      <c r="O459" t="s">
        <v>1016</v>
      </c>
      <c r="P459" s="4">
        <v>714.28</v>
      </c>
      <c r="Q459" s="7" t="str">
        <f t="shared" si="60"/>
        <v>High</v>
      </c>
      <c r="R459" s="4">
        <v>757.59</v>
      </c>
      <c r="S459" s="4">
        <v>0.13600000000000001</v>
      </c>
      <c r="T459" s="4">
        <v>12</v>
      </c>
      <c r="U459" s="4">
        <f t="shared" si="56"/>
        <v>5102.9222399999999</v>
      </c>
      <c r="V459">
        <f t="shared" si="57"/>
        <v>8571.36</v>
      </c>
      <c r="W459" s="4">
        <f t="shared" si="61"/>
        <v>-3468.4377600000007</v>
      </c>
      <c r="X459" s="4">
        <f t="shared" si="62"/>
        <v>-0.67969637726637211</v>
      </c>
    </row>
    <row r="460" spans="1:24" x14ac:dyDescent="0.3">
      <c r="A460" t="s">
        <v>1017</v>
      </c>
      <c r="B460" s="6">
        <v>45260</v>
      </c>
      <c r="C460" s="2">
        <v>45270</v>
      </c>
      <c r="D460" s="4">
        <f t="shared" si="63"/>
        <v>10</v>
      </c>
      <c r="E460" s="46" t="b">
        <f t="shared" si="58"/>
        <v>0</v>
      </c>
      <c r="F460" s="4" t="str">
        <f>TEXT(Data!B460,"MMM-YYYY")</f>
        <v>May-2024</v>
      </c>
      <c r="G460" s="4" t="str">
        <f t="shared" si="59"/>
        <v>Q4-2023</v>
      </c>
      <c r="H460" t="s">
        <v>78</v>
      </c>
      <c r="I460" t="s">
        <v>79</v>
      </c>
      <c r="J460" t="s">
        <v>159</v>
      </c>
      <c r="K460" t="s">
        <v>62</v>
      </c>
      <c r="L460" t="s">
        <v>98</v>
      </c>
      <c r="M460" t="s">
        <v>84</v>
      </c>
      <c r="N460" t="s">
        <v>57</v>
      </c>
      <c r="O460" t="s">
        <v>1018</v>
      </c>
      <c r="P460" s="4">
        <v>174.74</v>
      </c>
      <c r="Q460" s="7" t="str">
        <f t="shared" si="60"/>
        <v>High</v>
      </c>
      <c r="R460" s="4">
        <v>415.96</v>
      </c>
      <c r="S460" s="4">
        <v>0.125</v>
      </c>
      <c r="T460" s="4">
        <v>21</v>
      </c>
      <c r="U460" s="4">
        <f t="shared" si="56"/>
        <v>35310.318749999999</v>
      </c>
      <c r="V460">
        <f t="shared" si="57"/>
        <v>3669.54</v>
      </c>
      <c r="W460" s="4">
        <f t="shared" si="61"/>
        <v>31640.778749999998</v>
      </c>
      <c r="X460" s="4">
        <f t="shared" si="62"/>
        <v>0.89607740371927391</v>
      </c>
    </row>
    <row r="461" spans="1:24" x14ac:dyDescent="0.3">
      <c r="A461" t="s">
        <v>1019</v>
      </c>
      <c r="B461" s="6">
        <v>45417</v>
      </c>
      <c r="C461" s="2">
        <v>45430</v>
      </c>
      <c r="D461" s="4">
        <f t="shared" si="63"/>
        <v>13</v>
      </c>
      <c r="E461" s="46" t="b">
        <f t="shared" si="58"/>
        <v>0</v>
      </c>
      <c r="F461" s="4" t="str">
        <f>TEXT(Data!B461,"MMM-YYYY")</f>
        <v>Jul-2023</v>
      </c>
      <c r="G461" s="4" t="str">
        <f t="shared" si="59"/>
        <v>Q2-2024</v>
      </c>
      <c r="H461" t="s">
        <v>78</v>
      </c>
      <c r="I461" t="s">
        <v>90</v>
      </c>
      <c r="J461" t="s">
        <v>91</v>
      </c>
      <c r="K461" t="s">
        <v>19</v>
      </c>
      <c r="L461" t="s">
        <v>40</v>
      </c>
      <c r="M461" t="s">
        <v>75</v>
      </c>
      <c r="N461" t="s">
        <v>22</v>
      </c>
      <c r="O461" t="s">
        <v>1020</v>
      </c>
      <c r="P461" s="4">
        <v>1264.04</v>
      </c>
      <c r="Q461" s="7" t="str">
        <f t="shared" si="60"/>
        <v>High</v>
      </c>
      <c r="R461" s="4">
        <v>1870.89</v>
      </c>
      <c r="S461" s="4">
        <v>0</v>
      </c>
      <c r="T461" s="4">
        <v>13</v>
      </c>
      <c r="U461" s="4">
        <f t="shared" si="56"/>
        <v>3774.29</v>
      </c>
      <c r="V461">
        <f t="shared" si="57"/>
        <v>16432.52</v>
      </c>
      <c r="W461" s="4">
        <f t="shared" si="61"/>
        <v>-12658.23</v>
      </c>
      <c r="X461" s="4">
        <f t="shared" si="62"/>
        <v>-3.3538042916681019</v>
      </c>
    </row>
    <row r="462" spans="1:24" x14ac:dyDescent="0.3">
      <c r="A462" t="s">
        <v>1021</v>
      </c>
      <c r="B462" s="6">
        <v>45116</v>
      </c>
      <c r="C462" s="2">
        <v>45126</v>
      </c>
      <c r="D462" s="4">
        <f t="shared" si="63"/>
        <v>10</v>
      </c>
      <c r="E462" s="46" t="b">
        <f t="shared" si="58"/>
        <v>0</v>
      </c>
      <c r="F462" s="4" t="str">
        <f>TEXT(Data!B462,"MMM-YYYY")</f>
        <v>May-2023</v>
      </c>
      <c r="G462" s="4" t="str">
        <f t="shared" si="59"/>
        <v>Q3-2023</v>
      </c>
      <c r="H462" t="s">
        <v>45</v>
      </c>
      <c r="I462" t="s">
        <v>46</v>
      </c>
      <c r="J462" t="s">
        <v>214</v>
      </c>
      <c r="K462" t="s">
        <v>105</v>
      </c>
      <c r="L462" t="s">
        <v>55</v>
      </c>
      <c r="M462" t="s">
        <v>126</v>
      </c>
      <c r="N462" t="s">
        <v>22</v>
      </c>
      <c r="O462" t="s">
        <v>1022</v>
      </c>
      <c r="P462" s="4">
        <v>141.26</v>
      </c>
      <c r="Q462" s="7" t="str">
        <f t="shared" si="60"/>
        <v>High</v>
      </c>
      <c r="R462" s="4">
        <v>206.88</v>
      </c>
      <c r="S462" s="4">
        <v>0.107</v>
      </c>
      <c r="T462" s="4">
        <v>9</v>
      </c>
      <c r="U462" s="4">
        <f t="shared" si="56"/>
        <v>4845.6680399999996</v>
      </c>
      <c r="V462">
        <f t="shared" si="57"/>
        <v>1271.3399999999999</v>
      </c>
      <c r="W462" s="4">
        <f t="shared" si="61"/>
        <v>3574.3280399999994</v>
      </c>
      <c r="X462" s="4">
        <f t="shared" si="62"/>
        <v>0.737633698902742</v>
      </c>
    </row>
    <row r="463" spans="1:24" x14ac:dyDescent="0.3">
      <c r="A463" t="s">
        <v>1023</v>
      </c>
      <c r="B463" s="6">
        <v>45063</v>
      </c>
      <c r="C463" s="2">
        <v>45092</v>
      </c>
      <c r="D463" s="4">
        <f t="shared" si="63"/>
        <v>29</v>
      </c>
      <c r="E463" s="46" t="b">
        <f t="shared" si="58"/>
        <v>0</v>
      </c>
      <c r="F463" s="4" t="str">
        <f>TEXT(Data!B463,"MMM-YYYY")</f>
        <v>Mar-2024</v>
      </c>
      <c r="G463" s="4" t="str">
        <f t="shared" si="59"/>
        <v>Q2-2023</v>
      </c>
      <c r="H463" t="s">
        <v>16</v>
      </c>
      <c r="I463" t="s">
        <v>148</v>
      </c>
      <c r="J463" t="s">
        <v>172</v>
      </c>
      <c r="K463" t="s">
        <v>105</v>
      </c>
      <c r="L463" t="s">
        <v>20</v>
      </c>
      <c r="M463" t="s">
        <v>95</v>
      </c>
      <c r="N463" t="s">
        <v>81</v>
      </c>
      <c r="O463" t="s">
        <v>1024</v>
      </c>
      <c r="P463" s="4">
        <v>40.89</v>
      </c>
      <c r="Q463" s="7" t="str">
        <f t="shared" si="60"/>
        <v>Medium</v>
      </c>
      <c r="R463" s="4">
        <v>62.82</v>
      </c>
      <c r="S463" s="4">
        <v>0.129</v>
      </c>
      <c r="T463" s="4">
        <v>17</v>
      </c>
      <c r="U463" s="4">
        <f t="shared" si="56"/>
        <v>30761.5425</v>
      </c>
      <c r="V463">
        <f t="shared" si="57"/>
        <v>695.13</v>
      </c>
      <c r="W463" s="4">
        <f t="shared" si="61"/>
        <v>30066.412499999999</v>
      </c>
      <c r="X463" s="4">
        <f t="shared" si="62"/>
        <v>0.97740262862306071</v>
      </c>
    </row>
    <row r="464" spans="1:24" x14ac:dyDescent="0.3">
      <c r="A464" t="s">
        <v>1025</v>
      </c>
      <c r="B464" s="6">
        <v>45358</v>
      </c>
      <c r="C464" s="2">
        <v>45385</v>
      </c>
      <c r="D464" s="4">
        <f t="shared" si="63"/>
        <v>27</v>
      </c>
      <c r="E464" s="46" t="b">
        <f t="shared" si="58"/>
        <v>0</v>
      </c>
      <c r="F464" s="4" t="str">
        <f>TEXT(Data!B464,"MMM-YYYY")</f>
        <v>Apr-2025</v>
      </c>
      <c r="G464" s="4" t="str">
        <f t="shared" si="59"/>
        <v>Q1-2024</v>
      </c>
      <c r="H464" t="s">
        <v>78</v>
      </c>
      <c r="I464" t="s">
        <v>79</v>
      </c>
      <c r="J464" t="s">
        <v>335</v>
      </c>
      <c r="K464" t="s">
        <v>19</v>
      </c>
      <c r="L464" t="s">
        <v>98</v>
      </c>
      <c r="M464" t="s">
        <v>110</v>
      </c>
      <c r="N464" t="s">
        <v>30</v>
      </c>
      <c r="O464" t="s">
        <v>1026</v>
      </c>
      <c r="P464" s="4">
        <v>738.16</v>
      </c>
      <c r="Q464" s="7" t="str">
        <f t="shared" si="60"/>
        <v>High</v>
      </c>
      <c r="R464" s="4">
        <v>956.49</v>
      </c>
      <c r="S464" s="4">
        <v>0.152</v>
      </c>
      <c r="T464" s="4">
        <v>5</v>
      </c>
      <c r="U464" s="4">
        <f t="shared" si="56"/>
        <v>733.01119999999992</v>
      </c>
      <c r="V464">
        <f t="shared" si="57"/>
        <v>3690.7999999999997</v>
      </c>
      <c r="W464" s="4">
        <f t="shared" si="61"/>
        <v>-2957.7887999999998</v>
      </c>
      <c r="X464" s="4">
        <f t="shared" si="62"/>
        <v>-4.0351208821911593</v>
      </c>
    </row>
    <row r="465" spans="1:24" x14ac:dyDescent="0.3">
      <c r="A465" t="s">
        <v>1027</v>
      </c>
      <c r="B465" s="6">
        <v>45757</v>
      </c>
      <c r="C465" s="2">
        <v>45766</v>
      </c>
      <c r="D465" s="4">
        <f t="shared" si="63"/>
        <v>9</v>
      </c>
      <c r="E465" s="46" t="b">
        <f t="shared" si="58"/>
        <v>0</v>
      </c>
      <c r="F465" s="4" t="str">
        <f>TEXT(Data!B465,"MMM-YYYY")</f>
        <v>Jul-2025</v>
      </c>
      <c r="G465" s="4" t="str">
        <f t="shared" si="59"/>
        <v>Q2-2025</v>
      </c>
      <c r="H465" t="s">
        <v>16</v>
      </c>
      <c r="I465" t="s">
        <v>148</v>
      </c>
      <c r="J465" t="s">
        <v>172</v>
      </c>
      <c r="K465" t="s">
        <v>105</v>
      </c>
      <c r="L465" t="s">
        <v>1364</v>
      </c>
      <c r="M465" t="s">
        <v>41</v>
      </c>
      <c r="N465" t="s">
        <v>35</v>
      </c>
      <c r="O465" t="s">
        <v>1028</v>
      </c>
      <c r="P465" s="4">
        <v>113.74</v>
      </c>
      <c r="Q465" s="7" t="str">
        <f t="shared" si="60"/>
        <v>Medium</v>
      </c>
      <c r="R465" s="4">
        <v>165.7</v>
      </c>
      <c r="S465" s="4">
        <v>0.124</v>
      </c>
      <c r="T465" s="4">
        <v>13</v>
      </c>
      <c r="U465" s="4">
        <f t="shared" si="56"/>
        <v>31644.291119999994</v>
      </c>
      <c r="V465">
        <f t="shared" si="57"/>
        <v>1478.62</v>
      </c>
      <c r="W465" s="4">
        <f t="shared" si="61"/>
        <v>30165.671119999995</v>
      </c>
      <c r="X465" s="4">
        <f t="shared" si="62"/>
        <v>0.95327372022988777</v>
      </c>
    </row>
    <row r="466" spans="1:24" x14ac:dyDescent="0.3">
      <c r="A466" t="s">
        <v>1029</v>
      </c>
      <c r="B466" s="6">
        <v>45865</v>
      </c>
      <c r="C466" s="2">
        <v>45884</v>
      </c>
      <c r="D466" s="4">
        <f t="shared" si="63"/>
        <v>19</v>
      </c>
      <c r="E466" s="46" t="b">
        <f t="shared" si="58"/>
        <v>0</v>
      </c>
      <c r="F466" s="4" t="str">
        <f>TEXT(Data!B466,"MMM-YYYY")</f>
        <v>Nov-2024</v>
      </c>
      <c r="G466" s="4" t="str">
        <f t="shared" si="59"/>
        <v>Q3-2025</v>
      </c>
      <c r="H466" t="s">
        <v>45</v>
      </c>
      <c r="I466" t="s">
        <v>46</v>
      </c>
      <c r="J466" t="s">
        <v>214</v>
      </c>
      <c r="K466" t="s">
        <v>62</v>
      </c>
      <c r="L466" t="s">
        <v>40</v>
      </c>
      <c r="M466" t="s">
        <v>29</v>
      </c>
      <c r="N466" t="s">
        <v>22</v>
      </c>
      <c r="O466" t="s">
        <v>1030</v>
      </c>
      <c r="P466" s="4">
        <v>275.43</v>
      </c>
      <c r="Q466" s="7" t="str">
        <f t="shared" si="60"/>
        <v>High</v>
      </c>
      <c r="R466" s="4">
        <v>608.36</v>
      </c>
      <c r="S466" s="4">
        <v>0.25700000000000001</v>
      </c>
      <c r="T466" s="4">
        <v>4</v>
      </c>
      <c r="U466" s="4">
        <f t="shared" si="56"/>
        <v>919.74484000000007</v>
      </c>
      <c r="V466">
        <f t="shared" si="57"/>
        <v>1101.72</v>
      </c>
      <c r="W466" s="4">
        <f t="shared" si="61"/>
        <v>-181.97515999999996</v>
      </c>
      <c r="X466" s="4">
        <f t="shared" si="62"/>
        <v>-0.19785396132257718</v>
      </c>
    </row>
    <row r="467" spans="1:24" x14ac:dyDescent="0.3">
      <c r="A467" t="s">
        <v>1031</v>
      </c>
      <c r="B467" s="6">
        <v>45618</v>
      </c>
      <c r="C467" s="2">
        <v>45641</v>
      </c>
      <c r="D467" s="4">
        <f t="shared" si="63"/>
        <v>23</v>
      </c>
      <c r="E467" s="46" t="b">
        <f t="shared" si="58"/>
        <v>0</v>
      </c>
      <c r="F467" s="4" t="str">
        <f>TEXT(Data!B467,"MMM-YYYY")</f>
        <v>Jun-2024</v>
      </c>
      <c r="G467" s="4" t="str">
        <f t="shared" si="59"/>
        <v>Q4-2024</v>
      </c>
      <c r="H467" t="s">
        <v>16</v>
      </c>
      <c r="I467" t="s">
        <v>17</v>
      </c>
      <c r="J467" t="s">
        <v>113</v>
      </c>
      <c r="K467" t="s">
        <v>39</v>
      </c>
      <c r="L467" t="s">
        <v>55</v>
      </c>
      <c r="M467" t="s">
        <v>21</v>
      </c>
      <c r="N467" t="s">
        <v>22</v>
      </c>
      <c r="O467" t="s">
        <v>1032</v>
      </c>
      <c r="P467" s="4">
        <v>1335.76</v>
      </c>
      <c r="Q467" s="7" t="str">
        <f t="shared" si="60"/>
        <v>High</v>
      </c>
      <c r="R467" s="4">
        <v>2665.91</v>
      </c>
      <c r="S467" s="4">
        <v>0.21099999999999999</v>
      </c>
      <c r="T467" s="4">
        <v>40</v>
      </c>
      <c r="U467" s="4">
        <f t="shared" si="56"/>
        <v>21031.899600000001</v>
      </c>
      <c r="V467">
        <f t="shared" si="57"/>
        <v>53430.400000000001</v>
      </c>
      <c r="W467" s="4">
        <f t="shared" si="61"/>
        <v>-32398.500400000001</v>
      </c>
      <c r="X467" s="4">
        <f t="shared" si="62"/>
        <v>-1.5404457522229709</v>
      </c>
    </row>
    <row r="468" spans="1:24" x14ac:dyDescent="0.3">
      <c r="A468" t="s">
        <v>1033</v>
      </c>
      <c r="B468" s="6">
        <v>45466</v>
      </c>
      <c r="C468" s="2">
        <v>45471</v>
      </c>
      <c r="D468" s="4">
        <f t="shared" si="63"/>
        <v>5</v>
      </c>
      <c r="E468" s="46" t="str">
        <f t="shared" si="58"/>
        <v>Yes</v>
      </c>
      <c r="F468" s="4" t="str">
        <f>TEXT(Data!B468,"MMM-YYYY")</f>
        <v>Dec-2023</v>
      </c>
      <c r="G468" s="4" t="str">
        <f t="shared" si="59"/>
        <v>Q2-2024</v>
      </c>
      <c r="H468" t="s">
        <v>16</v>
      </c>
      <c r="I468" t="s">
        <v>25</v>
      </c>
      <c r="J468" t="s">
        <v>26</v>
      </c>
      <c r="K468" t="s">
        <v>39</v>
      </c>
      <c r="L468" t="s">
        <v>98</v>
      </c>
      <c r="M468" t="s">
        <v>110</v>
      </c>
      <c r="N468" t="s">
        <v>81</v>
      </c>
      <c r="O468" t="s">
        <v>1034</v>
      </c>
      <c r="P468" s="4">
        <v>242.31</v>
      </c>
      <c r="Q468" s="7" t="str">
        <f t="shared" si="60"/>
        <v>High</v>
      </c>
      <c r="R468" s="4">
        <v>587.95000000000005</v>
      </c>
      <c r="S468" s="4">
        <v>0.22900000000000001</v>
      </c>
      <c r="T468" s="4">
        <v>6</v>
      </c>
      <c r="U468" s="4">
        <f t="shared" si="56"/>
        <v>3442.9930199999999</v>
      </c>
      <c r="V468">
        <f t="shared" si="57"/>
        <v>1453.8600000000001</v>
      </c>
      <c r="W468" s="4">
        <f t="shared" si="61"/>
        <v>1989.1330199999998</v>
      </c>
      <c r="X468" s="4">
        <f t="shared" si="62"/>
        <v>0.57773367777550699</v>
      </c>
    </row>
    <row r="469" spans="1:24" x14ac:dyDescent="0.3">
      <c r="A469" t="s">
        <v>1035</v>
      </c>
      <c r="B469" s="6">
        <v>45278</v>
      </c>
      <c r="C469" s="2">
        <v>45305</v>
      </c>
      <c r="D469" s="4">
        <f t="shared" si="63"/>
        <v>27</v>
      </c>
      <c r="E469" s="46" t="b">
        <f t="shared" si="58"/>
        <v>0</v>
      </c>
      <c r="F469" s="4" t="str">
        <f>TEXT(Data!B469,"MMM-YYYY")</f>
        <v>Jun-2025</v>
      </c>
      <c r="G469" s="4" t="str">
        <f t="shared" si="59"/>
        <v>Q4-2023</v>
      </c>
      <c r="H469" t="s">
        <v>45</v>
      </c>
      <c r="I469" t="s">
        <v>60</v>
      </c>
      <c r="J469" t="s">
        <v>220</v>
      </c>
      <c r="K469" t="s">
        <v>48</v>
      </c>
      <c r="L469" t="s">
        <v>55</v>
      </c>
      <c r="M469" t="s">
        <v>145</v>
      </c>
      <c r="N469" t="s">
        <v>35</v>
      </c>
      <c r="O469" t="s">
        <v>1036</v>
      </c>
      <c r="P469" s="4">
        <v>1408.3</v>
      </c>
      <c r="Q469" s="7" t="str">
        <f t="shared" si="60"/>
        <v>High</v>
      </c>
      <c r="R469" s="4">
        <v>2193.13</v>
      </c>
      <c r="S469" s="4">
        <v>7.0999999999999994E-2</v>
      </c>
      <c r="T469" s="4">
        <v>7</v>
      </c>
      <c r="U469" s="4">
        <f t="shared" si="56"/>
        <v>82.523070000000004</v>
      </c>
      <c r="V469">
        <f t="shared" si="57"/>
        <v>9858.1</v>
      </c>
      <c r="W469" s="4">
        <f t="shared" si="61"/>
        <v>-9775.5769300000011</v>
      </c>
      <c r="X469" s="4">
        <f t="shared" si="62"/>
        <v>-118.45871621111527</v>
      </c>
    </row>
    <row r="470" spans="1:24" x14ac:dyDescent="0.3">
      <c r="A470" t="s">
        <v>1037</v>
      </c>
      <c r="B470" s="6">
        <v>45809</v>
      </c>
      <c r="C470" s="2">
        <v>45813</v>
      </c>
      <c r="D470" s="4">
        <f t="shared" si="63"/>
        <v>4</v>
      </c>
      <c r="E470" s="46" t="str">
        <f t="shared" si="58"/>
        <v>Yes</v>
      </c>
      <c r="F470" s="4" t="str">
        <f>TEXT(Data!B470,"MMM-YYYY")</f>
        <v>Mar-2025</v>
      </c>
      <c r="G470" s="4" t="str">
        <f t="shared" si="59"/>
        <v>Q2-2025</v>
      </c>
      <c r="H470" t="s">
        <v>78</v>
      </c>
      <c r="I470" t="s">
        <v>79</v>
      </c>
      <c r="J470" t="s">
        <v>159</v>
      </c>
      <c r="K470" t="s">
        <v>105</v>
      </c>
      <c r="L470" t="s">
        <v>98</v>
      </c>
      <c r="M470" t="s">
        <v>110</v>
      </c>
      <c r="N470" t="s">
        <v>22</v>
      </c>
      <c r="O470" t="s">
        <v>1038</v>
      </c>
      <c r="P470" s="4">
        <v>1171.42</v>
      </c>
      <c r="Q470" s="7" t="str">
        <f t="shared" si="60"/>
        <v>High</v>
      </c>
      <c r="R470" s="4">
        <v>2187.8000000000002</v>
      </c>
      <c r="S470" s="4">
        <v>0.23</v>
      </c>
      <c r="T470" s="4">
        <v>15</v>
      </c>
      <c r="U470" s="4">
        <f t="shared" si="56"/>
        <v>7525.518</v>
      </c>
      <c r="V470">
        <f t="shared" si="57"/>
        <v>17571.300000000003</v>
      </c>
      <c r="W470" s="4">
        <f t="shared" si="61"/>
        <v>-10045.782000000003</v>
      </c>
      <c r="X470" s="4">
        <f t="shared" si="62"/>
        <v>-1.3348957506978261</v>
      </c>
    </row>
    <row r="471" spans="1:24" x14ac:dyDescent="0.3">
      <c r="A471" t="s">
        <v>1039</v>
      </c>
      <c r="B471" s="6">
        <v>45739</v>
      </c>
      <c r="C471" s="2">
        <v>45749</v>
      </c>
      <c r="D471" s="4">
        <f t="shared" si="63"/>
        <v>10</v>
      </c>
      <c r="E471" s="46" t="b">
        <f t="shared" si="58"/>
        <v>0</v>
      </c>
      <c r="F471" s="4" t="str">
        <f>TEXT(Data!B471,"MMM-YYYY")</f>
        <v>May-2023</v>
      </c>
      <c r="G471" s="4" t="str">
        <f t="shared" si="59"/>
        <v>Q1-2025</v>
      </c>
      <c r="H471" t="s">
        <v>78</v>
      </c>
      <c r="I471" t="s">
        <v>79</v>
      </c>
      <c r="J471" t="s">
        <v>80</v>
      </c>
      <c r="K471" t="s">
        <v>105</v>
      </c>
      <c r="L471" t="s">
        <v>28</v>
      </c>
      <c r="M471" t="s">
        <v>63</v>
      </c>
      <c r="N471" t="s">
        <v>30</v>
      </c>
      <c r="O471" t="s">
        <v>1040</v>
      </c>
      <c r="P471" s="4">
        <v>663.61</v>
      </c>
      <c r="Q471" s="7" t="str">
        <f t="shared" si="60"/>
        <v>High</v>
      </c>
      <c r="R471" s="4">
        <v>1002.11</v>
      </c>
      <c r="S471" s="4">
        <v>4.5999999999999999E-2</v>
      </c>
      <c r="T471" s="4">
        <v>17</v>
      </c>
      <c r="U471" s="4">
        <f t="shared" si="56"/>
        <v>12231.93996</v>
      </c>
      <c r="V471">
        <f t="shared" si="57"/>
        <v>11281.37</v>
      </c>
      <c r="W471" s="4">
        <f t="shared" si="61"/>
        <v>950.5699599999989</v>
      </c>
      <c r="X471" s="4">
        <f t="shared" si="62"/>
        <v>7.7712117874064429E-2</v>
      </c>
    </row>
    <row r="472" spans="1:24" x14ac:dyDescent="0.3">
      <c r="A472" t="s">
        <v>1041</v>
      </c>
      <c r="B472" s="6">
        <v>45060</v>
      </c>
      <c r="C472" s="2">
        <v>45068</v>
      </c>
      <c r="D472" s="4">
        <f t="shared" si="63"/>
        <v>8</v>
      </c>
      <c r="E472" s="46" t="b">
        <f t="shared" si="58"/>
        <v>0</v>
      </c>
      <c r="F472" s="4" t="str">
        <f>TEXT(Data!B472,"MMM-YYYY")</f>
        <v>Aug-2023</v>
      </c>
      <c r="G472" s="4" t="str">
        <f t="shared" si="59"/>
        <v>Q2-2023</v>
      </c>
      <c r="H472" t="s">
        <v>16</v>
      </c>
      <c r="I472" t="s">
        <v>17</v>
      </c>
      <c r="J472" t="s">
        <v>113</v>
      </c>
      <c r="K472" t="s">
        <v>62</v>
      </c>
      <c r="L472" t="s">
        <v>55</v>
      </c>
      <c r="M472" t="s">
        <v>84</v>
      </c>
      <c r="N472" t="s">
        <v>30</v>
      </c>
      <c r="O472" t="s">
        <v>1042</v>
      </c>
      <c r="P472" s="4">
        <v>432.01</v>
      </c>
      <c r="Q472" s="7" t="str">
        <f t="shared" si="60"/>
        <v>High</v>
      </c>
      <c r="R472" s="4">
        <v>913.78</v>
      </c>
      <c r="S472" s="4">
        <v>4.9000000000000002E-2</v>
      </c>
      <c r="T472" s="4">
        <v>12</v>
      </c>
      <c r="U472" s="4">
        <f t="shared" si="56"/>
        <v>34019.286120000004</v>
      </c>
      <c r="V472">
        <f t="shared" si="57"/>
        <v>5184.12</v>
      </c>
      <c r="W472" s="4">
        <f t="shared" si="61"/>
        <v>28835.166120000005</v>
      </c>
      <c r="X472" s="4">
        <f t="shared" si="62"/>
        <v>0.84761232255981278</v>
      </c>
    </row>
    <row r="473" spans="1:24" x14ac:dyDescent="0.3">
      <c r="A473" t="s">
        <v>1043</v>
      </c>
      <c r="B473" s="6">
        <v>45167</v>
      </c>
      <c r="C473" s="2">
        <v>45188</v>
      </c>
      <c r="D473" s="4">
        <f t="shared" si="63"/>
        <v>21</v>
      </c>
      <c r="E473" s="46" t="b">
        <f t="shared" si="58"/>
        <v>0</v>
      </c>
      <c r="F473" s="4" t="str">
        <f>TEXT(Data!B473,"MMM-YYYY")</f>
        <v>Jul-2025</v>
      </c>
      <c r="G473" s="4" t="str">
        <f t="shared" si="59"/>
        <v>Q3-2023</v>
      </c>
      <c r="H473" t="s">
        <v>78</v>
      </c>
      <c r="I473" t="s">
        <v>90</v>
      </c>
      <c r="J473" t="s">
        <v>138</v>
      </c>
      <c r="K473" t="s">
        <v>62</v>
      </c>
      <c r="L473" t="s">
        <v>98</v>
      </c>
      <c r="M473" t="s">
        <v>56</v>
      </c>
      <c r="N473" t="s">
        <v>30</v>
      </c>
      <c r="O473" t="s">
        <v>1044</v>
      </c>
      <c r="P473" s="4">
        <v>784.46</v>
      </c>
      <c r="Q473" s="7" t="str">
        <f t="shared" si="60"/>
        <v>High</v>
      </c>
      <c r="R473" s="4">
        <v>1843.51</v>
      </c>
      <c r="S473" s="4">
        <v>0.13800000000000001</v>
      </c>
      <c r="T473" s="4">
        <v>23</v>
      </c>
      <c r="U473" s="4">
        <f t="shared" si="56"/>
        <v>19353.546419999999</v>
      </c>
      <c r="V473">
        <f t="shared" si="57"/>
        <v>18042.580000000002</v>
      </c>
      <c r="W473" s="4">
        <f t="shared" si="61"/>
        <v>1310.966419999997</v>
      </c>
      <c r="X473" s="4">
        <f t="shared" si="62"/>
        <v>6.7737787770268371E-2</v>
      </c>
    </row>
    <row r="474" spans="1:24" x14ac:dyDescent="0.3">
      <c r="A474" t="s">
        <v>1045</v>
      </c>
      <c r="B474" s="6">
        <v>45841</v>
      </c>
      <c r="C474" s="2">
        <v>45861</v>
      </c>
      <c r="D474" s="4">
        <f t="shared" si="63"/>
        <v>20</v>
      </c>
      <c r="E474" s="46" t="b">
        <f t="shared" si="58"/>
        <v>0</v>
      </c>
      <c r="F474" s="4" t="str">
        <f>TEXT(Data!B474,"MMM-YYYY")</f>
        <v>Feb-2024</v>
      </c>
      <c r="G474" s="4" t="str">
        <f t="shared" si="59"/>
        <v>Q3-2025</v>
      </c>
      <c r="H474" t="s">
        <v>45</v>
      </c>
      <c r="I474" t="s">
        <v>116</v>
      </c>
      <c r="J474" t="s">
        <v>338</v>
      </c>
      <c r="K474" t="s">
        <v>62</v>
      </c>
      <c r="L474" t="s">
        <v>28</v>
      </c>
      <c r="M474" t="s">
        <v>110</v>
      </c>
      <c r="N474" t="s">
        <v>22</v>
      </c>
      <c r="O474" t="s">
        <v>1046</v>
      </c>
      <c r="P474" s="4">
        <v>647.36</v>
      </c>
      <c r="Q474" s="7" t="str">
        <f t="shared" si="60"/>
        <v>High</v>
      </c>
      <c r="R474" s="4">
        <v>1383.6</v>
      </c>
      <c r="S474" s="4">
        <v>7.3999999999999996E-2</v>
      </c>
      <c r="T474" s="4">
        <v>12</v>
      </c>
      <c r="U474" s="4">
        <f t="shared" si="56"/>
        <v>12733.240800000001</v>
      </c>
      <c r="V474">
        <f t="shared" si="57"/>
        <v>7768.32</v>
      </c>
      <c r="W474" s="4">
        <f t="shared" si="61"/>
        <v>4964.9208000000017</v>
      </c>
      <c r="X474" s="4">
        <f t="shared" si="62"/>
        <v>0.38991807961410746</v>
      </c>
    </row>
    <row r="475" spans="1:24" x14ac:dyDescent="0.3">
      <c r="A475" t="s">
        <v>1047</v>
      </c>
      <c r="B475" s="6">
        <v>45328</v>
      </c>
      <c r="C475" s="2">
        <v>45350</v>
      </c>
      <c r="D475" s="4">
        <f t="shared" si="63"/>
        <v>22</v>
      </c>
      <c r="E475" s="46" t="b">
        <f t="shared" si="58"/>
        <v>0</v>
      </c>
      <c r="F475" s="4" t="str">
        <f>TEXT(Data!B475,"MMM-YYYY")</f>
        <v>Aug-2025</v>
      </c>
      <c r="G475" s="4" t="str">
        <f t="shared" si="59"/>
        <v>Q1-2024</v>
      </c>
      <c r="H475" t="s">
        <v>16</v>
      </c>
      <c r="I475" t="s">
        <v>17</v>
      </c>
      <c r="J475" t="s">
        <v>18</v>
      </c>
      <c r="K475" t="s">
        <v>39</v>
      </c>
      <c r="L475" t="s">
        <v>28</v>
      </c>
      <c r="M475" t="s">
        <v>95</v>
      </c>
      <c r="N475" t="s">
        <v>64</v>
      </c>
      <c r="O475" t="s">
        <v>1048</v>
      </c>
      <c r="P475" s="4">
        <v>834.93</v>
      </c>
      <c r="Q475" s="7" t="str">
        <f t="shared" si="60"/>
        <v>High</v>
      </c>
      <c r="R475" s="4">
        <v>1588.53</v>
      </c>
      <c r="S475" s="4">
        <v>0.126</v>
      </c>
      <c r="T475" s="4">
        <v>6</v>
      </c>
      <c r="U475" s="4">
        <f t="shared" si="56"/>
        <v>8549.7651600000008</v>
      </c>
      <c r="V475">
        <f t="shared" si="57"/>
        <v>5009.58</v>
      </c>
      <c r="W475" s="4">
        <f t="shared" si="61"/>
        <v>3540.1851600000009</v>
      </c>
      <c r="X475" s="4">
        <f t="shared" si="62"/>
        <v>0.4140681169305942</v>
      </c>
    </row>
    <row r="476" spans="1:24" x14ac:dyDescent="0.3">
      <c r="A476" t="s">
        <v>1049</v>
      </c>
      <c r="B476" s="6">
        <v>45882</v>
      </c>
      <c r="C476" s="2">
        <v>45903</v>
      </c>
      <c r="D476" s="4">
        <f t="shared" si="63"/>
        <v>21</v>
      </c>
      <c r="E476" s="46" t="b">
        <f t="shared" si="58"/>
        <v>0</v>
      </c>
      <c r="F476" s="4" t="str">
        <f>TEXT(Data!B476,"MMM-YYYY")</f>
        <v>May-2023</v>
      </c>
      <c r="G476" s="4" t="str">
        <f t="shared" si="59"/>
        <v>Q3-2025</v>
      </c>
      <c r="H476" t="s">
        <v>78</v>
      </c>
      <c r="I476" t="s">
        <v>90</v>
      </c>
      <c r="J476" t="s">
        <v>217</v>
      </c>
      <c r="K476" t="s">
        <v>27</v>
      </c>
      <c r="L476" t="s">
        <v>20</v>
      </c>
      <c r="M476" t="s">
        <v>34</v>
      </c>
      <c r="N476" t="s">
        <v>42</v>
      </c>
      <c r="O476" t="s">
        <v>1050</v>
      </c>
      <c r="P476" s="4">
        <v>603.47</v>
      </c>
      <c r="Q476" s="7" t="str">
        <f t="shared" si="60"/>
        <v>High</v>
      </c>
      <c r="R476" s="4">
        <v>1344.05</v>
      </c>
      <c r="S476" s="4">
        <v>0.20499999999999999</v>
      </c>
      <c r="T476" s="4">
        <v>18</v>
      </c>
      <c r="U476" s="4">
        <f t="shared" si="56"/>
        <v>13790.9763</v>
      </c>
      <c r="V476">
        <f t="shared" si="57"/>
        <v>10862.460000000001</v>
      </c>
      <c r="W476" s="4">
        <f t="shared" si="61"/>
        <v>2928.5162999999993</v>
      </c>
      <c r="X476" s="4">
        <f t="shared" si="62"/>
        <v>0.21235018002315031</v>
      </c>
    </row>
    <row r="477" spans="1:24" x14ac:dyDescent="0.3">
      <c r="A477" t="s">
        <v>1051</v>
      </c>
      <c r="B477" s="6">
        <v>45069</v>
      </c>
      <c r="C477" s="2">
        <v>45071</v>
      </c>
      <c r="D477" s="4">
        <f t="shared" si="63"/>
        <v>2</v>
      </c>
      <c r="E477" s="46" t="str">
        <f t="shared" si="58"/>
        <v>Yes</v>
      </c>
      <c r="F477" s="4" t="str">
        <f>TEXT(Data!B477,"MMM-YYYY")</f>
        <v>May-2024</v>
      </c>
      <c r="G477" s="4" t="str">
        <f t="shared" si="59"/>
        <v>Q2-2023</v>
      </c>
      <c r="H477" t="s">
        <v>52</v>
      </c>
      <c r="I477" t="s">
        <v>73</v>
      </c>
      <c r="J477" t="s">
        <v>225</v>
      </c>
      <c r="K477" t="s">
        <v>105</v>
      </c>
      <c r="L477" t="s">
        <v>20</v>
      </c>
      <c r="M477" t="s">
        <v>110</v>
      </c>
      <c r="N477" t="s">
        <v>30</v>
      </c>
      <c r="O477" t="s">
        <v>1052</v>
      </c>
      <c r="P477" s="4">
        <v>690.49</v>
      </c>
      <c r="Q477" s="7" t="str">
        <f t="shared" si="60"/>
        <v>High</v>
      </c>
      <c r="R477" s="4">
        <v>1290.29</v>
      </c>
      <c r="S477" s="4">
        <v>4.2000000000000003E-2</v>
      </c>
      <c r="T477" s="4">
        <v>22</v>
      </c>
      <c r="U477" s="4">
        <f t="shared" si="56"/>
        <v>18794.101480000001</v>
      </c>
      <c r="V477">
        <f t="shared" si="57"/>
        <v>15190.78</v>
      </c>
      <c r="W477" s="4">
        <f t="shared" si="61"/>
        <v>3603.3214800000005</v>
      </c>
      <c r="X477" s="4">
        <f t="shared" si="62"/>
        <v>0.19172619046643566</v>
      </c>
    </row>
    <row r="478" spans="1:24" x14ac:dyDescent="0.3">
      <c r="A478" t="s">
        <v>1053</v>
      </c>
      <c r="B478" s="6">
        <v>45422</v>
      </c>
      <c r="C478" s="2">
        <v>45428</v>
      </c>
      <c r="D478" s="4">
        <f t="shared" si="63"/>
        <v>6</v>
      </c>
      <c r="E478" s="46" t="str">
        <f t="shared" si="58"/>
        <v>Yes</v>
      </c>
      <c r="F478" s="4" t="str">
        <f>TEXT(Data!B478,"MMM-YYYY")</f>
        <v>Mar-2023</v>
      </c>
      <c r="G478" s="4" t="str">
        <f t="shared" si="59"/>
        <v>Q2-2024</v>
      </c>
      <c r="H478" t="s">
        <v>78</v>
      </c>
      <c r="I478" t="s">
        <v>108</v>
      </c>
      <c r="J478" t="s">
        <v>109</v>
      </c>
      <c r="K478" t="s">
        <v>39</v>
      </c>
      <c r="L478" t="s">
        <v>98</v>
      </c>
      <c r="M478" t="s">
        <v>41</v>
      </c>
      <c r="N478" t="s">
        <v>57</v>
      </c>
      <c r="O478" t="s">
        <v>1054</v>
      </c>
      <c r="P478" s="4">
        <v>210.76</v>
      </c>
      <c r="Q478" s="7" t="str">
        <f t="shared" si="60"/>
        <v>High</v>
      </c>
      <c r="R478" s="4">
        <v>221.58</v>
      </c>
      <c r="S478" s="4">
        <v>8.8999999999999996E-2</v>
      </c>
      <c r="T478" s="4">
        <v>5</v>
      </c>
      <c r="U478" s="4">
        <f t="shared" si="56"/>
        <v>7596.9201000000003</v>
      </c>
      <c r="V478">
        <f t="shared" si="57"/>
        <v>1053.8</v>
      </c>
      <c r="W478" s="4">
        <f t="shared" si="61"/>
        <v>6543.1201000000001</v>
      </c>
      <c r="X478" s="4">
        <f t="shared" si="62"/>
        <v>0.86128589137063583</v>
      </c>
    </row>
    <row r="479" spans="1:24" x14ac:dyDescent="0.3">
      <c r="A479" t="s">
        <v>1055</v>
      </c>
      <c r="B479" s="6">
        <v>44999</v>
      </c>
      <c r="C479" s="2">
        <v>45003</v>
      </c>
      <c r="D479" s="4">
        <f t="shared" si="63"/>
        <v>4</v>
      </c>
      <c r="E479" s="46" t="str">
        <f t="shared" si="58"/>
        <v>Yes</v>
      </c>
      <c r="F479" s="4" t="str">
        <f>TEXT(Data!B479,"MMM-YYYY")</f>
        <v>Jul-2023</v>
      </c>
      <c r="G479" s="4" t="str">
        <f t="shared" si="59"/>
        <v>Q1-2023</v>
      </c>
      <c r="H479" t="s">
        <v>78</v>
      </c>
      <c r="I479" t="s">
        <v>79</v>
      </c>
      <c r="J479" t="s">
        <v>335</v>
      </c>
      <c r="K479" t="s">
        <v>105</v>
      </c>
      <c r="L479" t="s">
        <v>98</v>
      </c>
      <c r="M479" t="s">
        <v>75</v>
      </c>
      <c r="N479" t="s">
        <v>22</v>
      </c>
      <c r="O479" t="s">
        <v>1056</v>
      </c>
      <c r="P479" s="4">
        <v>472.33</v>
      </c>
      <c r="Q479" s="7" t="str">
        <f t="shared" si="60"/>
        <v>High</v>
      </c>
      <c r="R479" s="4">
        <v>360.34</v>
      </c>
      <c r="S479" s="4">
        <v>0.16500000000000001</v>
      </c>
      <c r="T479" s="4">
        <v>14</v>
      </c>
      <c r="U479" s="4">
        <f t="shared" si="56"/>
        <v>22462.4519</v>
      </c>
      <c r="V479">
        <f t="shared" si="57"/>
        <v>6612.62</v>
      </c>
      <c r="W479" s="4">
        <f t="shared" si="61"/>
        <v>15849.831900000001</v>
      </c>
      <c r="X479" s="4">
        <f t="shared" si="62"/>
        <v>0.70561450595693875</v>
      </c>
    </row>
    <row r="480" spans="1:24" x14ac:dyDescent="0.3">
      <c r="A480" t="s">
        <v>1057</v>
      </c>
      <c r="B480" s="6">
        <v>45123</v>
      </c>
      <c r="C480" s="2">
        <v>45151</v>
      </c>
      <c r="D480" s="4">
        <f t="shared" si="63"/>
        <v>28</v>
      </c>
      <c r="E480" s="46" t="b">
        <f t="shared" si="58"/>
        <v>0</v>
      </c>
      <c r="F480" s="4" t="str">
        <f>TEXT(Data!B480,"MMM-YYYY")</f>
        <v>Apr-2023</v>
      </c>
      <c r="G480" s="4" t="str">
        <f t="shared" si="59"/>
        <v>Q3-2023</v>
      </c>
      <c r="H480" t="s">
        <v>78</v>
      </c>
      <c r="I480" t="s">
        <v>108</v>
      </c>
      <c r="J480" t="s">
        <v>228</v>
      </c>
      <c r="K480" t="s">
        <v>39</v>
      </c>
      <c r="L480" t="s">
        <v>28</v>
      </c>
      <c r="M480" t="s">
        <v>29</v>
      </c>
      <c r="N480" t="s">
        <v>57</v>
      </c>
      <c r="O480" t="s">
        <v>1058</v>
      </c>
      <c r="P480" s="4">
        <v>1039.03</v>
      </c>
      <c r="Q480" s="7" t="str">
        <f t="shared" si="60"/>
        <v>High</v>
      </c>
      <c r="R480" s="4">
        <v>2545.81</v>
      </c>
      <c r="S480" s="4">
        <v>0.216</v>
      </c>
      <c r="T480" s="4">
        <v>21</v>
      </c>
      <c r="U480" s="4">
        <f t="shared" si="56"/>
        <v>20043.767520000001</v>
      </c>
      <c r="V480">
        <f t="shared" si="57"/>
        <v>21819.63</v>
      </c>
      <c r="W480" s="4">
        <f t="shared" si="61"/>
        <v>-1775.8624799999998</v>
      </c>
      <c r="X480" s="4">
        <f t="shared" si="62"/>
        <v>-8.8599235559283701E-2</v>
      </c>
    </row>
    <row r="481" spans="1:24" x14ac:dyDescent="0.3">
      <c r="A481" t="s">
        <v>1059</v>
      </c>
      <c r="B481" s="6">
        <v>45032</v>
      </c>
      <c r="C481" s="2">
        <v>45035</v>
      </c>
      <c r="D481" s="4">
        <f t="shared" si="63"/>
        <v>3</v>
      </c>
      <c r="E481" s="46" t="str">
        <f t="shared" si="58"/>
        <v>Yes</v>
      </c>
      <c r="F481" s="4" t="str">
        <f>TEXT(Data!B481,"MMM-YYYY")</f>
        <v>Jan-2024</v>
      </c>
      <c r="G481" s="4" t="str">
        <f t="shared" si="59"/>
        <v>Q2-2023</v>
      </c>
      <c r="H481" t="s">
        <v>78</v>
      </c>
      <c r="I481" t="s">
        <v>79</v>
      </c>
      <c r="J481" t="s">
        <v>159</v>
      </c>
      <c r="K481" t="s">
        <v>19</v>
      </c>
      <c r="L481" t="s">
        <v>98</v>
      </c>
      <c r="M481" t="s">
        <v>56</v>
      </c>
      <c r="N481" t="s">
        <v>81</v>
      </c>
      <c r="O481" t="s">
        <v>1060</v>
      </c>
      <c r="P481" s="4">
        <v>553.61</v>
      </c>
      <c r="Q481" s="7" t="str">
        <f t="shared" si="60"/>
        <v>High</v>
      </c>
      <c r="R481" s="4">
        <v>699.47</v>
      </c>
      <c r="S481" s="4">
        <v>0.02</v>
      </c>
      <c r="T481" s="4">
        <v>33</v>
      </c>
      <c r="U481" s="4">
        <f t="shared" si="56"/>
        <v>31378.531800000001</v>
      </c>
      <c r="V481">
        <f t="shared" si="57"/>
        <v>18269.13</v>
      </c>
      <c r="W481" s="4">
        <f t="shared" si="61"/>
        <v>13109.4018</v>
      </c>
      <c r="X481" s="4">
        <f t="shared" si="62"/>
        <v>0.41778251078018885</v>
      </c>
    </row>
    <row r="482" spans="1:24" x14ac:dyDescent="0.3">
      <c r="A482" t="s">
        <v>1061</v>
      </c>
      <c r="B482" s="6">
        <v>45293</v>
      </c>
      <c r="C482" s="2">
        <v>45306</v>
      </c>
      <c r="D482" s="4">
        <f t="shared" si="63"/>
        <v>13</v>
      </c>
      <c r="E482" s="46" t="b">
        <f t="shared" si="58"/>
        <v>0</v>
      </c>
      <c r="F482" s="4" t="str">
        <f>TEXT(Data!B482,"MMM-YYYY")</f>
        <v>Sep-2024</v>
      </c>
      <c r="G482" s="4" t="str">
        <f t="shared" si="59"/>
        <v>Q1-2024</v>
      </c>
      <c r="H482" t="s">
        <v>45</v>
      </c>
      <c r="I482" t="s">
        <v>46</v>
      </c>
      <c r="J482" t="s">
        <v>231</v>
      </c>
      <c r="K482" t="s">
        <v>62</v>
      </c>
      <c r="L482" t="s">
        <v>40</v>
      </c>
      <c r="M482" t="s">
        <v>41</v>
      </c>
      <c r="N482" t="s">
        <v>35</v>
      </c>
      <c r="O482" t="s">
        <v>1062</v>
      </c>
      <c r="P482" s="4">
        <v>1219.06</v>
      </c>
      <c r="Q482" s="7" t="str">
        <f t="shared" si="60"/>
        <v>High</v>
      </c>
      <c r="R482" s="4">
        <v>2738.69</v>
      </c>
      <c r="S482" s="4">
        <v>7.5999999999999998E-2</v>
      </c>
      <c r="T482" s="4">
        <v>16</v>
      </c>
      <c r="U482" s="4">
        <f t="shared" si="56"/>
        <v>24019.121280000003</v>
      </c>
      <c r="V482">
        <f t="shared" si="57"/>
        <v>19504.96</v>
      </c>
      <c r="W482" s="4">
        <f t="shared" si="61"/>
        <v>4514.1612800000039</v>
      </c>
      <c r="X482" s="4">
        <f t="shared" si="62"/>
        <v>0.18794031752355611</v>
      </c>
    </row>
    <row r="483" spans="1:24" x14ac:dyDescent="0.3">
      <c r="A483" t="s">
        <v>1063</v>
      </c>
      <c r="B483" s="6">
        <v>45538</v>
      </c>
      <c r="C483" s="2">
        <v>45542</v>
      </c>
      <c r="D483" s="4">
        <f t="shared" si="63"/>
        <v>4</v>
      </c>
      <c r="E483" s="46" t="str">
        <f t="shared" si="58"/>
        <v>Yes</v>
      </c>
      <c r="F483" s="4" t="str">
        <f>TEXT(Data!B483,"MMM-YYYY")</f>
        <v>Aug-2025</v>
      </c>
      <c r="G483" s="4" t="str">
        <f t="shared" si="59"/>
        <v>Q3-2024</v>
      </c>
      <c r="H483" t="s">
        <v>45</v>
      </c>
      <c r="I483" t="s">
        <v>46</v>
      </c>
      <c r="J483" t="s">
        <v>214</v>
      </c>
      <c r="K483" t="s">
        <v>62</v>
      </c>
      <c r="L483" t="s">
        <v>55</v>
      </c>
      <c r="M483" t="s">
        <v>126</v>
      </c>
      <c r="N483" t="s">
        <v>30</v>
      </c>
      <c r="O483" t="s">
        <v>1064</v>
      </c>
      <c r="P483" s="4">
        <v>43.23</v>
      </c>
      <c r="Q483" s="7" t="str">
        <f t="shared" si="60"/>
        <v>Medium</v>
      </c>
      <c r="R483" s="4">
        <v>94.78</v>
      </c>
      <c r="S483" s="4">
        <v>9.0999999999999998E-2</v>
      </c>
      <c r="T483" s="4">
        <v>55</v>
      </c>
      <c r="U483" s="4">
        <f t="shared" si="56"/>
        <v>130292.46945000002</v>
      </c>
      <c r="V483">
        <f t="shared" si="57"/>
        <v>2377.6499999999996</v>
      </c>
      <c r="W483" s="4">
        <f t="shared" si="61"/>
        <v>127914.81945000002</v>
      </c>
      <c r="X483" s="4">
        <f t="shared" si="62"/>
        <v>0.98175143958790023</v>
      </c>
    </row>
    <row r="484" spans="1:24" x14ac:dyDescent="0.3">
      <c r="A484" t="s">
        <v>1065</v>
      </c>
      <c r="B484" s="6">
        <v>45899</v>
      </c>
      <c r="C484" s="2">
        <v>45903</v>
      </c>
      <c r="D484" s="4">
        <f t="shared" si="63"/>
        <v>4</v>
      </c>
      <c r="E484" s="46" t="str">
        <f t="shared" si="58"/>
        <v>Yes</v>
      </c>
      <c r="F484" s="4" t="str">
        <f>TEXT(Data!B484,"MMM-YYYY")</f>
        <v>Apr-2025</v>
      </c>
      <c r="G484" s="4" t="str">
        <f t="shared" si="59"/>
        <v>Q3-2025</v>
      </c>
      <c r="H484" t="s">
        <v>78</v>
      </c>
      <c r="I484" t="s">
        <v>90</v>
      </c>
      <c r="J484" t="s">
        <v>91</v>
      </c>
      <c r="K484" t="s">
        <v>62</v>
      </c>
      <c r="L484" t="s">
        <v>40</v>
      </c>
      <c r="M484" t="s">
        <v>29</v>
      </c>
      <c r="N484" t="s">
        <v>57</v>
      </c>
      <c r="O484" t="s">
        <v>1066</v>
      </c>
      <c r="P484" s="4">
        <v>1286.56</v>
      </c>
      <c r="Q484" s="7" t="str">
        <f t="shared" si="60"/>
        <v>High</v>
      </c>
      <c r="R484" s="4">
        <v>2777.35</v>
      </c>
      <c r="S484" s="4">
        <v>0.13200000000000001</v>
      </c>
      <c r="T484" s="4">
        <v>15</v>
      </c>
      <c r="U484" s="4">
        <f t="shared" si="56"/>
        <v>5660.0544</v>
      </c>
      <c r="V484">
        <f t="shared" si="57"/>
        <v>19298.399999999998</v>
      </c>
      <c r="W484" s="4">
        <f t="shared" si="61"/>
        <v>-13638.345599999997</v>
      </c>
      <c r="X484" s="4">
        <f t="shared" si="62"/>
        <v>-2.4095785369130014</v>
      </c>
    </row>
    <row r="485" spans="1:24" x14ac:dyDescent="0.3">
      <c r="A485" t="s">
        <v>1067</v>
      </c>
      <c r="B485" s="6">
        <v>45775</v>
      </c>
      <c r="C485" s="2">
        <v>45796</v>
      </c>
      <c r="D485" s="4">
        <f t="shared" si="63"/>
        <v>21</v>
      </c>
      <c r="E485" s="46" t="b">
        <f t="shared" si="58"/>
        <v>0</v>
      </c>
      <c r="F485" s="4" t="str">
        <f>TEXT(Data!B485,"MMM-YYYY")</f>
        <v>Aug-2023</v>
      </c>
      <c r="G485" s="4" t="str">
        <f t="shared" si="59"/>
        <v>Q2-2025</v>
      </c>
      <c r="H485" t="s">
        <v>78</v>
      </c>
      <c r="I485" t="s">
        <v>79</v>
      </c>
      <c r="J485" t="s">
        <v>80</v>
      </c>
      <c r="K485" t="s">
        <v>19</v>
      </c>
      <c r="L485" t="s">
        <v>55</v>
      </c>
      <c r="M485" t="s">
        <v>56</v>
      </c>
      <c r="N485" t="s">
        <v>42</v>
      </c>
      <c r="O485" t="s">
        <v>1068</v>
      </c>
      <c r="P485" s="4">
        <v>350.76</v>
      </c>
      <c r="Q485" s="7" t="str">
        <f t="shared" si="60"/>
        <v>High</v>
      </c>
      <c r="R485" s="4">
        <v>492.18</v>
      </c>
      <c r="S485" s="4">
        <v>5.2999999999999999E-2</v>
      </c>
      <c r="T485" s="4">
        <v>11</v>
      </c>
      <c r="U485" s="4">
        <f t="shared" si="56"/>
        <v>19379.89097</v>
      </c>
      <c r="V485">
        <f t="shared" si="57"/>
        <v>3858.3599999999997</v>
      </c>
      <c r="W485" s="4">
        <f t="shared" si="61"/>
        <v>15521.53097</v>
      </c>
      <c r="X485" s="4">
        <f t="shared" si="62"/>
        <v>0.80090909665215726</v>
      </c>
    </row>
    <row r="486" spans="1:24" x14ac:dyDescent="0.3">
      <c r="A486" t="s">
        <v>1069</v>
      </c>
      <c r="B486" s="6">
        <v>45148</v>
      </c>
      <c r="C486" s="2">
        <v>45153</v>
      </c>
      <c r="D486" s="4">
        <f t="shared" si="63"/>
        <v>5</v>
      </c>
      <c r="E486" s="46" t="str">
        <f t="shared" si="58"/>
        <v>Yes</v>
      </c>
      <c r="F486" s="4" t="str">
        <f>TEXT(Data!B486,"MMM-YYYY")</f>
        <v>Dec-2024</v>
      </c>
      <c r="G486" s="4" t="str">
        <f t="shared" si="59"/>
        <v>Q3-2023</v>
      </c>
      <c r="H486" t="s">
        <v>52</v>
      </c>
      <c r="I486" t="s">
        <v>73</v>
      </c>
      <c r="J486" t="s">
        <v>74</v>
      </c>
      <c r="K486" t="s">
        <v>27</v>
      </c>
      <c r="L486" t="s">
        <v>98</v>
      </c>
      <c r="M486" t="s">
        <v>41</v>
      </c>
      <c r="N486" t="s">
        <v>35</v>
      </c>
      <c r="O486" t="s">
        <v>1070</v>
      </c>
      <c r="P486" s="4">
        <v>1307.52</v>
      </c>
      <c r="Q486" s="7" t="str">
        <f t="shared" si="60"/>
        <v>High</v>
      </c>
      <c r="R486" s="4">
        <v>1921.65</v>
      </c>
      <c r="S486" s="4">
        <v>0.123</v>
      </c>
      <c r="T486" s="4">
        <v>13</v>
      </c>
      <c r="U486" s="4">
        <f t="shared" si="56"/>
        <v>9504.8996900000002</v>
      </c>
      <c r="V486">
        <f t="shared" si="57"/>
        <v>16997.759999999998</v>
      </c>
      <c r="W486" s="4">
        <f t="shared" si="61"/>
        <v>-7492.8603099999982</v>
      </c>
      <c r="X486" s="4">
        <f t="shared" si="62"/>
        <v>-0.78831555875157244</v>
      </c>
    </row>
    <row r="487" spans="1:24" x14ac:dyDescent="0.3">
      <c r="A487" t="s">
        <v>1071</v>
      </c>
      <c r="B487" s="6">
        <v>45634</v>
      </c>
      <c r="C487" s="2">
        <v>45634</v>
      </c>
      <c r="D487" s="4">
        <f t="shared" si="63"/>
        <v>0</v>
      </c>
      <c r="E487" s="46" t="str">
        <f t="shared" si="58"/>
        <v>Yes</v>
      </c>
      <c r="F487" s="4" t="str">
        <f>TEXT(Data!B487,"MMM-YYYY")</f>
        <v>Oct-2023</v>
      </c>
      <c r="G487" s="4" t="str">
        <f t="shared" si="59"/>
        <v>Q4-2024</v>
      </c>
      <c r="H487" t="s">
        <v>78</v>
      </c>
      <c r="I487" t="s">
        <v>90</v>
      </c>
      <c r="J487" t="s">
        <v>138</v>
      </c>
      <c r="K487" t="s">
        <v>105</v>
      </c>
      <c r="L487" t="s">
        <v>20</v>
      </c>
      <c r="M487" t="s">
        <v>92</v>
      </c>
      <c r="N487" t="s">
        <v>22</v>
      </c>
      <c r="O487" t="s">
        <v>1072</v>
      </c>
      <c r="P487" s="4">
        <v>257.44</v>
      </c>
      <c r="Q487" s="7" t="str">
        <f t="shared" si="60"/>
        <v>High</v>
      </c>
      <c r="R487" s="4">
        <v>290.33</v>
      </c>
      <c r="S487" s="4">
        <v>9.1999999999999998E-2</v>
      </c>
      <c r="T487" s="4">
        <v>23</v>
      </c>
      <c r="U487" s="4">
        <f t="shared" si="56"/>
        <v>6964.3963200000007</v>
      </c>
      <c r="V487">
        <f t="shared" si="57"/>
        <v>5921.12</v>
      </c>
      <c r="W487" s="4">
        <f t="shared" si="61"/>
        <v>1043.2763200000009</v>
      </c>
      <c r="X487" s="4">
        <f t="shared" si="62"/>
        <v>0.14980140015926044</v>
      </c>
    </row>
    <row r="488" spans="1:24" x14ac:dyDescent="0.3">
      <c r="A488" t="s">
        <v>1073</v>
      </c>
      <c r="B488" s="6">
        <v>45224</v>
      </c>
      <c r="C488" s="2">
        <v>45254</v>
      </c>
      <c r="D488" s="4">
        <f t="shared" si="63"/>
        <v>30</v>
      </c>
      <c r="E488" s="46" t="b">
        <f t="shared" si="58"/>
        <v>0</v>
      </c>
      <c r="F488" s="4" t="str">
        <f>TEXT(Data!B488,"MMM-YYYY")</f>
        <v>Nov-2024</v>
      </c>
      <c r="G488" s="4" t="str">
        <f t="shared" si="59"/>
        <v>Q4-2023</v>
      </c>
      <c r="H488" t="s">
        <v>78</v>
      </c>
      <c r="I488" t="s">
        <v>90</v>
      </c>
      <c r="J488" t="s">
        <v>217</v>
      </c>
      <c r="K488" t="s">
        <v>105</v>
      </c>
      <c r="L488" t="s">
        <v>55</v>
      </c>
      <c r="M488" t="s">
        <v>21</v>
      </c>
      <c r="N488" t="s">
        <v>42</v>
      </c>
      <c r="O488" t="s">
        <v>1074</v>
      </c>
      <c r="P488" s="4">
        <v>287.85000000000002</v>
      </c>
      <c r="Q488" s="7" t="str">
        <f t="shared" si="60"/>
        <v>High</v>
      </c>
      <c r="R488" s="4">
        <v>602.91999999999996</v>
      </c>
      <c r="S488" s="4">
        <v>0.222</v>
      </c>
      <c r="T488" s="4">
        <v>11</v>
      </c>
      <c r="U488" s="4">
        <f t="shared" si="56"/>
        <v>15273.462600000001</v>
      </c>
      <c r="V488">
        <f t="shared" si="57"/>
        <v>3166.3500000000004</v>
      </c>
      <c r="W488" s="4">
        <f t="shared" si="61"/>
        <v>12107.1126</v>
      </c>
      <c r="X488" s="4">
        <f t="shared" si="62"/>
        <v>0.79268944554851628</v>
      </c>
    </row>
    <row r="489" spans="1:24" x14ac:dyDescent="0.3">
      <c r="A489" t="s">
        <v>1075</v>
      </c>
      <c r="B489" s="6">
        <v>45613</v>
      </c>
      <c r="C489" s="2">
        <v>45624</v>
      </c>
      <c r="D489" s="4">
        <f t="shared" si="63"/>
        <v>11</v>
      </c>
      <c r="E489" s="46" t="b">
        <f t="shared" si="58"/>
        <v>0</v>
      </c>
      <c r="F489" s="4" t="str">
        <f>TEXT(Data!B489,"MMM-YYYY")</f>
        <v>May-2024</v>
      </c>
      <c r="G489" s="4" t="str">
        <f t="shared" si="59"/>
        <v>Q4-2024</v>
      </c>
      <c r="H489" t="s">
        <v>52</v>
      </c>
      <c r="I489" t="s">
        <v>53</v>
      </c>
      <c r="J489" t="s">
        <v>1364</v>
      </c>
      <c r="K489" t="s">
        <v>48</v>
      </c>
      <c r="L489" t="s">
        <v>55</v>
      </c>
      <c r="M489" t="s">
        <v>75</v>
      </c>
      <c r="N489" t="s">
        <v>30</v>
      </c>
      <c r="O489" t="s">
        <v>1076</v>
      </c>
      <c r="P489" s="4">
        <v>1008.16</v>
      </c>
      <c r="Q489" s="7" t="str">
        <f t="shared" si="60"/>
        <v>High</v>
      </c>
      <c r="R489" s="4">
        <v>2077.5</v>
      </c>
      <c r="S489" s="4">
        <v>7.3999999999999996E-2</v>
      </c>
      <c r="T489" s="4">
        <v>15</v>
      </c>
      <c r="U489" s="4">
        <f t="shared" si="56"/>
        <v>14894.108099999999</v>
      </c>
      <c r="V489">
        <f t="shared" si="57"/>
        <v>15122.4</v>
      </c>
      <c r="W489" s="4">
        <f t="shared" si="61"/>
        <v>-228.29190000000017</v>
      </c>
      <c r="X489" s="4">
        <f t="shared" si="62"/>
        <v>-1.5327665038230801E-2</v>
      </c>
    </row>
    <row r="490" spans="1:24" x14ac:dyDescent="0.3">
      <c r="A490" t="s">
        <v>1077</v>
      </c>
      <c r="B490" s="6">
        <v>45424</v>
      </c>
      <c r="C490" s="2">
        <v>45436</v>
      </c>
      <c r="D490" s="4">
        <f t="shared" si="63"/>
        <v>12</v>
      </c>
      <c r="E490" s="46" t="b">
        <f t="shared" si="58"/>
        <v>0</v>
      </c>
      <c r="F490" s="4" t="str">
        <f>TEXT(Data!B490,"MMM-YYYY")</f>
        <v>May-2025</v>
      </c>
      <c r="G490" s="4" t="str">
        <f t="shared" si="59"/>
        <v>Q2-2024</v>
      </c>
      <c r="H490" t="s">
        <v>78</v>
      </c>
      <c r="I490" t="s">
        <v>108</v>
      </c>
      <c r="J490" t="s">
        <v>228</v>
      </c>
      <c r="K490" t="s">
        <v>27</v>
      </c>
      <c r="L490" t="s">
        <v>40</v>
      </c>
      <c r="M490" t="s">
        <v>95</v>
      </c>
      <c r="N490" t="s">
        <v>30</v>
      </c>
      <c r="O490" t="s">
        <v>1078</v>
      </c>
      <c r="P490" s="4">
        <v>111.02</v>
      </c>
      <c r="Q490" s="7" t="str">
        <f t="shared" si="60"/>
        <v>Medium</v>
      </c>
      <c r="R490" s="4">
        <v>172.88</v>
      </c>
      <c r="S490" s="4">
        <v>0.19700000000000001</v>
      </c>
      <c r="T490" s="4">
        <v>29</v>
      </c>
      <c r="U490" s="4">
        <f t="shared" si="56"/>
        <v>70514.200349999999</v>
      </c>
      <c r="V490">
        <f t="shared" si="57"/>
        <v>3219.58</v>
      </c>
      <c r="W490" s="4">
        <f t="shared" si="61"/>
        <v>67294.620349999997</v>
      </c>
      <c r="X490" s="4">
        <f t="shared" si="62"/>
        <v>0.95434139529315387</v>
      </c>
    </row>
    <row r="491" spans="1:24" x14ac:dyDescent="0.3">
      <c r="A491" t="s">
        <v>1079</v>
      </c>
      <c r="B491" s="6">
        <v>45792</v>
      </c>
      <c r="C491" s="2">
        <v>45813</v>
      </c>
      <c r="D491" s="4">
        <f t="shared" si="63"/>
        <v>21</v>
      </c>
      <c r="E491" s="46" t="b">
        <f t="shared" si="58"/>
        <v>0</v>
      </c>
      <c r="F491" s="4" t="str">
        <f>TEXT(Data!B491,"MMM-YYYY")</f>
        <v>Apr-2024</v>
      </c>
      <c r="G491" s="4" t="str">
        <f t="shared" si="59"/>
        <v>Q2-2025</v>
      </c>
      <c r="H491" t="s">
        <v>45</v>
      </c>
      <c r="I491" t="s">
        <v>46</v>
      </c>
      <c r="J491" t="s">
        <v>47</v>
      </c>
      <c r="K491" t="s">
        <v>105</v>
      </c>
      <c r="L491" t="s">
        <v>98</v>
      </c>
      <c r="M491" t="s">
        <v>92</v>
      </c>
      <c r="N491" t="s">
        <v>42</v>
      </c>
      <c r="O491" t="s">
        <v>1080</v>
      </c>
      <c r="P491" s="4">
        <v>1466.5</v>
      </c>
      <c r="Q491" s="7" t="str">
        <f t="shared" si="60"/>
        <v>High</v>
      </c>
      <c r="R491" s="4">
        <v>2778.74</v>
      </c>
      <c r="S491" s="4">
        <v>0.13500000000000001</v>
      </c>
      <c r="T491" s="4">
        <v>4</v>
      </c>
      <c r="U491" s="4">
        <f t="shared" si="56"/>
        <v>3415.8503999999998</v>
      </c>
      <c r="V491">
        <f t="shared" si="57"/>
        <v>5866</v>
      </c>
      <c r="W491" s="4">
        <f t="shared" si="61"/>
        <v>-2450.1496000000002</v>
      </c>
      <c r="X491" s="4">
        <f t="shared" si="62"/>
        <v>-0.71728832152602473</v>
      </c>
    </row>
    <row r="492" spans="1:24" x14ac:dyDescent="0.3">
      <c r="A492" t="s">
        <v>1081</v>
      </c>
      <c r="B492" s="6">
        <v>45403</v>
      </c>
      <c r="C492" s="2">
        <v>45431</v>
      </c>
      <c r="D492" s="4">
        <f t="shared" si="63"/>
        <v>28</v>
      </c>
      <c r="E492" s="46" t="b">
        <f t="shared" si="58"/>
        <v>0</v>
      </c>
      <c r="F492" s="4" t="str">
        <f>TEXT(Data!B492,"MMM-YYYY")</f>
        <v>Aug-2024</v>
      </c>
      <c r="G492" s="4" t="str">
        <f t="shared" si="59"/>
        <v>Q2-2024</v>
      </c>
      <c r="H492" t="s">
        <v>16</v>
      </c>
      <c r="I492" t="s">
        <v>25</v>
      </c>
      <c r="J492" t="s">
        <v>38</v>
      </c>
      <c r="K492" t="s">
        <v>19</v>
      </c>
      <c r="L492" t="s">
        <v>55</v>
      </c>
      <c r="M492" t="s">
        <v>75</v>
      </c>
      <c r="N492" t="s">
        <v>81</v>
      </c>
      <c r="O492" t="s">
        <v>1082</v>
      </c>
      <c r="P492" s="4">
        <v>187.22</v>
      </c>
      <c r="Q492" s="7" t="str">
        <f t="shared" si="60"/>
        <v>High</v>
      </c>
      <c r="R492" s="4">
        <v>309.47000000000003</v>
      </c>
      <c r="S492" s="4">
        <v>0</v>
      </c>
      <c r="T492" s="4">
        <v>5</v>
      </c>
      <c r="U492" s="4">
        <f t="shared" si="56"/>
        <v>4877.1499999999996</v>
      </c>
      <c r="V492">
        <f t="shared" si="57"/>
        <v>936.1</v>
      </c>
      <c r="W492" s="4">
        <f t="shared" si="61"/>
        <v>3941.0499999999997</v>
      </c>
      <c r="X492" s="4">
        <f t="shared" si="62"/>
        <v>0.8080641358170243</v>
      </c>
    </row>
    <row r="493" spans="1:24" x14ac:dyDescent="0.3">
      <c r="A493" t="s">
        <v>1083</v>
      </c>
      <c r="B493" s="6">
        <v>45523</v>
      </c>
      <c r="C493" s="2">
        <v>45542</v>
      </c>
      <c r="D493" s="4">
        <f t="shared" si="63"/>
        <v>19</v>
      </c>
      <c r="E493" s="46" t="b">
        <f t="shared" si="58"/>
        <v>0</v>
      </c>
      <c r="F493" s="4" t="str">
        <f>TEXT(Data!B493,"MMM-YYYY")</f>
        <v>Jul-2025</v>
      </c>
      <c r="G493" s="4" t="str">
        <f t="shared" si="59"/>
        <v>Q3-2024</v>
      </c>
      <c r="H493" t="s">
        <v>78</v>
      </c>
      <c r="I493" t="s">
        <v>90</v>
      </c>
      <c r="J493" t="s">
        <v>138</v>
      </c>
      <c r="K493" t="s">
        <v>19</v>
      </c>
      <c r="L493" t="s">
        <v>98</v>
      </c>
      <c r="M493" t="s">
        <v>29</v>
      </c>
      <c r="N493" t="s">
        <v>22</v>
      </c>
      <c r="O493" t="s">
        <v>1084</v>
      </c>
      <c r="P493" s="4">
        <v>297.58999999999997</v>
      </c>
      <c r="Q493" s="7" t="str">
        <f t="shared" si="60"/>
        <v>High</v>
      </c>
      <c r="R493" s="4">
        <v>666.41</v>
      </c>
      <c r="S493" s="4">
        <v>0</v>
      </c>
      <c r="T493" s="4">
        <v>10</v>
      </c>
      <c r="U493" s="4">
        <f t="shared" si="56"/>
        <v>1414.3000000000002</v>
      </c>
      <c r="V493">
        <f t="shared" si="57"/>
        <v>2975.8999999999996</v>
      </c>
      <c r="W493" s="4">
        <f t="shared" si="61"/>
        <v>-1561.5999999999995</v>
      </c>
      <c r="X493" s="4">
        <f t="shared" si="62"/>
        <v>-1.1041504631266346</v>
      </c>
    </row>
    <row r="494" spans="1:24" x14ac:dyDescent="0.3">
      <c r="A494" t="s">
        <v>1085</v>
      </c>
      <c r="B494" s="6">
        <v>45861</v>
      </c>
      <c r="C494" s="2">
        <v>45888</v>
      </c>
      <c r="D494" s="4">
        <f t="shared" si="63"/>
        <v>27</v>
      </c>
      <c r="E494" s="46" t="b">
        <f t="shared" si="58"/>
        <v>0</v>
      </c>
      <c r="F494" s="4" t="str">
        <f>TEXT(Data!B494,"MMM-YYYY")</f>
        <v>Mar-2024</v>
      </c>
      <c r="G494" s="4" t="str">
        <f t="shared" si="59"/>
        <v>Q3-2025</v>
      </c>
      <c r="H494" t="s">
        <v>45</v>
      </c>
      <c r="I494" t="s">
        <v>46</v>
      </c>
      <c r="J494" t="s">
        <v>231</v>
      </c>
      <c r="K494" t="s">
        <v>48</v>
      </c>
      <c r="L494" t="s">
        <v>40</v>
      </c>
      <c r="M494" t="s">
        <v>56</v>
      </c>
      <c r="N494" t="s">
        <v>81</v>
      </c>
      <c r="O494" t="s">
        <v>1086</v>
      </c>
      <c r="P494" s="4">
        <v>896.09</v>
      </c>
      <c r="Q494" s="7" t="str">
        <f t="shared" si="60"/>
        <v>High</v>
      </c>
      <c r="R494" s="4">
        <v>744.27</v>
      </c>
      <c r="S494" s="4">
        <v>8.3000000000000004E-2</v>
      </c>
      <c r="T494" s="4">
        <v>11</v>
      </c>
      <c r="U494" s="4">
        <f t="shared" si="56"/>
        <v>16395.611540000002</v>
      </c>
      <c r="V494">
        <f t="shared" si="57"/>
        <v>9856.99</v>
      </c>
      <c r="W494" s="4">
        <f t="shared" si="61"/>
        <v>6538.6215400000019</v>
      </c>
      <c r="X494" s="4">
        <f t="shared" si="62"/>
        <v>0.3988031507118765</v>
      </c>
    </row>
    <row r="495" spans="1:24" x14ac:dyDescent="0.3">
      <c r="A495" t="s">
        <v>1087</v>
      </c>
      <c r="B495" s="6">
        <v>45352</v>
      </c>
      <c r="C495" s="2">
        <v>45351</v>
      </c>
      <c r="D495" s="4">
        <f>DATEDIF(C495,B495, "MD")</f>
        <v>1</v>
      </c>
      <c r="E495" s="46" t="str">
        <f t="shared" si="58"/>
        <v>Yes</v>
      </c>
      <c r="F495" s="4" t="str">
        <f>TEXT(Data!B495,"MMM-YYYY")</f>
        <v>May-2024</v>
      </c>
      <c r="G495" s="4" t="str">
        <f t="shared" si="59"/>
        <v>Q1-2024</v>
      </c>
      <c r="H495" t="s">
        <v>52</v>
      </c>
      <c r="I495" t="s">
        <v>73</v>
      </c>
      <c r="J495" t="s">
        <v>74</v>
      </c>
      <c r="K495" t="s">
        <v>39</v>
      </c>
      <c r="L495" t="s">
        <v>98</v>
      </c>
      <c r="M495" t="s">
        <v>34</v>
      </c>
      <c r="N495" t="s">
        <v>42</v>
      </c>
      <c r="O495" t="s">
        <v>1088</v>
      </c>
      <c r="P495" s="4">
        <v>5.34</v>
      </c>
      <c r="Q495" s="7" t="str">
        <f t="shared" si="60"/>
        <v>Low</v>
      </c>
      <c r="R495" s="4">
        <v>12.69</v>
      </c>
      <c r="S495" s="4">
        <v>0.13200000000000001</v>
      </c>
      <c r="T495" s="4">
        <v>10</v>
      </c>
      <c r="U495" s="4">
        <f t="shared" si="56"/>
        <v>2603.4792000000002</v>
      </c>
      <c r="V495">
        <f t="shared" si="57"/>
        <v>53.4</v>
      </c>
      <c r="W495" s="4">
        <f t="shared" si="61"/>
        <v>2550.0792000000001</v>
      </c>
      <c r="X495" s="4">
        <f t="shared" si="62"/>
        <v>0.97948898535467455</v>
      </c>
    </row>
    <row r="496" spans="1:24" x14ac:dyDescent="0.3">
      <c r="A496" t="s">
        <v>1089</v>
      </c>
      <c r="B496" s="6">
        <v>45439</v>
      </c>
      <c r="C496" s="2">
        <v>45460</v>
      </c>
      <c r="D496" s="4">
        <f t="shared" si="63"/>
        <v>21</v>
      </c>
      <c r="E496" s="46" t="b">
        <f t="shared" si="58"/>
        <v>0</v>
      </c>
      <c r="F496" s="4" t="str">
        <f>TEXT(Data!B496,"MMM-YYYY")</f>
        <v>Aug-2024</v>
      </c>
      <c r="G496" s="4" t="str">
        <f t="shared" si="59"/>
        <v>Q2-2024</v>
      </c>
      <c r="H496" t="s">
        <v>45</v>
      </c>
      <c r="I496" t="s">
        <v>60</v>
      </c>
      <c r="J496" t="s">
        <v>141</v>
      </c>
      <c r="K496" t="s">
        <v>62</v>
      </c>
      <c r="L496" t="s">
        <v>28</v>
      </c>
      <c r="M496" t="s">
        <v>92</v>
      </c>
      <c r="N496" t="s">
        <v>81</v>
      </c>
      <c r="O496" t="s">
        <v>1090</v>
      </c>
      <c r="P496" s="4">
        <v>465.02</v>
      </c>
      <c r="Q496" s="7" t="str">
        <f t="shared" si="60"/>
        <v>High</v>
      </c>
      <c r="R496" s="4">
        <v>651.55999999999995</v>
      </c>
      <c r="S496" s="4">
        <v>4.2000000000000003E-2</v>
      </c>
      <c r="T496" s="4">
        <v>19</v>
      </c>
      <c r="U496" s="4">
        <f t="shared" si="56"/>
        <v>27375.07992</v>
      </c>
      <c r="V496">
        <f t="shared" si="57"/>
        <v>8835.3799999999992</v>
      </c>
      <c r="W496" s="4">
        <f t="shared" si="61"/>
        <v>18539.699919999999</v>
      </c>
      <c r="X496" s="4">
        <f t="shared" si="62"/>
        <v>0.67724733495499501</v>
      </c>
    </row>
    <row r="497" spans="1:24" x14ac:dyDescent="0.3">
      <c r="A497" t="s">
        <v>1091</v>
      </c>
      <c r="B497" s="6">
        <v>45508</v>
      </c>
      <c r="C497" s="2">
        <v>45521</v>
      </c>
      <c r="D497" s="4">
        <f t="shared" si="63"/>
        <v>13</v>
      </c>
      <c r="E497" s="46" t="b">
        <f t="shared" si="58"/>
        <v>0</v>
      </c>
      <c r="F497" s="4" t="str">
        <f>TEXT(Data!B497,"MMM-YYYY")</f>
        <v>Jun-2023</v>
      </c>
      <c r="G497" s="4" t="str">
        <f t="shared" si="59"/>
        <v>Q3-2024</v>
      </c>
      <c r="H497" t="s">
        <v>52</v>
      </c>
      <c r="I497" t="s">
        <v>122</v>
      </c>
      <c r="J497" t="s">
        <v>326</v>
      </c>
      <c r="K497" t="s">
        <v>48</v>
      </c>
      <c r="L497" t="s">
        <v>20</v>
      </c>
      <c r="M497" t="s">
        <v>145</v>
      </c>
      <c r="N497" t="s">
        <v>64</v>
      </c>
      <c r="O497" t="s">
        <v>1092</v>
      </c>
      <c r="P497" s="4">
        <v>352.79</v>
      </c>
      <c r="Q497" s="7" t="str">
        <f t="shared" si="60"/>
        <v>High</v>
      </c>
      <c r="R497" s="4">
        <v>754.22</v>
      </c>
      <c r="S497" s="4">
        <v>0.113</v>
      </c>
      <c r="T497" s="4">
        <v>7</v>
      </c>
      <c r="U497" s="4">
        <f t="shared" si="56"/>
        <v>19254.791990000002</v>
      </c>
      <c r="V497">
        <f t="shared" si="57"/>
        <v>2469.5300000000002</v>
      </c>
      <c r="W497" s="4">
        <f t="shared" si="61"/>
        <v>16785.261990000003</v>
      </c>
      <c r="X497" s="4">
        <f t="shared" si="62"/>
        <v>0.87174465445887173</v>
      </c>
    </row>
    <row r="498" spans="1:24" x14ac:dyDescent="0.3">
      <c r="A498" t="s">
        <v>1093</v>
      </c>
      <c r="B498" s="6">
        <v>45097</v>
      </c>
      <c r="C498" s="2">
        <v>45111</v>
      </c>
      <c r="D498" s="4">
        <f t="shared" si="63"/>
        <v>14</v>
      </c>
      <c r="E498" s="46" t="b">
        <f t="shared" si="58"/>
        <v>0</v>
      </c>
      <c r="F498" s="4" t="str">
        <f>TEXT(Data!B498,"MMM-YYYY")</f>
        <v>Sep-2024</v>
      </c>
      <c r="G498" s="4" t="str">
        <f t="shared" si="59"/>
        <v>Q2-2023</v>
      </c>
      <c r="H498" t="s">
        <v>52</v>
      </c>
      <c r="I498" t="s">
        <v>73</v>
      </c>
      <c r="J498" t="s">
        <v>87</v>
      </c>
      <c r="K498" t="s">
        <v>39</v>
      </c>
      <c r="L498" t="s">
        <v>98</v>
      </c>
      <c r="M498" t="s">
        <v>21</v>
      </c>
      <c r="N498" t="s">
        <v>35</v>
      </c>
      <c r="O498" t="s">
        <v>1094</v>
      </c>
      <c r="P498" s="4">
        <v>1292.8599999999999</v>
      </c>
      <c r="Q498" s="7" t="str">
        <f t="shared" si="60"/>
        <v>High</v>
      </c>
      <c r="R498" s="4">
        <v>2981.01</v>
      </c>
      <c r="S498" s="4">
        <v>0.14199999999999999</v>
      </c>
      <c r="T498" s="4">
        <v>12</v>
      </c>
      <c r="U498" s="4">
        <f t="shared" si="56"/>
        <v>10084.108319999999</v>
      </c>
      <c r="V498">
        <f t="shared" si="57"/>
        <v>15514.32</v>
      </c>
      <c r="W498" s="4">
        <f t="shared" si="61"/>
        <v>-5430.2116800000003</v>
      </c>
      <c r="X498" s="4">
        <f t="shared" si="62"/>
        <v>-0.5384920022358507</v>
      </c>
    </row>
    <row r="499" spans="1:24" x14ac:dyDescent="0.3">
      <c r="A499" t="s">
        <v>1095</v>
      </c>
      <c r="B499" s="6">
        <v>45544</v>
      </c>
      <c r="C499" s="2">
        <v>45548</v>
      </c>
      <c r="D499" s="4">
        <f t="shared" si="63"/>
        <v>4</v>
      </c>
      <c r="E499" s="46" t="str">
        <f t="shared" si="58"/>
        <v>Yes</v>
      </c>
      <c r="F499" s="4" t="str">
        <f>TEXT(Data!B499,"MMM-YYYY")</f>
        <v>Oct-2023</v>
      </c>
      <c r="G499" s="4" t="str">
        <f t="shared" si="59"/>
        <v>Q3-2024</v>
      </c>
      <c r="H499" t="s">
        <v>78</v>
      </c>
      <c r="I499" t="s">
        <v>108</v>
      </c>
      <c r="J499" t="s">
        <v>152</v>
      </c>
      <c r="K499" t="s">
        <v>48</v>
      </c>
      <c r="L499" t="s">
        <v>40</v>
      </c>
      <c r="M499" t="s">
        <v>84</v>
      </c>
      <c r="N499" t="s">
        <v>35</v>
      </c>
      <c r="O499" t="s">
        <v>1096</v>
      </c>
      <c r="P499" s="4">
        <v>1133.08</v>
      </c>
      <c r="Q499" s="7" t="str">
        <f t="shared" si="60"/>
        <v>High</v>
      </c>
      <c r="R499" s="4">
        <v>976.17</v>
      </c>
      <c r="S499" s="4">
        <v>4.2000000000000003E-2</v>
      </c>
      <c r="T499" s="4">
        <v>27</v>
      </c>
      <c r="U499" s="4">
        <f t="shared" si="56"/>
        <v>30683.801159999999</v>
      </c>
      <c r="V499">
        <f t="shared" si="57"/>
        <v>30593.159999999996</v>
      </c>
      <c r="W499" s="4">
        <f t="shared" si="61"/>
        <v>90.641160000002856</v>
      </c>
      <c r="X499" s="4">
        <f t="shared" si="62"/>
        <v>2.9540394792469337E-3</v>
      </c>
    </row>
    <row r="500" spans="1:24" x14ac:dyDescent="0.3">
      <c r="A500" t="s">
        <v>1097</v>
      </c>
      <c r="B500" s="6">
        <v>45224</v>
      </c>
      <c r="C500" s="2">
        <v>45227</v>
      </c>
      <c r="D500" s="4">
        <f t="shared" si="63"/>
        <v>3</v>
      </c>
      <c r="E500" s="46" t="str">
        <f t="shared" si="58"/>
        <v>Yes</v>
      </c>
      <c r="F500" s="4" t="str">
        <f>TEXT(Data!B500,"MMM-YYYY")</f>
        <v>Sep-2025</v>
      </c>
      <c r="G500" s="4" t="str">
        <f t="shared" si="59"/>
        <v>Q4-2023</v>
      </c>
      <c r="H500" t="s">
        <v>52</v>
      </c>
      <c r="I500" t="s">
        <v>73</v>
      </c>
      <c r="J500" t="s">
        <v>87</v>
      </c>
      <c r="K500" t="s">
        <v>19</v>
      </c>
      <c r="L500" t="s">
        <v>55</v>
      </c>
      <c r="M500" t="s">
        <v>49</v>
      </c>
      <c r="N500" t="s">
        <v>81</v>
      </c>
      <c r="O500" t="s">
        <v>1098</v>
      </c>
      <c r="P500" s="4">
        <v>509.31</v>
      </c>
      <c r="Q500" s="7" t="str">
        <f t="shared" si="60"/>
        <v>High</v>
      </c>
      <c r="R500" s="4">
        <v>1145.9000000000001</v>
      </c>
      <c r="S500" s="4">
        <v>5.7000000000000002E-2</v>
      </c>
      <c r="T500" s="4">
        <v>8</v>
      </c>
      <c r="U500" s="4">
        <f t="shared" si="56"/>
        <v>14622.761519999998</v>
      </c>
      <c r="V500">
        <f t="shared" si="57"/>
        <v>4074.48</v>
      </c>
      <c r="W500" s="4">
        <f t="shared" si="61"/>
        <v>10548.281519999999</v>
      </c>
      <c r="X500" s="4">
        <f t="shared" si="62"/>
        <v>0.7213604287789821</v>
      </c>
    </row>
    <row r="501" spans="1:24" x14ac:dyDescent="0.3">
      <c r="A501" t="s">
        <v>1099</v>
      </c>
      <c r="B501" s="6">
        <v>45908</v>
      </c>
      <c r="C501" s="2">
        <v>45935</v>
      </c>
      <c r="D501" s="4">
        <f t="shared" si="63"/>
        <v>27</v>
      </c>
      <c r="E501" s="46" t="b">
        <f t="shared" si="58"/>
        <v>0</v>
      </c>
      <c r="F501" s="4" t="str">
        <f>TEXT(Data!B501,"MMM-YYYY")</f>
        <v>May-2023</v>
      </c>
      <c r="G501" s="4" t="str">
        <f t="shared" si="59"/>
        <v>Q3-2025</v>
      </c>
      <c r="H501" t="s">
        <v>52</v>
      </c>
      <c r="I501" t="s">
        <v>73</v>
      </c>
      <c r="J501" t="s">
        <v>225</v>
      </c>
      <c r="K501" t="s">
        <v>27</v>
      </c>
      <c r="L501" t="s">
        <v>28</v>
      </c>
      <c r="M501" t="s">
        <v>21</v>
      </c>
      <c r="N501" t="s">
        <v>64</v>
      </c>
      <c r="O501" t="s">
        <v>1100</v>
      </c>
      <c r="P501" s="4">
        <v>660.78</v>
      </c>
      <c r="Q501" s="7" t="str">
        <f t="shared" si="60"/>
        <v>High</v>
      </c>
      <c r="R501" s="4">
        <v>1630.39</v>
      </c>
      <c r="S501" s="4">
        <v>0.218</v>
      </c>
      <c r="T501" s="4">
        <v>13</v>
      </c>
      <c r="U501" s="4">
        <f t="shared" si="56"/>
        <v>8401.8940200000015</v>
      </c>
      <c r="V501">
        <f t="shared" si="57"/>
        <v>8590.14</v>
      </c>
      <c r="W501" s="4">
        <f t="shared" si="61"/>
        <v>-188.24597999999787</v>
      </c>
      <c r="X501" s="4">
        <f t="shared" si="62"/>
        <v>-2.2405183825443903E-2</v>
      </c>
    </row>
    <row r="502" spans="1:24" x14ac:dyDescent="0.3">
      <c r="A502" t="s">
        <v>1101</v>
      </c>
      <c r="B502" s="6">
        <v>45048</v>
      </c>
      <c r="C502" s="2">
        <v>45062</v>
      </c>
      <c r="D502" s="4">
        <f t="shared" si="63"/>
        <v>14</v>
      </c>
      <c r="E502" s="46" t="b">
        <f t="shared" si="58"/>
        <v>0</v>
      </c>
      <c r="F502" s="4" t="str">
        <f>TEXT(Data!B502,"MMM-YYYY")</f>
        <v>Apr-2024</v>
      </c>
      <c r="G502" s="4" t="str">
        <f t="shared" si="59"/>
        <v>Q2-2023</v>
      </c>
      <c r="H502" t="s">
        <v>45</v>
      </c>
      <c r="I502" t="s">
        <v>60</v>
      </c>
      <c r="J502" t="s">
        <v>61</v>
      </c>
      <c r="K502" t="s">
        <v>39</v>
      </c>
      <c r="L502" t="s">
        <v>20</v>
      </c>
      <c r="M502" t="s">
        <v>49</v>
      </c>
      <c r="N502" t="s">
        <v>64</v>
      </c>
      <c r="O502" t="s">
        <v>1102</v>
      </c>
      <c r="P502" s="4">
        <v>475.37</v>
      </c>
      <c r="Q502" s="7" t="str">
        <f t="shared" si="60"/>
        <v>High</v>
      </c>
      <c r="R502" s="4">
        <v>963.73</v>
      </c>
      <c r="S502" s="4">
        <v>4.1000000000000002E-2</v>
      </c>
      <c r="T502" s="4">
        <v>22</v>
      </c>
      <c r="U502" s="4">
        <f t="shared" si="56"/>
        <v>2493.1506600000002</v>
      </c>
      <c r="V502">
        <f t="shared" si="57"/>
        <v>10458.14</v>
      </c>
      <c r="W502" s="4">
        <f t="shared" si="61"/>
        <v>-7964.9893399999992</v>
      </c>
      <c r="X502" s="4">
        <f t="shared" si="62"/>
        <v>-3.194748503485946</v>
      </c>
    </row>
    <row r="503" spans="1:24" x14ac:dyDescent="0.3">
      <c r="A503" t="s">
        <v>1103</v>
      </c>
      <c r="B503" s="6">
        <v>45408</v>
      </c>
      <c r="C503" s="2">
        <v>45406</v>
      </c>
      <c r="D503" s="4">
        <f>DATEDIF(C503,B503, "MD")</f>
        <v>2</v>
      </c>
      <c r="E503" s="46" t="str">
        <f t="shared" si="58"/>
        <v>Yes</v>
      </c>
      <c r="F503" s="4" t="str">
        <f>TEXT(Data!B503,"MMM-YYYY")</f>
        <v>Feb-2023</v>
      </c>
      <c r="G503" s="4" t="str">
        <f t="shared" si="59"/>
        <v>Q2-2024</v>
      </c>
      <c r="H503" t="s">
        <v>78</v>
      </c>
      <c r="I503" t="s">
        <v>108</v>
      </c>
      <c r="J503" t="s">
        <v>152</v>
      </c>
      <c r="K503" t="s">
        <v>39</v>
      </c>
      <c r="L503" t="s">
        <v>55</v>
      </c>
      <c r="M503" t="s">
        <v>126</v>
      </c>
      <c r="N503" t="s">
        <v>42</v>
      </c>
      <c r="O503" t="s">
        <v>1104</v>
      </c>
      <c r="P503" s="4">
        <v>1232.77</v>
      </c>
      <c r="Q503" s="7" t="str">
        <f t="shared" si="60"/>
        <v>High</v>
      </c>
      <c r="R503" s="4">
        <v>891.73</v>
      </c>
      <c r="S503" s="4">
        <v>0.16700000000000001</v>
      </c>
      <c r="T503" s="4">
        <v>10</v>
      </c>
      <c r="U503" s="4">
        <f t="shared" si="56"/>
        <v>11877.497099999999</v>
      </c>
      <c r="V503">
        <f t="shared" si="57"/>
        <v>12327.7</v>
      </c>
      <c r="W503" s="4">
        <f t="shared" si="61"/>
        <v>-450.20290000000205</v>
      </c>
      <c r="X503" s="4">
        <f t="shared" si="62"/>
        <v>-3.7903852655960836E-2</v>
      </c>
    </row>
    <row r="504" spans="1:24" x14ac:dyDescent="0.3">
      <c r="A504" t="s">
        <v>1105</v>
      </c>
      <c r="B504" s="6">
        <v>44980</v>
      </c>
      <c r="C504" s="2">
        <v>45003</v>
      </c>
      <c r="D504" s="4">
        <f t="shared" si="63"/>
        <v>23</v>
      </c>
      <c r="E504" s="46" t="b">
        <f t="shared" si="58"/>
        <v>0</v>
      </c>
      <c r="F504" s="4" t="str">
        <f>TEXT(Data!B504,"MMM-YYYY")</f>
        <v>Mar-2025</v>
      </c>
      <c r="G504" s="4" t="str">
        <f t="shared" si="59"/>
        <v>Q1-2023</v>
      </c>
      <c r="H504" t="s">
        <v>45</v>
      </c>
      <c r="I504" t="s">
        <v>116</v>
      </c>
      <c r="J504" t="s">
        <v>338</v>
      </c>
      <c r="K504" t="s">
        <v>27</v>
      </c>
      <c r="L504" t="s">
        <v>55</v>
      </c>
      <c r="M504" t="s">
        <v>95</v>
      </c>
      <c r="N504" t="s">
        <v>30</v>
      </c>
      <c r="O504" t="s">
        <v>1106</v>
      </c>
      <c r="P504" s="4">
        <v>770.11</v>
      </c>
      <c r="Q504" s="7" t="str">
        <f t="shared" si="60"/>
        <v>High</v>
      </c>
      <c r="R504" s="4">
        <v>1667.82</v>
      </c>
      <c r="S504" s="4">
        <v>6.9000000000000006E-2</v>
      </c>
      <c r="T504" s="4">
        <v>7</v>
      </c>
      <c r="U504" s="4">
        <f t="shared" si="56"/>
        <v>10393.181259999999</v>
      </c>
      <c r="V504">
        <f t="shared" si="57"/>
        <v>5390.77</v>
      </c>
      <c r="W504" s="4">
        <f t="shared" si="61"/>
        <v>5002.4112599999989</v>
      </c>
      <c r="X504" s="4">
        <f t="shared" si="62"/>
        <v>0.48131665703288229</v>
      </c>
    </row>
    <row r="505" spans="1:24" x14ac:dyDescent="0.3">
      <c r="A505" t="s">
        <v>1107</v>
      </c>
      <c r="B505" s="6">
        <v>45740</v>
      </c>
      <c r="C505" s="2">
        <v>45741</v>
      </c>
      <c r="D505" s="4">
        <f t="shared" si="63"/>
        <v>1</v>
      </c>
      <c r="E505" s="46" t="str">
        <f t="shared" si="58"/>
        <v>Yes</v>
      </c>
      <c r="F505" s="4" t="str">
        <f>TEXT(Data!B505,"MMM-YYYY")</f>
        <v>Mar-2025</v>
      </c>
      <c r="G505" s="4" t="str">
        <f t="shared" si="59"/>
        <v>Q1-2025</v>
      </c>
      <c r="H505" t="s">
        <v>45</v>
      </c>
      <c r="I505" t="s">
        <v>116</v>
      </c>
      <c r="J505" t="s">
        <v>338</v>
      </c>
      <c r="K505" t="s">
        <v>39</v>
      </c>
      <c r="L505" t="s">
        <v>28</v>
      </c>
      <c r="M505" t="s">
        <v>41</v>
      </c>
      <c r="N505" t="s">
        <v>35</v>
      </c>
      <c r="O505" t="s">
        <v>1108</v>
      </c>
      <c r="P505" s="4">
        <v>1133.03</v>
      </c>
      <c r="Q505" s="7" t="str">
        <f t="shared" si="60"/>
        <v>High</v>
      </c>
      <c r="R505" s="4">
        <v>1921.51</v>
      </c>
      <c r="S505" s="4">
        <v>0.10100000000000001</v>
      </c>
      <c r="T505" s="4">
        <v>5</v>
      </c>
      <c r="U505" s="4">
        <f t="shared" si="56"/>
        <v>15022.784449999999</v>
      </c>
      <c r="V505">
        <f t="shared" si="57"/>
        <v>5665.15</v>
      </c>
      <c r="W505" s="4">
        <f t="shared" si="61"/>
        <v>9357.6344499999996</v>
      </c>
      <c r="X505" s="4">
        <f t="shared" si="62"/>
        <v>0.62289614026912299</v>
      </c>
    </row>
    <row r="506" spans="1:24" x14ac:dyDescent="0.3">
      <c r="A506" t="s">
        <v>1109</v>
      </c>
      <c r="B506" s="6">
        <v>45726</v>
      </c>
      <c r="C506" s="2">
        <v>45743</v>
      </c>
      <c r="D506" s="4">
        <f t="shared" si="63"/>
        <v>17</v>
      </c>
      <c r="E506" s="46" t="b">
        <f t="shared" si="58"/>
        <v>0</v>
      </c>
      <c r="F506" s="4" t="str">
        <f>TEXT(Data!B506,"MMM-YYYY")</f>
        <v>Apr-2024</v>
      </c>
      <c r="G506" s="4" t="str">
        <f t="shared" si="59"/>
        <v>Q1-2025</v>
      </c>
      <c r="H506" t="s">
        <v>52</v>
      </c>
      <c r="I506" t="s">
        <v>73</v>
      </c>
      <c r="J506" t="s">
        <v>225</v>
      </c>
      <c r="K506" t="s">
        <v>105</v>
      </c>
      <c r="L506" t="s">
        <v>98</v>
      </c>
      <c r="M506" t="s">
        <v>84</v>
      </c>
      <c r="N506" t="s">
        <v>35</v>
      </c>
      <c r="O506" t="s">
        <v>1110</v>
      </c>
      <c r="P506" s="4">
        <v>996.73</v>
      </c>
      <c r="Q506" s="7" t="str">
        <f t="shared" si="60"/>
        <v>High</v>
      </c>
      <c r="R506" s="4">
        <v>1217.43</v>
      </c>
      <c r="S506" s="4">
        <v>7.0000000000000007E-2</v>
      </c>
      <c r="T506" s="4">
        <v>9</v>
      </c>
      <c r="U506" s="4">
        <f t="shared" si="56"/>
        <v>8953.9748999999993</v>
      </c>
      <c r="V506">
        <f t="shared" si="57"/>
        <v>8970.57</v>
      </c>
      <c r="W506" s="4">
        <f t="shared" si="61"/>
        <v>-16.595100000000457</v>
      </c>
      <c r="X506" s="4">
        <f t="shared" si="62"/>
        <v>-1.8533779897015859E-3</v>
      </c>
    </row>
    <row r="507" spans="1:24" x14ac:dyDescent="0.3">
      <c r="A507" t="s">
        <v>1111</v>
      </c>
      <c r="B507" s="6">
        <v>45387</v>
      </c>
      <c r="C507" s="2">
        <v>45391</v>
      </c>
      <c r="D507" s="4">
        <f t="shared" si="63"/>
        <v>4</v>
      </c>
      <c r="E507" s="46" t="str">
        <f t="shared" si="58"/>
        <v>Yes</v>
      </c>
      <c r="F507" s="4" t="str">
        <f>TEXT(Data!B507,"MMM-YYYY")</f>
        <v>Apr-2025</v>
      </c>
      <c r="G507" s="4" t="str">
        <f t="shared" si="59"/>
        <v>Q2-2024</v>
      </c>
      <c r="H507" t="s">
        <v>16</v>
      </c>
      <c r="I507" t="s">
        <v>25</v>
      </c>
      <c r="J507" t="s">
        <v>38</v>
      </c>
      <c r="K507" t="s">
        <v>39</v>
      </c>
      <c r="L507" t="s">
        <v>98</v>
      </c>
      <c r="M507" t="s">
        <v>95</v>
      </c>
      <c r="N507" t="s">
        <v>22</v>
      </c>
      <c r="O507" t="s">
        <v>1112</v>
      </c>
      <c r="P507" s="4">
        <v>395.07</v>
      </c>
      <c r="Q507" s="7" t="str">
        <f t="shared" si="60"/>
        <v>High</v>
      </c>
      <c r="R507" s="4">
        <v>970.27</v>
      </c>
      <c r="S507" s="4">
        <v>0.123</v>
      </c>
      <c r="T507" s="4">
        <v>38</v>
      </c>
      <c r="U507" s="4">
        <f t="shared" si="56"/>
        <v>4692.9673199999997</v>
      </c>
      <c r="V507">
        <f t="shared" si="57"/>
        <v>15012.66</v>
      </c>
      <c r="W507" s="4">
        <f t="shared" si="61"/>
        <v>-10319.69268</v>
      </c>
      <c r="X507" s="4">
        <f t="shared" si="62"/>
        <v>-2.1989696446469185</v>
      </c>
    </row>
    <row r="508" spans="1:24" x14ac:dyDescent="0.3">
      <c r="A508" t="s">
        <v>1113</v>
      </c>
      <c r="B508" s="6">
        <v>45774</v>
      </c>
      <c r="C508" s="2">
        <v>45794</v>
      </c>
      <c r="D508" s="4">
        <f t="shared" si="63"/>
        <v>20</v>
      </c>
      <c r="E508" s="46" t="b">
        <f t="shared" si="58"/>
        <v>0</v>
      </c>
      <c r="F508" s="4" t="str">
        <f>TEXT(Data!B508,"MMM-YYYY")</f>
        <v>Oct-2024</v>
      </c>
      <c r="G508" s="4" t="str">
        <f t="shared" si="59"/>
        <v>Q2-2025</v>
      </c>
      <c r="H508" t="s">
        <v>52</v>
      </c>
      <c r="I508" t="s">
        <v>122</v>
      </c>
      <c r="J508" t="s">
        <v>326</v>
      </c>
      <c r="K508" t="s">
        <v>19</v>
      </c>
      <c r="L508" t="s">
        <v>98</v>
      </c>
      <c r="M508" t="s">
        <v>126</v>
      </c>
      <c r="N508" t="s">
        <v>42</v>
      </c>
      <c r="O508" t="s">
        <v>1114</v>
      </c>
      <c r="P508" s="4">
        <v>932.26</v>
      </c>
      <c r="Q508" s="7" t="str">
        <f t="shared" si="60"/>
        <v>High</v>
      </c>
      <c r="R508" s="4">
        <v>1624.67</v>
      </c>
      <c r="S508" s="4">
        <v>0.23499999999999999</v>
      </c>
      <c r="T508" s="4">
        <v>28</v>
      </c>
      <c r="U508" s="4">
        <f t="shared" si="56"/>
        <v>1435.9968000000001</v>
      </c>
      <c r="V508">
        <f t="shared" si="57"/>
        <v>26103.279999999999</v>
      </c>
      <c r="W508" s="4">
        <f t="shared" si="61"/>
        <v>-24667.283199999998</v>
      </c>
      <c r="X508" s="4">
        <f t="shared" si="62"/>
        <v>-17.177812095402995</v>
      </c>
    </row>
    <row r="509" spans="1:24" x14ac:dyDescent="0.3">
      <c r="A509" t="s">
        <v>1115</v>
      </c>
      <c r="B509" s="6">
        <v>45589</v>
      </c>
      <c r="C509" s="2">
        <v>45593</v>
      </c>
      <c r="D509" s="4">
        <f t="shared" si="63"/>
        <v>4</v>
      </c>
      <c r="E509" s="46" t="str">
        <f t="shared" si="58"/>
        <v>Yes</v>
      </c>
      <c r="F509" s="4" t="str">
        <f>TEXT(Data!B509,"MMM-YYYY")</f>
        <v>Apr-2023</v>
      </c>
      <c r="G509" s="4" t="str">
        <f t="shared" si="59"/>
        <v>Q4-2024</v>
      </c>
      <c r="H509" t="s">
        <v>45</v>
      </c>
      <c r="I509" t="s">
        <v>116</v>
      </c>
      <c r="J509" t="s">
        <v>162</v>
      </c>
      <c r="K509" t="s">
        <v>62</v>
      </c>
      <c r="L509" t="s">
        <v>55</v>
      </c>
      <c r="M509" t="s">
        <v>34</v>
      </c>
      <c r="N509" t="s">
        <v>35</v>
      </c>
      <c r="O509" t="s">
        <v>1116</v>
      </c>
      <c r="P509" s="4">
        <v>1331.77</v>
      </c>
      <c r="Q509" s="7" t="str">
        <f t="shared" si="60"/>
        <v>High</v>
      </c>
      <c r="R509" s="4">
        <v>2606.11</v>
      </c>
      <c r="S509" s="4">
        <v>0.02</v>
      </c>
      <c r="T509" s="4">
        <v>6</v>
      </c>
      <c r="U509" s="4">
        <f t="shared" si="56"/>
        <v>7506.8196000000007</v>
      </c>
      <c r="V509">
        <f t="shared" si="57"/>
        <v>7990.62</v>
      </c>
      <c r="W509" s="4">
        <f t="shared" si="61"/>
        <v>-483.80039999999917</v>
      </c>
      <c r="X509" s="4">
        <f t="shared" si="62"/>
        <v>-6.444811861470591E-2</v>
      </c>
    </row>
    <row r="510" spans="1:24" x14ac:dyDescent="0.3">
      <c r="A510" t="s">
        <v>1117</v>
      </c>
      <c r="B510" s="6">
        <v>45029</v>
      </c>
      <c r="C510" s="2">
        <v>45036</v>
      </c>
      <c r="D510" s="4">
        <f t="shared" si="63"/>
        <v>7</v>
      </c>
      <c r="E510" s="46" t="str">
        <f t="shared" si="58"/>
        <v>Yes</v>
      </c>
      <c r="F510" s="4" t="str">
        <f>TEXT(Data!B510,"MMM-YYYY")</f>
        <v>Nov-2024</v>
      </c>
      <c r="G510" s="4" t="str">
        <f t="shared" si="59"/>
        <v>Q2-2023</v>
      </c>
      <c r="H510" t="s">
        <v>78</v>
      </c>
      <c r="I510" t="s">
        <v>90</v>
      </c>
      <c r="J510" t="s">
        <v>138</v>
      </c>
      <c r="K510" t="s">
        <v>62</v>
      </c>
      <c r="L510" t="s">
        <v>28</v>
      </c>
      <c r="M510" t="s">
        <v>75</v>
      </c>
      <c r="N510" t="s">
        <v>57</v>
      </c>
      <c r="O510" t="s">
        <v>1118</v>
      </c>
      <c r="P510" s="4">
        <v>227.02</v>
      </c>
      <c r="Q510" s="7" t="str">
        <f t="shared" si="60"/>
        <v>High</v>
      </c>
      <c r="R510" s="4">
        <v>434.72</v>
      </c>
      <c r="S510" s="4">
        <v>9.8000000000000004E-2</v>
      </c>
      <c r="T510" s="4">
        <v>10</v>
      </c>
      <c r="U510" s="4">
        <f t="shared" si="56"/>
        <v>25448.667200000004</v>
      </c>
      <c r="V510">
        <f t="shared" si="57"/>
        <v>2270.2000000000003</v>
      </c>
      <c r="W510" s="4">
        <f t="shared" si="61"/>
        <v>23178.467200000003</v>
      </c>
      <c r="X510" s="4">
        <f t="shared" si="62"/>
        <v>0.91079297072186161</v>
      </c>
    </row>
    <row r="511" spans="1:24" x14ac:dyDescent="0.3">
      <c r="A511" t="s">
        <v>1119</v>
      </c>
      <c r="B511" s="6">
        <v>45608</v>
      </c>
      <c r="C511" s="2">
        <v>45617</v>
      </c>
      <c r="D511" s="4">
        <f t="shared" si="63"/>
        <v>9</v>
      </c>
      <c r="E511" s="46" t="b">
        <f t="shared" si="58"/>
        <v>0</v>
      </c>
      <c r="F511" s="4" t="str">
        <f>TEXT(Data!B511,"MMM-YYYY")</f>
        <v>May-2023</v>
      </c>
      <c r="G511" s="4" t="str">
        <f t="shared" si="59"/>
        <v>Q4-2024</v>
      </c>
      <c r="H511" t="s">
        <v>45</v>
      </c>
      <c r="I511" t="s">
        <v>60</v>
      </c>
      <c r="J511" t="s">
        <v>220</v>
      </c>
      <c r="K511" t="s">
        <v>19</v>
      </c>
      <c r="L511" t="s">
        <v>98</v>
      </c>
      <c r="M511" t="s">
        <v>92</v>
      </c>
      <c r="N511" t="s">
        <v>57</v>
      </c>
      <c r="O511" t="s">
        <v>1120</v>
      </c>
      <c r="P511" s="4">
        <v>903.41</v>
      </c>
      <c r="Q511" s="7" t="str">
        <f t="shared" si="60"/>
        <v>High</v>
      </c>
      <c r="R511" s="4">
        <v>1860.41</v>
      </c>
      <c r="S511" s="4">
        <v>0.108</v>
      </c>
      <c r="T511" s="4">
        <v>5</v>
      </c>
      <c r="U511" s="4">
        <f t="shared" si="56"/>
        <v>6953.9874000000009</v>
      </c>
      <c r="V511">
        <f t="shared" si="57"/>
        <v>4517.05</v>
      </c>
      <c r="W511" s="4">
        <f t="shared" si="61"/>
        <v>2436.9374000000007</v>
      </c>
      <c r="X511" s="4">
        <f t="shared" si="62"/>
        <v>0.35043741954436103</v>
      </c>
    </row>
    <row r="512" spans="1:24" x14ac:dyDescent="0.3">
      <c r="A512" t="s">
        <v>1121</v>
      </c>
      <c r="B512" s="6">
        <v>45056</v>
      </c>
      <c r="C512" s="2">
        <v>45060</v>
      </c>
      <c r="D512" s="4">
        <f t="shared" si="63"/>
        <v>4</v>
      </c>
      <c r="E512" s="46" t="str">
        <f t="shared" si="58"/>
        <v>Yes</v>
      </c>
      <c r="F512" s="4" t="str">
        <f>TEXT(Data!B512,"MMM-YYYY")</f>
        <v>Mar-2024</v>
      </c>
      <c r="G512" s="4" t="str">
        <f t="shared" si="59"/>
        <v>Q2-2023</v>
      </c>
      <c r="H512" t="s">
        <v>45</v>
      </c>
      <c r="I512" t="s">
        <v>60</v>
      </c>
      <c r="J512" t="s">
        <v>141</v>
      </c>
      <c r="K512" t="s">
        <v>39</v>
      </c>
      <c r="L512" t="s">
        <v>55</v>
      </c>
      <c r="M512" t="s">
        <v>21</v>
      </c>
      <c r="N512" t="s">
        <v>64</v>
      </c>
      <c r="O512" t="s">
        <v>1122</v>
      </c>
      <c r="P512" s="4">
        <v>622.6</v>
      </c>
      <c r="Q512" s="7" t="str">
        <f t="shared" si="60"/>
        <v>High</v>
      </c>
      <c r="R512" s="4">
        <v>833.69</v>
      </c>
      <c r="S512" s="4">
        <v>0.20899999999999999</v>
      </c>
      <c r="T512" s="4">
        <v>14</v>
      </c>
      <c r="U512" s="4">
        <f t="shared" si="56"/>
        <v>7271.8528400000005</v>
      </c>
      <c r="V512">
        <f t="shared" si="57"/>
        <v>8716.4</v>
      </c>
      <c r="W512" s="4">
        <f t="shared" si="61"/>
        <v>-1444.5471599999992</v>
      </c>
      <c r="X512" s="4">
        <f t="shared" si="62"/>
        <v>-0.19864911897749557</v>
      </c>
    </row>
    <row r="513" spans="1:24" x14ac:dyDescent="0.3">
      <c r="A513" t="s">
        <v>1123</v>
      </c>
      <c r="B513" s="6">
        <v>45353</v>
      </c>
      <c r="C513" s="2">
        <v>45374</v>
      </c>
      <c r="D513" s="4">
        <f t="shared" si="63"/>
        <v>21</v>
      </c>
      <c r="E513" s="46" t="b">
        <f t="shared" si="58"/>
        <v>0</v>
      </c>
      <c r="F513" s="4" t="str">
        <f>TEXT(Data!B513,"MMM-YYYY")</f>
        <v>Oct-2024</v>
      </c>
      <c r="G513" s="4" t="str">
        <f t="shared" si="59"/>
        <v>Q1-2024</v>
      </c>
      <c r="H513" t="s">
        <v>52</v>
      </c>
      <c r="I513" t="s">
        <v>122</v>
      </c>
      <c r="J513" t="s">
        <v>123</v>
      </c>
      <c r="K513" t="s">
        <v>62</v>
      </c>
      <c r="L513" t="s">
        <v>28</v>
      </c>
      <c r="M513" t="s">
        <v>84</v>
      </c>
      <c r="N513" t="s">
        <v>22</v>
      </c>
      <c r="O513" t="s">
        <v>1124</v>
      </c>
      <c r="P513" s="4">
        <v>225.01</v>
      </c>
      <c r="Q513" s="7" t="str">
        <f t="shared" si="60"/>
        <v>High</v>
      </c>
      <c r="R513" s="4">
        <v>333.48</v>
      </c>
      <c r="S513" s="4">
        <v>0.11899999999999999</v>
      </c>
      <c r="T513" s="4">
        <v>12</v>
      </c>
      <c r="U513" s="4">
        <f t="shared" si="56"/>
        <v>28098.68448</v>
      </c>
      <c r="V513">
        <f t="shared" si="57"/>
        <v>2700.12</v>
      </c>
      <c r="W513" s="4">
        <f t="shared" si="61"/>
        <v>25398.564480000001</v>
      </c>
      <c r="X513" s="4">
        <f t="shared" si="62"/>
        <v>0.90390582157246957</v>
      </c>
    </row>
    <row r="514" spans="1:24" x14ac:dyDescent="0.3">
      <c r="A514" t="s">
        <v>1125</v>
      </c>
      <c r="B514" s="6">
        <v>45575</v>
      </c>
      <c r="C514" s="2">
        <v>45576</v>
      </c>
      <c r="D514" s="4">
        <f t="shared" si="63"/>
        <v>1</v>
      </c>
      <c r="E514" s="46" t="str">
        <f t="shared" si="58"/>
        <v>Yes</v>
      </c>
      <c r="F514" s="4" t="str">
        <f>TEXT(Data!B514,"MMM-YYYY")</f>
        <v>Jun-2023</v>
      </c>
      <c r="G514" s="4" t="str">
        <f t="shared" si="59"/>
        <v>Q4-2024</v>
      </c>
      <c r="H514" t="s">
        <v>78</v>
      </c>
      <c r="I514" t="s">
        <v>108</v>
      </c>
      <c r="J514" t="s">
        <v>228</v>
      </c>
      <c r="K514" t="s">
        <v>39</v>
      </c>
      <c r="L514" t="s">
        <v>55</v>
      </c>
      <c r="M514" t="s">
        <v>49</v>
      </c>
      <c r="N514" t="s">
        <v>22</v>
      </c>
      <c r="O514" t="s">
        <v>1126</v>
      </c>
      <c r="P514" s="4">
        <v>1389.46</v>
      </c>
      <c r="Q514" s="7" t="str">
        <f t="shared" si="60"/>
        <v>High</v>
      </c>
      <c r="R514" s="4">
        <v>1784.7</v>
      </c>
      <c r="S514" s="4">
        <v>0.14599999999999999</v>
      </c>
      <c r="T514" s="4">
        <v>33</v>
      </c>
      <c r="U514" s="4">
        <f t="shared" ref="U514:U577" si="64">(R540*T514)*(1-S514)</f>
        <v>40152.022679999995</v>
      </c>
      <c r="V514">
        <f t="shared" ref="V514:V577" si="65">(P514*T514)</f>
        <v>45852.18</v>
      </c>
      <c r="W514" s="4">
        <f t="shared" si="61"/>
        <v>-5700.1573200000057</v>
      </c>
      <c r="X514" s="4">
        <f t="shared" si="62"/>
        <v>-0.14196438783242904</v>
      </c>
    </row>
    <row r="515" spans="1:24" x14ac:dyDescent="0.3">
      <c r="A515" t="s">
        <v>1127</v>
      </c>
      <c r="B515" s="6">
        <v>45078</v>
      </c>
      <c r="C515" s="2">
        <v>45085</v>
      </c>
      <c r="D515" s="4">
        <f t="shared" si="63"/>
        <v>7</v>
      </c>
      <c r="E515" s="46" t="str">
        <f t="shared" ref="E515:E578" si="66">IF(D515&lt;=7, "Yes")</f>
        <v>Yes</v>
      </c>
      <c r="F515" s="4" t="str">
        <f>TEXT(Data!B515,"MMM-YYYY")</f>
        <v>Jan-2025</v>
      </c>
      <c r="G515" s="4" t="str">
        <f t="shared" ref="G515:G578" si="67">"Q"&amp;ROUNDUP(MONTH(B515)/3,0)&amp;"-"&amp;YEAR(B515)</f>
        <v>Q2-2023</v>
      </c>
      <c r="H515" t="s">
        <v>78</v>
      </c>
      <c r="I515" t="s">
        <v>79</v>
      </c>
      <c r="J515" t="s">
        <v>335</v>
      </c>
      <c r="K515" t="s">
        <v>48</v>
      </c>
      <c r="L515" t="s">
        <v>28</v>
      </c>
      <c r="M515" t="s">
        <v>75</v>
      </c>
      <c r="N515" t="s">
        <v>42</v>
      </c>
      <c r="O515" t="s">
        <v>1128</v>
      </c>
      <c r="P515" s="4">
        <v>804.17</v>
      </c>
      <c r="Q515" s="7" t="str">
        <f t="shared" ref="Q515:Q578" si="68">IF(R515&lt;50, "Low", IF(R515&lt;200, "Medium", "High"))</f>
        <v>High</v>
      </c>
      <c r="R515" s="4">
        <v>1072.29</v>
      </c>
      <c r="S515" s="4">
        <v>3.2000000000000001E-2</v>
      </c>
      <c r="T515" s="4">
        <v>5</v>
      </c>
      <c r="U515" s="4">
        <f t="shared" si="64"/>
        <v>11222.701599999999</v>
      </c>
      <c r="V515">
        <f t="shared" si="65"/>
        <v>4020.85</v>
      </c>
      <c r="W515" s="4">
        <f t="shared" ref="W515:W578" si="69">(U515-V515)</f>
        <v>7201.8515999999981</v>
      </c>
      <c r="X515" s="4">
        <f t="shared" ref="X515:X578" si="70">IF(U515=0, 0, W515/U515)</f>
        <v>0.64172174015568584</v>
      </c>
    </row>
    <row r="516" spans="1:24" x14ac:dyDescent="0.3">
      <c r="A516" t="s">
        <v>1129</v>
      </c>
      <c r="B516" s="6">
        <v>45661</v>
      </c>
      <c r="C516" s="2">
        <v>45662</v>
      </c>
      <c r="D516" s="4">
        <f t="shared" si="63"/>
        <v>1</v>
      </c>
      <c r="E516" s="46" t="str">
        <f t="shared" si="66"/>
        <v>Yes</v>
      </c>
      <c r="F516" s="4" t="str">
        <f>TEXT(Data!B516,"MMM-YYYY")</f>
        <v>Aug-2025</v>
      </c>
      <c r="G516" s="4" t="str">
        <f t="shared" si="67"/>
        <v>Q1-2025</v>
      </c>
      <c r="H516" t="s">
        <v>45</v>
      </c>
      <c r="I516" t="s">
        <v>60</v>
      </c>
      <c r="J516" t="s">
        <v>141</v>
      </c>
      <c r="K516" t="s">
        <v>27</v>
      </c>
      <c r="L516" t="s">
        <v>20</v>
      </c>
      <c r="M516" t="s">
        <v>34</v>
      </c>
      <c r="N516" t="s">
        <v>22</v>
      </c>
      <c r="O516" t="s">
        <v>1130</v>
      </c>
      <c r="P516" s="4">
        <v>1428.33</v>
      </c>
      <c r="Q516" s="7" t="str">
        <f t="shared" si="68"/>
        <v>High</v>
      </c>
      <c r="R516" s="4">
        <v>3028.05</v>
      </c>
      <c r="S516" s="4">
        <v>0</v>
      </c>
      <c r="T516" s="4">
        <v>11</v>
      </c>
      <c r="U516" s="4">
        <f t="shared" si="64"/>
        <v>4033.7</v>
      </c>
      <c r="V516">
        <f t="shared" si="65"/>
        <v>15711.63</v>
      </c>
      <c r="W516" s="4">
        <f t="shared" si="69"/>
        <v>-11677.93</v>
      </c>
      <c r="X516" s="4">
        <f t="shared" si="70"/>
        <v>-2.8950913553313335</v>
      </c>
    </row>
    <row r="517" spans="1:24" x14ac:dyDescent="0.3">
      <c r="A517" t="s">
        <v>1131</v>
      </c>
      <c r="B517" s="6">
        <v>45874</v>
      </c>
      <c r="C517" s="2">
        <v>45897</v>
      </c>
      <c r="D517" s="4">
        <f t="shared" ref="D517:D580" si="71">DATEDIF(B517,C517, "MD")</f>
        <v>23</v>
      </c>
      <c r="E517" s="46" t="b">
        <f t="shared" si="66"/>
        <v>0</v>
      </c>
      <c r="F517" s="4" t="str">
        <f>TEXT(Data!B517,"MMM-YYYY")</f>
        <v>Sep-2023</v>
      </c>
      <c r="G517" s="4" t="str">
        <f t="shared" si="67"/>
        <v>Q3-2025</v>
      </c>
      <c r="H517" t="s">
        <v>45</v>
      </c>
      <c r="I517" t="s">
        <v>60</v>
      </c>
      <c r="J517" t="s">
        <v>220</v>
      </c>
      <c r="K517" t="s">
        <v>39</v>
      </c>
      <c r="L517" t="s">
        <v>55</v>
      </c>
      <c r="M517" t="s">
        <v>126</v>
      </c>
      <c r="N517" t="s">
        <v>57</v>
      </c>
      <c r="O517" t="s">
        <v>1132</v>
      </c>
      <c r="P517" s="4">
        <v>638.54</v>
      </c>
      <c r="Q517" s="7" t="str">
        <f t="shared" si="68"/>
        <v>High</v>
      </c>
      <c r="R517" s="4">
        <v>987.24</v>
      </c>
      <c r="S517" s="4">
        <v>0</v>
      </c>
      <c r="T517" s="4">
        <v>11</v>
      </c>
      <c r="U517" s="4">
        <f t="shared" si="64"/>
        <v>30771.51</v>
      </c>
      <c r="V517">
        <f t="shared" si="65"/>
        <v>7023.94</v>
      </c>
      <c r="W517" s="4">
        <f t="shared" si="69"/>
        <v>23747.57</v>
      </c>
      <c r="X517" s="4">
        <f t="shared" si="70"/>
        <v>0.77173885844406076</v>
      </c>
    </row>
    <row r="518" spans="1:24" x14ac:dyDescent="0.3">
      <c r="A518" t="s">
        <v>1133</v>
      </c>
      <c r="B518" s="6">
        <v>45199</v>
      </c>
      <c r="C518" s="2">
        <v>45229</v>
      </c>
      <c r="D518" s="4">
        <f t="shared" si="71"/>
        <v>0</v>
      </c>
      <c r="E518" s="46" t="str">
        <f t="shared" si="66"/>
        <v>Yes</v>
      </c>
      <c r="F518" s="4" t="str">
        <f>TEXT(Data!B518,"MMM-YYYY")</f>
        <v>May-2025</v>
      </c>
      <c r="G518" s="4" t="str">
        <f t="shared" si="67"/>
        <v>Q3-2023</v>
      </c>
      <c r="H518" t="s">
        <v>45</v>
      </c>
      <c r="I518" t="s">
        <v>46</v>
      </c>
      <c r="J518" t="s">
        <v>214</v>
      </c>
      <c r="K518" t="s">
        <v>105</v>
      </c>
      <c r="L518" t="s">
        <v>28</v>
      </c>
      <c r="M518" t="s">
        <v>145</v>
      </c>
      <c r="N518" t="s">
        <v>30</v>
      </c>
      <c r="O518" t="s">
        <v>1134</v>
      </c>
      <c r="P518" s="4">
        <v>649.13</v>
      </c>
      <c r="Q518" s="7" t="str">
        <f t="shared" si="68"/>
        <v>High</v>
      </c>
      <c r="R518" s="4">
        <v>975.43</v>
      </c>
      <c r="S518" s="4">
        <v>0.157</v>
      </c>
      <c r="T518" s="4">
        <v>27</v>
      </c>
      <c r="U518" s="4">
        <f t="shared" si="64"/>
        <v>50294.07125999999</v>
      </c>
      <c r="V518">
        <f t="shared" si="65"/>
        <v>17526.509999999998</v>
      </c>
      <c r="W518" s="4">
        <f t="shared" si="69"/>
        <v>32767.561259999991</v>
      </c>
      <c r="X518" s="4">
        <f t="shared" si="70"/>
        <v>0.65151936280133227</v>
      </c>
    </row>
    <row r="519" spans="1:24" x14ac:dyDescent="0.3">
      <c r="A519" t="s">
        <v>1135</v>
      </c>
      <c r="B519" s="6">
        <v>45794</v>
      </c>
      <c r="C519" s="2">
        <v>45807</v>
      </c>
      <c r="D519" s="4">
        <f t="shared" si="71"/>
        <v>13</v>
      </c>
      <c r="E519" s="46" t="b">
        <f t="shared" si="66"/>
        <v>0</v>
      </c>
      <c r="F519" s="4" t="str">
        <f>TEXT(Data!B519,"MMM-YYYY")</f>
        <v>May-2024</v>
      </c>
      <c r="G519" s="4" t="str">
        <f t="shared" si="67"/>
        <v>Q2-2025</v>
      </c>
      <c r="H519" t="s">
        <v>16</v>
      </c>
      <c r="I519" t="s">
        <v>25</v>
      </c>
      <c r="J519" t="s">
        <v>38</v>
      </c>
      <c r="K519" t="s">
        <v>48</v>
      </c>
      <c r="L519" t="s">
        <v>55</v>
      </c>
      <c r="M519" t="s">
        <v>84</v>
      </c>
      <c r="N519" t="s">
        <v>81</v>
      </c>
      <c r="O519" t="s">
        <v>1136</v>
      </c>
      <c r="P519" s="4">
        <v>66.400000000000006</v>
      </c>
      <c r="Q519" s="7" t="str">
        <f t="shared" si="68"/>
        <v>Medium</v>
      </c>
      <c r="R519" s="4">
        <v>141.43</v>
      </c>
      <c r="S519" s="4">
        <v>0.107</v>
      </c>
      <c r="T519" s="4">
        <v>8</v>
      </c>
      <c r="U519" s="4">
        <f t="shared" si="64"/>
        <v>5994.1017599999996</v>
      </c>
      <c r="V519">
        <f t="shared" si="65"/>
        <v>531.20000000000005</v>
      </c>
      <c r="W519" s="4">
        <f t="shared" si="69"/>
        <v>5462.9017599999997</v>
      </c>
      <c r="X519" s="4">
        <f t="shared" si="70"/>
        <v>0.91137954921873066</v>
      </c>
    </row>
    <row r="520" spans="1:24" x14ac:dyDescent="0.3">
      <c r="A520" t="s">
        <v>1137</v>
      </c>
      <c r="B520" s="6">
        <v>45413</v>
      </c>
      <c r="C520" s="2">
        <v>45438</v>
      </c>
      <c r="D520" s="4">
        <f t="shared" si="71"/>
        <v>25</v>
      </c>
      <c r="E520" s="46" t="b">
        <f t="shared" si="66"/>
        <v>0</v>
      </c>
      <c r="F520" s="4" t="str">
        <f>TEXT(Data!B520,"MMM-YYYY")</f>
        <v>May-2023</v>
      </c>
      <c r="G520" s="4" t="str">
        <f t="shared" si="67"/>
        <v>Q2-2024</v>
      </c>
      <c r="H520" t="s">
        <v>78</v>
      </c>
      <c r="I520" t="s">
        <v>79</v>
      </c>
      <c r="J520" t="s">
        <v>80</v>
      </c>
      <c r="K520" t="s">
        <v>39</v>
      </c>
      <c r="L520" t="s">
        <v>20</v>
      </c>
      <c r="M520" t="s">
        <v>56</v>
      </c>
      <c r="N520" t="s">
        <v>35</v>
      </c>
      <c r="O520" t="s">
        <v>1138</v>
      </c>
      <c r="P520" s="4">
        <v>930.71</v>
      </c>
      <c r="Q520" s="7" t="str">
        <f t="shared" si="68"/>
        <v>High</v>
      </c>
      <c r="R520" s="4">
        <v>1625.42</v>
      </c>
      <c r="S520" s="4">
        <v>0.13800000000000001</v>
      </c>
      <c r="T520" s="4">
        <v>7</v>
      </c>
      <c r="U520" s="4">
        <f t="shared" si="64"/>
        <v>6873.6311000000005</v>
      </c>
      <c r="V520">
        <f t="shared" si="65"/>
        <v>6514.97</v>
      </c>
      <c r="W520" s="4">
        <f t="shared" si="69"/>
        <v>358.66110000000026</v>
      </c>
      <c r="X520" s="4">
        <f t="shared" si="70"/>
        <v>5.2179276830844216E-2</v>
      </c>
    </row>
    <row r="521" spans="1:24" x14ac:dyDescent="0.3">
      <c r="A521" t="s">
        <v>1139</v>
      </c>
      <c r="B521" s="6">
        <v>45047</v>
      </c>
      <c r="C521" s="2">
        <v>45064</v>
      </c>
      <c r="D521" s="4">
        <f t="shared" si="71"/>
        <v>17</v>
      </c>
      <c r="E521" s="46" t="b">
        <f t="shared" si="66"/>
        <v>0</v>
      </c>
      <c r="F521" s="4" t="str">
        <f>TEXT(Data!B521,"MMM-YYYY")</f>
        <v>Jul-2024</v>
      </c>
      <c r="G521" s="4" t="str">
        <f t="shared" si="67"/>
        <v>Q2-2023</v>
      </c>
      <c r="H521" t="s">
        <v>16</v>
      </c>
      <c r="I521" t="s">
        <v>25</v>
      </c>
      <c r="J521" t="s">
        <v>26</v>
      </c>
      <c r="K521" t="s">
        <v>19</v>
      </c>
      <c r="L521" t="s">
        <v>98</v>
      </c>
      <c r="M521" t="s">
        <v>84</v>
      </c>
      <c r="N521" t="s">
        <v>22</v>
      </c>
      <c r="O521" t="s">
        <v>1140</v>
      </c>
      <c r="P521" s="4">
        <v>327.97</v>
      </c>
      <c r="Q521" s="7" t="str">
        <f t="shared" si="68"/>
        <v>High</v>
      </c>
      <c r="R521" s="4">
        <v>299.94</v>
      </c>
      <c r="S521" s="4">
        <v>4.9000000000000002E-2</v>
      </c>
      <c r="T521" s="4">
        <v>3</v>
      </c>
      <c r="U521" s="4">
        <f t="shared" si="64"/>
        <v>4884.4215899999999</v>
      </c>
      <c r="V521">
        <f t="shared" si="65"/>
        <v>983.91000000000008</v>
      </c>
      <c r="W521" s="4">
        <f t="shared" si="69"/>
        <v>3900.5115900000001</v>
      </c>
      <c r="X521" s="4">
        <f t="shared" si="70"/>
        <v>0.79856161433435968</v>
      </c>
    </row>
    <row r="522" spans="1:24" x14ac:dyDescent="0.3">
      <c r="A522" t="s">
        <v>1141</v>
      </c>
      <c r="B522" s="6">
        <v>45482</v>
      </c>
      <c r="C522" s="2">
        <v>45512</v>
      </c>
      <c r="D522" s="4">
        <f t="shared" si="71"/>
        <v>30</v>
      </c>
      <c r="E522" s="46" t="b">
        <f t="shared" si="66"/>
        <v>0</v>
      </c>
      <c r="F522" s="4" t="str">
        <f>TEXT(Data!B522,"MMM-YYYY")</f>
        <v>May-2023</v>
      </c>
      <c r="G522" s="4" t="str">
        <f t="shared" si="67"/>
        <v>Q3-2024</v>
      </c>
      <c r="H522" t="s">
        <v>78</v>
      </c>
      <c r="I522" t="s">
        <v>90</v>
      </c>
      <c r="J522" t="s">
        <v>91</v>
      </c>
      <c r="K522" t="s">
        <v>19</v>
      </c>
      <c r="L522" t="s">
        <v>98</v>
      </c>
      <c r="M522" t="s">
        <v>29</v>
      </c>
      <c r="N522" t="s">
        <v>22</v>
      </c>
      <c r="O522" t="s">
        <v>1142</v>
      </c>
      <c r="P522" s="4">
        <v>1062.3800000000001</v>
      </c>
      <c r="Q522" s="7" t="str">
        <f t="shared" si="68"/>
        <v>High</v>
      </c>
      <c r="R522" s="4">
        <v>1503.96</v>
      </c>
      <c r="S522" s="4">
        <v>0.18</v>
      </c>
      <c r="T522" s="4">
        <v>6</v>
      </c>
      <c r="U522" s="4">
        <f t="shared" si="64"/>
        <v>5187.1068000000005</v>
      </c>
      <c r="V522">
        <f t="shared" si="65"/>
        <v>6374.2800000000007</v>
      </c>
      <c r="W522" s="4">
        <f t="shared" si="69"/>
        <v>-1187.1732000000002</v>
      </c>
      <c r="X522" s="4">
        <f t="shared" si="70"/>
        <v>-0.22887001285572142</v>
      </c>
    </row>
    <row r="523" spans="1:24" x14ac:dyDescent="0.3">
      <c r="A523" t="s">
        <v>1143</v>
      </c>
      <c r="B523" s="6">
        <v>45056</v>
      </c>
      <c r="C523" s="2">
        <v>45073</v>
      </c>
      <c r="D523" s="4">
        <f t="shared" si="71"/>
        <v>17</v>
      </c>
      <c r="E523" s="46" t="b">
        <f t="shared" si="66"/>
        <v>0</v>
      </c>
      <c r="F523" s="4" t="str">
        <f>TEXT(Data!B523,"MMM-YYYY")</f>
        <v>Jul-2024</v>
      </c>
      <c r="G523" s="4" t="str">
        <f t="shared" si="67"/>
        <v>Q2-2023</v>
      </c>
      <c r="H523" t="s">
        <v>45</v>
      </c>
      <c r="I523" t="s">
        <v>60</v>
      </c>
      <c r="J523" t="s">
        <v>220</v>
      </c>
      <c r="K523" t="s">
        <v>48</v>
      </c>
      <c r="L523" t="s">
        <v>20</v>
      </c>
      <c r="M523" t="s">
        <v>110</v>
      </c>
      <c r="N523" t="s">
        <v>57</v>
      </c>
      <c r="O523" t="s">
        <v>1144</v>
      </c>
      <c r="P523" s="4">
        <v>1286.1600000000001</v>
      </c>
      <c r="Q523" s="7" t="str">
        <f t="shared" si="68"/>
        <v>High</v>
      </c>
      <c r="R523" s="4">
        <v>3101.11</v>
      </c>
      <c r="S523" s="4">
        <v>0.1</v>
      </c>
      <c r="T523" s="4">
        <v>23</v>
      </c>
      <c r="U523" s="4">
        <f t="shared" si="64"/>
        <v>50740.254000000001</v>
      </c>
      <c r="V523">
        <f t="shared" si="65"/>
        <v>29581.68</v>
      </c>
      <c r="W523" s="4">
        <f t="shared" si="69"/>
        <v>21158.574000000001</v>
      </c>
      <c r="X523" s="4">
        <f t="shared" si="70"/>
        <v>0.41699779429562966</v>
      </c>
    </row>
    <row r="524" spans="1:24" x14ac:dyDescent="0.3">
      <c r="A524" t="s">
        <v>1145</v>
      </c>
      <c r="B524" s="6">
        <v>45482</v>
      </c>
      <c r="C524" s="2">
        <v>45485</v>
      </c>
      <c r="D524" s="4">
        <f t="shared" si="71"/>
        <v>3</v>
      </c>
      <c r="E524" s="46" t="str">
        <f t="shared" si="66"/>
        <v>Yes</v>
      </c>
      <c r="F524" s="4" t="str">
        <f>TEXT(Data!B524,"MMM-YYYY")</f>
        <v>Apr-2024</v>
      </c>
      <c r="G524" s="4" t="str">
        <f t="shared" si="67"/>
        <v>Q3-2024</v>
      </c>
      <c r="H524" t="s">
        <v>45</v>
      </c>
      <c r="I524" t="s">
        <v>116</v>
      </c>
      <c r="J524" t="s">
        <v>162</v>
      </c>
      <c r="K524" t="s">
        <v>62</v>
      </c>
      <c r="L524" t="s">
        <v>20</v>
      </c>
      <c r="M524" t="s">
        <v>145</v>
      </c>
      <c r="N524" t="s">
        <v>81</v>
      </c>
      <c r="O524" t="s">
        <v>1146</v>
      </c>
      <c r="P524" s="4">
        <v>748.39</v>
      </c>
      <c r="Q524" s="7" t="str">
        <f t="shared" si="68"/>
        <v>High</v>
      </c>
      <c r="R524" s="4">
        <v>979.42</v>
      </c>
      <c r="S524" s="4">
        <v>0</v>
      </c>
      <c r="T524" s="4">
        <v>23</v>
      </c>
      <c r="U524" s="4">
        <f t="shared" si="64"/>
        <v>28777.83</v>
      </c>
      <c r="V524">
        <f t="shared" si="65"/>
        <v>17212.97</v>
      </c>
      <c r="W524" s="4">
        <f t="shared" si="69"/>
        <v>11564.86</v>
      </c>
      <c r="X524" s="4">
        <f t="shared" si="70"/>
        <v>0.401866992751017</v>
      </c>
    </row>
    <row r="525" spans="1:24" x14ac:dyDescent="0.3">
      <c r="A525" t="s">
        <v>1147</v>
      </c>
      <c r="B525" s="6">
        <v>45406</v>
      </c>
      <c r="C525" s="2">
        <v>45422</v>
      </c>
      <c r="D525" s="4">
        <f t="shared" si="71"/>
        <v>16</v>
      </c>
      <c r="E525" s="46" t="b">
        <f t="shared" si="66"/>
        <v>0</v>
      </c>
      <c r="F525" s="4" t="str">
        <f>TEXT(Data!B525,"MMM-YYYY")</f>
        <v>Jan-2024</v>
      </c>
      <c r="G525" s="4" t="str">
        <f t="shared" si="67"/>
        <v>Q2-2024</v>
      </c>
      <c r="H525" t="s">
        <v>16</v>
      </c>
      <c r="I525" t="s">
        <v>17</v>
      </c>
      <c r="J525" t="s">
        <v>18</v>
      </c>
      <c r="K525" t="s">
        <v>39</v>
      </c>
      <c r="L525" t="s">
        <v>28</v>
      </c>
      <c r="M525" t="s">
        <v>126</v>
      </c>
      <c r="N525" t="s">
        <v>64</v>
      </c>
      <c r="O525" t="s">
        <v>1148</v>
      </c>
      <c r="P525" s="4">
        <v>513.30999999999995</v>
      </c>
      <c r="Q525" s="7" t="str">
        <f t="shared" si="68"/>
        <v>High</v>
      </c>
      <c r="R525" s="4">
        <v>1186.26</v>
      </c>
      <c r="S525" s="4">
        <v>9.4E-2</v>
      </c>
      <c r="T525" s="4">
        <v>15</v>
      </c>
      <c r="U525" s="4">
        <f t="shared" si="64"/>
        <v>15014.232</v>
      </c>
      <c r="V525">
        <f t="shared" si="65"/>
        <v>7699.65</v>
      </c>
      <c r="W525" s="4">
        <f t="shared" si="69"/>
        <v>7314.5820000000003</v>
      </c>
      <c r="X525" s="4">
        <f t="shared" si="70"/>
        <v>0.48717656687335059</v>
      </c>
    </row>
    <row r="526" spans="1:24" x14ac:dyDescent="0.3">
      <c r="A526" t="s">
        <v>1149</v>
      </c>
      <c r="B526" s="6">
        <v>45304</v>
      </c>
      <c r="C526" s="2">
        <v>45306</v>
      </c>
      <c r="D526" s="4">
        <f t="shared" si="71"/>
        <v>2</v>
      </c>
      <c r="E526" s="46" t="str">
        <f t="shared" si="66"/>
        <v>Yes</v>
      </c>
      <c r="F526" s="4" t="str">
        <f>TEXT(Data!B526,"MMM-YYYY")</f>
        <v>Apr-2024</v>
      </c>
      <c r="G526" s="4" t="str">
        <f t="shared" si="67"/>
        <v>Q1-2024</v>
      </c>
      <c r="H526" t="s">
        <v>52</v>
      </c>
      <c r="I526" t="s">
        <v>122</v>
      </c>
      <c r="J526" t="s">
        <v>167</v>
      </c>
      <c r="K526" t="s">
        <v>39</v>
      </c>
      <c r="L526" t="s">
        <v>98</v>
      </c>
      <c r="M526" t="s">
        <v>63</v>
      </c>
      <c r="N526" t="s">
        <v>22</v>
      </c>
      <c r="O526" t="s">
        <v>1150</v>
      </c>
      <c r="P526" s="4">
        <v>1061.3699999999999</v>
      </c>
      <c r="Q526" s="7" t="str">
        <f t="shared" si="68"/>
        <v>High</v>
      </c>
      <c r="R526" s="4">
        <v>1938.33</v>
      </c>
      <c r="S526" s="4">
        <v>0.17</v>
      </c>
      <c r="T526" s="4">
        <v>4</v>
      </c>
      <c r="U526" s="4">
        <f t="shared" si="64"/>
        <v>7912.9211999999989</v>
      </c>
      <c r="V526">
        <f t="shared" si="65"/>
        <v>4245.4799999999996</v>
      </c>
      <c r="W526" s="4">
        <f t="shared" si="69"/>
        <v>3667.4411999999993</v>
      </c>
      <c r="X526" s="4">
        <f t="shared" si="70"/>
        <v>0.46347500591816837</v>
      </c>
    </row>
    <row r="527" spans="1:24" x14ac:dyDescent="0.3">
      <c r="A527" t="s">
        <v>1151</v>
      </c>
      <c r="B527" s="6">
        <v>45398</v>
      </c>
      <c r="C527" s="2">
        <v>45409</v>
      </c>
      <c r="D527" s="4">
        <f t="shared" si="71"/>
        <v>11</v>
      </c>
      <c r="E527" s="46" t="b">
        <f t="shared" si="66"/>
        <v>0</v>
      </c>
      <c r="F527" s="4" t="str">
        <f>TEXT(Data!B527,"MMM-YYYY")</f>
        <v>Feb-2025</v>
      </c>
      <c r="G527" s="4" t="str">
        <f t="shared" si="67"/>
        <v>Q2-2024</v>
      </c>
      <c r="H527" t="s">
        <v>16</v>
      </c>
      <c r="I527" t="s">
        <v>17</v>
      </c>
      <c r="J527" t="s">
        <v>135</v>
      </c>
      <c r="K527" t="s">
        <v>105</v>
      </c>
      <c r="L527" t="s">
        <v>28</v>
      </c>
      <c r="M527" t="s">
        <v>145</v>
      </c>
      <c r="N527" t="s">
        <v>30</v>
      </c>
      <c r="O527" t="s">
        <v>1152</v>
      </c>
      <c r="P527" s="4">
        <v>401.3</v>
      </c>
      <c r="Q527" s="7" t="str">
        <f t="shared" si="68"/>
        <v>High</v>
      </c>
      <c r="R527" s="4">
        <v>826.47</v>
      </c>
      <c r="S527" s="4">
        <v>0.22500000000000001</v>
      </c>
      <c r="T527" s="4">
        <v>13</v>
      </c>
      <c r="U527" s="4">
        <f t="shared" si="64"/>
        <v>2146.5795000000003</v>
      </c>
      <c r="V527">
        <f t="shared" si="65"/>
        <v>5216.9000000000005</v>
      </c>
      <c r="W527" s="4">
        <f t="shared" si="69"/>
        <v>-3070.3205000000003</v>
      </c>
      <c r="X527" s="4">
        <f t="shared" si="70"/>
        <v>-1.4303316043034977</v>
      </c>
    </row>
    <row r="528" spans="1:24" x14ac:dyDescent="0.3">
      <c r="A528" t="s">
        <v>1153</v>
      </c>
      <c r="B528" s="6">
        <v>45695</v>
      </c>
      <c r="C528" s="2">
        <v>45704</v>
      </c>
      <c r="D528" s="4">
        <f t="shared" si="71"/>
        <v>9</v>
      </c>
      <c r="E528" s="46" t="b">
        <f t="shared" si="66"/>
        <v>0</v>
      </c>
      <c r="F528" s="4" t="str">
        <f>TEXT(Data!B528,"MMM-YYYY")</f>
        <v>Jan-2023</v>
      </c>
      <c r="G528" s="4" t="str">
        <f t="shared" si="67"/>
        <v>Q1-2025</v>
      </c>
      <c r="H528" t="s">
        <v>16</v>
      </c>
      <c r="I528" t="s">
        <v>25</v>
      </c>
      <c r="J528" t="s">
        <v>38</v>
      </c>
      <c r="K528" t="s">
        <v>62</v>
      </c>
      <c r="L528" t="s">
        <v>55</v>
      </c>
      <c r="M528" t="s">
        <v>21</v>
      </c>
      <c r="N528" t="s">
        <v>30</v>
      </c>
      <c r="O528" t="s">
        <v>1154</v>
      </c>
      <c r="P528" s="4">
        <v>90.68</v>
      </c>
      <c r="Q528" s="7" t="str">
        <f t="shared" si="68"/>
        <v>Medium</v>
      </c>
      <c r="R528" s="4">
        <v>118.17</v>
      </c>
      <c r="S528" s="4">
        <v>0.13500000000000001</v>
      </c>
      <c r="T528" s="4">
        <v>21</v>
      </c>
      <c r="U528" s="4">
        <f t="shared" si="64"/>
        <v>36886.575600000004</v>
      </c>
      <c r="V528">
        <f t="shared" si="65"/>
        <v>1904.2800000000002</v>
      </c>
      <c r="W528" s="4">
        <f t="shared" si="69"/>
        <v>34982.295600000005</v>
      </c>
      <c r="X528" s="4">
        <f t="shared" si="70"/>
        <v>0.94837471440422894</v>
      </c>
    </row>
    <row r="529" spans="1:24" x14ac:dyDescent="0.3">
      <c r="A529" t="s">
        <v>1155</v>
      </c>
      <c r="B529" s="6">
        <v>44938</v>
      </c>
      <c r="C529" s="2">
        <v>44952</v>
      </c>
      <c r="D529" s="4">
        <f t="shared" si="71"/>
        <v>14</v>
      </c>
      <c r="E529" s="46" t="b">
        <f t="shared" si="66"/>
        <v>0</v>
      </c>
      <c r="F529" s="4" t="str">
        <f>TEXT(Data!B529,"MMM-YYYY")</f>
        <v>Jun-2024</v>
      </c>
      <c r="G529" s="4" t="str">
        <f t="shared" si="67"/>
        <v>Q1-2023</v>
      </c>
      <c r="H529" t="s">
        <v>45</v>
      </c>
      <c r="I529" t="s">
        <v>116</v>
      </c>
      <c r="J529" t="s">
        <v>117</v>
      </c>
      <c r="K529" t="s">
        <v>39</v>
      </c>
      <c r="L529" t="s">
        <v>20</v>
      </c>
      <c r="M529" t="s">
        <v>110</v>
      </c>
      <c r="N529" t="s">
        <v>30</v>
      </c>
      <c r="O529" t="s">
        <v>1156</v>
      </c>
      <c r="P529" s="4">
        <v>1083.0899999999999</v>
      </c>
      <c r="Q529" s="7" t="str">
        <f t="shared" si="68"/>
        <v>High</v>
      </c>
      <c r="R529" s="4">
        <v>1425.87</v>
      </c>
      <c r="S529" s="4">
        <v>0</v>
      </c>
      <c r="T529" s="4">
        <v>8</v>
      </c>
      <c r="U529" s="4">
        <f t="shared" si="64"/>
        <v>7653.6</v>
      </c>
      <c r="V529">
        <f t="shared" si="65"/>
        <v>8664.7199999999993</v>
      </c>
      <c r="W529" s="4">
        <f t="shared" si="69"/>
        <v>-1011.119999999999</v>
      </c>
      <c r="X529" s="4">
        <f t="shared" si="70"/>
        <v>-0.13211037942928805</v>
      </c>
    </row>
    <row r="530" spans="1:24" x14ac:dyDescent="0.3">
      <c r="A530" t="s">
        <v>1157</v>
      </c>
      <c r="B530" s="6">
        <v>45448</v>
      </c>
      <c r="C530" s="2">
        <v>45466</v>
      </c>
      <c r="D530" s="4">
        <f t="shared" si="71"/>
        <v>18</v>
      </c>
      <c r="E530" s="46" t="b">
        <f t="shared" si="66"/>
        <v>0</v>
      </c>
      <c r="F530" s="4" t="str">
        <f>TEXT(Data!B530,"MMM-YYYY")</f>
        <v>Aug-2023</v>
      </c>
      <c r="G530" s="4" t="str">
        <f t="shared" si="67"/>
        <v>Q2-2024</v>
      </c>
      <c r="H530" t="s">
        <v>16</v>
      </c>
      <c r="I530" t="s">
        <v>17</v>
      </c>
      <c r="J530" t="s">
        <v>33</v>
      </c>
      <c r="K530" t="s">
        <v>48</v>
      </c>
      <c r="L530" t="s">
        <v>55</v>
      </c>
      <c r="M530" t="s">
        <v>145</v>
      </c>
      <c r="N530" t="s">
        <v>57</v>
      </c>
      <c r="O530" t="s">
        <v>1158</v>
      </c>
      <c r="P530" s="4">
        <v>1208.74</v>
      </c>
      <c r="Q530" s="7" t="str">
        <f t="shared" si="68"/>
        <v>High</v>
      </c>
      <c r="R530" s="4">
        <v>1594.78</v>
      </c>
      <c r="S530" s="4">
        <v>5.8999999999999997E-2</v>
      </c>
      <c r="T530" s="4">
        <v>39</v>
      </c>
      <c r="U530" s="4">
        <f t="shared" si="64"/>
        <v>53128.40832000001</v>
      </c>
      <c r="V530">
        <f t="shared" si="65"/>
        <v>47140.86</v>
      </c>
      <c r="W530" s="4">
        <f t="shared" si="69"/>
        <v>5987.548320000009</v>
      </c>
      <c r="X530" s="4">
        <f t="shared" si="70"/>
        <v>0.11269956148387032</v>
      </c>
    </row>
    <row r="531" spans="1:24" x14ac:dyDescent="0.3">
      <c r="A531" t="s">
        <v>1159</v>
      </c>
      <c r="B531" s="6">
        <v>45162</v>
      </c>
      <c r="C531" s="2">
        <v>45189</v>
      </c>
      <c r="D531" s="4">
        <f t="shared" si="71"/>
        <v>27</v>
      </c>
      <c r="E531" s="46" t="b">
        <f t="shared" si="66"/>
        <v>0</v>
      </c>
      <c r="F531" s="4" t="str">
        <f>TEXT(Data!B531,"MMM-YYYY")</f>
        <v>Jan-2024</v>
      </c>
      <c r="G531" s="4" t="str">
        <f t="shared" si="67"/>
        <v>Q3-2023</v>
      </c>
      <c r="H531" t="s">
        <v>16</v>
      </c>
      <c r="I531" t="s">
        <v>148</v>
      </c>
      <c r="J531" t="s">
        <v>172</v>
      </c>
      <c r="K531" t="s">
        <v>62</v>
      </c>
      <c r="L531" t="s">
        <v>40</v>
      </c>
      <c r="M531" t="s">
        <v>110</v>
      </c>
      <c r="N531" t="s">
        <v>30</v>
      </c>
      <c r="O531" t="s">
        <v>1160</v>
      </c>
      <c r="P531" s="4">
        <v>1399.64</v>
      </c>
      <c r="Q531" s="7" t="str">
        <f t="shared" si="68"/>
        <v>High</v>
      </c>
      <c r="R531" s="4">
        <v>3342.11</v>
      </c>
      <c r="S531" s="4">
        <v>0</v>
      </c>
      <c r="T531" s="4">
        <v>10</v>
      </c>
      <c r="U531" s="4">
        <f t="shared" si="64"/>
        <v>29496.199999999997</v>
      </c>
      <c r="V531">
        <f t="shared" si="65"/>
        <v>13996.400000000001</v>
      </c>
      <c r="W531" s="4">
        <f t="shared" si="69"/>
        <v>15499.799999999996</v>
      </c>
      <c r="X531" s="4">
        <f t="shared" si="70"/>
        <v>0.52548463869922213</v>
      </c>
    </row>
    <row r="532" spans="1:24" x14ac:dyDescent="0.3">
      <c r="A532" t="s">
        <v>1161</v>
      </c>
      <c r="B532" s="6">
        <v>45316</v>
      </c>
      <c r="C532" s="2">
        <v>45330</v>
      </c>
      <c r="D532" s="4">
        <f t="shared" si="71"/>
        <v>14</v>
      </c>
      <c r="E532" s="46" t="b">
        <f t="shared" si="66"/>
        <v>0</v>
      </c>
      <c r="F532" s="4" t="str">
        <f>TEXT(Data!B532,"MMM-YYYY")</f>
        <v>Mar-2025</v>
      </c>
      <c r="G532" s="4" t="str">
        <f t="shared" si="67"/>
        <v>Q1-2024</v>
      </c>
      <c r="H532" t="s">
        <v>45</v>
      </c>
      <c r="I532" t="s">
        <v>46</v>
      </c>
      <c r="J532" t="s">
        <v>47</v>
      </c>
      <c r="K532" t="s">
        <v>48</v>
      </c>
      <c r="L532" t="s">
        <v>40</v>
      </c>
      <c r="M532" t="s">
        <v>34</v>
      </c>
      <c r="N532" t="s">
        <v>35</v>
      </c>
      <c r="O532" t="s">
        <v>1162</v>
      </c>
      <c r="P532" s="4">
        <v>937.16</v>
      </c>
      <c r="Q532" s="7" t="str">
        <f t="shared" si="68"/>
        <v>High</v>
      </c>
      <c r="R532" s="4">
        <v>1069.77</v>
      </c>
      <c r="S532" s="4">
        <v>3.7999999999999999E-2</v>
      </c>
      <c r="T532" s="4">
        <v>9</v>
      </c>
      <c r="U532" s="4">
        <f t="shared" si="64"/>
        <v>22342.575059999999</v>
      </c>
      <c r="V532">
        <f t="shared" si="65"/>
        <v>8434.44</v>
      </c>
      <c r="W532" s="4">
        <f t="shared" si="69"/>
        <v>13908.135059999999</v>
      </c>
      <c r="X532" s="4">
        <f t="shared" si="70"/>
        <v>0.62249472241450754</v>
      </c>
    </row>
    <row r="533" spans="1:24" x14ac:dyDescent="0.3">
      <c r="A533" t="s">
        <v>1163</v>
      </c>
      <c r="B533" s="6">
        <v>45727</v>
      </c>
      <c r="C533" s="2">
        <v>45742</v>
      </c>
      <c r="D533" s="4">
        <f t="shared" si="71"/>
        <v>15</v>
      </c>
      <c r="E533" s="46" t="b">
        <f t="shared" si="66"/>
        <v>0</v>
      </c>
      <c r="F533" s="4" t="str">
        <f>TEXT(Data!B533,"MMM-YYYY")</f>
        <v>Apr-2025</v>
      </c>
      <c r="G533" s="4" t="str">
        <f t="shared" si="67"/>
        <v>Q1-2025</v>
      </c>
      <c r="H533" t="s">
        <v>78</v>
      </c>
      <c r="I533" t="s">
        <v>79</v>
      </c>
      <c r="J533" t="s">
        <v>80</v>
      </c>
      <c r="K533" t="s">
        <v>62</v>
      </c>
      <c r="L533" t="s">
        <v>28</v>
      </c>
      <c r="M533" t="s">
        <v>34</v>
      </c>
      <c r="N533" t="s">
        <v>42</v>
      </c>
      <c r="O533" t="s">
        <v>1164</v>
      </c>
      <c r="P533" s="4">
        <v>116.97</v>
      </c>
      <c r="Q533" s="7" t="str">
        <f t="shared" si="68"/>
        <v>Medium</v>
      </c>
      <c r="R533" s="4">
        <v>140.82</v>
      </c>
      <c r="S533" s="4">
        <v>0.122</v>
      </c>
      <c r="T533" s="4">
        <v>5</v>
      </c>
      <c r="U533" s="4">
        <f t="shared" si="64"/>
        <v>8687.4149000000016</v>
      </c>
      <c r="V533">
        <f t="shared" si="65"/>
        <v>584.85</v>
      </c>
      <c r="W533" s="4">
        <f t="shared" si="69"/>
        <v>8102.5649000000012</v>
      </c>
      <c r="X533" s="4">
        <f t="shared" si="70"/>
        <v>0.93267847723032082</v>
      </c>
    </row>
    <row r="534" spans="1:24" x14ac:dyDescent="0.3">
      <c r="A534" t="s">
        <v>1165</v>
      </c>
      <c r="B534" s="6">
        <v>45769</v>
      </c>
      <c r="C534" s="2">
        <v>45789</v>
      </c>
      <c r="D534" s="4">
        <f t="shared" si="71"/>
        <v>20</v>
      </c>
      <c r="E534" s="46" t="b">
        <f t="shared" si="66"/>
        <v>0</v>
      </c>
      <c r="F534" s="4" t="str">
        <f>TEXT(Data!B534,"MMM-YYYY")</f>
        <v>Aug-2023</v>
      </c>
      <c r="G534" s="4" t="str">
        <f t="shared" si="67"/>
        <v>Q2-2025</v>
      </c>
      <c r="H534" t="s">
        <v>78</v>
      </c>
      <c r="I534" t="s">
        <v>90</v>
      </c>
      <c r="J534" t="s">
        <v>138</v>
      </c>
      <c r="K534" t="s">
        <v>105</v>
      </c>
      <c r="L534" t="s">
        <v>40</v>
      </c>
      <c r="M534" t="s">
        <v>95</v>
      </c>
      <c r="N534" t="s">
        <v>64</v>
      </c>
      <c r="O534" t="s">
        <v>1166</v>
      </c>
      <c r="P534" s="4">
        <v>59.51</v>
      </c>
      <c r="Q534" s="7" t="str">
        <f t="shared" si="68"/>
        <v>Medium</v>
      </c>
      <c r="R534" s="4">
        <v>67.040000000000006</v>
      </c>
      <c r="S534" s="4">
        <v>0.114</v>
      </c>
      <c r="T534" s="4">
        <v>9</v>
      </c>
      <c r="U534" s="4">
        <f t="shared" si="64"/>
        <v>11813.082300000002</v>
      </c>
      <c r="V534">
        <f t="shared" si="65"/>
        <v>535.59</v>
      </c>
      <c r="W534" s="4">
        <f t="shared" si="69"/>
        <v>11277.492300000002</v>
      </c>
      <c r="X534" s="4">
        <f t="shared" si="70"/>
        <v>0.95466128260191674</v>
      </c>
    </row>
    <row r="535" spans="1:24" x14ac:dyDescent="0.3">
      <c r="A535" t="s">
        <v>1167</v>
      </c>
      <c r="B535" s="6">
        <v>45155</v>
      </c>
      <c r="C535" s="2">
        <v>45172</v>
      </c>
      <c r="D535" s="4">
        <f t="shared" si="71"/>
        <v>17</v>
      </c>
      <c r="E535" s="46" t="b">
        <f t="shared" si="66"/>
        <v>0</v>
      </c>
      <c r="F535" s="4" t="str">
        <f>TEXT(Data!B535,"MMM-YYYY")</f>
        <v>Jun-2025</v>
      </c>
      <c r="G535" s="4" t="str">
        <f t="shared" si="67"/>
        <v>Q3-2023</v>
      </c>
      <c r="H535" t="s">
        <v>16</v>
      </c>
      <c r="I535" t="s">
        <v>148</v>
      </c>
      <c r="J535" t="s">
        <v>172</v>
      </c>
      <c r="K535" t="s">
        <v>105</v>
      </c>
      <c r="L535" t="s">
        <v>20</v>
      </c>
      <c r="M535" t="s">
        <v>75</v>
      </c>
      <c r="N535" t="s">
        <v>42</v>
      </c>
      <c r="O535" t="s">
        <v>1168</v>
      </c>
      <c r="P535" s="4">
        <v>676.37</v>
      </c>
      <c r="Q535" s="7" t="str">
        <f t="shared" si="68"/>
        <v>High</v>
      </c>
      <c r="R535" s="4">
        <v>1276.67</v>
      </c>
      <c r="S535" s="4">
        <v>6.6000000000000003E-2</v>
      </c>
      <c r="T535" s="4">
        <v>10</v>
      </c>
      <c r="U535" s="4">
        <f t="shared" si="64"/>
        <v>15494.3128</v>
      </c>
      <c r="V535">
        <f t="shared" si="65"/>
        <v>6763.7</v>
      </c>
      <c r="W535" s="4">
        <f t="shared" si="69"/>
        <v>8730.612799999999</v>
      </c>
      <c r="X535" s="4">
        <f t="shared" si="70"/>
        <v>0.56347208893317291</v>
      </c>
    </row>
    <row r="536" spans="1:24" x14ac:dyDescent="0.3">
      <c r="A536" t="s">
        <v>1169</v>
      </c>
      <c r="B536" s="6">
        <v>45832</v>
      </c>
      <c r="C536" s="2">
        <v>45852</v>
      </c>
      <c r="D536" s="4">
        <f t="shared" si="71"/>
        <v>20</v>
      </c>
      <c r="E536" s="46" t="b">
        <f t="shared" si="66"/>
        <v>0</v>
      </c>
      <c r="F536" s="4" t="str">
        <f>TEXT(Data!B536,"MMM-YYYY")</f>
        <v>Jan-2025</v>
      </c>
      <c r="G536" s="4" t="str">
        <f t="shared" si="67"/>
        <v>Q2-2025</v>
      </c>
      <c r="H536" t="s">
        <v>16</v>
      </c>
      <c r="I536" t="s">
        <v>148</v>
      </c>
      <c r="J536" t="s">
        <v>149</v>
      </c>
      <c r="K536" t="s">
        <v>105</v>
      </c>
      <c r="L536" t="s">
        <v>40</v>
      </c>
      <c r="M536" t="s">
        <v>29</v>
      </c>
      <c r="N536" t="s">
        <v>57</v>
      </c>
      <c r="O536" t="s">
        <v>1170</v>
      </c>
      <c r="P536" s="4">
        <v>1151.06</v>
      </c>
      <c r="Q536" s="7" t="str">
        <f t="shared" si="68"/>
        <v>High</v>
      </c>
      <c r="R536" s="4">
        <v>2821.36</v>
      </c>
      <c r="S536" s="4">
        <v>0.248</v>
      </c>
      <c r="T536" s="4">
        <v>20</v>
      </c>
      <c r="U536" s="4">
        <f t="shared" si="64"/>
        <v>9059.1936000000005</v>
      </c>
      <c r="V536">
        <f t="shared" si="65"/>
        <v>23021.199999999997</v>
      </c>
      <c r="W536" s="4">
        <f t="shared" si="69"/>
        <v>-13962.006399999997</v>
      </c>
      <c r="X536" s="4">
        <f t="shared" si="70"/>
        <v>-1.5411974858336173</v>
      </c>
    </row>
    <row r="537" spans="1:24" x14ac:dyDescent="0.3">
      <c r="A537" t="s">
        <v>1171</v>
      </c>
      <c r="B537" s="6">
        <v>45667</v>
      </c>
      <c r="C537" s="2">
        <v>45694</v>
      </c>
      <c r="D537" s="4">
        <f t="shared" si="71"/>
        <v>27</v>
      </c>
      <c r="E537" s="46" t="b">
        <f t="shared" si="66"/>
        <v>0</v>
      </c>
      <c r="F537" s="4" t="str">
        <f>TEXT(Data!B537,"MMM-YYYY")</f>
        <v>Jul-2023</v>
      </c>
      <c r="G537" s="4" t="str">
        <f t="shared" si="67"/>
        <v>Q1-2025</v>
      </c>
      <c r="H537" t="s">
        <v>52</v>
      </c>
      <c r="I537" t="s">
        <v>73</v>
      </c>
      <c r="J537" t="s">
        <v>87</v>
      </c>
      <c r="K537" t="s">
        <v>39</v>
      </c>
      <c r="L537" t="s">
        <v>20</v>
      </c>
      <c r="M537" t="s">
        <v>56</v>
      </c>
      <c r="N537" t="s">
        <v>57</v>
      </c>
      <c r="O537" t="s">
        <v>1172</v>
      </c>
      <c r="P537" s="4">
        <v>725.62</v>
      </c>
      <c r="Q537" s="7" t="str">
        <f t="shared" si="68"/>
        <v>High</v>
      </c>
      <c r="R537" s="4">
        <v>1559.19</v>
      </c>
      <c r="S537" s="4">
        <v>0.19</v>
      </c>
      <c r="T537" s="4">
        <v>12</v>
      </c>
      <c r="U537" s="4">
        <f t="shared" si="64"/>
        <v>5128.6608000000006</v>
      </c>
      <c r="V537">
        <f t="shared" si="65"/>
        <v>8707.44</v>
      </c>
      <c r="W537" s="4">
        <f t="shared" si="69"/>
        <v>-3578.7791999999999</v>
      </c>
      <c r="X537" s="4">
        <f t="shared" si="70"/>
        <v>-0.69779994028850567</v>
      </c>
    </row>
    <row r="538" spans="1:24" x14ac:dyDescent="0.3">
      <c r="A538" t="s">
        <v>1173</v>
      </c>
      <c r="B538" s="6">
        <v>45108</v>
      </c>
      <c r="C538" s="2">
        <v>45118</v>
      </c>
      <c r="D538" s="4">
        <f t="shared" si="71"/>
        <v>10</v>
      </c>
      <c r="E538" s="46" t="b">
        <f t="shared" si="66"/>
        <v>0</v>
      </c>
      <c r="F538" s="4" t="str">
        <f>TEXT(Data!B538,"MMM-YYYY")</f>
        <v>Aug-2024</v>
      </c>
      <c r="G538" s="4" t="str">
        <f t="shared" si="67"/>
        <v>Q3-2023</v>
      </c>
      <c r="H538" t="s">
        <v>78</v>
      </c>
      <c r="I538" t="s">
        <v>90</v>
      </c>
      <c r="J538" t="s">
        <v>217</v>
      </c>
      <c r="K538" t="s">
        <v>19</v>
      </c>
      <c r="L538" t="s">
        <v>98</v>
      </c>
      <c r="M538" t="s">
        <v>84</v>
      </c>
      <c r="N538" t="s">
        <v>35</v>
      </c>
      <c r="O538" t="s">
        <v>1174</v>
      </c>
      <c r="P538" s="4">
        <v>479.5</v>
      </c>
      <c r="Q538" s="7" t="str">
        <f t="shared" si="68"/>
        <v>High</v>
      </c>
      <c r="R538" s="4">
        <v>656.66</v>
      </c>
      <c r="S538" s="4">
        <v>0.14899999999999999</v>
      </c>
      <c r="T538" s="4">
        <v>14</v>
      </c>
      <c r="U538" s="4">
        <f t="shared" si="64"/>
        <v>21944.3966</v>
      </c>
      <c r="V538">
        <f t="shared" si="65"/>
        <v>6713</v>
      </c>
      <c r="W538" s="4">
        <f t="shared" si="69"/>
        <v>15231.3966</v>
      </c>
      <c r="X538" s="4">
        <f t="shared" si="70"/>
        <v>0.69409047228029042</v>
      </c>
    </row>
    <row r="539" spans="1:24" x14ac:dyDescent="0.3">
      <c r="A539" t="s">
        <v>1175</v>
      </c>
      <c r="B539" s="6">
        <v>45520</v>
      </c>
      <c r="C539" s="2">
        <v>45530</v>
      </c>
      <c r="D539" s="4">
        <f t="shared" si="71"/>
        <v>10</v>
      </c>
      <c r="E539" s="46" t="b">
        <f t="shared" si="66"/>
        <v>0</v>
      </c>
      <c r="F539" s="4" t="str">
        <f>TEXT(Data!B539,"MMM-YYYY")</f>
        <v>Jul-2023</v>
      </c>
      <c r="G539" s="4" t="str">
        <f t="shared" si="67"/>
        <v>Q3-2024</v>
      </c>
      <c r="H539" t="s">
        <v>52</v>
      </c>
      <c r="I539" t="s">
        <v>122</v>
      </c>
      <c r="J539" t="s">
        <v>123</v>
      </c>
      <c r="K539" t="s">
        <v>19</v>
      </c>
      <c r="L539" t="s">
        <v>55</v>
      </c>
      <c r="M539" t="s">
        <v>49</v>
      </c>
      <c r="N539" t="s">
        <v>57</v>
      </c>
      <c r="O539" t="s">
        <v>878</v>
      </c>
      <c r="P539" s="4">
        <v>1291.7</v>
      </c>
      <c r="Q539" s="7" t="str">
        <f t="shared" si="68"/>
        <v>High</v>
      </c>
      <c r="R539" s="4">
        <v>2657.84</v>
      </c>
      <c r="S539" s="4">
        <v>8.6999999999999994E-2</v>
      </c>
      <c r="T539" s="4">
        <v>21</v>
      </c>
      <c r="U539" s="4">
        <f t="shared" si="64"/>
        <v>31548.788040000003</v>
      </c>
      <c r="V539">
        <f t="shared" si="65"/>
        <v>27125.7</v>
      </c>
      <c r="W539" s="4">
        <f t="shared" si="69"/>
        <v>4423.0880400000024</v>
      </c>
      <c r="X539" s="4">
        <f t="shared" si="70"/>
        <v>0.14019835038962727</v>
      </c>
    </row>
    <row r="540" spans="1:24" x14ac:dyDescent="0.3">
      <c r="A540" t="s">
        <v>1176</v>
      </c>
      <c r="B540" s="6">
        <v>45114</v>
      </c>
      <c r="C540" s="2">
        <v>45120</v>
      </c>
      <c r="D540" s="4">
        <f t="shared" si="71"/>
        <v>6</v>
      </c>
      <c r="E540" s="46" t="str">
        <f t="shared" si="66"/>
        <v>Yes</v>
      </c>
      <c r="F540" s="4" t="str">
        <f>TEXT(Data!B540,"MMM-YYYY")</f>
        <v>Dec-2023</v>
      </c>
      <c r="G540" s="4" t="str">
        <f t="shared" si="67"/>
        <v>Q3-2023</v>
      </c>
      <c r="H540" t="s">
        <v>16</v>
      </c>
      <c r="I540" t="s">
        <v>148</v>
      </c>
      <c r="J540" t="s">
        <v>258</v>
      </c>
      <c r="K540" t="s">
        <v>62</v>
      </c>
      <c r="L540" t="s">
        <v>40</v>
      </c>
      <c r="M540" t="s">
        <v>56</v>
      </c>
      <c r="N540" t="s">
        <v>81</v>
      </c>
      <c r="O540" t="s">
        <v>1177</v>
      </c>
      <c r="P540" s="4">
        <v>612.59</v>
      </c>
      <c r="Q540" s="7" t="str">
        <f t="shared" si="68"/>
        <v>High</v>
      </c>
      <c r="R540" s="4">
        <v>1424.74</v>
      </c>
      <c r="S540" s="4">
        <v>4.3999999999999997E-2</v>
      </c>
      <c r="T540" s="4">
        <v>15</v>
      </c>
      <c r="U540" s="4">
        <f t="shared" si="64"/>
        <v>10428.334800000001</v>
      </c>
      <c r="V540">
        <f t="shared" si="65"/>
        <v>9188.85</v>
      </c>
      <c r="W540" s="4">
        <f t="shared" si="69"/>
        <v>1239.4848000000002</v>
      </c>
      <c r="X540" s="4">
        <f t="shared" si="70"/>
        <v>0.11885740377265219</v>
      </c>
    </row>
    <row r="541" spans="1:24" x14ac:dyDescent="0.3">
      <c r="A541" t="s">
        <v>1178</v>
      </c>
      <c r="B541" s="6">
        <v>45288</v>
      </c>
      <c r="C541" s="2">
        <v>45292</v>
      </c>
      <c r="D541" s="4">
        <f t="shared" si="71"/>
        <v>4</v>
      </c>
      <c r="E541" s="46" t="str">
        <f t="shared" si="66"/>
        <v>Yes</v>
      </c>
      <c r="F541" s="4" t="str">
        <f>TEXT(Data!B541,"MMM-YYYY")</f>
        <v>Jan-2023</v>
      </c>
      <c r="G541" s="4" t="str">
        <f t="shared" si="67"/>
        <v>Q4-2023</v>
      </c>
      <c r="H541" t="s">
        <v>16</v>
      </c>
      <c r="I541" t="s">
        <v>148</v>
      </c>
      <c r="J541" t="s">
        <v>258</v>
      </c>
      <c r="K541" t="s">
        <v>27</v>
      </c>
      <c r="L541" t="s">
        <v>55</v>
      </c>
      <c r="M541" t="s">
        <v>75</v>
      </c>
      <c r="N541" t="s">
        <v>30</v>
      </c>
      <c r="O541" t="s">
        <v>1179</v>
      </c>
      <c r="P541" s="4">
        <v>1141.8</v>
      </c>
      <c r="Q541" s="7" t="str">
        <f t="shared" si="68"/>
        <v>High</v>
      </c>
      <c r="R541" s="4">
        <v>2318.7399999999998</v>
      </c>
      <c r="S541" s="4">
        <v>0.107</v>
      </c>
      <c r="T541" s="4">
        <v>32</v>
      </c>
      <c r="U541" s="4">
        <f t="shared" si="64"/>
        <v>35256.783040000002</v>
      </c>
      <c r="V541">
        <f t="shared" si="65"/>
        <v>36537.599999999999</v>
      </c>
      <c r="W541" s="4">
        <f t="shared" si="69"/>
        <v>-1280.8169599999965</v>
      </c>
      <c r="X541" s="4">
        <f t="shared" si="70"/>
        <v>-3.6328242385213268E-2</v>
      </c>
    </row>
    <row r="542" spans="1:24" x14ac:dyDescent="0.3">
      <c r="A542" t="s">
        <v>1180</v>
      </c>
      <c r="B542" s="6">
        <v>44952</v>
      </c>
      <c r="C542" s="2">
        <v>44972</v>
      </c>
      <c r="D542" s="4">
        <f t="shared" si="71"/>
        <v>20</v>
      </c>
      <c r="E542" s="46" t="b">
        <f t="shared" si="66"/>
        <v>0</v>
      </c>
      <c r="F542" s="4" t="str">
        <f>TEXT(Data!B542,"MMM-YYYY")</f>
        <v>Jul-2023</v>
      </c>
      <c r="G542" s="4" t="str">
        <f t="shared" si="67"/>
        <v>Q1-2023</v>
      </c>
      <c r="H542" t="s">
        <v>78</v>
      </c>
      <c r="I542" t="s">
        <v>79</v>
      </c>
      <c r="J542" t="s">
        <v>80</v>
      </c>
      <c r="K542" t="s">
        <v>62</v>
      </c>
      <c r="L542" t="s">
        <v>28</v>
      </c>
      <c r="M542" t="s">
        <v>68</v>
      </c>
      <c r="N542" t="s">
        <v>35</v>
      </c>
      <c r="O542" t="s">
        <v>1181</v>
      </c>
      <c r="P542" s="4">
        <v>492.62</v>
      </c>
      <c r="Q542" s="7" t="str">
        <f t="shared" si="68"/>
        <v>High</v>
      </c>
      <c r="R542" s="4">
        <v>366.7</v>
      </c>
      <c r="S542" s="4">
        <v>8.8999999999999996E-2</v>
      </c>
      <c r="T542" s="4">
        <v>10</v>
      </c>
      <c r="U542" s="4">
        <f t="shared" si="64"/>
        <v>14063.653600000001</v>
      </c>
      <c r="V542">
        <f t="shared" si="65"/>
        <v>4926.2</v>
      </c>
      <c r="W542" s="4">
        <f t="shared" si="69"/>
        <v>9137.4536000000007</v>
      </c>
      <c r="X542" s="4">
        <f t="shared" si="70"/>
        <v>0.6497211791393952</v>
      </c>
    </row>
    <row r="543" spans="1:24" x14ac:dyDescent="0.3">
      <c r="A543" t="s">
        <v>1182</v>
      </c>
      <c r="B543" s="6">
        <v>45115</v>
      </c>
      <c r="C543" s="2">
        <v>45116</v>
      </c>
      <c r="D543" s="4">
        <f t="shared" si="71"/>
        <v>1</v>
      </c>
      <c r="E543" s="46" t="str">
        <f t="shared" si="66"/>
        <v>Yes</v>
      </c>
      <c r="F543" s="4" t="str">
        <f>TEXT(Data!B543,"MMM-YYYY")</f>
        <v>Jun-2024</v>
      </c>
      <c r="G543" s="4" t="str">
        <f t="shared" si="67"/>
        <v>Q3-2023</v>
      </c>
      <c r="H543" t="s">
        <v>16</v>
      </c>
      <c r="I543" t="s">
        <v>17</v>
      </c>
      <c r="J543" t="s">
        <v>33</v>
      </c>
      <c r="K543" t="s">
        <v>48</v>
      </c>
      <c r="L543" t="s">
        <v>28</v>
      </c>
      <c r="M543" t="s">
        <v>145</v>
      </c>
      <c r="N543" t="s">
        <v>57</v>
      </c>
      <c r="O543" t="s">
        <v>1183</v>
      </c>
      <c r="P543" s="4">
        <v>1258.72</v>
      </c>
      <c r="Q543" s="7" t="str">
        <f t="shared" si="68"/>
        <v>High</v>
      </c>
      <c r="R543" s="4">
        <v>2797.41</v>
      </c>
      <c r="S543" s="4">
        <v>0</v>
      </c>
      <c r="T543" s="4">
        <v>7</v>
      </c>
      <c r="U543" s="4">
        <f t="shared" si="64"/>
        <v>14806.33</v>
      </c>
      <c r="V543">
        <f t="shared" si="65"/>
        <v>8811.0400000000009</v>
      </c>
      <c r="W543" s="4">
        <f t="shared" si="69"/>
        <v>5995.2899999999991</v>
      </c>
      <c r="X543" s="4">
        <f t="shared" si="70"/>
        <v>0.40491397935882822</v>
      </c>
    </row>
    <row r="544" spans="1:24" x14ac:dyDescent="0.3">
      <c r="A544" t="s">
        <v>1184</v>
      </c>
      <c r="B544" s="6">
        <v>45450</v>
      </c>
      <c r="C544" s="2">
        <v>45452</v>
      </c>
      <c r="D544" s="4">
        <f t="shared" si="71"/>
        <v>2</v>
      </c>
      <c r="E544" s="46" t="str">
        <f t="shared" si="66"/>
        <v>Yes</v>
      </c>
      <c r="F544" s="4" t="str">
        <f>TEXT(Data!B544,"MMM-YYYY")</f>
        <v>Feb-2023</v>
      </c>
      <c r="G544" s="4" t="str">
        <f t="shared" si="67"/>
        <v>Q2-2024</v>
      </c>
      <c r="H544" t="s">
        <v>45</v>
      </c>
      <c r="I544" t="s">
        <v>116</v>
      </c>
      <c r="J544" t="s">
        <v>162</v>
      </c>
      <c r="K544" t="s">
        <v>19</v>
      </c>
      <c r="L544" t="s">
        <v>20</v>
      </c>
      <c r="M544" t="s">
        <v>68</v>
      </c>
      <c r="N544" t="s">
        <v>64</v>
      </c>
      <c r="O544" t="s">
        <v>1185</v>
      </c>
      <c r="P544" s="4">
        <v>1370.28</v>
      </c>
      <c r="Q544" s="7" t="str">
        <f t="shared" si="68"/>
        <v>High</v>
      </c>
      <c r="R544" s="4">
        <v>2209.66</v>
      </c>
      <c r="S544" s="4">
        <v>0.13300000000000001</v>
      </c>
      <c r="T544" s="4">
        <v>16</v>
      </c>
      <c r="U544" s="4">
        <f t="shared" si="64"/>
        <v>25485.499680000001</v>
      </c>
      <c r="V544">
        <f t="shared" si="65"/>
        <v>21924.48</v>
      </c>
      <c r="W544" s="4">
        <f t="shared" si="69"/>
        <v>3561.0196800000012</v>
      </c>
      <c r="X544" s="4">
        <f t="shared" si="70"/>
        <v>0.13972728511164123</v>
      </c>
    </row>
    <row r="545" spans="1:24" x14ac:dyDescent="0.3">
      <c r="A545" t="s">
        <v>1186</v>
      </c>
      <c r="B545" s="6">
        <v>44968</v>
      </c>
      <c r="C545" s="2">
        <v>44969</v>
      </c>
      <c r="D545" s="4">
        <f t="shared" si="71"/>
        <v>1</v>
      </c>
      <c r="E545" s="46" t="str">
        <f t="shared" si="66"/>
        <v>Yes</v>
      </c>
      <c r="F545" s="4" t="str">
        <f>TEXT(Data!B545,"MMM-YYYY")</f>
        <v>Jul-2023</v>
      </c>
      <c r="G545" s="4" t="str">
        <f t="shared" si="67"/>
        <v>Q1-2023</v>
      </c>
      <c r="H545" t="s">
        <v>16</v>
      </c>
      <c r="I545" t="s">
        <v>25</v>
      </c>
      <c r="J545" t="s">
        <v>26</v>
      </c>
      <c r="K545" t="s">
        <v>39</v>
      </c>
      <c r="L545" t="s">
        <v>98</v>
      </c>
      <c r="M545" t="s">
        <v>145</v>
      </c>
      <c r="N545" t="s">
        <v>81</v>
      </c>
      <c r="O545" t="s">
        <v>1187</v>
      </c>
      <c r="P545" s="4">
        <v>944.61</v>
      </c>
      <c r="Q545" s="7" t="str">
        <f t="shared" si="68"/>
        <v>High</v>
      </c>
      <c r="R545" s="4">
        <v>839.04</v>
      </c>
      <c r="S545" s="4">
        <v>5.8999999999999997E-2</v>
      </c>
      <c r="T545" s="4">
        <v>6</v>
      </c>
      <c r="U545" s="4">
        <f t="shared" si="64"/>
        <v>16141.518779999999</v>
      </c>
      <c r="V545">
        <f t="shared" si="65"/>
        <v>5667.66</v>
      </c>
      <c r="W545" s="4">
        <f t="shared" si="69"/>
        <v>10473.858779999999</v>
      </c>
      <c r="X545" s="4">
        <f t="shared" si="70"/>
        <v>0.64887690698458544</v>
      </c>
    </row>
    <row r="546" spans="1:24" x14ac:dyDescent="0.3">
      <c r="A546" t="s">
        <v>1188</v>
      </c>
      <c r="B546" s="6">
        <v>45108</v>
      </c>
      <c r="C546" s="2">
        <v>45115</v>
      </c>
      <c r="D546" s="4">
        <f t="shared" si="71"/>
        <v>7</v>
      </c>
      <c r="E546" s="46" t="str">
        <f t="shared" si="66"/>
        <v>Yes</v>
      </c>
      <c r="F546" s="4" t="str">
        <f>TEXT(Data!B546,"MMM-YYYY")</f>
        <v>Aug-2025</v>
      </c>
      <c r="G546" s="4" t="str">
        <f t="shared" si="67"/>
        <v>Q3-2023</v>
      </c>
      <c r="H546" t="s">
        <v>78</v>
      </c>
      <c r="I546" t="s">
        <v>79</v>
      </c>
      <c r="J546" t="s">
        <v>335</v>
      </c>
      <c r="K546" t="s">
        <v>62</v>
      </c>
      <c r="L546" t="s">
        <v>55</v>
      </c>
      <c r="M546" t="s">
        <v>126</v>
      </c>
      <c r="N546" t="s">
        <v>57</v>
      </c>
      <c r="O546" t="s">
        <v>1189</v>
      </c>
      <c r="P546" s="4">
        <v>460.21</v>
      </c>
      <c r="Q546" s="7" t="str">
        <f t="shared" si="68"/>
        <v>High</v>
      </c>
      <c r="R546" s="4">
        <v>1139.1500000000001</v>
      </c>
      <c r="S546" s="4">
        <v>0.115</v>
      </c>
      <c r="T546" s="4">
        <v>14</v>
      </c>
      <c r="U546" s="4">
        <f t="shared" si="64"/>
        <v>3592.1088</v>
      </c>
      <c r="V546">
        <f t="shared" si="65"/>
        <v>6442.94</v>
      </c>
      <c r="W546" s="4">
        <f t="shared" si="69"/>
        <v>-2850.8311999999996</v>
      </c>
      <c r="X546" s="4">
        <f t="shared" si="70"/>
        <v>-0.79363720831618456</v>
      </c>
    </row>
    <row r="547" spans="1:24" x14ac:dyDescent="0.3">
      <c r="A547" t="s">
        <v>1190</v>
      </c>
      <c r="B547" s="6">
        <v>45889</v>
      </c>
      <c r="C547" s="2">
        <v>45895</v>
      </c>
      <c r="D547" s="4">
        <f t="shared" si="71"/>
        <v>6</v>
      </c>
      <c r="E547" s="46" t="str">
        <f t="shared" si="66"/>
        <v>Yes</v>
      </c>
      <c r="F547" s="4" t="str">
        <f>TEXT(Data!B547,"MMM-YYYY")</f>
        <v>Mar-2024</v>
      </c>
      <c r="G547" s="4" t="str">
        <f t="shared" si="67"/>
        <v>Q3-2025</v>
      </c>
      <c r="H547" t="s">
        <v>52</v>
      </c>
      <c r="I547" t="s">
        <v>122</v>
      </c>
      <c r="J547" t="s">
        <v>387</v>
      </c>
      <c r="K547" t="s">
        <v>19</v>
      </c>
      <c r="L547" t="s">
        <v>20</v>
      </c>
      <c r="M547" t="s">
        <v>110</v>
      </c>
      <c r="N547" t="s">
        <v>35</v>
      </c>
      <c r="O547" t="s">
        <v>1191</v>
      </c>
      <c r="P547" s="4">
        <v>1304.95</v>
      </c>
      <c r="Q547" s="7" t="str">
        <f t="shared" si="68"/>
        <v>High</v>
      </c>
      <c r="R547" s="4">
        <v>1712.03</v>
      </c>
      <c r="S547" s="4">
        <v>0.21199999999999999</v>
      </c>
      <c r="T547" s="4">
        <v>8</v>
      </c>
      <c r="U547" s="4">
        <f t="shared" si="64"/>
        <v>6286.3488000000007</v>
      </c>
      <c r="V547">
        <f t="shared" si="65"/>
        <v>10439.6</v>
      </c>
      <c r="W547" s="4">
        <f t="shared" si="69"/>
        <v>-4153.2511999999997</v>
      </c>
      <c r="X547" s="4">
        <f t="shared" si="70"/>
        <v>-0.66067781666839731</v>
      </c>
    </row>
    <row r="548" spans="1:24" x14ac:dyDescent="0.3">
      <c r="A548" t="s">
        <v>1192</v>
      </c>
      <c r="B548" s="6">
        <v>45355</v>
      </c>
      <c r="C548" s="2">
        <v>45367</v>
      </c>
      <c r="D548" s="4">
        <f t="shared" si="71"/>
        <v>12</v>
      </c>
      <c r="E548" s="46" t="b">
        <f t="shared" si="66"/>
        <v>0</v>
      </c>
      <c r="F548" s="4" t="str">
        <f>TEXT(Data!B548,"MMM-YYYY")</f>
        <v>Sep-2023</v>
      </c>
      <c r="G548" s="4" t="str">
        <f t="shared" si="67"/>
        <v>Q1-2024</v>
      </c>
      <c r="H548" t="s">
        <v>16</v>
      </c>
      <c r="I548" t="s">
        <v>148</v>
      </c>
      <c r="J548" t="s">
        <v>149</v>
      </c>
      <c r="K548" t="s">
        <v>105</v>
      </c>
      <c r="L548" t="s">
        <v>55</v>
      </c>
      <c r="M548" t="s">
        <v>110</v>
      </c>
      <c r="N548" t="s">
        <v>64</v>
      </c>
      <c r="O548" t="s">
        <v>1193</v>
      </c>
      <c r="P548" s="4">
        <v>441.08</v>
      </c>
      <c r="Q548" s="7" t="str">
        <f t="shared" si="68"/>
        <v>High</v>
      </c>
      <c r="R548" s="4">
        <v>1054.29</v>
      </c>
      <c r="S548" s="4">
        <v>0.23699999999999999</v>
      </c>
      <c r="T548" s="4">
        <v>6</v>
      </c>
      <c r="U548" s="4">
        <f t="shared" si="64"/>
        <v>216.49362000000002</v>
      </c>
      <c r="V548">
        <f t="shared" si="65"/>
        <v>2646.48</v>
      </c>
      <c r="W548" s="4">
        <f t="shared" si="69"/>
        <v>-2429.9863799999998</v>
      </c>
      <c r="X548" s="4">
        <f t="shared" si="70"/>
        <v>-11.224286332317782</v>
      </c>
    </row>
    <row r="549" spans="1:24" x14ac:dyDescent="0.3">
      <c r="A549" t="s">
        <v>1194</v>
      </c>
      <c r="B549" s="6">
        <v>45177</v>
      </c>
      <c r="C549" s="2">
        <v>45201</v>
      </c>
      <c r="D549" s="4">
        <f t="shared" si="71"/>
        <v>24</v>
      </c>
      <c r="E549" s="46" t="b">
        <f t="shared" si="66"/>
        <v>0</v>
      </c>
      <c r="F549" s="4" t="str">
        <f>TEXT(Data!B549,"MMM-YYYY")</f>
        <v>Feb-2023</v>
      </c>
      <c r="G549" s="4" t="str">
        <f t="shared" si="67"/>
        <v>Q3-2023</v>
      </c>
      <c r="H549" t="s">
        <v>52</v>
      </c>
      <c r="I549" t="s">
        <v>53</v>
      </c>
      <c r="J549" t="s">
        <v>54</v>
      </c>
      <c r="K549" t="s">
        <v>27</v>
      </c>
      <c r="L549" t="s">
        <v>98</v>
      </c>
      <c r="M549" t="s">
        <v>75</v>
      </c>
      <c r="N549" t="s">
        <v>81</v>
      </c>
      <c r="O549" t="s">
        <v>1195</v>
      </c>
      <c r="P549" s="4">
        <v>1299.03</v>
      </c>
      <c r="Q549" s="7" t="str">
        <f t="shared" si="68"/>
        <v>High</v>
      </c>
      <c r="R549" s="4">
        <v>2451.2199999999998</v>
      </c>
      <c r="S549" s="4">
        <v>0.20799999999999999</v>
      </c>
      <c r="T549" s="4">
        <v>8</v>
      </c>
      <c r="U549" s="4">
        <f t="shared" si="64"/>
        <v>4778.8646400000007</v>
      </c>
      <c r="V549">
        <f t="shared" si="65"/>
        <v>10392.24</v>
      </c>
      <c r="W549" s="4">
        <f t="shared" si="69"/>
        <v>-5613.3753599999991</v>
      </c>
      <c r="X549" s="4">
        <f t="shared" si="70"/>
        <v>-1.1746253101657214</v>
      </c>
    </row>
    <row r="550" spans="1:24" x14ac:dyDescent="0.3">
      <c r="A550" t="s">
        <v>1196</v>
      </c>
      <c r="B550" s="6">
        <v>44985</v>
      </c>
      <c r="C550" s="2">
        <v>44991</v>
      </c>
      <c r="D550" s="4">
        <f t="shared" si="71"/>
        <v>6</v>
      </c>
      <c r="E550" s="46" t="str">
        <f t="shared" si="66"/>
        <v>Yes</v>
      </c>
      <c r="F550" s="4" t="str">
        <f>TEXT(Data!B550,"MMM-YYYY")</f>
        <v>Jul-2024</v>
      </c>
      <c r="G550" s="4" t="str">
        <f t="shared" si="67"/>
        <v>Q1-2023</v>
      </c>
      <c r="H550" t="s">
        <v>78</v>
      </c>
      <c r="I550" t="s">
        <v>79</v>
      </c>
      <c r="J550" t="s">
        <v>335</v>
      </c>
      <c r="K550" t="s">
        <v>62</v>
      </c>
      <c r="L550" t="s">
        <v>40</v>
      </c>
      <c r="M550" t="s">
        <v>145</v>
      </c>
      <c r="N550" t="s">
        <v>30</v>
      </c>
      <c r="O550" t="s">
        <v>1197</v>
      </c>
      <c r="P550" s="4">
        <v>880.02</v>
      </c>
      <c r="Q550" s="7" t="str">
        <f t="shared" si="68"/>
        <v>High</v>
      </c>
      <c r="R550" s="4">
        <v>1251.21</v>
      </c>
      <c r="S550" s="4">
        <v>0.123</v>
      </c>
      <c r="T550" s="4">
        <v>29</v>
      </c>
      <c r="U550" s="4">
        <f t="shared" si="64"/>
        <v>22927.340840000001</v>
      </c>
      <c r="V550">
        <f t="shared" si="65"/>
        <v>25520.579999999998</v>
      </c>
      <c r="W550" s="4">
        <f t="shared" si="69"/>
        <v>-2593.2391599999974</v>
      </c>
      <c r="X550" s="4">
        <f t="shared" si="70"/>
        <v>-0.1131068438375428</v>
      </c>
    </row>
    <row r="551" spans="1:24" x14ac:dyDescent="0.3">
      <c r="A551" t="s">
        <v>1198</v>
      </c>
      <c r="B551" s="6">
        <v>45486</v>
      </c>
      <c r="C551" s="2">
        <v>45507</v>
      </c>
      <c r="D551" s="4">
        <f t="shared" si="71"/>
        <v>21</v>
      </c>
      <c r="E551" s="46" t="b">
        <f t="shared" si="66"/>
        <v>0</v>
      </c>
      <c r="F551" s="4" t="str">
        <f>TEXT(Data!B551,"MMM-YYYY")</f>
        <v>Dec-2024</v>
      </c>
      <c r="G551" s="4" t="str">
        <f t="shared" si="67"/>
        <v>Q3-2024</v>
      </c>
      <c r="H551" t="s">
        <v>52</v>
      </c>
      <c r="I551" t="s">
        <v>73</v>
      </c>
      <c r="J551" t="s">
        <v>225</v>
      </c>
      <c r="K551" t="s">
        <v>19</v>
      </c>
      <c r="L551" t="s">
        <v>40</v>
      </c>
      <c r="M551" t="s">
        <v>110</v>
      </c>
      <c r="N551" t="s">
        <v>64</v>
      </c>
      <c r="O551" t="s">
        <v>1199</v>
      </c>
      <c r="P551" s="4">
        <v>702.98</v>
      </c>
      <c r="Q551" s="7" t="str">
        <f t="shared" si="68"/>
        <v>High</v>
      </c>
      <c r="R551" s="4">
        <v>1104.8</v>
      </c>
      <c r="S551" s="4">
        <v>0.17499999999999999</v>
      </c>
      <c r="T551" s="4">
        <v>12</v>
      </c>
      <c r="U551" s="4">
        <f t="shared" si="64"/>
        <v>1119.492</v>
      </c>
      <c r="V551">
        <f t="shared" si="65"/>
        <v>8435.76</v>
      </c>
      <c r="W551" s="4">
        <f t="shared" si="69"/>
        <v>-7316.268</v>
      </c>
      <c r="X551" s="4">
        <f t="shared" si="70"/>
        <v>-6.5353463892551265</v>
      </c>
    </row>
    <row r="552" spans="1:24" x14ac:dyDescent="0.3">
      <c r="A552" t="s">
        <v>1200</v>
      </c>
      <c r="B552" s="6">
        <v>45633</v>
      </c>
      <c r="C552" s="2">
        <v>45652</v>
      </c>
      <c r="D552" s="4">
        <f t="shared" si="71"/>
        <v>19</v>
      </c>
      <c r="E552" s="46" t="b">
        <f t="shared" si="66"/>
        <v>0</v>
      </c>
      <c r="F552" s="4" t="str">
        <f>TEXT(Data!B552,"MMM-YYYY")</f>
        <v>Aug-2025</v>
      </c>
      <c r="G552" s="4" t="str">
        <f t="shared" si="67"/>
        <v>Q4-2024</v>
      </c>
      <c r="H552" t="s">
        <v>78</v>
      </c>
      <c r="I552" t="s">
        <v>108</v>
      </c>
      <c r="J552" t="s">
        <v>152</v>
      </c>
      <c r="K552" t="s">
        <v>105</v>
      </c>
      <c r="L552" t="s">
        <v>28</v>
      </c>
      <c r="M552" t="s">
        <v>145</v>
      </c>
      <c r="N552" t="s">
        <v>35</v>
      </c>
      <c r="O552" t="s">
        <v>1201</v>
      </c>
      <c r="P552" s="4">
        <v>1035.24</v>
      </c>
      <c r="Q552" s="7" t="str">
        <f t="shared" si="68"/>
        <v>High</v>
      </c>
      <c r="R552" s="4">
        <v>2383.41</v>
      </c>
      <c r="S552" s="4">
        <v>0.17</v>
      </c>
      <c r="T552" s="4">
        <v>15</v>
      </c>
      <c r="U552" s="4">
        <f t="shared" si="64"/>
        <v>10814.319</v>
      </c>
      <c r="V552">
        <f t="shared" si="65"/>
        <v>15528.6</v>
      </c>
      <c r="W552" s="4">
        <f t="shared" si="69"/>
        <v>-4714.2810000000009</v>
      </c>
      <c r="X552" s="4">
        <f t="shared" si="70"/>
        <v>-0.43592953009801183</v>
      </c>
    </row>
    <row r="553" spans="1:24" x14ac:dyDescent="0.3">
      <c r="A553" t="s">
        <v>1202</v>
      </c>
      <c r="B553" s="6">
        <v>45875</v>
      </c>
      <c r="C553" s="2">
        <v>45892</v>
      </c>
      <c r="D553" s="4">
        <f t="shared" si="71"/>
        <v>17</v>
      </c>
      <c r="E553" s="46" t="b">
        <f t="shared" si="66"/>
        <v>0</v>
      </c>
      <c r="F553" s="4" t="str">
        <f>TEXT(Data!B553,"MMM-YYYY")</f>
        <v>Mar-2023</v>
      </c>
      <c r="G553" s="4" t="str">
        <f t="shared" si="67"/>
        <v>Q3-2025</v>
      </c>
      <c r="H553" t="s">
        <v>52</v>
      </c>
      <c r="I553" t="s">
        <v>73</v>
      </c>
      <c r="J553" t="s">
        <v>87</v>
      </c>
      <c r="K553" t="s">
        <v>48</v>
      </c>
      <c r="L553" t="s">
        <v>55</v>
      </c>
      <c r="M553" t="s">
        <v>75</v>
      </c>
      <c r="N553" t="s">
        <v>64</v>
      </c>
      <c r="O553" t="s">
        <v>1203</v>
      </c>
      <c r="P553" s="4">
        <v>86.64</v>
      </c>
      <c r="Q553" s="7" t="str">
        <f t="shared" si="68"/>
        <v>High</v>
      </c>
      <c r="R553" s="4">
        <v>213.06</v>
      </c>
      <c r="S553" s="4">
        <v>0.21199999999999999</v>
      </c>
      <c r="T553" s="4">
        <v>11</v>
      </c>
      <c r="U553" s="4">
        <f t="shared" si="64"/>
        <v>3015.5971999999997</v>
      </c>
      <c r="V553">
        <f t="shared" si="65"/>
        <v>953.04</v>
      </c>
      <c r="W553" s="4">
        <f t="shared" si="69"/>
        <v>2062.5571999999997</v>
      </c>
      <c r="X553" s="4">
        <f t="shared" si="70"/>
        <v>0.68396309692819712</v>
      </c>
    </row>
    <row r="554" spans="1:24" x14ac:dyDescent="0.3">
      <c r="A554" t="s">
        <v>1204</v>
      </c>
      <c r="B554" s="6">
        <v>44988</v>
      </c>
      <c r="C554" s="2">
        <v>45005</v>
      </c>
      <c r="D554" s="4">
        <f t="shared" si="71"/>
        <v>17</v>
      </c>
      <c r="E554" s="46" t="b">
        <f t="shared" si="66"/>
        <v>0</v>
      </c>
      <c r="F554" s="4" t="str">
        <f>TEXT(Data!B554,"MMM-YYYY")</f>
        <v>Feb-2025</v>
      </c>
      <c r="G554" s="4" t="str">
        <f t="shared" si="67"/>
        <v>Q1-2023</v>
      </c>
      <c r="H554" t="s">
        <v>45</v>
      </c>
      <c r="I554" t="s">
        <v>46</v>
      </c>
      <c r="J554" t="s">
        <v>231</v>
      </c>
      <c r="K554" t="s">
        <v>62</v>
      </c>
      <c r="L554" t="s">
        <v>28</v>
      </c>
      <c r="M554" t="s">
        <v>145</v>
      </c>
      <c r="N554" t="s">
        <v>35</v>
      </c>
      <c r="O554" t="s">
        <v>1205</v>
      </c>
      <c r="P554" s="4">
        <v>1171.17</v>
      </c>
      <c r="Q554" s="7" t="str">
        <f t="shared" si="68"/>
        <v>High</v>
      </c>
      <c r="R554" s="4">
        <v>2030.64</v>
      </c>
      <c r="S554" s="4">
        <v>0.157</v>
      </c>
      <c r="T554" s="4">
        <v>11</v>
      </c>
      <c r="U554" s="4">
        <f t="shared" si="64"/>
        <v>10310.463239999999</v>
      </c>
      <c r="V554">
        <f t="shared" si="65"/>
        <v>12882.87</v>
      </c>
      <c r="W554" s="4">
        <f t="shared" si="69"/>
        <v>-2572.4067600000017</v>
      </c>
      <c r="X554" s="4">
        <f t="shared" si="70"/>
        <v>-0.24949478021707217</v>
      </c>
    </row>
    <row r="555" spans="1:24" x14ac:dyDescent="0.3">
      <c r="A555" t="s">
        <v>1206</v>
      </c>
      <c r="B555" s="6">
        <v>45704</v>
      </c>
      <c r="C555" s="2">
        <v>45733</v>
      </c>
      <c r="D555" s="4">
        <f t="shared" si="71"/>
        <v>1</v>
      </c>
      <c r="E555" s="46" t="str">
        <f t="shared" si="66"/>
        <v>Yes</v>
      </c>
      <c r="F555" s="4" t="str">
        <f>TEXT(Data!B555,"MMM-YYYY")</f>
        <v>Feb-2025</v>
      </c>
      <c r="G555" s="4" t="str">
        <f t="shared" si="67"/>
        <v>Q1-2025</v>
      </c>
      <c r="H555" t="s">
        <v>78</v>
      </c>
      <c r="I555" t="s">
        <v>79</v>
      </c>
      <c r="J555" t="s">
        <v>159</v>
      </c>
      <c r="K555" t="s">
        <v>48</v>
      </c>
      <c r="L555" t="s">
        <v>20</v>
      </c>
      <c r="M555" t="s">
        <v>49</v>
      </c>
      <c r="N555" t="s">
        <v>81</v>
      </c>
      <c r="O555" t="s">
        <v>1207</v>
      </c>
      <c r="P555" s="4">
        <v>730.42</v>
      </c>
      <c r="Q555" s="7" t="str">
        <f t="shared" si="68"/>
        <v>High</v>
      </c>
      <c r="R555" s="4">
        <v>956.7</v>
      </c>
      <c r="S555" s="4">
        <v>4.2000000000000003E-2</v>
      </c>
      <c r="T555" s="4">
        <v>22</v>
      </c>
      <c r="U555" s="4">
        <f t="shared" si="64"/>
        <v>6907.0267199999998</v>
      </c>
      <c r="V555">
        <f t="shared" si="65"/>
        <v>16069.24</v>
      </c>
      <c r="W555" s="4">
        <f t="shared" si="69"/>
        <v>-9162.2132799999999</v>
      </c>
      <c r="X555" s="4">
        <f t="shared" si="70"/>
        <v>-1.3265061293986133</v>
      </c>
    </row>
    <row r="556" spans="1:24" x14ac:dyDescent="0.3">
      <c r="A556" t="s">
        <v>1208</v>
      </c>
      <c r="B556" s="6">
        <v>45703</v>
      </c>
      <c r="C556" s="2">
        <v>45717</v>
      </c>
      <c r="D556" s="4">
        <f t="shared" si="71"/>
        <v>14</v>
      </c>
      <c r="E556" s="46" t="b">
        <f t="shared" si="66"/>
        <v>0</v>
      </c>
      <c r="F556" s="4" t="str">
        <f>TEXT(Data!B556,"MMM-YYYY")</f>
        <v>Aug-2024</v>
      </c>
      <c r="G556" s="4" t="str">
        <f t="shared" si="67"/>
        <v>Q1-2025</v>
      </c>
      <c r="H556" t="s">
        <v>16</v>
      </c>
      <c r="I556" t="s">
        <v>17</v>
      </c>
      <c r="J556" t="s">
        <v>113</v>
      </c>
      <c r="K556" t="s">
        <v>27</v>
      </c>
      <c r="L556" t="s">
        <v>98</v>
      </c>
      <c r="M556" t="s">
        <v>49</v>
      </c>
      <c r="N556" t="s">
        <v>81</v>
      </c>
      <c r="O556" t="s">
        <v>1209</v>
      </c>
      <c r="P556" s="4">
        <v>1162.8599999999999</v>
      </c>
      <c r="Q556" s="7" t="str">
        <f t="shared" si="68"/>
        <v>High</v>
      </c>
      <c r="R556" s="4">
        <v>1447.68</v>
      </c>
      <c r="S556" s="4">
        <v>8.6999999999999994E-2</v>
      </c>
      <c r="T556" s="4">
        <v>12</v>
      </c>
      <c r="U556" s="4">
        <f t="shared" si="64"/>
        <v>5326.0402800000002</v>
      </c>
      <c r="V556">
        <f t="shared" si="65"/>
        <v>13954.32</v>
      </c>
      <c r="W556" s="4">
        <f t="shared" si="69"/>
        <v>-8628.2797199999986</v>
      </c>
      <c r="X556" s="4">
        <f t="shared" si="70"/>
        <v>-1.6200177367040112</v>
      </c>
    </row>
    <row r="557" spans="1:24" x14ac:dyDescent="0.3">
      <c r="A557" t="s">
        <v>1210</v>
      </c>
      <c r="B557" s="6">
        <v>45535</v>
      </c>
      <c r="C557" s="2">
        <v>45561</v>
      </c>
      <c r="D557" s="4">
        <f t="shared" si="71"/>
        <v>26</v>
      </c>
      <c r="E557" s="46" t="b">
        <f t="shared" si="66"/>
        <v>0</v>
      </c>
      <c r="F557" s="4" t="str">
        <f>TEXT(Data!B557,"MMM-YYYY")</f>
        <v>May-2023</v>
      </c>
      <c r="G557" s="4" t="str">
        <f t="shared" si="67"/>
        <v>Q3-2024</v>
      </c>
      <c r="H557" t="s">
        <v>45</v>
      </c>
      <c r="I557" t="s">
        <v>46</v>
      </c>
      <c r="J557" t="s">
        <v>214</v>
      </c>
      <c r="K557" t="s">
        <v>27</v>
      </c>
      <c r="L557" t="s">
        <v>28</v>
      </c>
      <c r="M557" t="s">
        <v>34</v>
      </c>
      <c r="N557" t="s">
        <v>42</v>
      </c>
      <c r="O557" t="s">
        <v>1211</v>
      </c>
      <c r="P557" s="4">
        <v>1189.03</v>
      </c>
      <c r="Q557" s="7" t="str">
        <f t="shared" si="68"/>
        <v>High</v>
      </c>
      <c r="R557" s="4">
        <v>2949.62</v>
      </c>
      <c r="S557" s="4">
        <v>0.125</v>
      </c>
      <c r="T557" s="4">
        <v>13</v>
      </c>
      <c r="U557" s="4">
        <f t="shared" si="64"/>
        <v>23507.575000000001</v>
      </c>
      <c r="V557">
        <f t="shared" si="65"/>
        <v>15457.39</v>
      </c>
      <c r="W557" s="4">
        <f t="shared" si="69"/>
        <v>8050.1850000000013</v>
      </c>
      <c r="X557" s="4">
        <f t="shared" si="70"/>
        <v>0.34245067813247437</v>
      </c>
    </row>
    <row r="558" spans="1:24" x14ac:dyDescent="0.3">
      <c r="A558" t="s">
        <v>1212</v>
      </c>
      <c r="B558" s="6">
        <v>45053</v>
      </c>
      <c r="C558" s="2">
        <v>45066</v>
      </c>
      <c r="D558" s="4">
        <f t="shared" si="71"/>
        <v>13</v>
      </c>
      <c r="E558" s="46" t="b">
        <f t="shared" si="66"/>
        <v>0</v>
      </c>
      <c r="F558" s="4" t="str">
        <f>TEXT(Data!B558,"MMM-YYYY")</f>
        <v>May-2025</v>
      </c>
      <c r="G558" s="4" t="str">
        <f t="shared" si="67"/>
        <v>Q2-2023</v>
      </c>
      <c r="H558" t="s">
        <v>45</v>
      </c>
      <c r="I558" t="s">
        <v>60</v>
      </c>
      <c r="J558" t="s">
        <v>220</v>
      </c>
      <c r="K558" t="s">
        <v>105</v>
      </c>
      <c r="L558" t="s">
        <v>20</v>
      </c>
      <c r="M558" t="s">
        <v>145</v>
      </c>
      <c r="N558" t="s">
        <v>81</v>
      </c>
      <c r="O558" t="s">
        <v>1213</v>
      </c>
      <c r="P558" s="4">
        <v>1443.28</v>
      </c>
      <c r="Q558" s="7" t="str">
        <f t="shared" si="68"/>
        <v>High</v>
      </c>
      <c r="R558" s="4">
        <v>2580.5700000000002</v>
      </c>
      <c r="S558" s="4">
        <v>0</v>
      </c>
      <c r="T558" s="4">
        <v>18</v>
      </c>
      <c r="U558" s="4">
        <f t="shared" si="64"/>
        <v>1551.6000000000001</v>
      </c>
      <c r="V558">
        <f t="shared" si="65"/>
        <v>25979.040000000001</v>
      </c>
      <c r="W558" s="4">
        <f t="shared" si="69"/>
        <v>-24427.440000000002</v>
      </c>
      <c r="X558" s="4">
        <f t="shared" si="70"/>
        <v>-15.74338747099768</v>
      </c>
    </row>
    <row r="559" spans="1:24" x14ac:dyDescent="0.3">
      <c r="A559" t="s">
        <v>1214</v>
      </c>
      <c r="B559" s="6">
        <v>45791</v>
      </c>
      <c r="C559" s="2">
        <v>45789</v>
      </c>
      <c r="D559" s="4">
        <f>DATEDIF(C559,B559, "MD")</f>
        <v>2</v>
      </c>
      <c r="E559" s="46" t="str">
        <f t="shared" si="66"/>
        <v>Yes</v>
      </c>
      <c r="F559" s="4" t="str">
        <f>TEXT(Data!B559,"MMM-YYYY")</f>
        <v>Mar-2024</v>
      </c>
      <c r="G559" s="4" t="str">
        <f t="shared" si="67"/>
        <v>Q2-2025</v>
      </c>
      <c r="H559" t="s">
        <v>52</v>
      </c>
      <c r="I559" t="s">
        <v>53</v>
      </c>
      <c r="J559" t="s">
        <v>179</v>
      </c>
      <c r="K559" t="s">
        <v>39</v>
      </c>
      <c r="L559" t="s">
        <v>55</v>
      </c>
      <c r="M559" t="s">
        <v>84</v>
      </c>
      <c r="N559" t="s">
        <v>30</v>
      </c>
      <c r="O559" t="s">
        <v>1215</v>
      </c>
      <c r="P559" s="4">
        <v>883.5</v>
      </c>
      <c r="Q559" s="7" t="str">
        <f t="shared" si="68"/>
        <v>High</v>
      </c>
      <c r="R559" s="4">
        <v>1978.91</v>
      </c>
      <c r="S559" s="4">
        <v>5.3999999999999999E-2</v>
      </c>
      <c r="T559" s="4">
        <v>27</v>
      </c>
      <c r="U559" s="4">
        <f t="shared" si="64"/>
        <v>58944.550499999998</v>
      </c>
      <c r="V559">
        <f t="shared" si="65"/>
        <v>23854.5</v>
      </c>
      <c r="W559" s="4">
        <f t="shared" si="69"/>
        <v>35090.050499999998</v>
      </c>
      <c r="X559" s="4">
        <f t="shared" si="70"/>
        <v>0.59530610043416987</v>
      </c>
    </row>
    <row r="560" spans="1:24" x14ac:dyDescent="0.3">
      <c r="A560" t="s">
        <v>1216</v>
      </c>
      <c r="B560" s="6">
        <v>45362</v>
      </c>
      <c r="C560" s="2">
        <v>45380</v>
      </c>
      <c r="D560" s="4">
        <f t="shared" si="71"/>
        <v>18</v>
      </c>
      <c r="E560" s="46" t="b">
        <f t="shared" si="66"/>
        <v>0</v>
      </c>
      <c r="F560" s="4" t="str">
        <f>TEXT(Data!B560,"MMM-YYYY")</f>
        <v>May-2024</v>
      </c>
      <c r="G560" s="4" t="str">
        <f t="shared" si="67"/>
        <v>Q1-2024</v>
      </c>
      <c r="H560" t="s">
        <v>52</v>
      </c>
      <c r="I560" t="s">
        <v>122</v>
      </c>
      <c r="J560" t="s">
        <v>387</v>
      </c>
      <c r="K560" t="s">
        <v>19</v>
      </c>
      <c r="L560" t="s">
        <v>20</v>
      </c>
      <c r="M560" t="s">
        <v>110</v>
      </c>
      <c r="N560" t="s">
        <v>64</v>
      </c>
      <c r="O560" t="s">
        <v>1217</v>
      </c>
      <c r="P560" s="4">
        <v>710.98</v>
      </c>
      <c r="Q560" s="7" t="str">
        <f t="shared" si="68"/>
        <v>High</v>
      </c>
      <c r="R560" s="4">
        <v>1481.45</v>
      </c>
      <c r="S560" s="4">
        <v>0.21099999999999999</v>
      </c>
      <c r="T560" s="4">
        <v>9</v>
      </c>
      <c r="U560" s="4">
        <f t="shared" si="64"/>
        <v>7902.0638099999996</v>
      </c>
      <c r="V560">
        <f t="shared" si="65"/>
        <v>6398.82</v>
      </c>
      <c r="W560" s="4">
        <f t="shared" si="69"/>
        <v>1503.2438099999999</v>
      </c>
      <c r="X560" s="4">
        <f t="shared" si="70"/>
        <v>0.19023432942893434</v>
      </c>
    </row>
    <row r="561" spans="1:24" x14ac:dyDescent="0.3">
      <c r="A561" t="s">
        <v>1218</v>
      </c>
      <c r="B561" s="6">
        <v>45430</v>
      </c>
      <c r="C561" s="2">
        <v>45434</v>
      </c>
      <c r="D561" s="4">
        <f t="shared" si="71"/>
        <v>4</v>
      </c>
      <c r="E561" s="46" t="str">
        <f t="shared" si="66"/>
        <v>Yes</v>
      </c>
      <c r="F561" s="4" t="str">
        <f>TEXT(Data!B561,"MMM-YYYY")</f>
        <v>Jan-2024</v>
      </c>
      <c r="G561" s="4" t="str">
        <f t="shared" si="67"/>
        <v>Q2-2024</v>
      </c>
      <c r="H561" t="s">
        <v>16</v>
      </c>
      <c r="I561" t="s">
        <v>17</v>
      </c>
      <c r="J561" t="s">
        <v>33</v>
      </c>
      <c r="K561" t="s">
        <v>19</v>
      </c>
      <c r="L561" t="s">
        <v>98</v>
      </c>
      <c r="M561" t="s">
        <v>92</v>
      </c>
      <c r="N561" t="s">
        <v>81</v>
      </c>
      <c r="O561" t="s">
        <v>1219</v>
      </c>
      <c r="P561" s="4">
        <v>857.42</v>
      </c>
      <c r="Q561" s="7" t="str">
        <f t="shared" si="68"/>
        <v>High</v>
      </c>
      <c r="R561" s="4">
        <v>1658.92</v>
      </c>
      <c r="S561" s="4">
        <v>0.122</v>
      </c>
      <c r="T561" s="4">
        <v>9</v>
      </c>
      <c r="U561" s="4">
        <f t="shared" si="64"/>
        <v>8897.572979999999</v>
      </c>
      <c r="V561">
        <f t="shared" si="65"/>
        <v>7716.78</v>
      </c>
      <c r="W561" s="4">
        <f t="shared" si="69"/>
        <v>1180.7929799999993</v>
      </c>
      <c r="X561" s="4">
        <f t="shared" si="70"/>
        <v>0.13270955828675871</v>
      </c>
    </row>
    <row r="562" spans="1:24" x14ac:dyDescent="0.3">
      <c r="A562" t="s">
        <v>1220</v>
      </c>
      <c r="B562" s="6">
        <v>45299</v>
      </c>
      <c r="C562" s="2">
        <v>45303</v>
      </c>
      <c r="D562" s="4">
        <f t="shared" si="71"/>
        <v>4</v>
      </c>
      <c r="E562" s="46" t="str">
        <f t="shared" si="66"/>
        <v>Yes</v>
      </c>
      <c r="F562" s="4" t="str">
        <f>TEXT(Data!B562,"MMM-YYYY")</f>
        <v>Oct-2024</v>
      </c>
      <c r="G562" s="4" t="str">
        <f t="shared" si="67"/>
        <v>Q1-2024</v>
      </c>
      <c r="H562" t="s">
        <v>45</v>
      </c>
      <c r="I562" t="s">
        <v>60</v>
      </c>
      <c r="J562" t="s">
        <v>61</v>
      </c>
      <c r="K562" t="s">
        <v>19</v>
      </c>
      <c r="L562" t="s">
        <v>98</v>
      </c>
      <c r="M562" t="s">
        <v>63</v>
      </c>
      <c r="N562" t="s">
        <v>30</v>
      </c>
      <c r="O562" t="s">
        <v>1221</v>
      </c>
      <c r="P562" s="4">
        <v>802.32</v>
      </c>
      <c r="Q562" s="7" t="str">
        <f t="shared" si="68"/>
        <v>High</v>
      </c>
      <c r="R562" s="4">
        <v>602.34</v>
      </c>
      <c r="S562" s="4">
        <v>0.12</v>
      </c>
      <c r="T562" s="4">
        <v>25</v>
      </c>
      <c r="U562" s="4">
        <f t="shared" si="64"/>
        <v>2719.64</v>
      </c>
      <c r="V562">
        <f t="shared" si="65"/>
        <v>20058</v>
      </c>
      <c r="W562" s="4">
        <f t="shared" si="69"/>
        <v>-17338.36</v>
      </c>
      <c r="X562" s="4">
        <f t="shared" si="70"/>
        <v>-6.3752408406995045</v>
      </c>
    </row>
    <row r="563" spans="1:24" x14ac:dyDescent="0.3">
      <c r="A563" t="s">
        <v>1222</v>
      </c>
      <c r="B563" s="6">
        <v>45590</v>
      </c>
      <c r="C563" s="2">
        <v>45601</v>
      </c>
      <c r="D563" s="4">
        <f t="shared" si="71"/>
        <v>11</v>
      </c>
      <c r="E563" s="46" t="b">
        <f t="shared" si="66"/>
        <v>0</v>
      </c>
      <c r="F563" s="4" t="str">
        <f>TEXT(Data!B563,"MMM-YYYY")</f>
        <v>Nov-2024</v>
      </c>
      <c r="G563" s="4" t="str">
        <f t="shared" si="67"/>
        <v>Q4-2024</v>
      </c>
      <c r="H563" t="s">
        <v>52</v>
      </c>
      <c r="I563" t="s">
        <v>122</v>
      </c>
      <c r="J563" t="s">
        <v>387</v>
      </c>
      <c r="K563" t="s">
        <v>19</v>
      </c>
      <c r="L563" t="s">
        <v>55</v>
      </c>
      <c r="M563" t="s">
        <v>126</v>
      </c>
      <c r="N563" t="s">
        <v>22</v>
      </c>
      <c r="O563" t="s">
        <v>1223</v>
      </c>
      <c r="P563" s="4">
        <v>446.66</v>
      </c>
      <c r="Q563" s="7" t="str">
        <f t="shared" si="68"/>
        <v>High</v>
      </c>
      <c r="R563" s="4">
        <v>527.64</v>
      </c>
      <c r="S563" s="4">
        <v>0.14499999999999999</v>
      </c>
      <c r="T563" s="4">
        <v>15</v>
      </c>
      <c r="U563" s="4">
        <f t="shared" si="64"/>
        <v>22209.693749999999</v>
      </c>
      <c r="V563">
        <f t="shared" si="65"/>
        <v>6699.9000000000005</v>
      </c>
      <c r="W563" s="4">
        <f t="shared" si="69"/>
        <v>15509.793749999997</v>
      </c>
      <c r="X563" s="4">
        <f t="shared" si="70"/>
        <v>0.6983344266059498</v>
      </c>
    </row>
    <row r="564" spans="1:24" x14ac:dyDescent="0.3">
      <c r="A564" t="s">
        <v>1224</v>
      </c>
      <c r="B564" s="6">
        <v>45626</v>
      </c>
      <c r="C564" s="2">
        <v>45645</v>
      </c>
      <c r="D564" s="4">
        <f t="shared" si="71"/>
        <v>19</v>
      </c>
      <c r="E564" s="46" t="b">
        <f t="shared" si="66"/>
        <v>0</v>
      </c>
      <c r="F564" s="4" t="str">
        <f>TEXT(Data!B564,"MMM-YYYY")</f>
        <v>Apr-2023</v>
      </c>
      <c r="G564" s="4" t="str">
        <f t="shared" si="67"/>
        <v>Q4-2024</v>
      </c>
      <c r="H564" t="s">
        <v>16</v>
      </c>
      <c r="I564" t="s">
        <v>17</v>
      </c>
      <c r="J564" t="s">
        <v>18</v>
      </c>
      <c r="K564" t="s">
        <v>19</v>
      </c>
      <c r="L564" t="s">
        <v>28</v>
      </c>
      <c r="M564" t="s">
        <v>49</v>
      </c>
      <c r="N564" t="s">
        <v>42</v>
      </c>
      <c r="O564" t="s">
        <v>1225</v>
      </c>
      <c r="P564" s="4">
        <v>1195.98</v>
      </c>
      <c r="Q564" s="7" t="str">
        <f t="shared" si="68"/>
        <v>High</v>
      </c>
      <c r="R564" s="4">
        <v>1841.9</v>
      </c>
      <c r="S564" s="4">
        <v>5.5E-2</v>
      </c>
      <c r="T564" s="4">
        <v>19</v>
      </c>
      <c r="U564" s="4">
        <f t="shared" si="64"/>
        <v>54978.38955</v>
      </c>
      <c r="V564">
        <f t="shared" si="65"/>
        <v>22723.62</v>
      </c>
      <c r="W564" s="4">
        <f t="shared" si="69"/>
        <v>32254.769550000001</v>
      </c>
      <c r="X564" s="4">
        <f t="shared" si="70"/>
        <v>0.58668087250293055</v>
      </c>
    </row>
    <row r="565" spans="1:24" x14ac:dyDescent="0.3">
      <c r="A565" t="s">
        <v>1226</v>
      </c>
      <c r="B565" s="6">
        <v>45029</v>
      </c>
      <c r="C565" s="2">
        <v>45048</v>
      </c>
      <c r="D565" s="4">
        <f t="shared" si="71"/>
        <v>19</v>
      </c>
      <c r="E565" s="46" t="b">
        <f t="shared" si="66"/>
        <v>0</v>
      </c>
      <c r="F565" s="4" t="str">
        <f>TEXT(Data!B565,"MMM-YYYY")</f>
        <v>Feb-2025</v>
      </c>
      <c r="G565" s="4" t="str">
        <f t="shared" si="67"/>
        <v>Q2-2023</v>
      </c>
      <c r="H565" t="s">
        <v>52</v>
      </c>
      <c r="I565" t="s">
        <v>53</v>
      </c>
      <c r="J565" t="s">
        <v>144</v>
      </c>
      <c r="K565" t="s">
        <v>48</v>
      </c>
      <c r="L565" t="s">
        <v>55</v>
      </c>
      <c r="M565" t="s">
        <v>63</v>
      </c>
      <c r="N565" t="s">
        <v>64</v>
      </c>
      <c r="O565" t="s">
        <v>1227</v>
      </c>
      <c r="P565" s="4">
        <v>671.05</v>
      </c>
      <c r="Q565" s="7" t="str">
        <f t="shared" si="68"/>
        <v>High</v>
      </c>
      <c r="R565" s="4">
        <v>1645.48</v>
      </c>
      <c r="S565" s="4">
        <v>0.13700000000000001</v>
      </c>
      <c r="T565" s="4">
        <v>6</v>
      </c>
      <c r="U565" s="4">
        <f t="shared" si="64"/>
        <v>11393.722979999999</v>
      </c>
      <c r="V565">
        <f t="shared" si="65"/>
        <v>4026.2999999999997</v>
      </c>
      <c r="W565" s="4">
        <f t="shared" si="69"/>
        <v>7367.4229799999994</v>
      </c>
      <c r="X565" s="4">
        <f t="shared" si="70"/>
        <v>0.64662121353419111</v>
      </c>
    </row>
    <row r="566" spans="1:24" x14ac:dyDescent="0.3">
      <c r="A566" t="s">
        <v>1228</v>
      </c>
      <c r="B566" s="6">
        <v>45692</v>
      </c>
      <c r="C566" s="2">
        <v>45696</v>
      </c>
      <c r="D566" s="4">
        <f t="shared" si="71"/>
        <v>4</v>
      </c>
      <c r="E566" s="46" t="str">
        <f t="shared" si="66"/>
        <v>Yes</v>
      </c>
      <c r="F566" s="4" t="str">
        <f>TEXT(Data!B566,"MMM-YYYY")</f>
        <v>Jan-2024</v>
      </c>
      <c r="G566" s="4" t="str">
        <f t="shared" si="67"/>
        <v>Q1-2025</v>
      </c>
      <c r="H566" t="s">
        <v>78</v>
      </c>
      <c r="I566" t="s">
        <v>108</v>
      </c>
      <c r="J566" t="s">
        <v>228</v>
      </c>
      <c r="K566" t="s">
        <v>105</v>
      </c>
      <c r="L566" t="s">
        <v>40</v>
      </c>
      <c r="M566" t="s">
        <v>49</v>
      </c>
      <c r="N566" t="s">
        <v>35</v>
      </c>
      <c r="O566" t="s">
        <v>1229</v>
      </c>
      <c r="P566" s="4">
        <v>586.21</v>
      </c>
      <c r="Q566" s="7" t="str">
        <f t="shared" si="68"/>
        <v>High</v>
      </c>
      <c r="R566" s="4">
        <v>727.22</v>
      </c>
      <c r="S566" s="4">
        <v>6.8000000000000005E-2</v>
      </c>
      <c r="T566" s="4">
        <v>15</v>
      </c>
      <c r="U566" s="4">
        <f t="shared" si="64"/>
        <v>8408.8302000000003</v>
      </c>
      <c r="V566">
        <f t="shared" si="65"/>
        <v>8793.1500000000015</v>
      </c>
      <c r="W566" s="4">
        <f t="shared" si="69"/>
        <v>-384.31980000000112</v>
      </c>
      <c r="X566" s="4">
        <f t="shared" si="70"/>
        <v>-4.5704312117041096E-2</v>
      </c>
    </row>
    <row r="567" spans="1:24" x14ac:dyDescent="0.3">
      <c r="A567" t="s">
        <v>1230</v>
      </c>
      <c r="B567" s="6">
        <v>45315</v>
      </c>
      <c r="C567" s="2">
        <v>45326</v>
      </c>
      <c r="D567" s="4">
        <f t="shared" si="71"/>
        <v>11</v>
      </c>
      <c r="E567" s="46" t="b">
        <f t="shared" si="66"/>
        <v>0</v>
      </c>
      <c r="F567" s="4" t="str">
        <f>TEXT(Data!B567,"MMM-YYYY")</f>
        <v>Feb-2024</v>
      </c>
      <c r="G567" s="4" t="str">
        <f t="shared" si="67"/>
        <v>Q1-2024</v>
      </c>
      <c r="H567" t="s">
        <v>78</v>
      </c>
      <c r="I567" t="s">
        <v>108</v>
      </c>
      <c r="J567" t="s">
        <v>228</v>
      </c>
      <c r="K567" t="s">
        <v>48</v>
      </c>
      <c r="L567" t="s">
        <v>20</v>
      </c>
      <c r="M567" t="s">
        <v>56</v>
      </c>
      <c r="N567" t="s">
        <v>57</v>
      </c>
      <c r="O567" t="s">
        <v>1231</v>
      </c>
      <c r="P567" s="4">
        <v>525.34</v>
      </c>
      <c r="Q567" s="7" t="str">
        <f t="shared" si="68"/>
        <v>High</v>
      </c>
      <c r="R567" s="4">
        <v>1233.79</v>
      </c>
      <c r="S567" s="4">
        <v>0.14299999999999999</v>
      </c>
      <c r="T567" s="4">
        <v>4</v>
      </c>
      <c r="U567" s="4">
        <f t="shared" si="64"/>
        <v>3248.9555599999999</v>
      </c>
      <c r="V567">
        <f t="shared" si="65"/>
        <v>2101.36</v>
      </c>
      <c r="W567" s="4">
        <f t="shared" si="69"/>
        <v>1147.5955599999998</v>
      </c>
      <c r="X567" s="4">
        <f t="shared" si="70"/>
        <v>0.35321983905498533</v>
      </c>
    </row>
    <row r="568" spans="1:24" x14ac:dyDescent="0.3">
      <c r="A568" t="s">
        <v>1232</v>
      </c>
      <c r="B568" s="6">
        <v>45330</v>
      </c>
      <c r="C568" s="2">
        <v>45331</v>
      </c>
      <c r="D568" s="4">
        <f t="shared" si="71"/>
        <v>1</v>
      </c>
      <c r="E568" s="46" t="str">
        <f t="shared" si="66"/>
        <v>Yes</v>
      </c>
      <c r="F568" s="4" t="str">
        <f>TEXT(Data!B568,"MMM-YYYY")</f>
        <v>Jun-2025</v>
      </c>
      <c r="G568" s="4" t="str">
        <f t="shared" si="67"/>
        <v>Q1-2024</v>
      </c>
      <c r="H568" t="s">
        <v>16</v>
      </c>
      <c r="I568" t="s">
        <v>17</v>
      </c>
      <c r="J568" t="s">
        <v>113</v>
      </c>
      <c r="K568" t="s">
        <v>19</v>
      </c>
      <c r="L568" t="s">
        <v>98</v>
      </c>
      <c r="M568" t="s">
        <v>84</v>
      </c>
      <c r="N568" t="s">
        <v>22</v>
      </c>
      <c r="O568" t="s">
        <v>1233</v>
      </c>
      <c r="P568" s="4">
        <v>1233.52</v>
      </c>
      <c r="Q568" s="7" t="str">
        <f t="shared" si="68"/>
        <v>High</v>
      </c>
      <c r="R568" s="4">
        <v>1543.76</v>
      </c>
      <c r="S568" s="4">
        <v>0.126</v>
      </c>
      <c r="T568" s="4">
        <v>13</v>
      </c>
      <c r="U568" s="4">
        <f t="shared" si="64"/>
        <v>26490.27576</v>
      </c>
      <c r="V568">
        <f t="shared" si="65"/>
        <v>16035.76</v>
      </c>
      <c r="W568" s="4">
        <f t="shared" si="69"/>
        <v>10454.51576</v>
      </c>
      <c r="X568" s="4">
        <f t="shared" si="70"/>
        <v>0.39465484824382968</v>
      </c>
    </row>
    <row r="569" spans="1:24" x14ac:dyDescent="0.3">
      <c r="A569" t="s">
        <v>1234</v>
      </c>
      <c r="B569" s="6">
        <v>45834</v>
      </c>
      <c r="C569" s="2">
        <v>45849</v>
      </c>
      <c r="D569" s="4">
        <f t="shared" si="71"/>
        <v>15</v>
      </c>
      <c r="E569" s="46" t="b">
        <f t="shared" si="66"/>
        <v>0</v>
      </c>
      <c r="F569" s="4" t="str">
        <f>TEXT(Data!B569,"MMM-YYYY")</f>
        <v>Nov-2024</v>
      </c>
      <c r="G569" s="4" t="str">
        <f t="shared" si="67"/>
        <v>Q2-2025</v>
      </c>
      <c r="H569" t="s">
        <v>16</v>
      </c>
      <c r="I569" t="s">
        <v>25</v>
      </c>
      <c r="J569" t="s">
        <v>26</v>
      </c>
      <c r="K569" t="s">
        <v>62</v>
      </c>
      <c r="L569" t="s">
        <v>28</v>
      </c>
      <c r="M569" t="s">
        <v>75</v>
      </c>
      <c r="N569" t="s">
        <v>57</v>
      </c>
      <c r="O569" t="s">
        <v>1235</v>
      </c>
      <c r="P569" s="4">
        <v>1170.1500000000001</v>
      </c>
      <c r="Q569" s="7" t="str">
        <f t="shared" si="68"/>
        <v>High</v>
      </c>
      <c r="R569" s="4">
        <v>2115.19</v>
      </c>
      <c r="S569" s="4">
        <v>9.1999999999999998E-2</v>
      </c>
      <c r="T569" s="4">
        <v>23</v>
      </c>
      <c r="U569" s="4">
        <f t="shared" si="64"/>
        <v>29597.640160000003</v>
      </c>
      <c r="V569">
        <f t="shared" si="65"/>
        <v>26913.45</v>
      </c>
      <c r="W569" s="4">
        <f t="shared" si="69"/>
        <v>2684.1901600000019</v>
      </c>
      <c r="X569" s="4">
        <f t="shared" si="70"/>
        <v>9.0689330145569333E-2</v>
      </c>
    </row>
    <row r="570" spans="1:24" x14ac:dyDescent="0.3">
      <c r="A570" t="s">
        <v>1236</v>
      </c>
      <c r="B570" s="6">
        <v>45600</v>
      </c>
      <c r="C570" s="2">
        <v>45603</v>
      </c>
      <c r="D570" s="4">
        <f t="shared" si="71"/>
        <v>3</v>
      </c>
      <c r="E570" s="46" t="str">
        <f t="shared" si="66"/>
        <v>Yes</v>
      </c>
      <c r="F570" s="4" t="str">
        <f>TEXT(Data!B570,"MMM-YYYY")</f>
        <v>Feb-2024</v>
      </c>
      <c r="G570" s="4" t="str">
        <f t="shared" si="67"/>
        <v>Q4-2024</v>
      </c>
      <c r="H570" t="s">
        <v>78</v>
      </c>
      <c r="I570" t="s">
        <v>90</v>
      </c>
      <c r="J570" t="s">
        <v>138</v>
      </c>
      <c r="K570" t="s">
        <v>19</v>
      </c>
      <c r="L570" t="s">
        <v>28</v>
      </c>
      <c r="M570" t="s">
        <v>68</v>
      </c>
      <c r="N570" t="s">
        <v>64</v>
      </c>
      <c r="O570" t="s">
        <v>1237</v>
      </c>
      <c r="P570" s="4">
        <v>740.68</v>
      </c>
      <c r="Q570" s="7" t="str">
        <f t="shared" si="68"/>
        <v>High</v>
      </c>
      <c r="R570" s="4">
        <v>1837.19</v>
      </c>
      <c r="S570" s="4">
        <v>0.19700000000000001</v>
      </c>
      <c r="T570" s="4">
        <v>17</v>
      </c>
      <c r="U570" s="4">
        <f t="shared" si="64"/>
        <v>9548.8744999999999</v>
      </c>
      <c r="V570">
        <f t="shared" si="65"/>
        <v>12591.56</v>
      </c>
      <c r="W570" s="4">
        <f t="shared" si="69"/>
        <v>-3042.6854999999996</v>
      </c>
      <c r="X570" s="4">
        <f t="shared" si="70"/>
        <v>-0.31864336472324561</v>
      </c>
    </row>
    <row r="571" spans="1:24" x14ac:dyDescent="0.3">
      <c r="A571" t="s">
        <v>1238</v>
      </c>
      <c r="B571" s="6">
        <v>45342</v>
      </c>
      <c r="C571" s="2">
        <v>45342</v>
      </c>
      <c r="D571" s="4">
        <f t="shared" si="71"/>
        <v>0</v>
      </c>
      <c r="E571" s="46" t="str">
        <f t="shared" si="66"/>
        <v>Yes</v>
      </c>
      <c r="F571" s="4" t="str">
        <f>TEXT(Data!B571,"MMM-YYYY")</f>
        <v>Apr-2025</v>
      </c>
      <c r="G571" s="4" t="str">
        <f t="shared" si="67"/>
        <v>Q1-2024</v>
      </c>
      <c r="H571" t="s">
        <v>52</v>
      </c>
      <c r="I571" t="s">
        <v>122</v>
      </c>
      <c r="J571" t="s">
        <v>387</v>
      </c>
      <c r="K571" t="s">
        <v>105</v>
      </c>
      <c r="L571" t="s">
        <v>28</v>
      </c>
      <c r="M571" t="s">
        <v>21</v>
      </c>
      <c r="N571" t="s">
        <v>35</v>
      </c>
      <c r="O571" t="s">
        <v>1239</v>
      </c>
      <c r="P571" s="4">
        <v>1407.05</v>
      </c>
      <c r="Q571" s="7" t="str">
        <f t="shared" si="68"/>
        <v>High</v>
      </c>
      <c r="R571" s="4">
        <v>2858.93</v>
      </c>
      <c r="S571" s="4">
        <v>0</v>
      </c>
      <c r="T571" s="4">
        <v>12</v>
      </c>
      <c r="U571" s="4">
        <f t="shared" si="64"/>
        <v>21446.400000000001</v>
      </c>
      <c r="V571">
        <f t="shared" si="65"/>
        <v>16884.599999999999</v>
      </c>
      <c r="W571" s="4">
        <f t="shared" si="69"/>
        <v>4561.8000000000029</v>
      </c>
      <c r="X571" s="4">
        <f t="shared" si="70"/>
        <v>0.2127070277529097</v>
      </c>
    </row>
    <row r="572" spans="1:24" x14ac:dyDescent="0.3">
      <c r="A572" t="s">
        <v>1240</v>
      </c>
      <c r="B572" s="6">
        <v>45760</v>
      </c>
      <c r="C572" s="2">
        <v>45761</v>
      </c>
      <c r="D572" s="4">
        <f t="shared" si="71"/>
        <v>1</v>
      </c>
      <c r="E572" s="46" t="str">
        <f t="shared" si="66"/>
        <v>Yes</v>
      </c>
      <c r="F572" s="4" t="str">
        <f>TEXT(Data!B572,"MMM-YYYY")</f>
        <v>Jun-2023</v>
      </c>
      <c r="G572" s="4" t="str">
        <f t="shared" si="67"/>
        <v>Q2-2025</v>
      </c>
      <c r="H572" t="s">
        <v>45</v>
      </c>
      <c r="I572" t="s">
        <v>46</v>
      </c>
      <c r="J572" t="s">
        <v>47</v>
      </c>
      <c r="K572" t="s">
        <v>105</v>
      </c>
      <c r="L572" t="s">
        <v>28</v>
      </c>
      <c r="M572" t="s">
        <v>41</v>
      </c>
      <c r="N572" t="s">
        <v>22</v>
      </c>
      <c r="O572" t="s">
        <v>1241</v>
      </c>
      <c r="P572" s="4">
        <v>138.9</v>
      </c>
      <c r="Q572" s="7" t="str">
        <f t="shared" si="68"/>
        <v>High</v>
      </c>
      <c r="R572" s="4">
        <v>289.92</v>
      </c>
      <c r="S572" s="4">
        <v>2.9000000000000001E-2</v>
      </c>
      <c r="T572" s="4">
        <v>12</v>
      </c>
      <c r="U572" s="4">
        <f t="shared" si="64"/>
        <v>19793.834999999999</v>
      </c>
      <c r="V572">
        <f t="shared" si="65"/>
        <v>1666.8000000000002</v>
      </c>
      <c r="W572" s="4">
        <f t="shared" si="69"/>
        <v>18127.035</v>
      </c>
      <c r="X572" s="4">
        <f t="shared" si="70"/>
        <v>0.91579196249741401</v>
      </c>
    </row>
    <row r="573" spans="1:24" x14ac:dyDescent="0.3">
      <c r="A573" t="s">
        <v>1242</v>
      </c>
      <c r="B573" s="6">
        <v>45078</v>
      </c>
      <c r="C573" s="2">
        <v>45078</v>
      </c>
      <c r="D573" s="4">
        <f t="shared" si="71"/>
        <v>0</v>
      </c>
      <c r="E573" s="46" t="str">
        <f t="shared" si="66"/>
        <v>Yes</v>
      </c>
      <c r="F573" s="4" t="str">
        <f>TEXT(Data!B573,"MMM-YYYY")</f>
        <v>Mar-2025</v>
      </c>
      <c r="G573" s="4" t="str">
        <f t="shared" si="67"/>
        <v>Q2-2023</v>
      </c>
      <c r="H573" t="s">
        <v>45</v>
      </c>
      <c r="I573" t="s">
        <v>60</v>
      </c>
      <c r="J573" t="s">
        <v>61</v>
      </c>
      <c r="K573" t="s">
        <v>19</v>
      </c>
      <c r="L573" t="s">
        <v>20</v>
      </c>
      <c r="M573" t="s">
        <v>63</v>
      </c>
      <c r="N573" t="s">
        <v>81</v>
      </c>
      <c r="O573" t="s">
        <v>1243</v>
      </c>
      <c r="P573" s="4">
        <v>669.37</v>
      </c>
      <c r="Q573" s="7" t="str">
        <f t="shared" si="68"/>
        <v>High</v>
      </c>
      <c r="R573" s="4">
        <v>997.2</v>
      </c>
      <c r="S573" s="4">
        <v>8.2000000000000003E-2</v>
      </c>
      <c r="T573" s="4">
        <v>5</v>
      </c>
      <c r="U573" s="4">
        <f t="shared" si="64"/>
        <v>3326.373</v>
      </c>
      <c r="V573">
        <f t="shared" si="65"/>
        <v>3346.85</v>
      </c>
      <c r="W573" s="4">
        <f t="shared" si="69"/>
        <v>-20.476999999999862</v>
      </c>
      <c r="X573" s="4">
        <f t="shared" si="70"/>
        <v>-6.1559542480653434E-3</v>
      </c>
    </row>
    <row r="574" spans="1:24" x14ac:dyDescent="0.3">
      <c r="A574" t="s">
        <v>1244</v>
      </c>
      <c r="B574" s="6">
        <v>45740</v>
      </c>
      <c r="C574" s="2">
        <v>45751</v>
      </c>
      <c r="D574" s="4">
        <f t="shared" si="71"/>
        <v>11</v>
      </c>
      <c r="E574" s="46" t="b">
        <f t="shared" si="66"/>
        <v>0</v>
      </c>
      <c r="F574" s="4" t="str">
        <f>TEXT(Data!B574,"MMM-YYYY")</f>
        <v>Jan-2024</v>
      </c>
      <c r="G574" s="4" t="str">
        <f t="shared" si="67"/>
        <v>Q1-2025</v>
      </c>
      <c r="H574" t="s">
        <v>45</v>
      </c>
      <c r="I574" t="s">
        <v>60</v>
      </c>
      <c r="J574" t="s">
        <v>220</v>
      </c>
      <c r="K574" t="s">
        <v>27</v>
      </c>
      <c r="L574" t="s">
        <v>40</v>
      </c>
      <c r="M574" t="s">
        <v>29</v>
      </c>
      <c r="N574" t="s">
        <v>42</v>
      </c>
      <c r="O574" t="s">
        <v>1245</v>
      </c>
      <c r="P574" s="4">
        <v>23.83</v>
      </c>
      <c r="Q574" s="7" t="str">
        <f t="shared" si="68"/>
        <v>Low</v>
      </c>
      <c r="R574" s="4">
        <v>47.29</v>
      </c>
      <c r="S574" s="4">
        <v>6.4000000000000001E-2</v>
      </c>
      <c r="T574" s="4">
        <v>19</v>
      </c>
      <c r="U574" s="4">
        <f t="shared" si="64"/>
        <v>24114.036959999998</v>
      </c>
      <c r="V574">
        <f t="shared" si="65"/>
        <v>452.77</v>
      </c>
      <c r="W574" s="4">
        <f t="shared" si="69"/>
        <v>23661.266959999997</v>
      </c>
      <c r="X574" s="4">
        <f t="shared" si="70"/>
        <v>0.98122379920247083</v>
      </c>
    </row>
    <row r="575" spans="1:24" x14ac:dyDescent="0.3">
      <c r="A575" t="s">
        <v>1246</v>
      </c>
      <c r="B575" s="6">
        <v>45293</v>
      </c>
      <c r="C575" s="2">
        <v>45293</v>
      </c>
      <c r="D575" s="4">
        <f t="shared" si="71"/>
        <v>0</v>
      </c>
      <c r="E575" s="46" t="str">
        <f t="shared" si="66"/>
        <v>Yes</v>
      </c>
      <c r="F575" s="4" t="str">
        <f>TEXT(Data!B575,"MMM-YYYY")</f>
        <v>Dec-2023</v>
      </c>
      <c r="G575" s="4" t="str">
        <f t="shared" si="67"/>
        <v>Q1-2024</v>
      </c>
      <c r="H575" t="s">
        <v>52</v>
      </c>
      <c r="I575" t="s">
        <v>53</v>
      </c>
      <c r="J575" t="s">
        <v>179</v>
      </c>
      <c r="K575" t="s">
        <v>27</v>
      </c>
      <c r="L575" t="s">
        <v>98</v>
      </c>
      <c r="M575" t="s">
        <v>75</v>
      </c>
      <c r="N575" t="s">
        <v>57</v>
      </c>
      <c r="O575" t="s">
        <v>1247</v>
      </c>
      <c r="P575" s="4">
        <v>444.41</v>
      </c>
      <c r="Q575" s="7" t="str">
        <f t="shared" si="68"/>
        <v>High</v>
      </c>
      <c r="R575" s="4">
        <v>754.24</v>
      </c>
      <c r="S575" s="4">
        <v>0.20699999999999999</v>
      </c>
      <c r="T575" s="4">
        <v>32</v>
      </c>
      <c r="U575" s="4">
        <f t="shared" si="64"/>
        <v>6980.1763200000005</v>
      </c>
      <c r="V575">
        <f t="shared" si="65"/>
        <v>14221.12</v>
      </c>
      <c r="W575" s="4">
        <f t="shared" si="69"/>
        <v>-7240.9436800000003</v>
      </c>
      <c r="X575" s="4">
        <f t="shared" si="70"/>
        <v>-1.0373582769324659</v>
      </c>
    </row>
    <row r="576" spans="1:24" x14ac:dyDescent="0.3">
      <c r="A576" t="s">
        <v>1248</v>
      </c>
      <c r="B576" s="6">
        <v>45279</v>
      </c>
      <c r="C576" s="2">
        <v>45292</v>
      </c>
      <c r="D576" s="4">
        <f t="shared" si="71"/>
        <v>13</v>
      </c>
      <c r="E576" s="46" t="b">
        <f t="shared" si="66"/>
        <v>0</v>
      </c>
      <c r="F576" s="4" t="str">
        <f>TEXT(Data!B576,"MMM-YYYY")</f>
        <v>Apr-2023</v>
      </c>
      <c r="G576" s="4" t="str">
        <f t="shared" si="67"/>
        <v>Q4-2023</v>
      </c>
      <c r="H576" t="s">
        <v>52</v>
      </c>
      <c r="I576" t="s">
        <v>53</v>
      </c>
      <c r="J576" t="s">
        <v>54</v>
      </c>
      <c r="K576" t="s">
        <v>105</v>
      </c>
      <c r="L576" t="s">
        <v>20</v>
      </c>
      <c r="M576" t="s">
        <v>95</v>
      </c>
      <c r="N576" t="s">
        <v>64</v>
      </c>
      <c r="O576" t="s">
        <v>1249</v>
      </c>
      <c r="P576" s="4">
        <v>856.1</v>
      </c>
      <c r="Q576" s="7" t="str">
        <f t="shared" si="68"/>
        <v>High</v>
      </c>
      <c r="R576" s="4">
        <v>901.48</v>
      </c>
      <c r="S576" s="4">
        <v>5.6000000000000001E-2</v>
      </c>
      <c r="T576" s="4">
        <v>17</v>
      </c>
      <c r="U576" s="4">
        <f t="shared" si="64"/>
        <v>28925.557119999998</v>
      </c>
      <c r="V576">
        <f t="shared" si="65"/>
        <v>14553.7</v>
      </c>
      <c r="W576" s="4">
        <f t="shared" si="69"/>
        <v>14371.857119999997</v>
      </c>
      <c r="X576" s="4">
        <f t="shared" si="70"/>
        <v>0.49685670911634278</v>
      </c>
    </row>
    <row r="577" spans="1:24" x14ac:dyDescent="0.3">
      <c r="A577" t="s">
        <v>1250</v>
      </c>
      <c r="B577" s="6">
        <v>45042</v>
      </c>
      <c r="C577" s="2">
        <v>45042</v>
      </c>
      <c r="D577" s="4">
        <f t="shared" si="71"/>
        <v>0</v>
      </c>
      <c r="E577" s="46" t="str">
        <f t="shared" si="66"/>
        <v>Yes</v>
      </c>
      <c r="F577" s="4" t="str">
        <f>TEXT(Data!B577,"MMM-YYYY")</f>
        <v>Aug-2025</v>
      </c>
      <c r="G577" s="4" t="str">
        <f t="shared" si="67"/>
        <v>Q2-2023</v>
      </c>
      <c r="H577" t="s">
        <v>78</v>
      </c>
      <c r="I577" t="s">
        <v>90</v>
      </c>
      <c r="J577" t="s">
        <v>91</v>
      </c>
      <c r="K577" t="s">
        <v>48</v>
      </c>
      <c r="L577" t="s">
        <v>98</v>
      </c>
      <c r="M577" t="s">
        <v>110</v>
      </c>
      <c r="N577" t="s">
        <v>22</v>
      </c>
      <c r="O577" t="s">
        <v>1251</v>
      </c>
      <c r="P577" s="4">
        <v>81.489999999999995</v>
      </c>
      <c r="Q577" s="7" t="str">
        <f t="shared" si="68"/>
        <v>Medium</v>
      </c>
      <c r="R577" s="4">
        <v>113.08</v>
      </c>
      <c r="S577" s="4">
        <v>0.121</v>
      </c>
      <c r="T577" s="4">
        <v>5</v>
      </c>
      <c r="U577" s="4">
        <f t="shared" si="64"/>
        <v>5580.6830999999993</v>
      </c>
      <c r="V577">
        <f t="shared" si="65"/>
        <v>407.45</v>
      </c>
      <c r="W577" s="4">
        <f t="shared" si="69"/>
        <v>5173.2330999999995</v>
      </c>
      <c r="X577" s="4">
        <f t="shared" si="70"/>
        <v>0.92698922467036338</v>
      </c>
    </row>
    <row r="578" spans="1:24" x14ac:dyDescent="0.3">
      <c r="A578" t="s">
        <v>1252</v>
      </c>
      <c r="B578" s="6">
        <v>45872</v>
      </c>
      <c r="C578" s="2">
        <v>45885</v>
      </c>
      <c r="D578" s="4">
        <f t="shared" si="71"/>
        <v>13</v>
      </c>
      <c r="E578" s="46" t="b">
        <f t="shared" si="66"/>
        <v>0</v>
      </c>
      <c r="F578" s="4" t="str">
        <f>TEXT(Data!B578,"MMM-YYYY")</f>
        <v>Aug-2023</v>
      </c>
      <c r="G578" s="4" t="str">
        <f t="shared" si="67"/>
        <v>Q3-2025</v>
      </c>
      <c r="H578" t="s">
        <v>52</v>
      </c>
      <c r="I578" t="s">
        <v>53</v>
      </c>
      <c r="J578" t="s">
        <v>144</v>
      </c>
      <c r="K578" t="s">
        <v>105</v>
      </c>
      <c r="L578" t="s">
        <v>55</v>
      </c>
      <c r="M578" t="s">
        <v>68</v>
      </c>
      <c r="N578" t="s">
        <v>35</v>
      </c>
      <c r="O578" t="s">
        <v>1253</v>
      </c>
      <c r="P578" s="4">
        <v>698.66</v>
      </c>
      <c r="Q578" s="7" t="str">
        <f t="shared" si="68"/>
        <v>High</v>
      </c>
      <c r="R578" s="4">
        <v>868.62</v>
      </c>
      <c r="S578" s="4">
        <v>7.1999999999999995E-2</v>
      </c>
      <c r="T578" s="4">
        <v>15</v>
      </c>
      <c r="U578" s="4">
        <f t="shared" ref="U578:U633" si="72">(R604*T578)*(1-S578)</f>
        <v>7960.848</v>
      </c>
      <c r="V578">
        <f t="shared" ref="V578:V633" si="73">(P578*T578)</f>
        <v>10479.9</v>
      </c>
      <c r="W578" s="4">
        <f t="shared" si="69"/>
        <v>-2519.0519999999997</v>
      </c>
      <c r="X578" s="4">
        <f t="shared" si="70"/>
        <v>-0.31643010895321699</v>
      </c>
    </row>
    <row r="579" spans="1:24" x14ac:dyDescent="0.3">
      <c r="A579" t="s">
        <v>1254</v>
      </c>
      <c r="B579" s="6">
        <v>45140</v>
      </c>
      <c r="C579" s="2">
        <v>45157</v>
      </c>
      <c r="D579" s="4">
        <f t="shared" si="71"/>
        <v>17</v>
      </c>
      <c r="E579" s="46" t="b">
        <f t="shared" ref="E579:E633" si="74">IF(D579&lt;=7, "Yes")</f>
        <v>0</v>
      </c>
      <c r="F579" s="4" t="str">
        <f>TEXT(Data!B579,"MMM-YYYY")</f>
        <v>Jun-2023</v>
      </c>
      <c r="G579" s="4" t="str">
        <f t="shared" ref="G579:G633" si="75">"Q"&amp;ROUNDUP(MONTH(B579)/3,0)&amp;"-"&amp;YEAR(B579)</f>
        <v>Q3-2023</v>
      </c>
      <c r="H579" t="s">
        <v>52</v>
      </c>
      <c r="I579" t="s">
        <v>53</v>
      </c>
      <c r="J579" t="s">
        <v>179</v>
      </c>
      <c r="K579" t="s">
        <v>19</v>
      </c>
      <c r="L579" t="s">
        <v>28</v>
      </c>
      <c r="M579" t="s">
        <v>84</v>
      </c>
      <c r="N579" t="s">
        <v>35</v>
      </c>
      <c r="O579" t="s">
        <v>1255</v>
      </c>
      <c r="P579" s="4">
        <v>175.38</v>
      </c>
      <c r="Q579" s="7" t="str">
        <f t="shared" ref="Q579:Q633" si="76">IF(R579&lt;50, "Low", IF(R579&lt;200, "Medium", "High"))</f>
        <v>High</v>
      </c>
      <c r="R579" s="4">
        <v>347.9</v>
      </c>
      <c r="S579" s="4">
        <v>7.1999999999999995E-2</v>
      </c>
      <c r="T579" s="4">
        <v>43</v>
      </c>
      <c r="U579" s="4">
        <f t="shared" si="72"/>
        <v>109937.11616000001</v>
      </c>
      <c r="V579">
        <f t="shared" si="73"/>
        <v>7541.34</v>
      </c>
      <c r="W579" s="4">
        <f t="shared" ref="W579:W633" si="77">(U579-V579)</f>
        <v>102395.77616000001</v>
      </c>
      <c r="X579" s="4">
        <f t="shared" ref="X579:X633" si="78">IF(U579=0, 0, W579/U579)</f>
        <v>0.93140314878712571</v>
      </c>
    </row>
    <row r="580" spans="1:24" x14ac:dyDescent="0.3">
      <c r="A580" t="s">
        <v>1256</v>
      </c>
      <c r="B580" s="6">
        <v>45092</v>
      </c>
      <c r="C580" s="2">
        <v>45119</v>
      </c>
      <c r="D580" s="4">
        <f t="shared" si="71"/>
        <v>27</v>
      </c>
      <c r="E580" s="46" t="b">
        <f t="shared" si="74"/>
        <v>0</v>
      </c>
      <c r="F580" s="4" t="str">
        <f>TEXT(Data!B580,"MMM-YYYY")</f>
        <v>Nov-2024</v>
      </c>
      <c r="G580" s="4" t="str">
        <f t="shared" si="75"/>
        <v>Q2-2023</v>
      </c>
      <c r="H580" t="s">
        <v>78</v>
      </c>
      <c r="I580" t="s">
        <v>108</v>
      </c>
      <c r="J580" t="s">
        <v>228</v>
      </c>
      <c r="K580" t="s">
        <v>48</v>
      </c>
      <c r="L580" t="s">
        <v>98</v>
      </c>
      <c r="M580" t="s">
        <v>34</v>
      </c>
      <c r="N580" t="s">
        <v>81</v>
      </c>
      <c r="O580" t="s">
        <v>1257</v>
      </c>
      <c r="P580" s="4">
        <v>751.28</v>
      </c>
      <c r="Q580" s="7" t="str">
        <f t="shared" si="76"/>
        <v>High</v>
      </c>
      <c r="R580" s="4">
        <v>1111.8800000000001</v>
      </c>
      <c r="S580" s="4">
        <v>0.13500000000000001</v>
      </c>
      <c r="T580" s="4">
        <v>7</v>
      </c>
      <c r="U580" s="4">
        <f t="shared" si="72"/>
        <v>5827.9980499999992</v>
      </c>
      <c r="V580">
        <f t="shared" si="73"/>
        <v>5258.96</v>
      </c>
      <c r="W580" s="4">
        <f t="shared" si="77"/>
        <v>569.0380499999992</v>
      </c>
      <c r="X580" s="4">
        <f t="shared" si="78"/>
        <v>9.7638682291597417E-2</v>
      </c>
    </row>
    <row r="581" spans="1:24" x14ac:dyDescent="0.3">
      <c r="A581" t="s">
        <v>1258</v>
      </c>
      <c r="B581" s="6">
        <v>45607</v>
      </c>
      <c r="C581" s="2">
        <v>45620</v>
      </c>
      <c r="D581" s="4">
        <f t="shared" ref="D581:D633" si="79">DATEDIF(B581,C581, "MD")</f>
        <v>13</v>
      </c>
      <c r="E581" s="46" t="b">
        <f t="shared" si="74"/>
        <v>0</v>
      </c>
      <c r="F581" s="4" t="str">
        <f>TEXT(Data!B581,"MMM-YYYY")</f>
        <v>Jul-2025</v>
      </c>
      <c r="G581" s="4" t="str">
        <f t="shared" si="75"/>
        <v>Q4-2024</v>
      </c>
      <c r="H581" t="s">
        <v>78</v>
      </c>
      <c r="I581" t="s">
        <v>108</v>
      </c>
      <c r="J581" t="s">
        <v>152</v>
      </c>
      <c r="K581" t="s">
        <v>19</v>
      </c>
      <c r="L581" t="s">
        <v>20</v>
      </c>
      <c r="M581" t="s">
        <v>63</v>
      </c>
      <c r="N581" t="s">
        <v>35</v>
      </c>
      <c r="O581" t="s">
        <v>1259</v>
      </c>
      <c r="P581" s="4">
        <v>164.53</v>
      </c>
      <c r="Q581" s="7" t="str">
        <f t="shared" si="76"/>
        <v>High</v>
      </c>
      <c r="R581" s="4">
        <v>327.72</v>
      </c>
      <c r="S581" s="4">
        <v>6.7000000000000004E-2</v>
      </c>
      <c r="T581" s="4">
        <v>14</v>
      </c>
      <c r="U581" s="4">
        <f t="shared" si="72"/>
        <v>8728.9427399999986</v>
      </c>
      <c r="V581">
        <f t="shared" si="73"/>
        <v>2303.42</v>
      </c>
      <c r="W581" s="4">
        <f t="shared" si="77"/>
        <v>6425.5227399999985</v>
      </c>
      <c r="X581" s="4">
        <f t="shared" si="78"/>
        <v>0.73611695383855846</v>
      </c>
    </row>
    <row r="582" spans="1:24" x14ac:dyDescent="0.3">
      <c r="A582" t="s">
        <v>1260</v>
      </c>
      <c r="B582" s="6">
        <v>45849</v>
      </c>
      <c r="C582" s="2">
        <v>45872</v>
      </c>
      <c r="D582" s="4">
        <f t="shared" si="79"/>
        <v>23</v>
      </c>
      <c r="E582" s="46" t="b">
        <f t="shared" si="74"/>
        <v>0</v>
      </c>
      <c r="F582" s="4" t="str">
        <f>TEXT(Data!B582,"MMM-YYYY")</f>
        <v>Jun-2023</v>
      </c>
      <c r="G582" s="4" t="str">
        <f t="shared" si="75"/>
        <v>Q3-2025</v>
      </c>
      <c r="H582" t="s">
        <v>16</v>
      </c>
      <c r="I582" t="s">
        <v>17</v>
      </c>
      <c r="J582" t="s">
        <v>135</v>
      </c>
      <c r="K582" t="s">
        <v>62</v>
      </c>
      <c r="L582" t="s">
        <v>20</v>
      </c>
      <c r="M582" t="s">
        <v>21</v>
      </c>
      <c r="N582" t="s">
        <v>42</v>
      </c>
      <c r="O582" t="s">
        <v>1261</v>
      </c>
      <c r="P582" s="4">
        <v>389.93</v>
      </c>
      <c r="Q582" s="7" t="str">
        <f t="shared" si="76"/>
        <v>High</v>
      </c>
      <c r="R582" s="4">
        <v>486.13</v>
      </c>
      <c r="S582" s="4">
        <v>0.13200000000000001</v>
      </c>
      <c r="T582" s="4">
        <v>17</v>
      </c>
      <c r="U582" s="4">
        <f t="shared" si="72"/>
        <v>20722.29348</v>
      </c>
      <c r="V582">
        <f t="shared" si="73"/>
        <v>6628.81</v>
      </c>
      <c r="W582" s="4">
        <f t="shared" si="77"/>
        <v>14093.483479999999</v>
      </c>
      <c r="X582" s="4">
        <f t="shared" si="78"/>
        <v>0.6801121455789747</v>
      </c>
    </row>
    <row r="583" spans="1:24" x14ac:dyDescent="0.3">
      <c r="A583" t="s">
        <v>1262</v>
      </c>
      <c r="B583" s="6">
        <v>45080</v>
      </c>
      <c r="C583" s="2">
        <v>45108</v>
      </c>
      <c r="D583" s="4">
        <f t="shared" si="79"/>
        <v>28</v>
      </c>
      <c r="E583" s="46" t="b">
        <f t="shared" si="74"/>
        <v>0</v>
      </c>
      <c r="F583" s="4" t="str">
        <f>TEXT(Data!B583,"MMM-YYYY")</f>
        <v>Jan-2023</v>
      </c>
      <c r="G583" s="4" t="str">
        <f t="shared" si="75"/>
        <v>Q2-2023</v>
      </c>
      <c r="H583" t="s">
        <v>52</v>
      </c>
      <c r="I583" t="s">
        <v>73</v>
      </c>
      <c r="J583" t="s">
        <v>87</v>
      </c>
      <c r="K583" t="s">
        <v>62</v>
      </c>
      <c r="L583" t="s">
        <v>40</v>
      </c>
      <c r="M583" t="s">
        <v>75</v>
      </c>
      <c r="N583" t="s">
        <v>22</v>
      </c>
      <c r="O583" t="s">
        <v>1263</v>
      </c>
      <c r="P583" s="4">
        <v>860.4</v>
      </c>
      <c r="Q583" s="7" t="str">
        <f t="shared" si="76"/>
        <v>High</v>
      </c>
      <c r="R583" s="4">
        <v>2066.6</v>
      </c>
      <c r="S583" s="4">
        <v>0.01</v>
      </c>
      <c r="T583" s="4">
        <v>3</v>
      </c>
      <c r="U583" s="4">
        <f t="shared" si="72"/>
        <v>10661.9733</v>
      </c>
      <c r="V583">
        <f t="shared" si="73"/>
        <v>2581.1999999999998</v>
      </c>
      <c r="W583" s="4">
        <f t="shared" si="77"/>
        <v>8080.7732999999998</v>
      </c>
      <c r="X583" s="4">
        <f t="shared" si="78"/>
        <v>0.7579059778737206</v>
      </c>
    </row>
    <row r="584" spans="1:24" x14ac:dyDescent="0.3">
      <c r="A584" t="s">
        <v>1264</v>
      </c>
      <c r="B584" s="6">
        <v>44955</v>
      </c>
      <c r="C584" s="2">
        <v>44963</v>
      </c>
      <c r="D584" s="4">
        <f t="shared" si="79"/>
        <v>8</v>
      </c>
      <c r="E584" s="46" t="b">
        <f t="shared" si="74"/>
        <v>0</v>
      </c>
      <c r="F584" s="4" t="str">
        <f>TEXT(Data!B584,"MMM-YYYY")</f>
        <v>Sep-2024</v>
      </c>
      <c r="G584" s="4" t="str">
        <f t="shared" si="75"/>
        <v>Q1-2023</v>
      </c>
      <c r="H584" t="s">
        <v>52</v>
      </c>
      <c r="I584" t="s">
        <v>73</v>
      </c>
      <c r="J584" t="s">
        <v>87</v>
      </c>
      <c r="K584" t="s">
        <v>19</v>
      </c>
      <c r="L584" t="s">
        <v>40</v>
      </c>
      <c r="M584" t="s">
        <v>145</v>
      </c>
      <c r="N584" t="s">
        <v>64</v>
      </c>
      <c r="O584" t="s">
        <v>1265</v>
      </c>
      <c r="P584" s="4">
        <v>41.84</v>
      </c>
      <c r="Q584" s="7" t="str">
        <f t="shared" si="76"/>
        <v>Medium</v>
      </c>
      <c r="R584" s="4">
        <v>86.2</v>
      </c>
      <c r="S584" s="4">
        <v>0.22600000000000001</v>
      </c>
      <c r="T584" s="4">
        <v>27</v>
      </c>
      <c r="U584" s="4">
        <f t="shared" si="72"/>
        <v>4879.8919799999994</v>
      </c>
      <c r="V584">
        <f t="shared" si="73"/>
        <v>1129.68</v>
      </c>
      <c r="W584" s="4">
        <f t="shared" si="77"/>
        <v>3750.2119799999991</v>
      </c>
      <c r="X584" s="4">
        <f t="shared" si="78"/>
        <v>0.76850307247989524</v>
      </c>
    </row>
    <row r="585" spans="1:24" x14ac:dyDescent="0.3">
      <c r="A585" t="s">
        <v>1266</v>
      </c>
      <c r="B585" s="6">
        <v>45541</v>
      </c>
      <c r="C585" s="2">
        <v>45539</v>
      </c>
      <c r="D585" s="4">
        <f>DATEDIF(C585,B585, "MD")</f>
        <v>2</v>
      </c>
      <c r="E585" s="46" t="str">
        <f t="shared" si="74"/>
        <v>Yes</v>
      </c>
      <c r="F585" s="4" t="str">
        <f>TEXT(Data!B585,"MMM-YYYY")</f>
        <v>Aug-2024</v>
      </c>
      <c r="G585" s="4" t="str">
        <f t="shared" si="75"/>
        <v>Q3-2024</v>
      </c>
      <c r="H585" t="s">
        <v>45</v>
      </c>
      <c r="I585" t="s">
        <v>46</v>
      </c>
      <c r="J585" t="s">
        <v>47</v>
      </c>
      <c r="K585" t="s">
        <v>19</v>
      </c>
      <c r="L585" t="s">
        <v>98</v>
      </c>
      <c r="M585" t="s">
        <v>75</v>
      </c>
      <c r="N585" t="s">
        <v>57</v>
      </c>
      <c r="O585" t="s">
        <v>1267</v>
      </c>
      <c r="P585" s="4">
        <v>1368.17</v>
      </c>
      <c r="Q585" s="7" t="str">
        <f t="shared" si="76"/>
        <v>High</v>
      </c>
      <c r="R585" s="4">
        <v>2307.75</v>
      </c>
      <c r="S585" s="4">
        <v>0.16300000000000001</v>
      </c>
      <c r="T585" s="4">
        <v>21</v>
      </c>
      <c r="U585" s="4">
        <f t="shared" si="72"/>
        <v>2183.9422500000001</v>
      </c>
      <c r="V585">
        <f t="shared" si="73"/>
        <v>28731.57</v>
      </c>
      <c r="W585" s="4">
        <f t="shared" si="77"/>
        <v>-26547.62775</v>
      </c>
      <c r="X585" s="4">
        <f t="shared" si="78"/>
        <v>-12.155828639699607</v>
      </c>
    </row>
    <row r="586" spans="1:24" x14ac:dyDescent="0.3">
      <c r="A586" t="s">
        <v>1268</v>
      </c>
      <c r="B586" s="6">
        <v>45507</v>
      </c>
      <c r="C586" s="2">
        <v>45513</v>
      </c>
      <c r="D586" s="4">
        <f t="shared" si="79"/>
        <v>6</v>
      </c>
      <c r="E586" s="46" t="str">
        <f t="shared" si="74"/>
        <v>Yes</v>
      </c>
      <c r="F586" s="4" t="str">
        <f>TEXT(Data!B586,"MMM-YYYY")</f>
        <v>Apr-2025</v>
      </c>
      <c r="G586" s="4" t="str">
        <f t="shared" si="75"/>
        <v>Q3-2024</v>
      </c>
      <c r="H586" t="s">
        <v>16</v>
      </c>
      <c r="I586" t="s">
        <v>17</v>
      </c>
      <c r="J586" t="s">
        <v>113</v>
      </c>
      <c r="K586" t="s">
        <v>48</v>
      </c>
      <c r="L586" t="s">
        <v>40</v>
      </c>
      <c r="M586" t="s">
        <v>92</v>
      </c>
      <c r="N586" t="s">
        <v>57</v>
      </c>
      <c r="O586" t="s">
        <v>1269</v>
      </c>
      <c r="P586" s="4">
        <v>643.21</v>
      </c>
      <c r="Q586" s="7" t="str">
        <f t="shared" si="76"/>
        <v>High</v>
      </c>
      <c r="R586" s="4">
        <v>1112.81</v>
      </c>
      <c r="S586" s="4">
        <v>0.14099999999999999</v>
      </c>
      <c r="T586" s="4">
        <v>4</v>
      </c>
      <c r="U586" s="4">
        <f t="shared" si="72"/>
        <v>4918.1873199999991</v>
      </c>
      <c r="V586">
        <f t="shared" si="73"/>
        <v>2572.84</v>
      </c>
      <c r="W586" s="4">
        <f t="shared" si="77"/>
        <v>2345.3473199999989</v>
      </c>
      <c r="X586" s="4">
        <f t="shared" si="78"/>
        <v>0.47687230424562183</v>
      </c>
    </row>
    <row r="587" spans="1:24" x14ac:dyDescent="0.3">
      <c r="A587" t="s">
        <v>1270</v>
      </c>
      <c r="B587" s="6">
        <v>45764</v>
      </c>
      <c r="C587" s="2">
        <v>45764</v>
      </c>
      <c r="D587" s="4">
        <f t="shared" si="79"/>
        <v>0</v>
      </c>
      <c r="E587" s="46" t="str">
        <f t="shared" si="74"/>
        <v>Yes</v>
      </c>
      <c r="F587" s="4" t="str">
        <f>TEXT(Data!B587,"MMM-YYYY")</f>
        <v>May-2023</v>
      </c>
      <c r="G587" s="4" t="str">
        <f t="shared" si="75"/>
        <v>Q2-2025</v>
      </c>
      <c r="H587" t="s">
        <v>52</v>
      </c>
      <c r="I587" t="s">
        <v>73</v>
      </c>
      <c r="J587" t="s">
        <v>74</v>
      </c>
      <c r="K587" t="s">
        <v>19</v>
      </c>
      <c r="L587" t="s">
        <v>55</v>
      </c>
      <c r="M587" t="s">
        <v>49</v>
      </c>
      <c r="N587" t="s">
        <v>42</v>
      </c>
      <c r="O587" t="s">
        <v>1271</v>
      </c>
      <c r="P587" s="4">
        <v>719.41</v>
      </c>
      <c r="Q587" s="7" t="str">
        <f t="shared" si="76"/>
        <v>High</v>
      </c>
      <c r="R587" s="4">
        <v>1125.99</v>
      </c>
      <c r="S587" s="4">
        <v>4.1000000000000002E-2</v>
      </c>
      <c r="T587" s="4">
        <v>21</v>
      </c>
      <c r="U587" s="4">
        <f t="shared" si="72"/>
        <v>32132.177279999996</v>
      </c>
      <c r="V587">
        <f t="shared" si="73"/>
        <v>15107.609999999999</v>
      </c>
      <c r="W587" s="4">
        <f t="shared" si="77"/>
        <v>17024.567279999996</v>
      </c>
      <c r="X587" s="4">
        <f t="shared" si="78"/>
        <v>0.52982924660373332</v>
      </c>
    </row>
    <row r="588" spans="1:24" x14ac:dyDescent="0.3">
      <c r="A588" t="s">
        <v>1272</v>
      </c>
      <c r="B588" s="6">
        <v>45049</v>
      </c>
      <c r="C588" s="2">
        <v>45062</v>
      </c>
      <c r="D588" s="4">
        <f t="shared" si="79"/>
        <v>13</v>
      </c>
      <c r="E588" s="46" t="b">
        <f t="shared" si="74"/>
        <v>0</v>
      </c>
      <c r="F588" s="4" t="str">
        <f>TEXT(Data!B588,"MMM-YYYY")</f>
        <v>Mar-2024</v>
      </c>
      <c r="G588" s="4" t="str">
        <f t="shared" si="75"/>
        <v>Q2-2023</v>
      </c>
      <c r="H588" t="s">
        <v>52</v>
      </c>
      <c r="I588" t="s">
        <v>122</v>
      </c>
      <c r="J588" t="s">
        <v>387</v>
      </c>
      <c r="K588" t="s">
        <v>19</v>
      </c>
      <c r="L588" t="s">
        <v>40</v>
      </c>
      <c r="M588" t="s">
        <v>49</v>
      </c>
      <c r="N588" t="s">
        <v>42</v>
      </c>
      <c r="O588" t="s">
        <v>1273</v>
      </c>
      <c r="P588" s="4">
        <v>64.5</v>
      </c>
      <c r="Q588" s="7" t="str">
        <f t="shared" si="76"/>
        <v>Medium</v>
      </c>
      <c r="R588" s="4">
        <v>123.62</v>
      </c>
      <c r="S588" s="4">
        <v>0</v>
      </c>
      <c r="T588" s="4">
        <v>3</v>
      </c>
      <c r="U588" s="4">
        <f t="shared" si="72"/>
        <v>3085.38</v>
      </c>
      <c r="V588">
        <f t="shared" si="73"/>
        <v>193.5</v>
      </c>
      <c r="W588" s="4">
        <f t="shared" si="77"/>
        <v>2891.88</v>
      </c>
      <c r="X588" s="4">
        <f t="shared" si="78"/>
        <v>0.93728487252785719</v>
      </c>
    </row>
    <row r="589" spans="1:24" x14ac:dyDescent="0.3">
      <c r="A589" t="s">
        <v>1274</v>
      </c>
      <c r="B589" s="6">
        <v>45364</v>
      </c>
      <c r="C589" s="2">
        <v>45388</v>
      </c>
      <c r="D589" s="4">
        <f t="shared" si="79"/>
        <v>24</v>
      </c>
      <c r="E589" s="46" t="b">
        <f t="shared" si="74"/>
        <v>0</v>
      </c>
      <c r="F589" s="4" t="str">
        <f>TEXT(Data!B589,"MMM-YYYY")</f>
        <v>Jun-2024</v>
      </c>
      <c r="G589" s="4" t="str">
        <f t="shared" si="75"/>
        <v>Q1-2024</v>
      </c>
      <c r="H589" t="s">
        <v>16</v>
      </c>
      <c r="I589" t="s">
        <v>25</v>
      </c>
      <c r="J589" t="s">
        <v>67</v>
      </c>
      <c r="K589" t="s">
        <v>48</v>
      </c>
      <c r="L589" t="s">
        <v>55</v>
      </c>
      <c r="M589" t="s">
        <v>49</v>
      </c>
      <c r="N589" t="s">
        <v>22</v>
      </c>
      <c r="O589" t="s">
        <v>1275</v>
      </c>
      <c r="P589" s="4">
        <v>1232.78</v>
      </c>
      <c r="Q589" s="7" t="str">
        <f t="shared" si="76"/>
        <v>High</v>
      </c>
      <c r="R589" s="4">
        <v>1731.75</v>
      </c>
      <c r="S589" s="4">
        <v>9.2999999999999999E-2</v>
      </c>
      <c r="T589" s="4">
        <v>16</v>
      </c>
      <c r="U589" s="4">
        <f t="shared" si="72"/>
        <v>46878.839200000002</v>
      </c>
      <c r="V589">
        <f t="shared" si="73"/>
        <v>19724.48</v>
      </c>
      <c r="W589" s="4">
        <f t="shared" si="77"/>
        <v>27154.359200000003</v>
      </c>
      <c r="X589" s="4">
        <f t="shared" si="78"/>
        <v>0.5792455543566446</v>
      </c>
    </row>
    <row r="590" spans="1:24" x14ac:dyDescent="0.3">
      <c r="A590" t="s">
        <v>1276</v>
      </c>
      <c r="B590" s="6">
        <v>45459</v>
      </c>
      <c r="C590" s="2">
        <v>45464</v>
      </c>
      <c r="D590" s="4">
        <f t="shared" si="79"/>
        <v>5</v>
      </c>
      <c r="E590" s="46" t="str">
        <f t="shared" si="74"/>
        <v>Yes</v>
      </c>
      <c r="F590" s="4" t="str">
        <f>TEXT(Data!B590,"MMM-YYYY")</f>
        <v>Feb-2025</v>
      </c>
      <c r="G590" s="4" t="str">
        <f t="shared" si="75"/>
        <v>Q2-2024</v>
      </c>
      <c r="H590" t="s">
        <v>45</v>
      </c>
      <c r="I590" t="s">
        <v>46</v>
      </c>
      <c r="J590" t="s">
        <v>214</v>
      </c>
      <c r="K590" t="s">
        <v>62</v>
      </c>
      <c r="L590" t="s">
        <v>55</v>
      </c>
      <c r="M590" t="s">
        <v>84</v>
      </c>
      <c r="N590" t="s">
        <v>42</v>
      </c>
      <c r="O590" t="s">
        <v>1277</v>
      </c>
      <c r="P590" s="4">
        <v>1367.13</v>
      </c>
      <c r="Q590" s="7" t="str">
        <f t="shared" si="76"/>
        <v>High</v>
      </c>
      <c r="R590" s="4">
        <v>3062.01</v>
      </c>
      <c r="S590" s="4">
        <v>0.10299999999999999</v>
      </c>
      <c r="T590" s="4">
        <v>25</v>
      </c>
      <c r="U590" s="4">
        <f t="shared" si="72"/>
        <v>62557.004249999998</v>
      </c>
      <c r="V590">
        <f t="shared" si="73"/>
        <v>34178.25</v>
      </c>
      <c r="W590" s="4">
        <f t="shared" si="77"/>
        <v>28378.754249999998</v>
      </c>
      <c r="X590" s="4">
        <f t="shared" si="78"/>
        <v>0.45364631171576603</v>
      </c>
    </row>
    <row r="591" spans="1:24" x14ac:dyDescent="0.3">
      <c r="A591" t="s">
        <v>1278</v>
      </c>
      <c r="B591" s="6">
        <v>45703</v>
      </c>
      <c r="C591" s="2">
        <v>45715</v>
      </c>
      <c r="D591" s="4">
        <f t="shared" si="79"/>
        <v>12</v>
      </c>
      <c r="E591" s="46" t="b">
        <f t="shared" si="74"/>
        <v>0</v>
      </c>
      <c r="F591" s="4" t="str">
        <f>TEXT(Data!B591,"MMM-YYYY")</f>
        <v>Apr-2023</v>
      </c>
      <c r="G591" s="4" t="str">
        <f t="shared" si="75"/>
        <v>Q1-2025</v>
      </c>
      <c r="H591" t="s">
        <v>78</v>
      </c>
      <c r="I591" t="s">
        <v>90</v>
      </c>
      <c r="J591" t="s">
        <v>138</v>
      </c>
      <c r="K591" t="s">
        <v>39</v>
      </c>
      <c r="L591" t="s">
        <v>98</v>
      </c>
      <c r="M591" t="s">
        <v>95</v>
      </c>
      <c r="N591" t="s">
        <v>81</v>
      </c>
      <c r="O591" t="s">
        <v>1279</v>
      </c>
      <c r="P591" s="4">
        <v>1027.26</v>
      </c>
      <c r="Q591" s="7" t="str">
        <f t="shared" si="76"/>
        <v>High</v>
      </c>
      <c r="R591" s="4">
        <v>2200.41</v>
      </c>
      <c r="S591" s="4">
        <v>8.7999999999999995E-2</v>
      </c>
      <c r="T591" s="4">
        <v>6</v>
      </c>
      <c r="U591" s="4">
        <f t="shared" si="72"/>
        <v>10384.433280000001</v>
      </c>
      <c r="V591">
        <f t="shared" si="73"/>
        <v>6163.5599999999995</v>
      </c>
      <c r="W591" s="4">
        <f t="shared" si="77"/>
        <v>4220.8732800000016</v>
      </c>
      <c r="X591" s="4">
        <f t="shared" si="78"/>
        <v>0.40646159171047236</v>
      </c>
    </row>
    <row r="592" spans="1:24" x14ac:dyDescent="0.3">
      <c r="A592" t="s">
        <v>1280</v>
      </c>
      <c r="B592" s="6">
        <v>45019</v>
      </c>
      <c r="C592" s="2">
        <v>45032</v>
      </c>
      <c r="D592" s="4">
        <f t="shared" si="79"/>
        <v>13</v>
      </c>
      <c r="E592" s="46" t="b">
        <f t="shared" si="74"/>
        <v>0</v>
      </c>
      <c r="F592" s="4" t="str">
        <f>TEXT(Data!B592,"MMM-YYYY")</f>
        <v>Aug-2025</v>
      </c>
      <c r="G592" s="4" t="str">
        <f t="shared" si="75"/>
        <v>Q2-2023</v>
      </c>
      <c r="H592" t="s">
        <v>78</v>
      </c>
      <c r="I592" t="s">
        <v>90</v>
      </c>
      <c r="J592" t="s">
        <v>91</v>
      </c>
      <c r="K592" t="s">
        <v>39</v>
      </c>
      <c r="L592" t="s">
        <v>40</v>
      </c>
      <c r="M592" t="s">
        <v>110</v>
      </c>
      <c r="N592" t="s">
        <v>81</v>
      </c>
      <c r="O592" t="s">
        <v>1281</v>
      </c>
      <c r="P592" s="4">
        <v>790.54</v>
      </c>
      <c r="Q592" s="7" t="str">
        <f t="shared" si="76"/>
        <v>High</v>
      </c>
      <c r="R592" s="4">
        <v>601.49</v>
      </c>
      <c r="S592" s="4">
        <v>0</v>
      </c>
      <c r="T592" s="4">
        <v>15</v>
      </c>
      <c r="U592" s="4">
        <f t="shared" si="72"/>
        <v>13537.050000000001</v>
      </c>
      <c r="V592">
        <f t="shared" si="73"/>
        <v>11858.099999999999</v>
      </c>
      <c r="W592" s="4">
        <f t="shared" si="77"/>
        <v>1678.9500000000025</v>
      </c>
      <c r="X592" s="4">
        <f t="shared" si="78"/>
        <v>0.12402628342216379</v>
      </c>
    </row>
    <row r="593" spans="1:24" x14ac:dyDescent="0.3">
      <c r="A593" t="s">
        <v>1282</v>
      </c>
      <c r="B593" s="6">
        <v>45899</v>
      </c>
      <c r="C593" s="2">
        <v>45922</v>
      </c>
      <c r="D593" s="4">
        <f t="shared" si="79"/>
        <v>23</v>
      </c>
      <c r="E593" s="46" t="b">
        <f t="shared" si="74"/>
        <v>0</v>
      </c>
      <c r="F593" s="4" t="str">
        <f>TEXT(Data!B593,"MMM-YYYY")</f>
        <v>Feb-2023</v>
      </c>
      <c r="G593" s="4" t="str">
        <f t="shared" si="75"/>
        <v>Q3-2025</v>
      </c>
      <c r="H593" t="s">
        <v>78</v>
      </c>
      <c r="I593" t="s">
        <v>90</v>
      </c>
      <c r="J593" t="s">
        <v>91</v>
      </c>
      <c r="K593" t="s">
        <v>19</v>
      </c>
      <c r="L593" t="s">
        <v>98</v>
      </c>
      <c r="M593" t="s">
        <v>63</v>
      </c>
      <c r="N593" t="s">
        <v>22</v>
      </c>
      <c r="O593" t="s">
        <v>1283</v>
      </c>
      <c r="P593" s="4">
        <v>663.9</v>
      </c>
      <c r="Q593" s="7" t="str">
        <f t="shared" si="76"/>
        <v>High</v>
      </c>
      <c r="R593" s="4">
        <v>947.77</v>
      </c>
      <c r="S593" s="4">
        <v>0.17399999999999999</v>
      </c>
      <c r="T593" s="4">
        <v>15</v>
      </c>
      <c r="U593" s="4">
        <f t="shared" si="72"/>
        <v>-417.04740000000004</v>
      </c>
      <c r="V593">
        <f t="shared" si="73"/>
        <v>9958.5</v>
      </c>
      <c r="W593" s="4">
        <f t="shared" si="77"/>
        <v>-10375.547399999999</v>
      </c>
      <c r="X593" s="4">
        <f t="shared" si="78"/>
        <v>24.878580708092169</v>
      </c>
    </row>
    <row r="594" spans="1:24" x14ac:dyDescent="0.3">
      <c r="A594" t="s">
        <v>1284</v>
      </c>
      <c r="B594" s="6">
        <v>44984</v>
      </c>
      <c r="C594" s="2">
        <v>44983</v>
      </c>
      <c r="D594" s="4">
        <f>DATEDIF(C594,B594, "MD")</f>
        <v>1</v>
      </c>
      <c r="E594" s="46" t="str">
        <f t="shared" si="74"/>
        <v>Yes</v>
      </c>
      <c r="F594" s="4" t="str">
        <f>TEXT(Data!B594,"MMM-YYYY")</f>
        <v>Jul-2024</v>
      </c>
      <c r="G594" s="4" t="str">
        <f t="shared" si="75"/>
        <v>Q1-2023</v>
      </c>
      <c r="H594" t="s">
        <v>52</v>
      </c>
      <c r="I594" t="s">
        <v>122</v>
      </c>
      <c r="J594" t="s">
        <v>167</v>
      </c>
      <c r="K594" t="s">
        <v>39</v>
      </c>
      <c r="L594" t="s">
        <v>28</v>
      </c>
      <c r="M594" t="s">
        <v>49</v>
      </c>
      <c r="N594" t="s">
        <v>35</v>
      </c>
      <c r="O594" t="s">
        <v>1285</v>
      </c>
      <c r="P594" s="4">
        <v>1015.91</v>
      </c>
      <c r="Q594" s="7" t="str">
        <f t="shared" si="76"/>
        <v>High</v>
      </c>
      <c r="R594" s="4">
        <v>2331.48</v>
      </c>
      <c r="S594" s="4">
        <v>0.14599999999999999</v>
      </c>
      <c r="T594" s="4">
        <v>26</v>
      </c>
      <c r="U594" s="4">
        <f t="shared" si="72"/>
        <v>24128.64272</v>
      </c>
      <c r="V594">
        <f t="shared" si="73"/>
        <v>26413.66</v>
      </c>
      <c r="W594" s="4">
        <f t="shared" si="77"/>
        <v>-2285.01728</v>
      </c>
      <c r="X594" s="4">
        <f t="shared" si="78"/>
        <v>-9.4701442866737429E-2</v>
      </c>
    </row>
    <row r="595" spans="1:24" x14ac:dyDescent="0.3">
      <c r="A595" t="s">
        <v>1286</v>
      </c>
      <c r="B595" s="6">
        <v>45504</v>
      </c>
      <c r="C595" s="2">
        <v>45519</v>
      </c>
      <c r="D595" s="4">
        <f t="shared" si="79"/>
        <v>15</v>
      </c>
      <c r="E595" s="46" t="b">
        <f t="shared" si="74"/>
        <v>0</v>
      </c>
      <c r="F595" s="4" t="str">
        <f>TEXT(Data!B595,"MMM-YYYY")</f>
        <v>Jun-2025</v>
      </c>
      <c r="G595" s="4" t="str">
        <f t="shared" si="75"/>
        <v>Q3-2024</v>
      </c>
      <c r="H595" t="s">
        <v>45</v>
      </c>
      <c r="I595" t="s">
        <v>46</v>
      </c>
      <c r="J595" t="s">
        <v>214</v>
      </c>
      <c r="K595" t="s">
        <v>19</v>
      </c>
      <c r="L595" t="s">
        <v>40</v>
      </c>
      <c r="M595" t="s">
        <v>84</v>
      </c>
      <c r="N595" t="s">
        <v>64</v>
      </c>
      <c r="O595" t="s">
        <v>1287</v>
      </c>
      <c r="P595" s="4">
        <v>1252.52</v>
      </c>
      <c r="Q595" s="7" t="str">
        <f t="shared" si="76"/>
        <v>High</v>
      </c>
      <c r="R595" s="4">
        <v>1417.24</v>
      </c>
      <c r="S595" s="4">
        <v>0.192</v>
      </c>
      <c r="T595" s="4">
        <v>5</v>
      </c>
      <c r="U595" s="4">
        <f t="shared" si="72"/>
        <v>4083.4300000000003</v>
      </c>
      <c r="V595">
        <f t="shared" si="73"/>
        <v>6262.6</v>
      </c>
      <c r="W595" s="4">
        <f t="shared" si="77"/>
        <v>-2179.17</v>
      </c>
      <c r="X595" s="4">
        <f t="shared" si="78"/>
        <v>-0.53366165209150151</v>
      </c>
    </row>
    <row r="596" spans="1:24" x14ac:dyDescent="0.3">
      <c r="A596" t="s">
        <v>1288</v>
      </c>
      <c r="B596" s="6">
        <v>45823</v>
      </c>
      <c r="C596" s="2">
        <v>45850</v>
      </c>
      <c r="D596" s="4">
        <f t="shared" si="79"/>
        <v>27</v>
      </c>
      <c r="E596" s="46" t="b">
        <f t="shared" si="74"/>
        <v>0</v>
      </c>
      <c r="F596" s="4" t="str">
        <f>TEXT(Data!B596,"MMM-YYYY")</f>
        <v>Jun-2024</v>
      </c>
      <c r="G596" s="4" t="str">
        <f t="shared" si="75"/>
        <v>Q2-2025</v>
      </c>
      <c r="H596" t="s">
        <v>78</v>
      </c>
      <c r="I596" t="s">
        <v>90</v>
      </c>
      <c r="J596" t="s">
        <v>91</v>
      </c>
      <c r="K596" t="s">
        <v>48</v>
      </c>
      <c r="L596" t="s">
        <v>98</v>
      </c>
      <c r="M596" t="s">
        <v>21</v>
      </c>
      <c r="N596" t="s">
        <v>81</v>
      </c>
      <c r="O596" t="s">
        <v>1289</v>
      </c>
      <c r="P596" s="4">
        <v>318.83</v>
      </c>
      <c r="Q596" s="7" t="str">
        <f t="shared" si="76"/>
        <v>High</v>
      </c>
      <c r="R596" s="4">
        <v>699.5</v>
      </c>
      <c r="S596" s="4">
        <v>0.08</v>
      </c>
      <c r="T596" s="4">
        <v>13</v>
      </c>
      <c r="U596" s="4">
        <f t="shared" si="72"/>
        <v>4921.3008</v>
      </c>
      <c r="V596">
        <f t="shared" si="73"/>
        <v>4144.79</v>
      </c>
      <c r="W596" s="4">
        <f t="shared" si="77"/>
        <v>776.51080000000002</v>
      </c>
      <c r="X596" s="4">
        <f t="shared" si="78"/>
        <v>0.15778568137919957</v>
      </c>
    </row>
    <row r="597" spans="1:24" x14ac:dyDescent="0.3">
      <c r="A597" t="s">
        <v>1290</v>
      </c>
      <c r="B597" s="6">
        <v>45473</v>
      </c>
      <c r="C597" s="2">
        <v>45494</v>
      </c>
      <c r="D597" s="4">
        <f t="shared" si="79"/>
        <v>21</v>
      </c>
      <c r="E597" s="46" t="b">
        <f t="shared" si="74"/>
        <v>0</v>
      </c>
      <c r="F597" s="4" t="str">
        <f>TEXT(Data!B597,"MMM-YYYY")</f>
        <v>Feb-2025</v>
      </c>
      <c r="G597" s="4" t="str">
        <f t="shared" si="75"/>
        <v>Q2-2024</v>
      </c>
      <c r="H597" t="s">
        <v>16</v>
      </c>
      <c r="I597" t="s">
        <v>17</v>
      </c>
      <c r="J597" t="s">
        <v>18</v>
      </c>
      <c r="K597" t="s">
        <v>62</v>
      </c>
      <c r="L597" t="s">
        <v>20</v>
      </c>
      <c r="M597" t="s">
        <v>95</v>
      </c>
      <c r="N597" t="s">
        <v>57</v>
      </c>
      <c r="O597" t="s">
        <v>1291</v>
      </c>
      <c r="P597" s="4">
        <v>753.43</v>
      </c>
      <c r="Q597" s="7" t="str">
        <f t="shared" si="76"/>
        <v>High</v>
      </c>
      <c r="R597" s="4">
        <v>1787.2</v>
      </c>
      <c r="S597" s="4">
        <v>7.2999999999999995E-2</v>
      </c>
      <c r="T597" s="4">
        <v>9</v>
      </c>
      <c r="U597" s="4">
        <f t="shared" si="72"/>
        <v>3448.4956200000001</v>
      </c>
      <c r="V597">
        <f t="shared" si="73"/>
        <v>6780.87</v>
      </c>
      <c r="W597" s="4">
        <f t="shared" si="77"/>
        <v>-3332.3743799999997</v>
      </c>
      <c r="X597" s="4">
        <f t="shared" si="78"/>
        <v>-0.9663269863744236</v>
      </c>
    </row>
    <row r="598" spans="1:24" x14ac:dyDescent="0.3">
      <c r="A598" t="s">
        <v>1292</v>
      </c>
      <c r="B598" s="6">
        <v>45705</v>
      </c>
      <c r="C598" s="2">
        <v>45703</v>
      </c>
      <c r="D598" s="4">
        <f>DATEDIF(C598,B598, "MD")</f>
        <v>2</v>
      </c>
      <c r="E598" s="46" t="str">
        <f t="shared" si="74"/>
        <v>Yes</v>
      </c>
      <c r="F598" s="4" t="str">
        <f>TEXT(Data!B598,"MMM-YYYY")</f>
        <v>Jan-2023</v>
      </c>
      <c r="G598" s="4" t="str">
        <f t="shared" si="75"/>
        <v>Q1-2025</v>
      </c>
      <c r="H598" t="s">
        <v>52</v>
      </c>
      <c r="I598" t="s">
        <v>53</v>
      </c>
      <c r="J598" t="s">
        <v>54</v>
      </c>
      <c r="K598" t="s">
        <v>62</v>
      </c>
      <c r="L598" t="s">
        <v>20</v>
      </c>
      <c r="M598" t="s">
        <v>145</v>
      </c>
      <c r="N598" t="s">
        <v>22</v>
      </c>
      <c r="O598" t="s">
        <v>1293</v>
      </c>
      <c r="P598" s="4">
        <v>1133.47</v>
      </c>
      <c r="Q598" s="7" t="str">
        <f t="shared" si="76"/>
        <v>High</v>
      </c>
      <c r="R598" s="4">
        <v>1698.75</v>
      </c>
      <c r="S598" s="4">
        <v>4.2999999999999997E-2</v>
      </c>
      <c r="T598" s="4">
        <v>5</v>
      </c>
      <c r="U598" s="4">
        <f t="shared" si="72"/>
        <v>7459.2886500000004</v>
      </c>
      <c r="V598">
        <f t="shared" si="73"/>
        <v>5667.35</v>
      </c>
      <c r="W598" s="4">
        <f t="shared" si="77"/>
        <v>1791.9386500000001</v>
      </c>
      <c r="X598" s="4">
        <f t="shared" si="78"/>
        <v>0.24022916045754578</v>
      </c>
    </row>
    <row r="599" spans="1:24" x14ac:dyDescent="0.3">
      <c r="A599" t="s">
        <v>1294</v>
      </c>
      <c r="B599" s="6">
        <v>44933</v>
      </c>
      <c r="C599" s="2">
        <v>44956</v>
      </c>
      <c r="D599" s="4">
        <f t="shared" si="79"/>
        <v>23</v>
      </c>
      <c r="E599" s="46" t="b">
        <f t="shared" si="74"/>
        <v>0</v>
      </c>
      <c r="F599" s="4" t="str">
        <f>TEXT(Data!B599,"MMM-YYYY")</f>
        <v>Mar-2025</v>
      </c>
      <c r="G599" s="4" t="str">
        <f t="shared" si="75"/>
        <v>Q1-2023</v>
      </c>
      <c r="H599" t="s">
        <v>16</v>
      </c>
      <c r="I599" t="s">
        <v>148</v>
      </c>
      <c r="J599" t="s">
        <v>258</v>
      </c>
      <c r="K599" t="s">
        <v>48</v>
      </c>
      <c r="L599" t="s">
        <v>28</v>
      </c>
      <c r="M599" t="s">
        <v>75</v>
      </c>
      <c r="N599" t="s">
        <v>30</v>
      </c>
      <c r="O599" t="s">
        <v>1295</v>
      </c>
      <c r="P599" s="4">
        <v>299.02</v>
      </c>
      <c r="Q599" s="7" t="str">
        <f t="shared" si="76"/>
        <v>High</v>
      </c>
      <c r="R599" s="4">
        <v>724.7</v>
      </c>
      <c r="S599" s="4">
        <v>0.14000000000000001</v>
      </c>
      <c r="T599" s="4">
        <v>5</v>
      </c>
      <c r="U599" s="4">
        <f t="shared" si="72"/>
        <v>3702.9880000000003</v>
      </c>
      <c r="V599">
        <f t="shared" si="73"/>
        <v>1495.1</v>
      </c>
      <c r="W599" s="4">
        <f t="shared" si="77"/>
        <v>2207.8880000000004</v>
      </c>
      <c r="X599" s="4">
        <f t="shared" si="78"/>
        <v>0.59624497837962209</v>
      </c>
    </row>
    <row r="600" spans="1:24" x14ac:dyDescent="0.3">
      <c r="A600" t="s">
        <v>1296</v>
      </c>
      <c r="B600" s="6">
        <v>45726</v>
      </c>
      <c r="C600" s="2">
        <v>45751</v>
      </c>
      <c r="D600" s="4">
        <f t="shared" si="79"/>
        <v>25</v>
      </c>
      <c r="E600" s="46" t="b">
        <f t="shared" si="74"/>
        <v>0</v>
      </c>
      <c r="F600" s="4" t="str">
        <f>TEXT(Data!B600,"MMM-YYYY")</f>
        <v>Aug-2024</v>
      </c>
      <c r="G600" s="4" t="str">
        <f t="shared" si="75"/>
        <v>Q1-2025</v>
      </c>
      <c r="H600" t="s">
        <v>45</v>
      </c>
      <c r="I600" t="s">
        <v>46</v>
      </c>
      <c r="J600" t="s">
        <v>47</v>
      </c>
      <c r="K600" t="s">
        <v>19</v>
      </c>
      <c r="L600" t="s">
        <v>98</v>
      </c>
      <c r="M600" t="s">
        <v>92</v>
      </c>
      <c r="N600" t="s">
        <v>30</v>
      </c>
      <c r="O600" t="s">
        <v>1297</v>
      </c>
      <c r="P600" s="4">
        <v>783.72</v>
      </c>
      <c r="Q600" s="7" t="str">
        <f t="shared" si="76"/>
        <v>High</v>
      </c>
      <c r="R600" s="4">
        <v>1355.94</v>
      </c>
      <c r="S600" s="4">
        <v>0.187</v>
      </c>
      <c r="T600" s="4">
        <v>4</v>
      </c>
      <c r="U600" s="4">
        <f t="shared" si="72"/>
        <v>7467.4049999999997</v>
      </c>
      <c r="V600">
        <f t="shared" si="73"/>
        <v>3134.88</v>
      </c>
      <c r="W600" s="4">
        <f t="shared" si="77"/>
        <v>4332.5249999999996</v>
      </c>
      <c r="X600" s="4">
        <f t="shared" si="78"/>
        <v>0.58019151231251009</v>
      </c>
    </row>
    <row r="601" spans="1:24" x14ac:dyDescent="0.3">
      <c r="A601" t="s">
        <v>1298</v>
      </c>
      <c r="B601" s="6">
        <v>45521</v>
      </c>
      <c r="C601" s="2">
        <v>45519</v>
      </c>
      <c r="D601" s="4">
        <f>DATEDIF(C601,B601, "MD")</f>
        <v>2</v>
      </c>
      <c r="E601" s="46" t="str">
        <f t="shared" si="74"/>
        <v>Yes</v>
      </c>
      <c r="F601" s="4" t="str">
        <f>TEXT(Data!B601,"MMM-YYYY")</f>
        <v>Mar-2024</v>
      </c>
      <c r="G601" s="4" t="str">
        <f t="shared" si="75"/>
        <v>Q3-2024</v>
      </c>
      <c r="H601" t="s">
        <v>52</v>
      </c>
      <c r="I601" t="s">
        <v>73</v>
      </c>
      <c r="J601" t="s">
        <v>225</v>
      </c>
      <c r="K601" t="s">
        <v>48</v>
      </c>
      <c r="L601" t="s">
        <v>98</v>
      </c>
      <c r="M601" t="s">
        <v>110</v>
      </c>
      <c r="N601" t="s">
        <v>64</v>
      </c>
      <c r="O601" t="s">
        <v>1299</v>
      </c>
      <c r="P601" s="4">
        <v>165.3</v>
      </c>
      <c r="Q601" s="7" t="str">
        <f t="shared" si="76"/>
        <v>High</v>
      </c>
      <c r="R601" s="4">
        <v>275.07</v>
      </c>
      <c r="S601" s="4">
        <v>0.13300000000000001</v>
      </c>
      <c r="T601" s="4">
        <v>25</v>
      </c>
      <c r="U601" s="4">
        <f t="shared" si="72"/>
        <v>57148.305</v>
      </c>
      <c r="V601">
        <f t="shared" si="73"/>
        <v>4132.5</v>
      </c>
      <c r="W601" s="4">
        <f t="shared" si="77"/>
        <v>53015.805</v>
      </c>
      <c r="X601" s="4">
        <f t="shared" si="78"/>
        <v>0.92768814403156841</v>
      </c>
    </row>
    <row r="602" spans="1:24" x14ac:dyDescent="0.3">
      <c r="A602" t="s">
        <v>1300</v>
      </c>
      <c r="B602" s="6">
        <v>45360</v>
      </c>
      <c r="C602" s="2">
        <v>45373</v>
      </c>
      <c r="D602" s="4">
        <f t="shared" si="79"/>
        <v>13</v>
      </c>
      <c r="E602" s="46" t="b">
        <f t="shared" si="74"/>
        <v>0</v>
      </c>
      <c r="F602" s="4" t="str">
        <f>TEXT(Data!B602,"MMM-YYYY")</f>
        <v>Aug-2024</v>
      </c>
      <c r="G602" s="4" t="str">
        <f t="shared" si="75"/>
        <v>Q1-2024</v>
      </c>
      <c r="H602" t="s">
        <v>78</v>
      </c>
      <c r="I602" t="s">
        <v>108</v>
      </c>
      <c r="J602" t="s">
        <v>228</v>
      </c>
      <c r="K602" t="s">
        <v>48</v>
      </c>
      <c r="L602" t="s">
        <v>28</v>
      </c>
      <c r="M602" t="s">
        <v>63</v>
      </c>
      <c r="N602" t="s">
        <v>57</v>
      </c>
      <c r="O602" t="s">
        <v>1301</v>
      </c>
      <c r="P602" s="4">
        <v>985.45</v>
      </c>
      <c r="Q602" s="7" t="str">
        <f t="shared" si="76"/>
        <v>High</v>
      </c>
      <c r="R602" s="4">
        <v>1802.44</v>
      </c>
      <c r="S602" s="4">
        <v>8.9999999999999993E-3</v>
      </c>
      <c r="T602" s="4">
        <v>19</v>
      </c>
      <c r="U602" s="4">
        <f t="shared" si="72"/>
        <v>18416.456609999997</v>
      </c>
      <c r="V602">
        <f t="shared" si="73"/>
        <v>18723.55</v>
      </c>
      <c r="W602" s="4">
        <f t="shared" si="77"/>
        <v>-307.09339000000182</v>
      </c>
      <c r="X602" s="4">
        <f t="shared" si="78"/>
        <v>-1.6674944399089911E-2</v>
      </c>
    </row>
    <row r="603" spans="1:24" x14ac:dyDescent="0.3">
      <c r="A603" t="s">
        <v>1302</v>
      </c>
      <c r="B603" s="6">
        <v>45523</v>
      </c>
      <c r="C603" s="2">
        <v>45537</v>
      </c>
      <c r="D603" s="4">
        <f t="shared" si="79"/>
        <v>14</v>
      </c>
      <c r="E603" s="46" t="b">
        <f t="shared" si="74"/>
        <v>0</v>
      </c>
      <c r="F603" s="4" t="str">
        <f>TEXT(Data!B603,"MMM-YYYY")</f>
        <v>Aug-2025</v>
      </c>
      <c r="G603" s="4" t="str">
        <f t="shared" si="75"/>
        <v>Q3-2024</v>
      </c>
      <c r="H603" t="s">
        <v>52</v>
      </c>
      <c r="I603" t="s">
        <v>53</v>
      </c>
      <c r="J603" t="s">
        <v>54</v>
      </c>
      <c r="K603" t="s">
        <v>48</v>
      </c>
      <c r="L603" t="s">
        <v>55</v>
      </c>
      <c r="M603" t="s">
        <v>21</v>
      </c>
      <c r="N603" t="s">
        <v>30</v>
      </c>
      <c r="O603" t="s">
        <v>1303</v>
      </c>
      <c r="P603" s="4">
        <v>1337.01</v>
      </c>
      <c r="Q603" s="7" t="str">
        <f t="shared" si="76"/>
        <v>High</v>
      </c>
      <c r="R603" s="4">
        <v>1269.78</v>
      </c>
      <c r="S603" s="4">
        <v>0.16</v>
      </c>
      <c r="T603" s="4">
        <v>7</v>
      </c>
      <c r="U603" s="4">
        <f t="shared" si="72"/>
        <v>3208.8335999999999</v>
      </c>
      <c r="V603">
        <f t="shared" si="73"/>
        <v>9359.07</v>
      </c>
      <c r="W603" s="4">
        <f t="shared" si="77"/>
        <v>-6150.2363999999998</v>
      </c>
      <c r="X603" s="4">
        <f t="shared" si="78"/>
        <v>-1.916657940754547</v>
      </c>
    </row>
    <row r="604" spans="1:24" x14ac:dyDescent="0.3">
      <c r="A604" t="s">
        <v>1304</v>
      </c>
      <c r="B604" s="6">
        <v>45880</v>
      </c>
      <c r="C604" s="2">
        <v>45897</v>
      </c>
      <c r="D604" s="4">
        <f t="shared" si="79"/>
        <v>17</v>
      </c>
      <c r="E604" s="46" t="b">
        <f t="shared" si="74"/>
        <v>0</v>
      </c>
      <c r="F604" s="4" t="str">
        <f>TEXT(Data!B604,"MMM-YYYY")</f>
        <v>May-2025</v>
      </c>
      <c r="G604" s="4" t="str">
        <f t="shared" si="75"/>
        <v>Q3-2025</v>
      </c>
      <c r="H604" t="s">
        <v>78</v>
      </c>
      <c r="I604" t="s">
        <v>90</v>
      </c>
      <c r="J604" t="s">
        <v>217</v>
      </c>
      <c r="K604" t="s">
        <v>27</v>
      </c>
      <c r="L604" t="s">
        <v>28</v>
      </c>
      <c r="M604" t="s">
        <v>84</v>
      </c>
      <c r="N604" t="s">
        <v>35</v>
      </c>
      <c r="O604" t="s">
        <v>1305</v>
      </c>
      <c r="P604" s="4">
        <v>416.16</v>
      </c>
      <c r="Q604" s="7" t="str">
        <f t="shared" si="76"/>
        <v>High</v>
      </c>
      <c r="R604" s="4">
        <v>571.9</v>
      </c>
      <c r="S604" s="4">
        <v>7.0999999999999994E-2</v>
      </c>
      <c r="T604" s="4">
        <v>2</v>
      </c>
      <c r="U604" s="4">
        <f t="shared" si="72"/>
        <v>2667.2333200000003</v>
      </c>
      <c r="V604">
        <f t="shared" si="73"/>
        <v>832.32</v>
      </c>
      <c r="W604" s="4">
        <f t="shared" si="77"/>
        <v>1834.9133200000001</v>
      </c>
      <c r="X604" s="4">
        <f t="shared" si="78"/>
        <v>0.6879463098488886</v>
      </c>
    </row>
    <row r="605" spans="1:24" x14ac:dyDescent="0.3">
      <c r="A605" t="s">
        <v>1306</v>
      </c>
      <c r="B605" s="6">
        <v>45793</v>
      </c>
      <c r="C605" s="2">
        <v>45795</v>
      </c>
      <c r="D605" s="4">
        <f t="shared" si="79"/>
        <v>2</v>
      </c>
      <c r="E605" s="46" t="str">
        <f t="shared" si="74"/>
        <v>Yes</v>
      </c>
      <c r="F605" s="4" t="str">
        <f>TEXT(Data!B605,"MMM-YYYY")</f>
        <v>Apr-2023</v>
      </c>
      <c r="G605" s="4" t="str">
        <f t="shared" si="75"/>
        <v>Q2-2025</v>
      </c>
      <c r="H605" t="s">
        <v>45</v>
      </c>
      <c r="I605" t="s">
        <v>46</v>
      </c>
      <c r="J605" t="s">
        <v>214</v>
      </c>
      <c r="K605" t="s">
        <v>105</v>
      </c>
      <c r="L605" t="s">
        <v>20</v>
      </c>
      <c r="M605" t="s">
        <v>29</v>
      </c>
      <c r="N605" t="s">
        <v>30</v>
      </c>
      <c r="O605" t="s">
        <v>1307</v>
      </c>
      <c r="P605" s="4">
        <v>1144.3800000000001</v>
      </c>
      <c r="Q605" s="7" t="str">
        <f t="shared" si="76"/>
        <v>High</v>
      </c>
      <c r="R605" s="4">
        <v>2755.04</v>
      </c>
      <c r="S605" s="4">
        <v>0.15</v>
      </c>
      <c r="T605" s="4">
        <v>17</v>
      </c>
      <c r="U605" s="4">
        <f t="shared" si="72"/>
        <v>34640.985000000001</v>
      </c>
      <c r="V605">
        <f t="shared" si="73"/>
        <v>19454.460000000003</v>
      </c>
      <c r="W605" s="4">
        <f t="shared" si="77"/>
        <v>15186.524999999998</v>
      </c>
      <c r="X605" s="4">
        <f t="shared" si="78"/>
        <v>0.4383976090749151</v>
      </c>
    </row>
    <row r="606" spans="1:24" x14ac:dyDescent="0.3">
      <c r="A606" t="s">
        <v>1308</v>
      </c>
      <c r="B606" s="6">
        <v>45026</v>
      </c>
      <c r="C606" s="2">
        <v>45041</v>
      </c>
      <c r="D606" s="4">
        <f t="shared" si="79"/>
        <v>15</v>
      </c>
      <c r="E606" s="46" t="b">
        <f t="shared" si="74"/>
        <v>0</v>
      </c>
      <c r="F606" s="4" t="str">
        <f>TEXT(Data!B606,"MMM-YYYY")</f>
        <v>Sep-2023</v>
      </c>
      <c r="G606" s="4" t="str">
        <f t="shared" si="75"/>
        <v>Q2-2023</v>
      </c>
      <c r="H606" t="s">
        <v>78</v>
      </c>
      <c r="I606" t="s">
        <v>108</v>
      </c>
      <c r="J606" t="s">
        <v>152</v>
      </c>
      <c r="K606" t="s">
        <v>62</v>
      </c>
      <c r="L606" t="s">
        <v>20</v>
      </c>
      <c r="M606" t="s">
        <v>145</v>
      </c>
      <c r="N606" t="s">
        <v>30</v>
      </c>
      <c r="O606" t="s">
        <v>1309</v>
      </c>
      <c r="P606" s="4">
        <v>405.66</v>
      </c>
      <c r="Q606" s="7" t="str">
        <f t="shared" si="76"/>
        <v>High</v>
      </c>
      <c r="R606" s="4">
        <v>962.51</v>
      </c>
      <c r="S606" s="4">
        <v>0.19</v>
      </c>
      <c r="T606" s="4">
        <v>7</v>
      </c>
      <c r="U606" s="4">
        <f t="shared" si="72"/>
        <v>10511.386199999999</v>
      </c>
      <c r="V606">
        <f t="shared" si="73"/>
        <v>2839.6200000000003</v>
      </c>
      <c r="W606" s="4">
        <f t="shared" si="77"/>
        <v>7671.7661999999982</v>
      </c>
      <c r="X606" s="4">
        <f t="shared" si="78"/>
        <v>0.72985294746377016</v>
      </c>
    </row>
    <row r="607" spans="1:24" x14ac:dyDescent="0.3">
      <c r="A607" t="s">
        <v>1310</v>
      </c>
      <c r="B607" s="6">
        <v>45186</v>
      </c>
      <c r="C607" s="2">
        <v>45201</v>
      </c>
      <c r="D607" s="4">
        <f t="shared" si="79"/>
        <v>15</v>
      </c>
      <c r="E607" s="46" t="b">
        <f t="shared" si="74"/>
        <v>0</v>
      </c>
      <c r="F607" s="4" t="str">
        <f>TEXT(Data!B607,"MMM-YYYY")</f>
        <v>Apr-2023</v>
      </c>
      <c r="G607" s="4" t="str">
        <f t="shared" si="75"/>
        <v>Q3-2023</v>
      </c>
      <c r="H607" t="s">
        <v>52</v>
      </c>
      <c r="I607" t="s">
        <v>73</v>
      </c>
      <c r="J607" t="s">
        <v>225</v>
      </c>
      <c r="K607" t="s">
        <v>62</v>
      </c>
      <c r="L607" t="s">
        <v>20</v>
      </c>
      <c r="M607" t="s">
        <v>56</v>
      </c>
      <c r="N607" t="s">
        <v>57</v>
      </c>
      <c r="O607" t="s">
        <v>1311</v>
      </c>
      <c r="P607" s="4">
        <v>689.33</v>
      </c>
      <c r="Q607" s="7" t="str">
        <f t="shared" si="76"/>
        <v>High</v>
      </c>
      <c r="R607" s="4">
        <v>668.27</v>
      </c>
      <c r="S607" s="4">
        <v>0.186</v>
      </c>
      <c r="T607" s="4">
        <v>13</v>
      </c>
      <c r="U607" s="4">
        <f t="shared" si="72"/>
        <v>486.56036000000006</v>
      </c>
      <c r="V607">
        <f t="shared" si="73"/>
        <v>8961.2900000000009</v>
      </c>
      <c r="W607" s="4">
        <f t="shared" si="77"/>
        <v>-8474.7296400000014</v>
      </c>
      <c r="X607" s="4">
        <f t="shared" si="78"/>
        <v>-17.417632706453933</v>
      </c>
    </row>
    <row r="608" spans="1:24" x14ac:dyDescent="0.3">
      <c r="A608" t="s">
        <v>1312</v>
      </c>
      <c r="B608" s="6">
        <v>45038</v>
      </c>
      <c r="C608" s="2">
        <v>45060</v>
      </c>
      <c r="D608" s="4">
        <f t="shared" si="79"/>
        <v>22</v>
      </c>
      <c r="E608" s="46" t="b">
        <f t="shared" si="74"/>
        <v>0</v>
      </c>
      <c r="F608" s="4" t="str">
        <f>TEXT(Data!B608,"MMM-YYYY")</f>
        <v>Jun-2025</v>
      </c>
      <c r="G608" s="4" t="str">
        <f t="shared" si="75"/>
        <v>Q2-2023</v>
      </c>
      <c r="H608" t="s">
        <v>45</v>
      </c>
      <c r="I608" t="s">
        <v>46</v>
      </c>
      <c r="J608" t="s">
        <v>231</v>
      </c>
      <c r="K608" t="s">
        <v>105</v>
      </c>
      <c r="L608" t="s">
        <v>20</v>
      </c>
      <c r="M608" t="s">
        <v>75</v>
      </c>
      <c r="N608" t="s">
        <v>81</v>
      </c>
      <c r="O608" t="s">
        <v>1313</v>
      </c>
      <c r="P608" s="4">
        <v>1209.22</v>
      </c>
      <c r="Q608" s="7" t="str">
        <f t="shared" si="76"/>
        <v>High</v>
      </c>
      <c r="R608" s="4">
        <v>1404.33</v>
      </c>
      <c r="S608" s="4">
        <v>0.10299999999999999</v>
      </c>
      <c r="T608" s="4">
        <v>11</v>
      </c>
      <c r="U608" s="4">
        <f t="shared" si="72"/>
        <v>0</v>
      </c>
      <c r="V608">
        <f t="shared" si="73"/>
        <v>13301.42</v>
      </c>
      <c r="W608" s="4">
        <f t="shared" si="77"/>
        <v>-13301.42</v>
      </c>
      <c r="X608" s="4">
        <f t="shared" si="78"/>
        <v>0</v>
      </c>
    </row>
    <row r="609" spans="1:24" x14ac:dyDescent="0.3">
      <c r="A609" t="s">
        <v>1314</v>
      </c>
      <c r="B609" s="6">
        <v>45827</v>
      </c>
      <c r="C609" s="2">
        <v>45829</v>
      </c>
      <c r="D609" s="4">
        <f t="shared" si="79"/>
        <v>2</v>
      </c>
      <c r="E609" s="46" t="str">
        <f t="shared" si="74"/>
        <v>Yes</v>
      </c>
      <c r="F609" s="4" t="str">
        <f>TEXT(Data!B609,"MMM-YYYY")</f>
        <v>Nov-2024</v>
      </c>
      <c r="G609" s="4" t="str">
        <f t="shared" si="75"/>
        <v>Q2-2025</v>
      </c>
      <c r="H609" t="s">
        <v>16</v>
      </c>
      <c r="I609" t="s">
        <v>148</v>
      </c>
      <c r="J609" t="s">
        <v>149</v>
      </c>
      <c r="K609" t="s">
        <v>62</v>
      </c>
      <c r="L609" t="s">
        <v>1364</v>
      </c>
      <c r="M609" t="s">
        <v>92</v>
      </c>
      <c r="N609" t="s">
        <v>42</v>
      </c>
      <c r="O609" t="s">
        <v>1315</v>
      </c>
      <c r="P609" s="4">
        <v>1466.27</v>
      </c>
      <c r="Q609" s="7" t="str">
        <f t="shared" si="76"/>
        <v>High</v>
      </c>
      <c r="R609" s="4">
        <v>3589.89</v>
      </c>
      <c r="S609" s="4">
        <v>9.7000000000000003E-2</v>
      </c>
      <c r="T609" s="4">
        <v>9</v>
      </c>
      <c r="U609" s="4">
        <f t="shared" si="72"/>
        <v>0</v>
      </c>
      <c r="V609">
        <f t="shared" si="73"/>
        <v>13196.43</v>
      </c>
      <c r="W609" s="4">
        <f t="shared" si="77"/>
        <v>-13196.43</v>
      </c>
      <c r="X609" s="4">
        <f t="shared" si="78"/>
        <v>0</v>
      </c>
    </row>
    <row r="610" spans="1:24" x14ac:dyDescent="0.3">
      <c r="A610" t="s">
        <v>1316</v>
      </c>
      <c r="B610" s="6">
        <v>45623</v>
      </c>
      <c r="C610" s="2">
        <v>45650</v>
      </c>
      <c r="D610" s="4">
        <f t="shared" si="79"/>
        <v>27</v>
      </c>
      <c r="E610" s="46" t="b">
        <f t="shared" si="74"/>
        <v>0</v>
      </c>
      <c r="F610" s="4" t="str">
        <f>TEXT(Data!B610,"MMM-YYYY")</f>
        <v>Jan-2024</v>
      </c>
      <c r="G610" s="4" t="str">
        <f t="shared" si="75"/>
        <v>Q4-2024</v>
      </c>
      <c r="H610" t="s">
        <v>16</v>
      </c>
      <c r="I610" t="s">
        <v>17</v>
      </c>
      <c r="J610" t="s">
        <v>113</v>
      </c>
      <c r="K610" t="s">
        <v>19</v>
      </c>
      <c r="L610" t="s">
        <v>55</v>
      </c>
      <c r="M610" t="s">
        <v>56</v>
      </c>
      <c r="N610" t="s">
        <v>30</v>
      </c>
      <c r="O610" t="s">
        <v>1317</v>
      </c>
      <c r="P610" s="4">
        <v>143.33000000000001</v>
      </c>
      <c r="Q610" s="7" t="str">
        <f t="shared" si="76"/>
        <v>High</v>
      </c>
      <c r="R610" s="4">
        <v>233.51</v>
      </c>
      <c r="S610" s="4">
        <v>0.16300000000000001</v>
      </c>
      <c r="T610" s="4">
        <v>14</v>
      </c>
      <c r="U610" s="4">
        <f t="shared" si="72"/>
        <v>0</v>
      </c>
      <c r="V610">
        <f t="shared" si="73"/>
        <v>2006.6200000000001</v>
      </c>
      <c r="W610" s="4">
        <f t="shared" si="77"/>
        <v>-2006.6200000000001</v>
      </c>
      <c r="X610" s="4">
        <f t="shared" si="78"/>
        <v>0</v>
      </c>
    </row>
    <row r="611" spans="1:24" x14ac:dyDescent="0.3">
      <c r="A611" t="s">
        <v>1318</v>
      </c>
      <c r="B611" s="6">
        <v>45319</v>
      </c>
      <c r="C611" s="2">
        <v>45318</v>
      </c>
      <c r="D611" s="4">
        <f>DATEDIF(C611,B611, "MD")</f>
        <v>1</v>
      </c>
      <c r="E611" s="46" t="str">
        <f t="shared" si="74"/>
        <v>Yes</v>
      </c>
      <c r="F611" s="4" t="str">
        <f>TEXT(Data!B611,"MMM-YYYY")</f>
        <v>Apr-2023</v>
      </c>
      <c r="G611" s="4" t="str">
        <f t="shared" si="75"/>
        <v>Q1-2024</v>
      </c>
      <c r="H611" t="s">
        <v>16</v>
      </c>
      <c r="I611" t="s">
        <v>148</v>
      </c>
      <c r="J611" t="s">
        <v>258</v>
      </c>
      <c r="K611" t="s">
        <v>105</v>
      </c>
      <c r="L611" t="s">
        <v>98</v>
      </c>
      <c r="M611" t="s">
        <v>68</v>
      </c>
      <c r="N611" t="s">
        <v>22</v>
      </c>
      <c r="O611" t="s">
        <v>1319</v>
      </c>
      <c r="P611" s="4">
        <v>109.75</v>
      </c>
      <c r="Q611" s="7" t="str">
        <f t="shared" si="76"/>
        <v>Medium</v>
      </c>
      <c r="R611" s="4">
        <v>124.25</v>
      </c>
      <c r="S611" s="4">
        <v>0.12</v>
      </c>
      <c r="T611" s="4">
        <v>19</v>
      </c>
      <c r="U611" s="4">
        <f t="shared" si="72"/>
        <v>0</v>
      </c>
      <c r="V611">
        <f t="shared" si="73"/>
        <v>2085.25</v>
      </c>
      <c r="W611" s="4">
        <f t="shared" si="77"/>
        <v>-2085.25</v>
      </c>
      <c r="X611" s="4">
        <f t="shared" si="78"/>
        <v>0</v>
      </c>
    </row>
    <row r="612" spans="1:24" x14ac:dyDescent="0.3">
      <c r="A612" t="s">
        <v>1320</v>
      </c>
      <c r="B612" s="6">
        <v>45032</v>
      </c>
      <c r="C612" s="2">
        <v>45039</v>
      </c>
      <c r="D612" s="4">
        <f t="shared" si="79"/>
        <v>7</v>
      </c>
      <c r="E612" s="46" t="str">
        <f t="shared" si="74"/>
        <v>Yes</v>
      </c>
      <c r="F612" s="4" t="str">
        <f>TEXT(Data!B612,"MMM-YYYY")</f>
        <v>Feb-2024</v>
      </c>
      <c r="G612" s="4" t="str">
        <f t="shared" si="75"/>
        <v>Q2-2023</v>
      </c>
      <c r="H612" t="s">
        <v>52</v>
      </c>
      <c r="I612" t="s">
        <v>122</v>
      </c>
      <c r="J612" t="s">
        <v>326</v>
      </c>
      <c r="K612" t="s">
        <v>19</v>
      </c>
      <c r="L612" t="s">
        <v>55</v>
      </c>
      <c r="M612" t="s">
        <v>68</v>
      </c>
      <c r="N612" t="s">
        <v>30</v>
      </c>
      <c r="O612" t="s">
        <v>1321</v>
      </c>
      <c r="P612" s="4">
        <v>1099.1500000000001</v>
      </c>
      <c r="Q612" s="7" t="str">
        <f t="shared" si="76"/>
        <v>High</v>
      </c>
      <c r="R612" s="4">
        <v>1431.37</v>
      </c>
      <c r="S612" s="4">
        <v>0.104</v>
      </c>
      <c r="T612" s="4">
        <v>8</v>
      </c>
      <c r="U612" s="4">
        <f t="shared" si="72"/>
        <v>0</v>
      </c>
      <c r="V612">
        <f t="shared" si="73"/>
        <v>8793.2000000000007</v>
      </c>
      <c r="W612" s="4">
        <f t="shared" si="77"/>
        <v>-8793.2000000000007</v>
      </c>
      <c r="X612" s="4">
        <f t="shared" si="78"/>
        <v>0</v>
      </c>
    </row>
    <row r="613" spans="1:24" x14ac:dyDescent="0.3">
      <c r="A613" t="s">
        <v>1322</v>
      </c>
      <c r="B613" s="6">
        <v>45323</v>
      </c>
      <c r="C613" s="2">
        <v>45323</v>
      </c>
      <c r="D613" s="4">
        <f t="shared" si="79"/>
        <v>0</v>
      </c>
      <c r="E613" s="46" t="str">
        <f t="shared" si="74"/>
        <v>Yes</v>
      </c>
      <c r="F613" s="4" t="str">
        <f>TEXT(Data!B613,"MMM-YYYY")</f>
        <v>Oct-2024</v>
      </c>
      <c r="G613" s="4" t="str">
        <f t="shared" si="75"/>
        <v>Q1-2024</v>
      </c>
      <c r="H613" t="s">
        <v>52</v>
      </c>
      <c r="I613" t="s">
        <v>122</v>
      </c>
      <c r="J613" t="s">
        <v>326</v>
      </c>
      <c r="K613" t="s">
        <v>48</v>
      </c>
      <c r="L613" t="s">
        <v>55</v>
      </c>
      <c r="M613" t="s">
        <v>92</v>
      </c>
      <c r="N613" t="s">
        <v>30</v>
      </c>
      <c r="O613" t="s">
        <v>1323</v>
      </c>
      <c r="P613" s="4">
        <v>714.43</v>
      </c>
      <c r="Q613" s="7" t="str">
        <f t="shared" si="76"/>
        <v>High</v>
      </c>
      <c r="R613" s="4">
        <v>1595.52</v>
      </c>
      <c r="S613" s="4">
        <v>0.19400000000000001</v>
      </c>
      <c r="T613" s="4">
        <v>14</v>
      </c>
      <c r="U613" s="4">
        <f t="shared" si="72"/>
        <v>0</v>
      </c>
      <c r="V613">
        <f t="shared" si="73"/>
        <v>10002.019999999999</v>
      </c>
      <c r="W613" s="4">
        <f t="shared" si="77"/>
        <v>-10002.019999999999</v>
      </c>
      <c r="X613" s="4">
        <f t="shared" si="78"/>
        <v>0</v>
      </c>
    </row>
    <row r="614" spans="1:24" x14ac:dyDescent="0.3">
      <c r="A614" t="s">
        <v>1324</v>
      </c>
      <c r="B614" s="6">
        <v>45584</v>
      </c>
      <c r="C614" s="2">
        <v>45602</v>
      </c>
      <c r="D614" s="4">
        <f t="shared" si="79"/>
        <v>18</v>
      </c>
      <c r="E614" s="46" t="b">
        <f t="shared" si="74"/>
        <v>0</v>
      </c>
      <c r="F614" s="4" t="str">
        <f>TEXT(Data!B614,"MMM-YYYY")</f>
        <v>Jun-2024</v>
      </c>
      <c r="G614" s="4" t="str">
        <f t="shared" si="75"/>
        <v>Q4-2024</v>
      </c>
      <c r="H614" t="s">
        <v>52</v>
      </c>
      <c r="I614" t="s">
        <v>122</v>
      </c>
      <c r="J614" t="s">
        <v>123</v>
      </c>
      <c r="K614" t="s">
        <v>27</v>
      </c>
      <c r="L614" t="s">
        <v>1364</v>
      </c>
      <c r="M614" t="s">
        <v>21</v>
      </c>
      <c r="N614" t="s">
        <v>64</v>
      </c>
      <c r="O614" t="s">
        <v>1325</v>
      </c>
      <c r="P614" s="4">
        <v>942.02</v>
      </c>
      <c r="Q614" s="7" t="str">
        <f t="shared" si="76"/>
        <v>High</v>
      </c>
      <c r="R614" s="4">
        <v>1028.46</v>
      </c>
      <c r="S614" s="4">
        <v>0</v>
      </c>
      <c r="T614" s="4">
        <v>9</v>
      </c>
      <c r="U614" s="4">
        <f t="shared" si="72"/>
        <v>0</v>
      </c>
      <c r="V614">
        <f t="shared" si="73"/>
        <v>8478.18</v>
      </c>
      <c r="W614" s="4">
        <f t="shared" si="77"/>
        <v>-8478.18</v>
      </c>
      <c r="X614" s="4">
        <f t="shared" si="78"/>
        <v>0</v>
      </c>
    </row>
    <row r="615" spans="1:24" x14ac:dyDescent="0.3">
      <c r="A615" t="s">
        <v>1326</v>
      </c>
      <c r="B615" s="6">
        <v>45468</v>
      </c>
      <c r="C615" s="2">
        <v>45473</v>
      </c>
      <c r="D615" s="4">
        <f t="shared" si="79"/>
        <v>5</v>
      </c>
      <c r="E615" s="46" t="str">
        <f t="shared" si="74"/>
        <v>Yes</v>
      </c>
      <c r="F615" s="4" t="str">
        <f>TEXT(Data!B615,"MMM-YYYY")</f>
        <v>Jul-2023</v>
      </c>
      <c r="G615" s="4" t="str">
        <f t="shared" si="75"/>
        <v>Q2-2024</v>
      </c>
      <c r="H615" t="s">
        <v>16</v>
      </c>
      <c r="I615" t="s">
        <v>17</v>
      </c>
      <c r="J615" t="s">
        <v>18</v>
      </c>
      <c r="K615" t="s">
        <v>27</v>
      </c>
      <c r="L615" t="s">
        <v>98</v>
      </c>
      <c r="M615" t="s">
        <v>110</v>
      </c>
      <c r="N615" t="s">
        <v>35</v>
      </c>
      <c r="O615" t="s">
        <v>1327</v>
      </c>
      <c r="P615" s="4">
        <v>1323.55</v>
      </c>
      <c r="Q615" s="7" t="str">
        <f t="shared" si="76"/>
        <v>High</v>
      </c>
      <c r="R615" s="4">
        <v>3230.35</v>
      </c>
      <c r="S615" s="4">
        <v>2.1999999999999999E-2</v>
      </c>
      <c r="T615" s="4">
        <v>26</v>
      </c>
      <c r="U615" s="4">
        <f t="shared" si="72"/>
        <v>0</v>
      </c>
      <c r="V615">
        <f t="shared" si="73"/>
        <v>34412.299999999996</v>
      </c>
      <c r="W615" s="4">
        <f t="shared" si="77"/>
        <v>-34412.299999999996</v>
      </c>
      <c r="X615" s="4">
        <f t="shared" si="78"/>
        <v>0</v>
      </c>
    </row>
    <row r="616" spans="1:24" x14ac:dyDescent="0.3">
      <c r="A616" t="s">
        <v>1328</v>
      </c>
      <c r="B616" s="6">
        <v>45137</v>
      </c>
      <c r="C616" s="2">
        <v>45157</v>
      </c>
      <c r="D616" s="4">
        <f t="shared" si="79"/>
        <v>20</v>
      </c>
      <c r="E616" s="46" t="b">
        <f t="shared" si="74"/>
        <v>0</v>
      </c>
      <c r="F616" s="4" t="str">
        <f>TEXT(Data!B616,"MMM-YYYY")</f>
        <v>Mar-2025</v>
      </c>
      <c r="G616" s="4" t="str">
        <f t="shared" si="75"/>
        <v>Q3-2023</v>
      </c>
      <c r="H616" t="s">
        <v>78</v>
      </c>
      <c r="I616" t="s">
        <v>90</v>
      </c>
      <c r="J616" t="s">
        <v>217</v>
      </c>
      <c r="K616" t="s">
        <v>105</v>
      </c>
      <c r="L616" t="s">
        <v>40</v>
      </c>
      <c r="M616" t="s">
        <v>41</v>
      </c>
      <c r="N616" t="s">
        <v>35</v>
      </c>
      <c r="O616" t="s">
        <v>1329</v>
      </c>
      <c r="P616" s="4">
        <v>1418.51</v>
      </c>
      <c r="Q616" s="7" t="str">
        <f t="shared" si="76"/>
        <v>High</v>
      </c>
      <c r="R616" s="4">
        <v>2789.61</v>
      </c>
      <c r="S616" s="4">
        <v>0.17100000000000001</v>
      </c>
      <c r="T616" s="4">
        <v>8</v>
      </c>
      <c r="U616" s="4">
        <f t="shared" si="72"/>
        <v>0</v>
      </c>
      <c r="V616">
        <f t="shared" si="73"/>
        <v>11348.08</v>
      </c>
      <c r="W616" s="4">
        <f t="shared" si="77"/>
        <v>-11348.08</v>
      </c>
      <c r="X616" s="4">
        <f t="shared" si="78"/>
        <v>0</v>
      </c>
    </row>
    <row r="617" spans="1:24" x14ac:dyDescent="0.3">
      <c r="A617" t="s">
        <v>1330</v>
      </c>
      <c r="B617" s="6">
        <v>45727</v>
      </c>
      <c r="C617" s="2">
        <v>45743</v>
      </c>
      <c r="D617" s="4">
        <f t="shared" si="79"/>
        <v>16</v>
      </c>
      <c r="E617" s="46" t="b">
        <f t="shared" si="74"/>
        <v>0</v>
      </c>
      <c r="F617" s="4" t="str">
        <f>TEXT(Data!B617,"MMM-YYYY")</f>
        <v>Oct-2023</v>
      </c>
      <c r="G617" s="4" t="str">
        <f t="shared" si="75"/>
        <v>Q1-2025</v>
      </c>
      <c r="H617" t="s">
        <v>45</v>
      </c>
      <c r="I617" t="s">
        <v>46</v>
      </c>
      <c r="J617" t="s">
        <v>214</v>
      </c>
      <c r="K617" t="s">
        <v>105</v>
      </c>
      <c r="L617" t="s">
        <v>55</v>
      </c>
      <c r="M617" t="s">
        <v>56</v>
      </c>
      <c r="N617" t="s">
        <v>30</v>
      </c>
      <c r="O617" t="s">
        <v>1331</v>
      </c>
      <c r="P617" s="4">
        <v>1317.58</v>
      </c>
      <c r="Q617" s="7" t="str">
        <f t="shared" si="76"/>
        <v>High</v>
      </c>
      <c r="R617" s="4">
        <v>1897.74</v>
      </c>
      <c r="S617" s="4">
        <v>8.1000000000000003E-2</v>
      </c>
      <c r="T617" s="4">
        <v>6</v>
      </c>
      <c r="U617" s="4">
        <f t="shared" si="72"/>
        <v>0</v>
      </c>
      <c r="V617">
        <f t="shared" si="73"/>
        <v>7905.48</v>
      </c>
      <c r="W617" s="4">
        <f t="shared" si="77"/>
        <v>-7905.48</v>
      </c>
      <c r="X617" s="4">
        <f t="shared" si="78"/>
        <v>0</v>
      </c>
    </row>
    <row r="618" spans="1:24" x14ac:dyDescent="0.3">
      <c r="A618" t="s">
        <v>1332</v>
      </c>
      <c r="B618" s="6">
        <v>45208</v>
      </c>
      <c r="C618" s="2">
        <v>45210</v>
      </c>
      <c r="D618" s="4">
        <f t="shared" si="79"/>
        <v>2</v>
      </c>
      <c r="E618" s="46" t="str">
        <f t="shared" si="74"/>
        <v>Yes</v>
      </c>
      <c r="F618" s="4" t="str">
        <f>TEXT(Data!B618,"MMM-YYYY")</f>
        <v>Dec-2024</v>
      </c>
      <c r="G618" s="4" t="str">
        <f t="shared" si="75"/>
        <v>Q4-2023</v>
      </c>
      <c r="H618" t="s">
        <v>16</v>
      </c>
      <c r="I618" t="s">
        <v>25</v>
      </c>
      <c r="J618" t="s">
        <v>26</v>
      </c>
      <c r="K618" t="s">
        <v>27</v>
      </c>
      <c r="L618" t="s">
        <v>40</v>
      </c>
      <c r="M618" t="s">
        <v>95</v>
      </c>
      <c r="N618" t="s">
        <v>35</v>
      </c>
      <c r="O618" t="s">
        <v>1333</v>
      </c>
      <c r="P618" s="4">
        <v>391.16</v>
      </c>
      <c r="Q618" s="7" t="str">
        <f t="shared" si="76"/>
        <v>High</v>
      </c>
      <c r="R618" s="4">
        <v>902.47</v>
      </c>
      <c r="S618" s="4">
        <v>4.0000000000000001E-3</v>
      </c>
      <c r="T618" s="4">
        <v>12</v>
      </c>
      <c r="U618" s="4">
        <f t="shared" si="72"/>
        <v>0</v>
      </c>
      <c r="V618">
        <f t="shared" si="73"/>
        <v>4693.92</v>
      </c>
      <c r="W618" s="4">
        <f t="shared" si="77"/>
        <v>-4693.92</v>
      </c>
      <c r="X618" s="4">
        <f t="shared" si="78"/>
        <v>0</v>
      </c>
    </row>
    <row r="619" spans="1:24" x14ac:dyDescent="0.3">
      <c r="A619" t="s">
        <v>1334</v>
      </c>
      <c r="B619" s="6">
        <v>45643</v>
      </c>
      <c r="C619" s="2">
        <v>45673</v>
      </c>
      <c r="D619" s="4">
        <f t="shared" si="79"/>
        <v>30</v>
      </c>
      <c r="E619" s="46" t="b">
        <f t="shared" si="74"/>
        <v>0</v>
      </c>
      <c r="F619" s="4" t="str">
        <f>TEXT(Data!B619,"MMM-YYYY")</f>
        <v>Jul-2025</v>
      </c>
      <c r="G619" s="4" t="str">
        <f t="shared" si="75"/>
        <v>Q4-2024</v>
      </c>
      <c r="H619" t="s">
        <v>78</v>
      </c>
      <c r="I619" t="s">
        <v>108</v>
      </c>
      <c r="J619" t="s">
        <v>228</v>
      </c>
      <c r="K619" t="s">
        <v>19</v>
      </c>
      <c r="L619" t="s">
        <v>20</v>
      </c>
      <c r="M619" t="s">
        <v>145</v>
      </c>
      <c r="N619" t="s">
        <v>64</v>
      </c>
      <c r="O619" t="s">
        <v>1335</v>
      </c>
      <c r="P619" s="4">
        <v>722.87</v>
      </c>
      <c r="Q619" s="7" t="str">
        <f t="shared" si="76"/>
        <v>Low</v>
      </c>
      <c r="R619" s="4">
        <v>-33.659999999999997</v>
      </c>
      <c r="S619" s="4">
        <v>0.10199999999999999</v>
      </c>
      <c r="T619" s="4">
        <v>28</v>
      </c>
      <c r="U619" s="4">
        <f t="shared" si="72"/>
        <v>0</v>
      </c>
      <c r="V619">
        <f t="shared" si="73"/>
        <v>20240.36</v>
      </c>
      <c r="W619" s="4">
        <f t="shared" si="77"/>
        <v>-20240.36</v>
      </c>
      <c r="X619" s="4">
        <f t="shared" si="78"/>
        <v>0</v>
      </c>
    </row>
    <row r="620" spans="1:24" x14ac:dyDescent="0.3">
      <c r="A620" t="s">
        <v>1336</v>
      </c>
      <c r="B620" s="6">
        <v>45849</v>
      </c>
      <c r="C620" s="2">
        <v>45854</v>
      </c>
      <c r="D620" s="4">
        <f t="shared" si="79"/>
        <v>5</v>
      </c>
      <c r="E620" s="46" t="str">
        <f t="shared" si="74"/>
        <v>Yes</v>
      </c>
      <c r="F620" s="4" t="str">
        <f>TEXT(Data!B620,"MMM-YYYY")</f>
        <v>Oct-2024</v>
      </c>
      <c r="G620" s="4" t="str">
        <f t="shared" si="75"/>
        <v>Q3-2025</v>
      </c>
      <c r="H620" t="s">
        <v>78</v>
      </c>
      <c r="I620" t="s">
        <v>108</v>
      </c>
      <c r="J620" t="s">
        <v>152</v>
      </c>
      <c r="K620" t="s">
        <v>105</v>
      </c>
      <c r="L620" t="s">
        <v>28</v>
      </c>
      <c r="M620" t="s">
        <v>95</v>
      </c>
      <c r="N620" t="s">
        <v>30</v>
      </c>
      <c r="O620" t="s">
        <v>1337</v>
      </c>
      <c r="P620" s="4">
        <v>930.03</v>
      </c>
      <c r="Q620" s="7" t="str">
        <f t="shared" si="76"/>
        <v>High</v>
      </c>
      <c r="R620" s="4">
        <v>1086.68</v>
      </c>
      <c r="S620" s="4">
        <v>0.109</v>
      </c>
      <c r="T620" s="4">
        <v>26</v>
      </c>
      <c r="U620" s="4">
        <f t="shared" si="72"/>
        <v>0</v>
      </c>
      <c r="V620">
        <f t="shared" si="73"/>
        <v>24180.78</v>
      </c>
      <c r="W620" s="4">
        <f t="shared" si="77"/>
        <v>-24180.78</v>
      </c>
      <c r="X620" s="4">
        <f t="shared" si="78"/>
        <v>0</v>
      </c>
    </row>
    <row r="621" spans="1:24" x14ac:dyDescent="0.3">
      <c r="A621" t="s">
        <v>1338</v>
      </c>
      <c r="B621" s="6">
        <v>45578</v>
      </c>
      <c r="C621" s="2">
        <v>45589</v>
      </c>
      <c r="D621" s="4">
        <f t="shared" si="79"/>
        <v>11</v>
      </c>
      <c r="E621" s="46" t="b">
        <f t="shared" si="74"/>
        <v>0</v>
      </c>
      <c r="F621" s="4" t="str">
        <f>TEXT(Data!B621,"MMM-YYYY")</f>
        <v>Sep-2023</v>
      </c>
      <c r="G621" s="4" t="str">
        <f t="shared" si="75"/>
        <v>Q4-2024</v>
      </c>
      <c r="H621" t="s">
        <v>78</v>
      </c>
      <c r="I621" t="s">
        <v>90</v>
      </c>
      <c r="J621" t="s">
        <v>217</v>
      </c>
      <c r="K621" t="s">
        <v>27</v>
      </c>
      <c r="L621" t="s">
        <v>55</v>
      </c>
      <c r="M621" t="s">
        <v>84</v>
      </c>
      <c r="N621" t="s">
        <v>22</v>
      </c>
      <c r="O621" t="s">
        <v>1339</v>
      </c>
      <c r="P621" s="4">
        <v>816.7</v>
      </c>
      <c r="Q621" s="7" t="str">
        <f t="shared" si="76"/>
        <v>High</v>
      </c>
      <c r="R621" s="4">
        <v>1010.75</v>
      </c>
      <c r="S621" s="4">
        <v>4.7E-2</v>
      </c>
      <c r="T621" s="4">
        <v>43</v>
      </c>
      <c r="U621" s="4">
        <f t="shared" si="72"/>
        <v>0</v>
      </c>
      <c r="V621">
        <f t="shared" si="73"/>
        <v>35118.1</v>
      </c>
      <c r="W621" s="4">
        <f t="shared" si="77"/>
        <v>-35118.1</v>
      </c>
      <c r="X621" s="4">
        <f t="shared" si="78"/>
        <v>0</v>
      </c>
    </row>
    <row r="622" spans="1:24" x14ac:dyDescent="0.3">
      <c r="A622" t="s">
        <v>1340</v>
      </c>
      <c r="B622" s="6">
        <v>45177</v>
      </c>
      <c r="C622" s="2">
        <v>45183</v>
      </c>
      <c r="D622" s="4">
        <f t="shared" si="79"/>
        <v>6</v>
      </c>
      <c r="E622" s="46" t="str">
        <f t="shared" si="74"/>
        <v>Yes</v>
      </c>
      <c r="F622" s="4" t="str">
        <f>TEXT(Data!B622,"MMM-YYYY")</f>
        <v>Apr-2025</v>
      </c>
      <c r="G622" s="4" t="str">
        <f t="shared" si="75"/>
        <v>Q3-2023</v>
      </c>
      <c r="H622" t="s">
        <v>16</v>
      </c>
      <c r="I622" t="s">
        <v>17</v>
      </c>
      <c r="J622" t="s">
        <v>135</v>
      </c>
      <c r="K622" t="s">
        <v>27</v>
      </c>
      <c r="L622" t="s">
        <v>98</v>
      </c>
      <c r="M622" t="s">
        <v>34</v>
      </c>
      <c r="N622" t="s">
        <v>81</v>
      </c>
      <c r="O622" t="s">
        <v>1341</v>
      </c>
      <c r="P622" s="4">
        <v>251.03</v>
      </c>
      <c r="Q622" s="7" t="str">
        <f t="shared" si="76"/>
        <v>High</v>
      </c>
      <c r="R622" s="4">
        <v>411.48</v>
      </c>
      <c r="S622" s="4">
        <v>0.16500000000000001</v>
      </c>
      <c r="T622" s="4">
        <v>3</v>
      </c>
      <c r="U622" s="4">
        <f t="shared" si="72"/>
        <v>0</v>
      </c>
      <c r="V622">
        <f t="shared" si="73"/>
        <v>753.09</v>
      </c>
      <c r="W622" s="4">
        <f t="shared" si="77"/>
        <v>-753.09</v>
      </c>
      <c r="X622" s="4">
        <f t="shared" si="78"/>
        <v>0</v>
      </c>
    </row>
    <row r="623" spans="1:24" x14ac:dyDescent="0.3">
      <c r="A623" t="s">
        <v>1342</v>
      </c>
      <c r="B623" s="6">
        <v>45764</v>
      </c>
      <c r="C623" s="2">
        <v>45780</v>
      </c>
      <c r="D623" s="4">
        <f t="shared" si="79"/>
        <v>16</v>
      </c>
      <c r="E623" s="46" t="b">
        <f t="shared" si="74"/>
        <v>0</v>
      </c>
      <c r="F623" s="4" t="str">
        <f>TEXT(Data!B623,"MMM-YYYY")</f>
        <v>Jul-2024</v>
      </c>
      <c r="G623" s="4" t="str">
        <f t="shared" si="75"/>
        <v>Q2-2025</v>
      </c>
      <c r="H623" t="s">
        <v>52</v>
      </c>
      <c r="I623" t="s">
        <v>73</v>
      </c>
      <c r="J623" t="s">
        <v>225</v>
      </c>
      <c r="K623" t="s">
        <v>48</v>
      </c>
      <c r="L623" t="s">
        <v>40</v>
      </c>
      <c r="M623" t="s">
        <v>29</v>
      </c>
      <c r="N623" t="s">
        <v>35</v>
      </c>
      <c r="O623" t="s">
        <v>1343</v>
      </c>
      <c r="P623" s="4">
        <v>168.68</v>
      </c>
      <c r="Q623" s="7" t="str">
        <f t="shared" si="76"/>
        <v>High</v>
      </c>
      <c r="R623" s="4">
        <v>413.34</v>
      </c>
      <c r="S623" s="4">
        <v>0.186</v>
      </c>
      <c r="T623" s="4">
        <v>7</v>
      </c>
      <c r="U623" s="4">
        <f t="shared" si="72"/>
        <v>0</v>
      </c>
      <c r="V623">
        <f t="shared" si="73"/>
        <v>1180.76</v>
      </c>
      <c r="W623" s="4">
        <f t="shared" si="77"/>
        <v>-1180.76</v>
      </c>
      <c r="X623" s="4">
        <f t="shared" si="78"/>
        <v>0</v>
      </c>
    </row>
    <row r="624" spans="1:24" x14ac:dyDescent="0.3">
      <c r="A624" t="s">
        <v>1344</v>
      </c>
      <c r="B624" s="6">
        <v>45501</v>
      </c>
      <c r="C624" s="2">
        <v>45527</v>
      </c>
      <c r="D624" s="4">
        <f t="shared" si="79"/>
        <v>26</v>
      </c>
      <c r="E624" s="46" t="b">
        <f t="shared" si="74"/>
        <v>0</v>
      </c>
      <c r="F624" s="4" t="str">
        <f>TEXT(Data!B624,"MMM-YYYY")</f>
        <v>Jul-2025</v>
      </c>
      <c r="G624" s="4" t="str">
        <f t="shared" si="75"/>
        <v>Q3-2024</v>
      </c>
      <c r="H624" t="s">
        <v>45</v>
      </c>
      <c r="I624" t="s">
        <v>60</v>
      </c>
      <c r="J624" t="s">
        <v>281</v>
      </c>
      <c r="K624" t="s">
        <v>19</v>
      </c>
      <c r="L624" t="s">
        <v>20</v>
      </c>
      <c r="M624" t="s">
        <v>29</v>
      </c>
      <c r="N624" t="s">
        <v>35</v>
      </c>
      <c r="O624" t="s">
        <v>1345</v>
      </c>
      <c r="P624" s="4">
        <v>1339.24</v>
      </c>
      <c r="Q624" s="7" t="str">
        <f t="shared" si="76"/>
        <v>High</v>
      </c>
      <c r="R624" s="4">
        <v>1558.89</v>
      </c>
      <c r="S624" s="4">
        <v>0.192</v>
      </c>
      <c r="T624" s="4">
        <v>24</v>
      </c>
      <c r="U624" s="4">
        <f t="shared" si="72"/>
        <v>0</v>
      </c>
      <c r="V624">
        <f t="shared" si="73"/>
        <v>32141.760000000002</v>
      </c>
      <c r="W624" s="4">
        <f t="shared" si="77"/>
        <v>-32141.760000000002</v>
      </c>
      <c r="X624" s="4">
        <f t="shared" si="78"/>
        <v>0</v>
      </c>
    </row>
    <row r="625" spans="1:24" x14ac:dyDescent="0.3">
      <c r="A625" t="s">
        <v>1346</v>
      </c>
      <c r="B625" s="6">
        <v>45857</v>
      </c>
      <c r="C625" s="2">
        <v>45869</v>
      </c>
      <c r="D625" s="4">
        <f t="shared" si="79"/>
        <v>12</v>
      </c>
      <c r="E625" s="46" t="b">
        <f t="shared" si="74"/>
        <v>0</v>
      </c>
      <c r="F625" s="4" t="str">
        <f>TEXT(Data!B625,"MMM-YYYY")</f>
        <v>Aug-2023</v>
      </c>
      <c r="G625" s="4" t="str">
        <f t="shared" si="75"/>
        <v>Q3-2025</v>
      </c>
      <c r="H625" t="s">
        <v>16</v>
      </c>
      <c r="I625" t="s">
        <v>17</v>
      </c>
      <c r="J625" t="s">
        <v>33</v>
      </c>
      <c r="K625" t="s">
        <v>62</v>
      </c>
      <c r="L625" t="s">
        <v>40</v>
      </c>
      <c r="M625" t="s">
        <v>68</v>
      </c>
      <c r="N625" t="s">
        <v>81</v>
      </c>
      <c r="O625" t="s">
        <v>1347</v>
      </c>
      <c r="P625" s="4">
        <v>619.64</v>
      </c>
      <c r="Q625" s="7" t="str">
        <f t="shared" si="76"/>
        <v>High</v>
      </c>
      <c r="R625" s="4">
        <v>861.16</v>
      </c>
      <c r="S625" s="4">
        <v>0.113</v>
      </c>
      <c r="T625" s="4">
        <v>14</v>
      </c>
      <c r="U625" s="4">
        <f t="shared" si="72"/>
        <v>0</v>
      </c>
      <c r="V625">
        <f t="shared" si="73"/>
        <v>8674.9599999999991</v>
      </c>
      <c r="W625" s="4">
        <f t="shared" si="77"/>
        <v>-8674.9599999999991</v>
      </c>
      <c r="X625" s="4">
        <f t="shared" si="78"/>
        <v>0</v>
      </c>
    </row>
    <row r="626" spans="1:24" x14ac:dyDescent="0.3">
      <c r="A626" t="s">
        <v>1348</v>
      </c>
      <c r="B626" s="6">
        <v>45141</v>
      </c>
      <c r="C626" s="2">
        <v>45140</v>
      </c>
      <c r="D626" s="4">
        <f>DATEDIF(C626,B626, "MD")</f>
        <v>1</v>
      </c>
      <c r="E626" s="46" t="str">
        <f t="shared" si="74"/>
        <v>Yes</v>
      </c>
      <c r="F626" s="4" t="str">
        <f>TEXT(Data!B626,"MMM-YYYY")</f>
        <v>Nov-2023</v>
      </c>
      <c r="G626" s="4" t="str">
        <f t="shared" si="75"/>
        <v>Q3-2023</v>
      </c>
      <c r="H626" t="s">
        <v>45</v>
      </c>
      <c r="I626" t="s">
        <v>116</v>
      </c>
      <c r="J626" t="s">
        <v>162</v>
      </c>
      <c r="K626" t="s">
        <v>39</v>
      </c>
      <c r="L626" t="s">
        <v>98</v>
      </c>
      <c r="M626" t="s">
        <v>29</v>
      </c>
      <c r="N626" t="s">
        <v>35</v>
      </c>
      <c r="O626" t="s">
        <v>1349</v>
      </c>
      <c r="P626" s="4">
        <v>1021.97</v>
      </c>
      <c r="Q626" s="7" t="str">
        <f t="shared" si="76"/>
        <v>High</v>
      </c>
      <c r="R626" s="4">
        <v>2296.25</v>
      </c>
      <c r="S626" s="4">
        <v>0.161</v>
      </c>
      <c r="T626" s="4">
        <v>26</v>
      </c>
      <c r="U626" s="4">
        <f t="shared" si="72"/>
        <v>0</v>
      </c>
      <c r="V626">
        <f t="shared" si="73"/>
        <v>26571.22</v>
      </c>
      <c r="W626" s="4">
        <f t="shared" si="77"/>
        <v>-26571.22</v>
      </c>
      <c r="X626" s="4">
        <f t="shared" si="78"/>
        <v>0</v>
      </c>
    </row>
    <row r="627" spans="1:24" x14ac:dyDescent="0.3">
      <c r="A627" t="s">
        <v>1350</v>
      </c>
      <c r="B627" s="6">
        <v>45249</v>
      </c>
      <c r="C627" s="2">
        <v>45272</v>
      </c>
      <c r="D627" s="4">
        <f t="shared" si="79"/>
        <v>23</v>
      </c>
      <c r="E627" s="46" t="b">
        <f t="shared" si="74"/>
        <v>0</v>
      </c>
      <c r="F627" s="4" t="str">
        <f>TEXT(Data!B627,"MMM-YYYY")</f>
        <v>Dec-2023</v>
      </c>
      <c r="G627" s="4" t="str">
        <f t="shared" si="75"/>
        <v>Q4-2023</v>
      </c>
      <c r="H627" t="s">
        <v>45</v>
      </c>
      <c r="I627" t="s">
        <v>60</v>
      </c>
      <c r="J627" t="s">
        <v>141</v>
      </c>
      <c r="K627" t="s">
        <v>62</v>
      </c>
      <c r="L627" t="s">
        <v>98</v>
      </c>
      <c r="M627" t="s">
        <v>21</v>
      </c>
      <c r="N627" t="s">
        <v>35</v>
      </c>
      <c r="O627" t="s">
        <v>1351</v>
      </c>
      <c r="P627" s="4">
        <v>1349.04</v>
      </c>
      <c r="Q627" s="7" t="str">
        <f t="shared" si="76"/>
        <v>High</v>
      </c>
      <c r="R627" s="4">
        <v>2636.6</v>
      </c>
      <c r="S627" s="4">
        <v>0.114</v>
      </c>
      <c r="T627" s="4">
        <v>14</v>
      </c>
      <c r="U627" s="4">
        <f t="shared" si="72"/>
        <v>0</v>
      </c>
      <c r="V627">
        <f t="shared" si="73"/>
        <v>18886.559999999998</v>
      </c>
      <c r="W627" s="4">
        <f t="shared" si="77"/>
        <v>-18886.559999999998</v>
      </c>
      <c r="X627" s="4">
        <f t="shared" si="78"/>
        <v>0</v>
      </c>
    </row>
    <row r="628" spans="1:24" x14ac:dyDescent="0.3">
      <c r="A628" t="s">
        <v>1352</v>
      </c>
      <c r="B628" s="6">
        <v>45282</v>
      </c>
      <c r="C628" s="2">
        <v>45307</v>
      </c>
      <c r="D628" s="4">
        <f t="shared" si="79"/>
        <v>25</v>
      </c>
      <c r="E628" s="46" t="b">
        <f t="shared" si="74"/>
        <v>0</v>
      </c>
      <c r="F628" s="4" t="str">
        <f>TEXT(Data!B628,"MMM-YYYY")</f>
        <v>Aug-2023</v>
      </c>
      <c r="G628" s="4" t="str">
        <f t="shared" si="75"/>
        <v>Q4-2023</v>
      </c>
      <c r="H628" t="s">
        <v>45</v>
      </c>
      <c r="I628" t="s">
        <v>60</v>
      </c>
      <c r="J628" t="s">
        <v>281</v>
      </c>
      <c r="K628" t="s">
        <v>62</v>
      </c>
      <c r="L628" t="s">
        <v>20</v>
      </c>
      <c r="M628" t="s">
        <v>75</v>
      </c>
      <c r="N628" t="s">
        <v>22</v>
      </c>
      <c r="O628" t="s">
        <v>1353</v>
      </c>
      <c r="P628" s="4">
        <v>1346.81</v>
      </c>
      <c r="Q628" s="7" t="str">
        <f t="shared" si="76"/>
        <v>High</v>
      </c>
      <c r="R628" s="4">
        <v>978.09</v>
      </c>
      <c r="S628" s="4">
        <v>0.159</v>
      </c>
      <c r="T628" s="4">
        <v>17</v>
      </c>
      <c r="U628" s="4">
        <f t="shared" si="72"/>
        <v>0</v>
      </c>
      <c r="V628">
        <f t="shared" si="73"/>
        <v>22895.77</v>
      </c>
      <c r="W628" s="4">
        <f t="shared" si="77"/>
        <v>-22895.77</v>
      </c>
      <c r="X628" s="4">
        <f t="shared" si="78"/>
        <v>0</v>
      </c>
    </row>
    <row r="629" spans="1:24" x14ac:dyDescent="0.3">
      <c r="A629" t="s">
        <v>1354</v>
      </c>
      <c r="B629" s="6">
        <v>45141</v>
      </c>
      <c r="C629" s="2">
        <v>45168</v>
      </c>
      <c r="D629" s="4">
        <f t="shared" si="79"/>
        <v>27</v>
      </c>
      <c r="E629" s="46" t="b">
        <f t="shared" si="74"/>
        <v>0</v>
      </c>
      <c r="F629" s="4" t="str">
        <f>TEXT(Data!B629,"MMM-YYYY")</f>
        <v>Jun-2023</v>
      </c>
      <c r="G629" s="4" t="str">
        <f t="shared" si="75"/>
        <v>Q3-2023</v>
      </c>
      <c r="H629" t="s">
        <v>45</v>
      </c>
      <c r="I629" t="s">
        <v>116</v>
      </c>
      <c r="J629" t="s">
        <v>162</v>
      </c>
      <c r="K629" t="s">
        <v>48</v>
      </c>
      <c r="L629" t="s">
        <v>55</v>
      </c>
      <c r="M629" t="s">
        <v>126</v>
      </c>
      <c r="N629" t="s">
        <v>64</v>
      </c>
      <c r="O629" t="s">
        <v>1355</v>
      </c>
      <c r="P629" s="4">
        <v>226.04</v>
      </c>
      <c r="Q629" s="7" t="str">
        <f t="shared" si="76"/>
        <v>High</v>
      </c>
      <c r="R629" s="4">
        <v>545.72</v>
      </c>
      <c r="S629" s="4">
        <v>0.151</v>
      </c>
      <c r="T629" s="4">
        <v>11</v>
      </c>
      <c r="U629" s="4">
        <f t="shared" si="72"/>
        <v>0</v>
      </c>
      <c r="V629">
        <f t="shared" si="73"/>
        <v>2486.44</v>
      </c>
      <c r="W629" s="4">
        <f t="shared" si="77"/>
        <v>-2486.44</v>
      </c>
      <c r="X629" s="4">
        <f t="shared" si="78"/>
        <v>0</v>
      </c>
    </row>
    <row r="630" spans="1:24" x14ac:dyDescent="0.3">
      <c r="A630" t="s">
        <v>1356</v>
      </c>
      <c r="B630" s="6">
        <v>45100</v>
      </c>
      <c r="C630" s="2">
        <v>45125</v>
      </c>
      <c r="D630" s="4">
        <f t="shared" si="79"/>
        <v>25</v>
      </c>
      <c r="E630" s="46" t="b">
        <f t="shared" si="74"/>
        <v>0</v>
      </c>
      <c r="F630" s="4" t="str">
        <f>TEXT(Data!B630,"MMM-YYYY")</f>
        <v>Dec-2023</v>
      </c>
      <c r="G630" s="4" t="str">
        <f t="shared" si="75"/>
        <v>Q2-2023</v>
      </c>
      <c r="H630" t="s">
        <v>52</v>
      </c>
      <c r="I630" t="s">
        <v>53</v>
      </c>
      <c r="J630" t="s">
        <v>179</v>
      </c>
      <c r="K630" t="s">
        <v>105</v>
      </c>
      <c r="L630" t="s">
        <v>28</v>
      </c>
      <c r="M630" t="s">
        <v>126</v>
      </c>
      <c r="N630" t="s">
        <v>42</v>
      </c>
      <c r="O630" t="s">
        <v>1357</v>
      </c>
      <c r="P630" s="4">
        <v>807.02</v>
      </c>
      <c r="Q630" s="7" t="str">
        <f t="shared" si="76"/>
        <v>High</v>
      </c>
      <c r="R630" s="4">
        <v>1435.54</v>
      </c>
      <c r="S630" s="4">
        <v>0</v>
      </c>
      <c r="T630" s="4">
        <v>23</v>
      </c>
      <c r="U630" s="4">
        <f t="shared" si="72"/>
        <v>0</v>
      </c>
      <c r="V630">
        <f t="shared" si="73"/>
        <v>18561.46</v>
      </c>
      <c r="W630" s="4">
        <f t="shared" si="77"/>
        <v>-18561.46</v>
      </c>
      <c r="X630" s="4">
        <f t="shared" si="78"/>
        <v>0</v>
      </c>
    </row>
    <row r="631" spans="1:24" x14ac:dyDescent="0.3">
      <c r="A631" t="s">
        <v>1358</v>
      </c>
      <c r="B631" s="6">
        <v>45267</v>
      </c>
      <c r="C631" s="2">
        <v>45293</v>
      </c>
      <c r="D631" s="4">
        <f t="shared" si="79"/>
        <v>26</v>
      </c>
      <c r="E631" s="46" t="b">
        <f t="shared" si="74"/>
        <v>0</v>
      </c>
      <c r="F631" s="4" t="str">
        <f>TEXT(Data!B631,"MMM-YYYY")</f>
        <v>Nov-2023</v>
      </c>
      <c r="G631" s="4" t="str">
        <f t="shared" si="75"/>
        <v>Q4-2023</v>
      </c>
      <c r="H631" t="s">
        <v>78</v>
      </c>
      <c r="I631" t="s">
        <v>79</v>
      </c>
      <c r="J631" t="s">
        <v>335</v>
      </c>
      <c r="K631" t="s">
        <v>105</v>
      </c>
      <c r="L631" t="s">
        <v>55</v>
      </c>
      <c r="M631" t="s">
        <v>63</v>
      </c>
      <c r="N631" t="s">
        <v>22</v>
      </c>
      <c r="O631" t="s">
        <v>1359</v>
      </c>
      <c r="P631" s="4">
        <v>1071.99</v>
      </c>
      <c r="Q631" s="7" t="str">
        <f t="shared" si="76"/>
        <v>High</v>
      </c>
      <c r="R631" s="4">
        <v>2397.3000000000002</v>
      </c>
      <c r="S631" s="4">
        <v>6.2E-2</v>
      </c>
      <c r="T631" s="4">
        <v>18</v>
      </c>
      <c r="U631" s="4">
        <f t="shared" si="72"/>
        <v>0</v>
      </c>
      <c r="V631">
        <f t="shared" si="73"/>
        <v>19295.82</v>
      </c>
      <c r="W631" s="4">
        <f t="shared" si="77"/>
        <v>-19295.82</v>
      </c>
      <c r="X631" s="4">
        <f t="shared" si="78"/>
        <v>0</v>
      </c>
    </row>
    <row r="632" spans="1:24" x14ac:dyDescent="0.3">
      <c r="A632" t="s">
        <v>1360</v>
      </c>
      <c r="B632" s="6">
        <v>45249</v>
      </c>
      <c r="C632" s="2">
        <v>45279</v>
      </c>
      <c r="D632" s="4">
        <f t="shared" si="79"/>
        <v>0</v>
      </c>
      <c r="E632" s="46" t="str">
        <f t="shared" si="74"/>
        <v>Yes</v>
      </c>
      <c r="F632" s="4" t="str">
        <f>TEXT(Data!B632,"MMM-YYYY")</f>
        <v>Feb-2025</v>
      </c>
      <c r="G632" s="4" t="str">
        <f t="shared" si="75"/>
        <v>Q4-2023</v>
      </c>
      <c r="H632" t="s">
        <v>45</v>
      </c>
      <c r="I632" t="s">
        <v>46</v>
      </c>
      <c r="J632" t="s">
        <v>231</v>
      </c>
      <c r="K632" t="s">
        <v>48</v>
      </c>
      <c r="L632" t="s">
        <v>20</v>
      </c>
      <c r="M632" t="s">
        <v>1364</v>
      </c>
      <c r="N632" t="s">
        <v>42</v>
      </c>
      <c r="O632" t="s">
        <v>1361</v>
      </c>
      <c r="P632" s="4">
        <v>807.11</v>
      </c>
      <c r="Q632" s="7" t="str">
        <f t="shared" si="76"/>
        <v>High</v>
      </c>
      <c r="R632" s="4">
        <v>1853.86</v>
      </c>
      <c r="S632" s="4">
        <v>0.13900000000000001</v>
      </c>
      <c r="T632" s="4">
        <v>8</v>
      </c>
      <c r="U632" s="4">
        <f t="shared" si="72"/>
        <v>0</v>
      </c>
      <c r="V632">
        <f t="shared" si="73"/>
        <v>6456.88</v>
      </c>
      <c r="W632" s="4">
        <f t="shared" si="77"/>
        <v>-6456.88</v>
      </c>
      <c r="X632" s="4">
        <f t="shared" si="78"/>
        <v>0</v>
      </c>
    </row>
    <row r="633" spans="1:24" x14ac:dyDescent="0.3">
      <c r="A633" t="s">
        <v>1362</v>
      </c>
      <c r="B633" s="6">
        <v>45716</v>
      </c>
      <c r="C633" s="2">
        <v>45726</v>
      </c>
      <c r="D633" s="4">
        <f t="shared" si="79"/>
        <v>10</v>
      </c>
      <c r="E633" s="46" t="b">
        <f t="shared" si="74"/>
        <v>0</v>
      </c>
      <c r="F633" s="4" t="str">
        <f>TEXT(Data!B633,"MMM-YYYY")</f>
        <v>Feb-2025</v>
      </c>
      <c r="G633" s="4" t="str">
        <f t="shared" si="75"/>
        <v>Q1-2025</v>
      </c>
      <c r="H633" t="s">
        <v>45</v>
      </c>
      <c r="I633" t="s">
        <v>46</v>
      </c>
      <c r="J633" t="s">
        <v>47</v>
      </c>
      <c r="K633" t="s">
        <v>27</v>
      </c>
      <c r="L633" t="s">
        <v>55</v>
      </c>
      <c r="M633" t="s">
        <v>126</v>
      </c>
      <c r="N633" t="s">
        <v>57</v>
      </c>
      <c r="O633" t="s">
        <v>1363</v>
      </c>
      <c r="P633" s="4">
        <v>51.86</v>
      </c>
      <c r="Q633" s="7" t="str">
        <f t="shared" si="76"/>
        <v>Low</v>
      </c>
      <c r="R633" s="4">
        <v>45.98</v>
      </c>
      <c r="S633" s="4">
        <v>0.17299999999999999</v>
      </c>
      <c r="T633" s="4">
        <v>7</v>
      </c>
      <c r="U633" s="4">
        <f t="shared" si="72"/>
        <v>0</v>
      </c>
      <c r="V633">
        <f t="shared" si="73"/>
        <v>363.02</v>
      </c>
      <c r="W633" s="4">
        <f t="shared" si="77"/>
        <v>-363.02</v>
      </c>
      <c r="X633" s="4">
        <f t="shared" si="78"/>
        <v>0</v>
      </c>
    </row>
  </sheetData>
  <conditionalFormatting sqref="R1:R1048576">
    <cfRule type="cellIs" dxfId="2" priority="1" operator="lessThan">
      <formula>0</formula>
    </cfRule>
  </conditionalFormatting>
  <dataValidations count="1">
    <dataValidation type="date" operator="greaterThanOrEqual" allowBlank="1" showInputMessage="1" showErrorMessage="1" error="Invalid Date ;Required date cannot be before the order date" sqref="C2:C633" xr:uid="{3477C82F-BDBF-488C-B32C-B9AF3BFE669A}">
      <formula1>B2</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3DB9-6418-4687-B065-CCB43883E154}">
  <dimension ref="A3:E110"/>
  <sheetViews>
    <sheetView workbookViewId="0">
      <selection activeCell="C6" sqref="C6"/>
    </sheetView>
  </sheetViews>
  <sheetFormatPr defaultRowHeight="14.4" x14ac:dyDescent="0.3"/>
  <cols>
    <col min="1" max="1" width="15.77734375" bestFit="1" customWidth="1"/>
    <col min="2" max="2" width="15.44140625" bestFit="1" customWidth="1"/>
    <col min="3" max="3" width="17.77734375" bestFit="1" customWidth="1"/>
    <col min="4" max="4" width="21.77734375" customWidth="1"/>
    <col min="5" max="5" width="25.77734375" style="16" customWidth="1"/>
  </cols>
  <sheetData>
    <row r="3" spans="1:5" x14ac:dyDescent="0.3">
      <c r="A3" s="8" t="s">
        <v>1376</v>
      </c>
      <c r="B3" t="s">
        <v>1421</v>
      </c>
      <c r="C3" t="s">
        <v>1435</v>
      </c>
      <c r="D3" s="14" t="s">
        <v>1436</v>
      </c>
      <c r="E3" s="17" t="s">
        <v>1437</v>
      </c>
    </row>
    <row r="4" spans="1:5" x14ac:dyDescent="0.3">
      <c r="A4" s="9" t="s">
        <v>45</v>
      </c>
      <c r="B4">
        <v>171</v>
      </c>
      <c r="C4">
        <v>21.688999999999997</v>
      </c>
    </row>
    <row r="5" spans="1:5" x14ac:dyDescent="0.3">
      <c r="A5" s="10" t="s">
        <v>68</v>
      </c>
      <c r="B5">
        <v>8</v>
      </c>
      <c r="C5">
        <v>1.5699999999999998</v>
      </c>
      <c r="D5">
        <f>IF(GETPIVOTDATA("Sum of DiscountPct",$A$3,"Region","Africa","Salesperson","A. Patel")&gt; 20%,1,0)</f>
        <v>1</v>
      </c>
      <c r="E5" s="16">
        <f>SUM(D5/GETPIVOTDATA("Count of OrderID",$A$3,"Region","Africa","Salesperson","A. Patel"))</f>
        <v>6.25E-2</v>
      </c>
    </row>
    <row r="6" spans="1:5" x14ac:dyDescent="0.3">
      <c r="A6" s="10" t="s">
        <v>1364</v>
      </c>
      <c r="B6">
        <v>2</v>
      </c>
      <c r="C6">
        <v>0.20700000000000002</v>
      </c>
      <c r="D6">
        <f>IF(GETPIVOTDATA("Sum of DiscountPct",$A$3,"Region","Africa","Salesperson","A. Patel")&gt; 20%,1,0)</f>
        <v>1</v>
      </c>
      <c r="E6" s="16">
        <f>SUM(D6/GETPIVOTDATA("Count of OrderID",$A$3,"Region","Africa","Salesperson","B. Chen"))</f>
        <v>0.125</v>
      </c>
    </row>
    <row r="7" spans="1:5" x14ac:dyDescent="0.3">
      <c r="A7" s="10" t="s">
        <v>126</v>
      </c>
      <c r="B7">
        <v>10</v>
      </c>
      <c r="C7">
        <v>1.129</v>
      </c>
      <c r="D7">
        <f t="shared" ref="D7:D55" si="0">IF(GETPIVOTDATA("Sum of DiscountPct",$A$3,"Region","Africa","Salesperson","A. Patel")&gt; 20%,1,0)</f>
        <v>1</v>
      </c>
      <c r="E7" s="16">
        <f>SUM(D7/GETPIVOTDATA("Count of OrderID",$A$3,"Region","Africa","Salesperson","C. Otieno"))</f>
        <v>0.125</v>
      </c>
    </row>
    <row r="8" spans="1:5" x14ac:dyDescent="0.3">
      <c r="A8" s="10" t="s">
        <v>110</v>
      </c>
      <c r="B8">
        <v>10</v>
      </c>
      <c r="C8">
        <v>1.0210000000000001</v>
      </c>
      <c r="D8">
        <f t="shared" si="0"/>
        <v>1</v>
      </c>
      <c r="E8" s="16">
        <f>SUM(D8/GETPIVOTDATA("Count of OrderID",$A$3,"Region","Africa","Salesperson","D. Smith"))</f>
        <v>0.1</v>
      </c>
    </row>
    <row r="9" spans="1:5" x14ac:dyDescent="0.3">
      <c r="A9" s="10" t="s">
        <v>49</v>
      </c>
      <c r="B9">
        <v>14</v>
      </c>
      <c r="C9">
        <v>1.7799999999999998</v>
      </c>
      <c r="D9">
        <f t="shared" si="0"/>
        <v>1</v>
      </c>
      <c r="E9" s="16">
        <f>SUM(D9/GETPIVOTDATA("Count of OrderID",$A$3,"Region","Africa","Salesperson","E. Garcia"))</f>
        <v>0.2</v>
      </c>
    </row>
    <row r="10" spans="1:5" x14ac:dyDescent="0.3">
      <c r="A10" s="10" t="s">
        <v>95</v>
      </c>
      <c r="B10">
        <v>7</v>
      </c>
      <c r="C10">
        <v>0.91999999999999993</v>
      </c>
      <c r="D10">
        <f t="shared" si="0"/>
        <v>1</v>
      </c>
      <c r="E10" s="16">
        <f>D10/GETPIVOTDATA("Count of OrderID",$A$3,"Region","Africa","Salesperson","F. Müller")</f>
        <v>7.6923076923076927E-2</v>
      </c>
    </row>
    <row r="11" spans="1:5" x14ac:dyDescent="0.3">
      <c r="A11" s="10" t="s">
        <v>29</v>
      </c>
      <c r="B11">
        <v>19</v>
      </c>
      <c r="C11">
        <v>2.1710000000000003</v>
      </c>
      <c r="D11">
        <f t="shared" si="0"/>
        <v>1</v>
      </c>
      <c r="E11" s="16">
        <f>SUM(D11/GETPIVOTDATA("Count of OrderID",$A$3,"Region","Africa","Salesperson","G. Dubois"))</f>
        <v>0.33333333333333331</v>
      </c>
    </row>
    <row r="12" spans="1:5" x14ac:dyDescent="0.3">
      <c r="A12" s="10" t="s">
        <v>34</v>
      </c>
      <c r="B12">
        <v>8</v>
      </c>
      <c r="C12">
        <v>0.87800000000000011</v>
      </c>
      <c r="D12">
        <f t="shared" si="0"/>
        <v>1</v>
      </c>
      <c r="E12" s="16">
        <f>SUM(D12/GETPIVOTDATA("Count of OrderID",$A$3,"Region","Africa","Salesperson","H. Kim"))</f>
        <v>0.14285714285714285</v>
      </c>
    </row>
    <row r="13" spans="1:5" x14ac:dyDescent="0.3">
      <c r="A13" s="10" t="s">
        <v>92</v>
      </c>
      <c r="B13">
        <v>16</v>
      </c>
      <c r="C13">
        <v>2.4420000000000002</v>
      </c>
      <c r="D13">
        <f t="shared" si="0"/>
        <v>1</v>
      </c>
      <c r="E13" s="16">
        <f>SUM(D13/GETPIVOTDATA("Count of OrderID",$A$3,"Region","Africa","Salesperson","I. Johnson"))</f>
        <v>0.125</v>
      </c>
    </row>
    <row r="14" spans="1:5" x14ac:dyDescent="0.3">
      <c r="A14" s="10" t="s">
        <v>41</v>
      </c>
      <c r="B14">
        <v>11</v>
      </c>
      <c r="C14">
        <v>1.2859999999999998</v>
      </c>
      <c r="D14">
        <f t="shared" si="0"/>
        <v>1</v>
      </c>
      <c r="E14" s="16">
        <f>SUM(D14/GETPIVOTDATA("Count of OrderID",$A$3,"Region","Africa","Salesperson","J. Njeri"))</f>
        <v>8.3333333333333329E-2</v>
      </c>
    </row>
    <row r="15" spans="1:5" x14ac:dyDescent="0.3">
      <c r="A15" s="10" t="s">
        <v>84</v>
      </c>
      <c r="B15">
        <v>12</v>
      </c>
      <c r="C15">
        <v>1.6029999999999998</v>
      </c>
      <c r="D15">
        <f t="shared" si="0"/>
        <v>1</v>
      </c>
      <c r="E15" s="16">
        <f>SUM(D15/GETPIVOTDATA("Count of OrderID",$A$3,"Region","Africa","Salesperson","K. Singh"))</f>
        <v>7.1428571428571425E-2</v>
      </c>
    </row>
    <row r="16" spans="1:5" x14ac:dyDescent="0.3">
      <c r="A16" s="10" t="s">
        <v>63</v>
      </c>
      <c r="B16">
        <v>8</v>
      </c>
      <c r="C16">
        <v>0.88600000000000012</v>
      </c>
      <c r="D16">
        <f t="shared" si="0"/>
        <v>1</v>
      </c>
      <c r="E16" s="16">
        <f>SUM(D16/GETPIVOTDATA("Count of OrderID",$A$3,"Region","Africa","Salesperson","L. Okafor"))</f>
        <v>0.1</v>
      </c>
    </row>
    <row r="17" spans="1:5" x14ac:dyDescent="0.3">
      <c r="A17" s="10" t="s">
        <v>145</v>
      </c>
      <c r="B17">
        <v>9</v>
      </c>
      <c r="C17">
        <v>1.036</v>
      </c>
      <c r="D17">
        <f t="shared" si="0"/>
        <v>1</v>
      </c>
      <c r="E17" s="16">
        <f>SUM(D17/GETPIVOTDATA("Count of OrderID",$A$3,"Region","Africa","Salesperson","M. Rossi"))</f>
        <v>6.25E-2</v>
      </c>
    </row>
    <row r="18" spans="1:5" x14ac:dyDescent="0.3">
      <c r="A18" s="10" t="s">
        <v>21</v>
      </c>
      <c r="B18">
        <v>10</v>
      </c>
      <c r="C18">
        <v>1.6680000000000001</v>
      </c>
      <c r="D18">
        <f t="shared" si="0"/>
        <v>1</v>
      </c>
      <c r="E18" s="16">
        <f>SUM(D18/GETPIVOTDATA("Count of OrderID",$A$3,"Region","Africa","Salesperson","N. Brown"))</f>
        <v>0.25</v>
      </c>
    </row>
    <row r="19" spans="1:5" x14ac:dyDescent="0.3">
      <c r="A19" s="10" t="s">
        <v>56</v>
      </c>
      <c r="B19">
        <v>17</v>
      </c>
      <c r="C19">
        <v>2.0590000000000002</v>
      </c>
      <c r="D19">
        <f t="shared" si="0"/>
        <v>1</v>
      </c>
      <c r="E19" s="16">
        <f>SUM(D19/GETPIVOTDATA("Count of OrderID",$A$3,"Region","Africa","Salesperson","Not Provided"))</f>
        <v>0.5</v>
      </c>
    </row>
    <row r="20" spans="1:5" x14ac:dyDescent="0.3">
      <c r="A20" s="10" t="s">
        <v>75</v>
      </c>
      <c r="B20">
        <v>10</v>
      </c>
      <c r="C20">
        <v>1.0329999999999999</v>
      </c>
      <c r="D20">
        <f t="shared" si="0"/>
        <v>1</v>
      </c>
      <c r="E20" s="16">
        <f>SUM(D20/GETPIVOTDATA("Count of OrderID",$A$3,"Region","Africa","Salesperson","O. Wang"))</f>
        <v>0.1111111111111111</v>
      </c>
    </row>
    <row r="21" spans="1:5" x14ac:dyDescent="0.3">
      <c r="A21" s="9" t="s">
        <v>52</v>
      </c>
      <c r="B21">
        <v>157</v>
      </c>
      <c r="C21">
        <v>19.413000000000004</v>
      </c>
    </row>
    <row r="22" spans="1:5" x14ac:dyDescent="0.3">
      <c r="A22" s="10" t="s">
        <v>68</v>
      </c>
      <c r="B22">
        <v>12</v>
      </c>
      <c r="C22">
        <v>1.264</v>
      </c>
      <c r="D22">
        <f t="shared" si="0"/>
        <v>1</v>
      </c>
      <c r="E22" s="16">
        <f>SUM(D22/GETPIVOTDATA("Count of OrderID",$A$3,"Region","Americas","Salesperson","A. Patel"))</f>
        <v>0.1</v>
      </c>
    </row>
    <row r="23" spans="1:5" x14ac:dyDescent="0.3">
      <c r="A23" s="10" t="s">
        <v>1364</v>
      </c>
      <c r="B23">
        <v>3</v>
      </c>
      <c r="C23">
        <v>0.49</v>
      </c>
      <c r="D23">
        <f t="shared" si="0"/>
        <v>1</v>
      </c>
      <c r="E23" s="16">
        <f>SUM(D23/GETPIVOTDATA("Count of OrderID",$A$3,"Region","Americas","Salesperson","B. Chen"))</f>
        <v>0.125</v>
      </c>
    </row>
    <row r="24" spans="1:5" x14ac:dyDescent="0.3">
      <c r="A24" s="10" t="s">
        <v>126</v>
      </c>
      <c r="B24">
        <v>7</v>
      </c>
      <c r="C24">
        <v>0.67599999999999993</v>
      </c>
      <c r="D24">
        <f t="shared" si="0"/>
        <v>1</v>
      </c>
      <c r="E24" s="16">
        <f>SUM(D24/GETPIVOTDATA("Count of OrderID",$A$3,"Region","Americas","Salesperson","C. Otieno"))</f>
        <v>7.1428571428571425E-2</v>
      </c>
    </row>
    <row r="25" spans="1:5" x14ac:dyDescent="0.3">
      <c r="A25" s="10" t="s">
        <v>110</v>
      </c>
      <c r="B25">
        <v>12</v>
      </c>
      <c r="C25">
        <v>1.798</v>
      </c>
      <c r="D25">
        <f t="shared" si="0"/>
        <v>1</v>
      </c>
      <c r="E25" s="16">
        <f>SUM(D25/GETPIVOTDATA("Count of OrderID",$A$3,"Region","Americas","Salesperson","D. Smith"))</f>
        <v>0.125</v>
      </c>
    </row>
    <row r="26" spans="1:5" x14ac:dyDescent="0.3">
      <c r="A26" s="10" t="s">
        <v>49</v>
      </c>
      <c r="B26">
        <v>12</v>
      </c>
      <c r="C26">
        <v>1.5189999999999997</v>
      </c>
      <c r="D26">
        <f t="shared" si="0"/>
        <v>1</v>
      </c>
      <c r="E26" s="16">
        <f>SUM(D26/GETPIVOTDATA("Count of OrderID",$A$3,"Region","Americas","Salesperson","E. Garcia"))</f>
        <v>0.2</v>
      </c>
    </row>
    <row r="27" spans="1:5" x14ac:dyDescent="0.3">
      <c r="A27" s="10" t="s">
        <v>95</v>
      </c>
      <c r="B27">
        <v>10</v>
      </c>
      <c r="C27">
        <v>1.139</v>
      </c>
      <c r="D27">
        <f t="shared" si="0"/>
        <v>1</v>
      </c>
      <c r="E27" s="16">
        <f>SUM(D27/GETPIVOTDATA("Count of OrderID",$A$3,"Region","Americas","Salesperson","F. Müller"))</f>
        <v>6.6666666666666666E-2</v>
      </c>
    </row>
    <row r="28" spans="1:5" x14ac:dyDescent="0.3">
      <c r="A28" s="10" t="s">
        <v>29</v>
      </c>
      <c r="B28">
        <v>10</v>
      </c>
      <c r="C28">
        <v>1.1620000000000001</v>
      </c>
      <c r="D28">
        <f t="shared" si="0"/>
        <v>1</v>
      </c>
      <c r="E28" s="16">
        <f>SUM(D28/GETPIVOTDATA("Count of OrderID",$A$3,"Region","Americas","Salesperson","G. Dubois"))</f>
        <v>0.125</v>
      </c>
    </row>
    <row r="29" spans="1:5" x14ac:dyDescent="0.3">
      <c r="A29" s="10" t="s">
        <v>34</v>
      </c>
      <c r="B29">
        <v>14</v>
      </c>
      <c r="C29">
        <v>1.9949999999999997</v>
      </c>
      <c r="D29">
        <f t="shared" si="0"/>
        <v>1</v>
      </c>
      <c r="E29" s="16">
        <f>SUM(D29/GETPIVOTDATA("Count of OrderID",$A$3,"Region","Americas","Salesperson","H. Kim"))</f>
        <v>0.1111111111111111</v>
      </c>
    </row>
    <row r="30" spans="1:5" x14ac:dyDescent="0.3">
      <c r="A30" s="10" t="s">
        <v>92</v>
      </c>
      <c r="B30">
        <v>9</v>
      </c>
      <c r="C30">
        <v>0.93799999999999983</v>
      </c>
      <c r="D30">
        <f t="shared" si="0"/>
        <v>1</v>
      </c>
      <c r="E30" s="16">
        <f>SUM(D30/GETPIVOTDATA("Count of OrderID",$A$3,"Region","Americas","Salesperson","I. Johnson"))</f>
        <v>7.1428571428571425E-2</v>
      </c>
    </row>
    <row r="31" spans="1:5" x14ac:dyDescent="0.3">
      <c r="A31" s="10" t="s">
        <v>41</v>
      </c>
      <c r="B31">
        <v>8</v>
      </c>
      <c r="C31">
        <v>0.99199999999999999</v>
      </c>
      <c r="D31">
        <f t="shared" si="0"/>
        <v>1</v>
      </c>
      <c r="E31" s="16">
        <f>SUM(D31/GETPIVOTDATA("Count of OrderID",$A$3,"Region","Americas","Salesperson","J. Njeri"))</f>
        <v>0.1</v>
      </c>
    </row>
    <row r="32" spans="1:5" x14ac:dyDescent="0.3">
      <c r="A32" s="10" t="s">
        <v>84</v>
      </c>
      <c r="B32">
        <v>15</v>
      </c>
      <c r="C32">
        <v>1.518</v>
      </c>
      <c r="D32">
        <f t="shared" si="0"/>
        <v>1</v>
      </c>
      <c r="E32" s="16">
        <f>SUM(D32/GETPIVOTDATA("Count of OrderID",$A$3,"Region","Americas","Salesperson","K. Singh"))</f>
        <v>0.1</v>
      </c>
    </row>
    <row r="33" spans="1:5" x14ac:dyDescent="0.3">
      <c r="A33" s="10" t="s">
        <v>63</v>
      </c>
      <c r="B33">
        <v>5</v>
      </c>
      <c r="C33">
        <v>0.41500000000000004</v>
      </c>
      <c r="D33">
        <f t="shared" si="0"/>
        <v>1</v>
      </c>
      <c r="E33" s="16">
        <f>SUM(D33/GETPIVOTDATA("Count of OrderID",$A$3,"Region","Americas","Salesperson","L. Okafor"))</f>
        <v>8.3333333333333329E-2</v>
      </c>
    </row>
    <row r="34" spans="1:5" x14ac:dyDescent="0.3">
      <c r="A34" s="10" t="s">
        <v>145</v>
      </c>
      <c r="B34">
        <v>8</v>
      </c>
      <c r="C34">
        <v>1.421</v>
      </c>
      <c r="D34">
        <f t="shared" si="0"/>
        <v>1</v>
      </c>
      <c r="E34" s="16">
        <f>SUM(D34/GETPIVOTDATA("Count of OrderID",$A$3,"Region","Americas","Salesperson","M. Rossi"))</f>
        <v>8.3333333333333329E-2</v>
      </c>
    </row>
    <row r="35" spans="1:5" x14ac:dyDescent="0.3">
      <c r="A35" s="10" t="s">
        <v>21</v>
      </c>
      <c r="B35">
        <v>14</v>
      </c>
      <c r="C35">
        <v>1.53</v>
      </c>
      <c r="D35">
        <f t="shared" si="0"/>
        <v>1</v>
      </c>
      <c r="E35" s="16">
        <f>SUM(D35/GETPIVOTDATA("Count of OrderID",$A$3,"Region","Americas","Salesperson","N. Brown"))</f>
        <v>0.14285714285714285</v>
      </c>
    </row>
    <row r="36" spans="1:5" x14ac:dyDescent="0.3">
      <c r="A36" s="10" t="s">
        <v>56</v>
      </c>
      <c r="B36">
        <v>8</v>
      </c>
      <c r="C36">
        <v>0.94100000000000006</v>
      </c>
      <c r="D36">
        <f t="shared" si="0"/>
        <v>1</v>
      </c>
      <c r="E36" s="16">
        <f>SUM(D36/GETPIVOTDATA("Count of OrderID",$A$3,"Region","Americas","Salesperson","Not Provided"))</f>
        <v>0.33333333333333331</v>
      </c>
    </row>
    <row r="37" spans="1:5" x14ac:dyDescent="0.3">
      <c r="A37" s="10" t="s">
        <v>75</v>
      </c>
      <c r="B37">
        <v>10</v>
      </c>
      <c r="C37">
        <v>1.615</v>
      </c>
      <c r="D37">
        <f t="shared" si="0"/>
        <v>1</v>
      </c>
      <c r="E37" s="16">
        <f>SUM(D37/GETPIVOTDATA("Count of OrderID",$A$3,"Region","Americas","Salesperson","O. Wang"))</f>
        <v>8.3333333333333329E-2</v>
      </c>
    </row>
    <row r="38" spans="1:5" x14ac:dyDescent="0.3">
      <c r="A38" s="9" t="s">
        <v>16</v>
      </c>
      <c r="B38">
        <v>145</v>
      </c>
      <c r="C38">
        <v>17.333999999999993</v>
      </c>
    </row>
    <row r="39" spans="1:5" x14ac:dyDescent="0.3">
      <c r="A39" s="10" t="s">
        <v>68</v>
      </c>
      <c r="B39">
        <v>9</v>
      </c>
      <c r="C39">
        <v>1.1579999999999999</v>
      </c>
      <c r="D39">
        <f t="shared" si="0"/>
        <v>1</v>
      </c>
      <c r="E39" s="16">
        <f>SUM(D39/GETPIVOTDATA("Count of OrderID",$A$3,"Region","Asia","Salesperson","A. Patel"))</f>
        <v>0.1</v>
      </c>
    </row>
    <row r="40" spans="1:5" x14ac:dyDescent="0.3">
      <c r="A40" s="10" t="s">
        <v>1364</v>
      </c>
      <c r="B40">
        <v>2</v>
      </c>
      <c r="C40">
        <v>0.45599999999999996</v>
      </c>
      <c r="D40">
        <f t="shared" si="0"/>
        <v>1</v>
      </c>
      <c r="E40" s="16">
        <f>SUM(D40/GETPIVOTDATA("Count of OrderID",$A$3,"Region","Asia","Salesperson","B. Chen"))</f>
        <v>5.8823529411764705E-2</v>
      </c>
    </row>
    <row r="41" spans="1:5" x14ac:dyDescent="0.3">
      <c r="A41" s="10" t="s">
        <v>126</v>
      </c>
      <c r="B41">
        <v>4</v>
      </c>
      <c r="C41">
        <v>0.24399999999999999</v>
      </c>
      <c r="D41">
        <f t="shared" si="0"/>
        <v>1</v>
      </c>
      <c r="E41" s="16">
        <f>SUM(D41/GETPIVOTDATA("Count of OrderID",$A$3,"Region","Asia","Salesperson","C. Otieno"))</f>
        <v>0.1</v>
      </c>
    </row>
    <row r="42" spans="1:5" x14ac:dyDescent="0.3">
      <c r="A42" s="10" t="s">
        <v>110</v>
      </c>
      <c r="B42">
        <v>16</v>
      </c>
      <c r="C42">
        <v>2.5680000000000001</v>
      </c>
      <c r="D42">
        <f t="shared" si="0"/>
        <v>1</v>
      </c>
      <c r="E42" s="16">
        <f>SUM(D42/GETPIVOTDATA("Count of OrderID",$A$3,"Region","Asia","Salesperson","D. Smith"))</f>
        <v>0.1111111111111111</v>
      </c>
    </row>
    <row r="43" spans="1:5" x14ac:dyDescent="0.3">
      <c r="A43" s="10" t="s">
        <v>49</v>
      </c>
      <c r="B43">
        <v>10</v>
      </c>
      <c r="C43">
        <v>1.3789999999999998</v>
      </c>
      <c r="D43">
        <f t="shared" si="0"/>
        <v>1</v>
      </c>
      <c r="E43" s="16">
        <f>SUM(D43/GETPIVOTDATA("Count of OrderID",$A$3,"Region","Asia","Salesperson","E. Garcia"))</f>
        <v>0.125</v>
      </c>
    </row>
    <row r="44" spans="1:5" x14ac:dyDescent="0.3">
      <c r="A44" s="10" t="s">
        <v>95</v>
      </c>
      <c r="B44">
        <v>14</v>
      </c>
      <c r="C44">
        <v>1.403</v>
      </c>
      <c r="D44">
        <f t="shared" si="0"/>
        <v>1</v>
      </c>
      <c r="E44" s="16">
        <f>SUM(D44/GETPIVOTDATA("Count of OrderID",$A$3,"Region","Asia","Salesperson","F. Müller"))</f>
        <v>8.3333333333333329E-2</v>
      </c>
    </row>
    <row r="45" spans="1:5" x14ac:dyDescent="0.3">
      <c r="A45" s="10" t="s">
        <v>29</v>
      </c>
      <c r="B45">
        <v>12</v>
      </c>
      <c r="C45">
        <v>1.5010000000000001</v>
      </c>
      <c r="D45">
        <f t="shared" si="0"/>
        <v>1</v>
      </c>
      <c r="E45" s="16">
        <f>SUM(D45/GETPIVOTDATA("Count of OrderID",$A$3,"Region","Asia","Salesperson","G. Dubois"))</f>
        <v>9.0909090909090912E-2</v>
      </c>
    </row>
    <row r="46" spans="1:5" x14ac:dyDescent="0.3">
      <c r="A46" s="10" t="s">
        <v>34</v>
      </c>
      <c r="B46">
        <v>8</v>
      </c>
      <c r="C46">
        <v>1.1680000000000001</v>
      </c>
      <c r="D46">
        <f t="shared" si="0"/>
        <v>1</v>
      </c>
      <c r="E46" s="16">
        <f>SUM(D46/GETPIVOTDATA("Count of OrderID",$A$3,"Region","Asia","Salesperson","H. Kim"))</f>
        <v>6.25E-2</v>
      </c>
    </row>
    <row r="47" spans="1:5" x14ac:dyDescent="0.3">
      <c r="A47" s="10" t="s">
        <v>92</v>
      </c>
      <c r="B47">
        <v>7</v>
      </c>
      <c r="C47">
        <v>0.96000000000000008</v>
      </c>
      <c r="D47">
        <f t="shared" si="0"/>
        <v>1</v>
      </c>
      <c r="E47" s="16">
        <f>SUM(D47/GETPIVOTDATA("Count of OrderID",$A$3,"Region","Asia","Salesperson","I. Johnson"))</f>
        <v>0.125</v>
      </c>
    </row>
    <row r="48" spans="1:5" x14ac:dyDescent="0.3">
      <c r="A48" s="10" t="s">
        <v>41</v>
      </c>
      <c r="B48">
        <v>3</v>
      </c>
      <c r="C48">
        <v>0.29599999999999999</v>
      </c>
      <c r="D48">
        <f t="shared" si="0"/>
        <v>1</v>
      </c>
      <c r="E48" s="16">
        <f>SUM(D48/GETPIVOTDATA("Count of OrderID",$A$3,"Region","Asia","Salesperson","J. Njeri"))</f>
        <v>5.2631578947368418E-2</v>
      </c>
    </row>
    <row r="49" spans="1:5" x14ac:dyDescent="0.3">
      <c r="A49" s="10" t="s">
        <v>84</v>
      </c>
      <c r="B49">
        <v>13</v>
      </c>
      <c r="C49">
        <v>0.87500000000000022</v>
      </c>
      <c r="D49">
        <f t="shared" si="0"/>
        <v>1</v>
      </c>
      <c r="E49" s="16">
        <f>SUM(D49/GETPIVOTDATA("Count of OrderID",$A$3,"Region","Asia","Salesperson","K. Singh"))</f>
        <v>0.14285714285714285</v>
      </c>
    </row>
    <row r="50" spans="1:5" x14ac:dyDescent="0.3">
      <c r="A50" s="10" t="s">
        <v>63</v>
      </c>
      <c r="B50">
        <v>5</v>
      </c>
      <c r="C50">
        <v>0.50900000000000001</v>
      </c>
      <c r="D50">
        <f t="shared" si="0"/>
        <v>1</v>
      </c>
      <c r="E50" s="16">
        <f>SUM(D50/GETPIVOTDATA("Count of OrderID",$A$3,"Region","Asia","Salesperson","L. Okafor"))</f>
        <v>7.1428571428571425E-2</v>
      </c>
    </row>
    <row r="51" spans="1:5" x14ac:dyDescent="0.3">
      <c r="A51" s="10" t="s">
        <v>145</v>
      </c>
      <c r="B51">
        <v>10</v>
      </c>
      <c r="C51">
        <v>1.0949999999999998</v>
      </c>
      <c r="D51">
        <f t="shared" si="0"/>
        <v>1</v>
      </c>
      <c r="E51" s="16">
        <f>SUM(D51/GETPIVOTDATA("Count of OrderID",$A$3,"Region","Asia","Salesperson","M. Rossi"))</f>
        <v>0.1</v>
      </c>
    </row>
    <row r="52" spans="1:5" x14ac:dyDescent="0.3">
      <c r="A52" s="10" t="s">
        <v>21</v>
      </c>
      <c r="B52">
        <v>8</v>
      </c>
      <c r="C52">
        <v>1.0150000000000001</v>
      </c>
      <c r="D52">
        <f t="shared" si="0"/>
        <v>1</v>
      </c>
      <c r="E52" s="16">
        <f>SUM(D52/GETPIVOTDATA("Count of OrderID",$A$3,"Region","Asia","Salesperson","N. Brown"))</f>
        <v>0.1</v>
      </c>
    </row>
    <row r="53" spans="1:5" x14ac:dyDescent="0.3">
      <c r="A53" s="10" t="s">
        <v>56</v>
      </c>
      <c r="B53">
        <v>8</v>
      </c>
      <c r="C53">
        <v>0.48199999999999998</v>
      </c>
      <c r="D53">
        <f t="shared" si="0"/>
        <v>1</v>
      </c>
      <c r="E53" s="16">
        <f>SUM(D53/GETPIVOTDATA("Count of OrderID",$A$3,"Region","Asia","Salesperson","Not Provided"))</f>
        <v>0.5</v>
      </c>
    </row>
    <row r="54" spans="1:5" x14ac:dyDescent="0.3">
      <c r="A54" s="10" t="s">
        <v>75</v>
      </c>
      <c r="B54">
        <v>16</v>
      </c>
      <c r="C54">
        <v>2.2249999999999996</v>
      </c>
      <c r="D54">
        <f t="shared" si="0"/>
        <v>1</v>
      </c>
      <c r="E54" s="16">
        <f>SUM(D54/GETPIVOTDATA("Count of OrderID",$A$3,"Region","Asia","Salesperson","O. Wang"))</f>
        <v>0.125</v>
      </c>
    </row>
    <row r="55" spans="1:5" x14ac:dyDescent="0.3">
      <c r="A55" s="9" t="s">
        <v>1377</v>
      </c>
      <c r="B55">
        <v>473</v>
      </c>
      <c r="C55">
        <v>58.436</v>
      </c>
      <c r="D55">
        <f t="shared" si="0"/>
        <v>1</v>
      </c>
    </row>
    <row r="58" spans="1:5" x14ac:dyDescent="0.3">
      <c r="B58" t="s">
        <v>1435</v>
      </c>
      <c r="C58" s="14" t="s">
        <v>1436</v>
      </c>
      <c r="D58" s="17" t="s">
        <v>1437</v>
      </c>
    </row>
    <row r="59" spans="1:5" x14ac:dyDescent="0.3">
      <c r="B59">
        <v>21.688999999999997</v>
      </c>
      <c r="D59" s="16"/>
    </row>
    <row r="60" spans="1:5" x14ac:dyDescent="0.3">
      <c r="B60">
        <v>1.5699999999999998</v>
      </c>
      <c r="C60">
        <f>IF(GETPIVOTDATA("Sum of DiscountPct",$A$3,"Region","Africa","Salesperson","A. Patel")&gt; 20%,1,0)</f>
        <v>1</v>
      </c>
      <c r="D60" s="16">
        <f>SUM(C60/GETPIVOTDATA("Count of OrderID",$A$3,"Region","Africa","Salesperson","A. Patel"))</f>
        <v>6.25E-2</v>
      </c>
    </row>
    <row r="61" spans="1:5" x14ac:dyDescent="0.3">
      <c r="B61">
        <v>0.20700000000000002</v>
      </c>
      <c r="C61">
        <f>IF(GETPIVOTDATA("Sum of DiscountPct",$A$3,"Region","Africa","Salesperson","A. Patel")&gt; 20%,1,0)</f>
        <v>1</v>
      </c>
      <c r="D61" s="16">
        <f>SUM(C61/GETPIVOTDATA("Count of OrderID",$A$3,"Region","Africa","Salesperson","B. Chen"))</f>
        <v>0.125</v>
      </c>
    </row>
    <row r="62" spans="1:5" x14ac:dyDescent="0.3">
      <c r="B62">
        <v>1.129</v>
      </c>
      <c r="C62">
        <f t="shared" ref="C62:C110" si="1">IF(GETPIVOTDATA("Sum of DiscountPct",$A$3,"Region","Africa","Salesperson","A. Patel")&gt; 20%,1,0)</f>
        <v>1</v>
      </c>
      <c r="D62" s="16">
        <f>SUM(C62/GETPIVOTDATA("Count of OrderID",$A$3,"Region","Africa","Salesperson","C. Otieno"))</f>
        <v>0.125</v>
      </c>
    </row>
    <row r="63" spans="1:5" x14ac:dyDescent="0.3">
      <c r="B63">
        <v>1.0210000000000001</v>
      </c>
      <c r="C63">
        <f t="shared" si="1"/>
        <v>1</v>
      </c>
      <c r="D63" s="16">
        <f>SUM(C63/GETPIVOTDATA("Count of OrderID",$A$3,"Region","Africa","Salesperson","D. Smith"))</f>
        <v>0.1</v>
      </c>
    </row>
    <row r="64" spans="1:5" x14ac:dyDescent="0.3">
      <c r="B64">
        <v>1.7799999999999998</v>
      </c>
      <c r="C64">
        <f t="shared" si="1"/>
        <v>1</v>
      </c>
      <c r="D64" s="16">
        <f>SUM(C64/GETPIVOTDATA("Count of OrderID",$A$3,"Region","Africa","Salesperson","E. Garcia"))</f>
        <v>0.2</v>
      </c>
    </row>
    <row r="65" spans="2:4" x14ac:dyDescent="0.3">
      <c r="B65">
        <v>0.91999999999999993</v>
      </c>
      <c r="C65">
        <f t="shared" si="1"/>
        <v>1</v>
      </c>
      <c r="D65" s="16">
        <f>C65/GETPIVOTDATA("Count of OrderID",$A$3,"Region","Africa","Salesperson","F. Müller")</f>
        <v>7.6923076923076927E-2</v>
      </c>
    </row>
    <row r="66" spans="2:4" x14ac:dyDescent="0.3">
      <c r="B66">
        <v>2.1710000000000003</v>
      </c>
      <c r="C66">
        <f t="shared" si="1"/>
        <v>1</v>
      </c>
      <c r="D66" s="16">
        <f>SUM(C66/GETPIVOTDATA("Count of OrderID",$A$3,"Region","Africa","Salesperson","G. Dubois"))</f>
        <v>0.33333333333333331</v>
      </c>
    </row>
    <row r="67" spans="2:4" x14ac:dyDescent="0.3">
      <c r="B67">
        <v>0.87800000000000011</v>
      </c>
      <c r="C67">
        <f t="shared" si="1"/>
        <v>1</v>
      </c>
      <c r="D67" s="16">
        <f>SUM(C67/GETPIVOTDATA("Count of OrderID",$A$3,"Region","Africa","Salesperson","H. Kim"))</f>
        <v>0.14285714285714285</v>
      </c>
    </row>
    <row r="68" spans="2:4" x14ac:dyDescent="0.3">
      <c r="B68">
        <v>2.4420000000000002</v>
      </c>
      <c r="C68">
        <f t="shared" si="1"/>
        <v>1</v>
      </c>
      <c r="D68" s="16">
        <f>SUM(C68/GETPIVOTDATA("Count of OrderID",$A$3,"Region","Africa","Salesperson","I. Johnson"))</f>
        <v>0.125</v>
      </c>
    </row>
    <row r="69" spans="2:4" x14ac:dyDescent="0.3">
      <c r="B69">
        <v>1.2859999999999998</v>
      </c>
      <c r="C69">
        <f t="shared" si="1"/>
        <v>1</v>
      </c>
      <c r="D69" s="16">
        <f>SUM(C69/GETPIVOTDATA("Count of OrderID",$A$3,"Region","Africa","Salesperson","J. Njeri"))</f>
        <v>8.3333333333333329E-2</v>
      </c>
    </row>
    <row r="70" spans="2:4" x14ac:dyDescent="0.3">
      <c r="B70">
        <v>1.6029999999999998</v>
      </c>
      <c r="C70">
        <f t="shared" si="1"/>
        <v>1</v>
      </c>
      <c r="D70" s="16">
        <f>SUM(C70/GETPIVOTDATA("Count of OrderID",$A$3,"Region","Africa","Salesperson","K. Singh"))</f>
        <v>7.1428571428571425E-2</v>
      </c>
    </row>
    <row r="71" spans="2:4" x14ac:dyDescent="0.3">
      <c r="B71">
        <v>0.88600000000000012</v>
      </c>
      <c r="C71">
        <f t="shared" si="1"/>
        <v>1</v>
      </c>
      <c r="D71" s="16">
        <f>SUM(C71/GETPIVOTDATA("Count of OrderID",$A$3,"Region","Africa","Salesperson","L. Okafor"))</f>
        <v>0.1</v>
      </c>
    </row>
    <row r="72" spans="2:4" x14ac:dyDescent="0.3">
      <c r="B72">
        <v>1.036</v>
      </c>
      <c r="C72">
        <f t="shared" si="1"/>
        <v>1</v>
      </c>
      <c r="D72" s="16">
        <f>SUM(C72/GETPIVOTDATA("Count of OrderID",$A$3,"Region","Africa","Salesperson","M. Rossi"))</f>
        <v>6.25E-2</v>
      </c>
    </row>
    <row r="73" spans="2:4" x14ac:dyDescent="0.3">
      <c r="B73">
        <v>1.6680000000000001</v>
      </c>
      <c r="C73">
        <f t="shared" si="1"/>
        <v>1</v>
      </c>
      <c r="D73" s="16">
        <f>SUM(C73/GETPIVOTDATA("Count of OrderID",$A$3,"Region","Africa","Salesperson","N. Brown"))</f>
        <v>0.25</v>
      </c>
    </row>
    <row r="74" spans="2:4" x14ac:dyDescent="0.3">
      <c r="B74">
        <v>2.0590000000000002</v>
      </c>
      <c r="C74">
        <f t="shared" si="1"/>
        <v>1</v>
      </c>
      <c r="D74" s="16">
        <f>SUM(C74/GETPIVOTDATA("Count of OrderID",$A$3,"Region","Africa","Salesperson","Not Provided"))</f>
        <v>0.5</v>
      </c>
    </row>
    <row r="75" spans="2:4" x14ac:dyDescent="0.3">
      <c r="B75">
        <v>1.0329999999999999</v>
      </c>
      <c r="C75">
        <f t="shared" si="1"/>
        <v>1</v>
      </c>
      <c r="D75" s="16">
        <f>SUM(C75/GETPIVOTDATA("Count of OrderID",$A$3,"Region","Africa","Salesperson","O. Wang"))</f>
        <v>0.1111111111111111</v>
      </c>
    </row>
    <row r="76" spans="2:4" x14ac:dyDescent="0.3">
      <c r="B76">
        <v>19.413000000000004</v>
      </c>
      <c r="D76" s="16"/>
    </row>
    <row r="77" spans="2:4" x14ac:dyDescent="0.3">
      <c r="B77">
        <v>1.264</v>
      </c>
      <c r="C77">
        <f t="shared" si="1"/>
        <v>1</v>
      </c>
      <c r="D77" s="16">
        <f>SUM(C77/GETPIVOTDATA("Count of OrderID",$A$3,"Region","Americas","Salesperson","A. Patel"))</f>
        <v>0.1</v>
      </c>
    </row>
    <row r="78" spans="2:4" x14ac:dyDescent="0.3">
      <c r="B78">
        <v>0.49</v>
      </c>
      <c r="C78">
        <f t="shared" si="1"/>
        <v>1</v>
      </c>
      <c r="D78" s="16">
        <f>SUM(C78/GETPIVOTDATA("Count of OrderID",$A$3,"Region","Americas","Salesperson","B. Chen"))</f>
        <v>0.125</v>
      </c>
    </row>
    <row r="79" spans="2:4" x14ac:dyDescent="0.3">
      <c r="B79">
        <v>0.67599999999999993</v>
      </c>
      <c r="C79">
        <f t="shared" si="1"/>
        <v>1</v>
      </c>
      <c r="D79" s="16">
        <f>SUM(C79/GETPIVOTDATA("Count of OrderID",$A$3,"Region","Americas","Salesperson","C. Otieno"))</f>
        <v>7.1428571428571425E-2</v>
      </c>
    </row>
    <row r="80" spans="2:4" x14ac:dyDescent="0.3">
      <c r="B80">
        <v>1.798</v>
      </c>
      <c r="C80">
        <f t="shared" si="1"/>
        <v>1</v>
      </c>
      <c r="D80" s="16">
        <f>SUM(C80/GETPIVOTDATA("Count of OrderID",$A$3,"Region","Americas","Salesperson","D. Smith"))</f>
        <v>0.125</v>
      </c>
    </row>
    <row r="81" spans="2:4" x14ac:dyDescent="0.3">
      <c r="B81">
        <v>1.5189999999999997</v>
      </c>
      <c r="C81">
        <f t="shared" si="1"/>
        <v>1</v>
      </c>
      <c r="D81" s="16">
        <f>SUM(C81/GETPIVOTDATA("Count of OrderID",$A$3,"Region","Americas","Salesperson","E. Garcia"))</f>
        <v>0.2</v>
      </c>
    </row>
    <row r="82" spans="2:4" x14ac:dyDescent="0.3">
      <c r="B82">
        <v>1.139</v>
      </c>
      <c r="C82">
        <f t="shared" si="1"/>
        <v>1</v>
      </c>
      <c r="D82" s="16">
        <f>SUM(C82/GETPIVOTDATA("Count of OrderID",$A$3,"Region","Americas","Salesperson","F. Müller"))</f>
        <v>6.6666666666666666E-2</v>
      </c>
    </row>
    <row r="83" spans="2:4" x14ac:dyDescent="0.3">
      <c r="B83">
        <v>1.1620000000000001</v>
      </c>
      <c r="C83">
        <f t="shared" si="1"/>
        <v>1</v>
      </c>
      <c r="D83" s="16">
        <f>SUM(C83/GETPIVOTDATA("Count of OrderID",$A$3,"Region","Americas","Salesperson","G. Dubois"))</f>
        <v>0.125</v>
      </c>
    </row>
    <row r="84" spans="2:4" x14ac:dyDescent="0.3">
      <c r="B84">
        <v>1.9949999999999997</v>
      </c>
      <c r="C84">
        <f t="shared" si="1"/>
        <v>1</v>
      </c>
      <c r="D84" s="16">
        <f>SUM(C84/GETPIVOTDATA("Count of OrderID",$A$3,"Region","Americas","Salesperson","H. Kim"))</f>
        <v>0.1111111111111111</v>
      </c>
    </row>
    <row r="85" spans="2:4" x14ac:dyDescent="0.3">
      <c r="B85">
        <v>0.93799999999999983</v>
      </c>
      <c r="C85">
        <f t="shared" si="1"/>
        <v>1</v>
      </c>
      <c r="D85" s="16">
        <f>SUM(C85/GETPIVOTDATA("Count of OrderID",$A$3,"Region","Americas","Salesperson","I. Johnson"))</f>
        <v>7.1428571428571425E-2</v>
      </c>
    </row>
    <row r="86" spans="2:4" x14ac:dyDescent="0.3">
      <c r="B86">
        <v>0.99199999999999999</v>
      </c>
      <c r="C86">
        <f t="shared" si="1"/>
        <v>1</v>
      </c>
      <c r="D86" s="16">
        <f>SUM(C86/GETPIVOTDATA("Count of OrderID",$A$3,"Region","Americas","Salesperson","J. Njeri"))</f>
        <v>0.1</v>
      </c>
    </row>
    <row r="87" spans="2:4" x14ac:dyDescent="0.3">
      <c r="B87">
        <v>1.518</v>
      </c>
      <c r="C87">
        <f t="shared" si="1"/>
        <v>1</v>
      </c>
      <c r="D87" s="16">
        <f>SUM(C87/GETPIVOTDATA("Count of OrderID",$A$3,"Region","Americas","Salesperson","K. Singh"))</f>
        <v>0.1</v>
      </c>
    </row>
    <row r="88" spans="2:4" x14ac:dyDescent="0.3">
      <c r="B88">
        <v>0.41500000000000004</v>
      </c>
      <c r="C88">
        <f t="shared" si="1"/>
        <v>1</v>
      </c>
      <c r="D88" s="16">
        <f>SUM(C88/GETPIVOTDATA("Count of OrderID",$A$3,"Region","Americas","Salesperson","L. Okafor"))</f>
        <v>8.3333333333333329E-2</v>
      </c>
    </row>
    <row r="89" spans="2:4" x14ac:dyDescent="0.3">
      <c r="B89">
        <v>1.421</v>
      </c>
      <c r="C89">
        <f t="shared" si="1"/>
        <v>1</v>
      </c>
      <c r="D89" s="16">
        <f>SUM(C89/GETPIVOTDATA("Count of OrderID",$A$3,"Region","Americas","Salesperson","M. Rossi"))</f>
        <v>8.3333333333333329E-2</v>
      </c>
    </row>
    <row r="90" spans="2:4" x14ac:dyDescent="0.3">
      <c r="B90">
        <v>1.53</v>
      </c>
      <c r="C90">
        <f t="shared" si="1"/>
        <v>1</v>
      </c>
      <c r="D90" s="16">
        <f>SUM(C90/GETPIVOTDATA("Count of OrderID",$A$3,"Region","Americas","Salesperson","N. Brown"))</f>
        <v>0.14285714285714285</v>
      </c>
    </row>
    <row r="91" spans="2:4" x14ac:dyDescent="0.3">
      <c r="B91">
        <v>0.94100000000000006</v>
      </c>
      <c r="C91">
        <f t="shared" si="1"/>
        <v>1</v>
      </c>
      <c r="D91" s="16">
        <f>SUM(C91/GETPIVOTDATA("Count of OrderID",$A$3,"Region","Americas","Salesperson","Not Provided"))</f>
        <v>0.33333333333333331</v>
      </c>
    </row>
    <row r="92" spans="2:4" x14ac:dyDescent="0.3">
      <c r="B92">
        <v>1.615</v>
      </c>
      <c r="C92">
        <f t="shared" si="1"/>
        <v>1</v>
      </c>
      <c r="D92" s="16">
        <f>SUM(C92/GETPIVOTDATA("Count of OrderID",$A$3,"Region","Americas","Salesperson","O. Wang"))</f>
        <v>8.3333333333333329E-2</v>
      </c>
    </row>
    <row r="93" spans="2:4" x14ac:dyDescent="0.3">
      <c r="B93">
        <v>17.333999999999993</v>
      </c>
      <c r="D93" s="16"/>
    </row>
    <row r="94" spans="2:4" x14ac:dyDescent="0.3">
      <c r="B94">
        <v>1.1579999999999999</v>
      </c>
      <c r="C94">
        <f t="shared" si="1"/>
        <v>1</v>
      </c>
      <c r="D94" s="16">
        <f>SUM(C94/GETPIVOTDATA("Count of OrderID",$A$3,"Region","Asia","Salesperson","A. Patel"))</f>
        <v>0.1</v>
      </c>
    </row>
    <row r="95" spans="2:4" x14ac:dyDescent="0.3">
      <c r="B95">
        <v>0.45599999999999996</v>
      </c>
      <c r="C95">
        <f t="shared" si="1"/>
        <v>1</v>
      </c>
      <c r="D95" s="16">
        <f>SUM(C95/GETPIVOTDATA("Count of OrderID",$A$3,"Region","Asia","Salesperson","B. Chen"))</f>
        <v>5.8823529411764705E-2</v>
      </c>
    </row>
    <row r="96" spans="2:4" x14ac:dyDescent="0.3">
      <c r="B96">
        <v>0.24399999999999999</v>
      </c>
      <c r="C96">
        <f t="shared" si="1"/>
        <v>1</v>
      </c>
      <c r="D96" s="16">
        <f>SUM(C96/GETPIVOTDATA("Count of OrderID",$A$3,"Region","Asia","Salesperson","C. Otieno"))</f>
        <v>0.1</v>
      </c>
    </row>
    <row r="97" spans="2:4" x14ac:dyDescent="0.3">
      <c r="B97">
        <v>2.5680000000000001</v>
      </c>
      <c r="C97">
        <f t="shared" si="1"/>
        <v>1</v>
      </c>
      <c r="D97" s="16">
        <f>SUM(C97/GETPIVOTDATA("Count of OrderID",$A$3,"Region","Asia","Salesperson","D. Smith"))</f>
        <v>0.1111111111111111</v>
      </c>
    </row>
    <row r="98" spans="2:4" x14ac:dyDescent="0.3">
      <c r="B98">
        <v>1.3789999999999998</v>
      </c>
      <c r="C98">
        <f t="shared" si="1"/>
        <v>1</v>
      </c>
      <c r="D98" s="16">
        <f>SUM(C98/GETPIVOTDATA("Count of OrderID",$A$3,"Region","Asia","Salesperson","E. Garcia"))</f>
        <v>0.125</v>
      </c>
    </row>
    <row r="99" spans="2:4" x14ac:dyDescent="0.3">
      <c r="B99">
        <v>1.403</v>
      </c>
      <c r="C99">
        <f t="shared" si="1"/>
        <v>1</v>
      </c>
      <c r="D99" s="16">
        <f>SUM(C99/GETPIVOTDATA("Count of OrderID",$A$3,"Region","Asia","Salesperson","F. Müller"))</f>
        <v>8.3333333333333329E-2</v>
      </c>
    </row>
    <row r="100" spans="2:4" x14ac:dyDescent="0.3">
      <c r="B100">
        <v>1.5010000000000001</v>
      </c>
      <c r="C100">
        <f t="shared" si="1"/>
        <v>1</v>
      </c>
      <c r="D100" s="16">
        <f>SUM(C100/GETPIVOTDATA("Count of OrderID",$A$3,"Region","Asia","Salesperson","G. Dubois"))</f>
        <v>9.0909090909090912E-2</v>
      </c>
    </row>
    <row r="101" spans="2:4" x14ac:dyDescent="0.3">
      <c r="B101">
        <v>1.1680000000000001</v>
      </c>
      <c r="C101">
        <f t="shared" si="1"/>
        <v>1</v>
      </c>
      <c r="D101" s="16">
        <f>SUM(C101/GETPIVOTDATA("Count of OrderID",$A$3,"Region","Asia","Salesperson","H. Kim"))</f>
        <v>6.25E-2</v>
      </c>
    </row>
    <row r="102" spans="2:4" x14ac:dyDescent="0.3">
      <c r="B102">
        <v>0.96000000000000008</v>
      </c>
      <c r="C102">
        <f t="shared" si="1"/>
        <v>1</v>
      </c>
      <c r="D102" s="16">
        <f>SUM(C102/GETPIVOTDATA("Count of OrderID",$A$3,"Region","Asia","Salesperson","I. Johnson"))</f>
        <v>0.125</v>
      </c>
    </row>
    <row r="103" spans="2:4" x14ac:dyDescent="0.3">
      <c r="B103">
        <v>0.29599999999999999</v>
      </c>
      <c r="C103">
        <f t="shared" si="1"/>
        <v>1</v>
      </c>
      <c r="D103" s="16">
        <f>SUM(C103/GETPIVOTDATA("Count of OrderID",$A$3,"Region","Asia","Salesperson","J. Njeri"))</f>
        <v>5.2631578947368418E-2</v>
      </c>
    </row>
    <row r="104" spans="2:4" x14ac:dyDescent="0.3">
      <c r="B104">
        <v>0.87500000000000022</v>
      </c>
      <c r="C104">
        <f t="shared" si="1"/>
        <v>1</v>
      </c>
      <c r="D104" s="16">
        <f>SUM(C104/GETPIVOTDATA("Count of OrderID",$A$3,"Region","Asia","Salesperson","K. Singh"))</f>
        <v>0.14285714285714285</v>
      </c>
    </row>
    <row r="105" spans="2:4" x14ac:dyDescent="0.3">
      <c r="B105">
        <v>0.50900000000000001</v>
      </c>
      <c r="C105">
        <f t="shared" si="1"/>
        <v>1</v>
      </c>
      <c r="D105" s="16">
        <f>SUM(C105/GETPIVOTDATA("Count of OrderID",$A$3,"Region","Asia","Salesperson","L. Okafor"))</f>
        <v>7.1428571428571425E-2</v>
      </c>
    </row>
    <row r="106" spans="2:4" x14ac:dyDescent="0.3">
      <c r="B106">
        <v>1.0949999999999998</v>
      </c>
      <c r="C106">
        <f t="shared" si="1"/>
        <v>1</v>
      </c>
      <c r="D106" s="16">
        <f>SUM(C106/GETPIVOTDATA("Count of OrderID",$A$3,"Region","Asia","Salesperson","M. Rossi"))</f>
        <v>0.1</v>
      </c>
    </row>
    <row r="107" spans="2:4" x14ac:dyDescent="0.3">
      <c r="B107">
        <v>1.0150000000000001</v>
      </c>
      <c r="C107">
        <f t="shared" si="1"/>
        <v>1</v>
      </c>
      <c r="D107" s="16">
        <f>SUM(C107/GETPIVOTDATA("Count of OrderID",$A$3,"Region","Asia","Salesperson","N. Brown"))</f>
        <v>0.1</v>
      </c>
    </row>
    <row r="108" spans="2:4" x14ac:dyDescent="0.3">
      <c r="B108">
        <v>0.48199999999999998</v>
      </c>
      <c r="C108">
        <f t="shared" si="1"/>
        <v>1</v>
      </c>
      <c r="D108" s="16">
        <f>SUM(C108/GETPIVOTDATA("Count of OrderID",$A$3,"Region","Asia","Salesperson","Not Provided"))</f>
        <v>0.5</v>
      </c>
    </row>
    <row r="109" spans="2:4" x14ac:dyDescent="0.3">
      <c r="B109">
        <v>2.2249999999999996</v>
      </c>
      <c r="C109">
        <f t="shared" si="1"/>
        <v>1</v>
      </c>
      <c r="D109" s="16">
        <f>SUM(C109/GETPIVOTDATA("Count of OrderID",$A$3,"Region","Asia","Salesperson","O. Wang"))</f>
        <v>0.125</v>
      </c>
    </row>
    <row r="110" spans="2:4" x14ac:dyDescent="0.3">
      <c r="B110">
        <v>58.436</v>
      </c>
      <c r="C110">
        <f t="shared" si="1"/>
        <v>1</v>
      </c>
      <c r="D110" s="16"/>
    </row>
  </sheetData>
  <conditionalFormatting sqref="D58:D110">
    <cfRule type="top10" dxfId="1" priority="2" percent="1" rank="10"/>
  </conditionalFormatting>
  <conditionalFormatting sqref="D60:D109">
    <cfRule type="top10" dxfId="0" priority="1" percent="1" rank="12"/>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61DA-C7BB-44D1-96AD-CED0C4EB4587}">
  <dimension ref="B3:P29"/>
  <sheetViews>
    <sheetView workbookViewId="0">
      <selection activeCell="O1" sqref="O1"/>
    </sheetView>
  </sheetViews>
  <sheetFormatPr defaultRowHeight="14.4" x14ac:dyDescent="0.3"/>
  <cols>
    <col min="2" max="2" width="19.77734375" customWidth="1"/>
    <col min="4" max="4" width="11.77734375" customWidth="1"/>
    <col min="5" max="5" width="10.5546875" customWidth="1"/>
    <col min="6" max="6" width="14.21875" customWidth="1"/>
    <col min="7" max="7" width="12.21875" customWidth="1"/>
    <col min="8" max="8" width="18.21875" customWidth="1"/>
    <col min="11" max="11" width="11.77734375" customWidth="1"/>
    <col min="12" max="12" width="12.77734375" customWidth="1"/>
    <col min="13" max="13" width="13.77734375" customWidth="1"/>
    <col min="14" max="14" width="11" customWidth="1"/>
    <col min="15" max="15" width="12" customWidth="1"/>
    <col min="16" max="16" width="11.77734375" customWidth="1"/>
  </cols>
  <sheetData>
    <row r="3" spans="2:12" x14ac:dyDescent="0.3">
      <c r="C3" s="14" t="s">
        <v>1438</v>
      </c>
      <c r="D3" s="14"/>
    </row>
    <row r="4" spans="2:12" x14ac:dyDescent="0.3">
      <c r="B4" s="14" t="s">
        <v>1439</v>
      </c>
      <c r="C4" s="14" t="s">
        <v>1440</v>
      </c>
      <c r="D4" s="14" t="s">
        <v>1441</v>
      </c>
      <c r="E4" s="14" t="s">
        <v>1442</v>
      </c>
      <c r="F4" s="14" t="s">
        <v>1443</v>
      </c>
      <c r="G4">
        <v>0</v>
      </c>
      <c r="H4" s="14" t="s">
        <v>1439</v>
      </c>
      <c r="I4" s="14" t="s">
        <v>1440</v>
      </c>
      <c r="J4" s="14" t="s">
        <v>1441</v>
      </c>
      <c r="K4" s="14" t="s">
        <v>1442</v>
      </c>
      <c r="L4" s="14" t="s">
        <v>1443</v>
      </c>
    </row>
    <row r="5" spans="2:12" x14ac:dyDescent="0.3">
      <c r="B5" t="s">
        <v>1444</v>
      </c>
      <c r="C5" t="s">
        <v>1447</v>
      </c>
      <c r="D5" s="19">
        <v>0</v>
      </c>
      <c r="E5" s="19">
        <v>0.25</v>
      </c>
      <c r="F5" s="19">
        <v>0.1</v>
      </c>
      <c r="H5" t="str" cm="1">
        <f t="array" ref="H5:L7">INDEX(B5:F7,G4+_xlfn.SEQUENCE(3),_xlfn.SEQUENCE(1,5))</f>
        <v>Global Discount Cap</v>
      </c>
      <c r="I5" t="str">
        <v>C5</v>
      </c>
      <c r="J5" s="20">
        <v>0</v>
      </c>
      <c r="K5" s="20">
        <v>0.25</v>
      </c>
      <c r="L5" s="20">
        <v>0.1</v>
      </c>
    </row>
    <row r="6" spans="2:12" x14ac:dyDescent="0.3">
      <c r="B6" t="s">
        <v>1445</v>
      </c>
      <c r="C6" t="s">
        <v>1448</v>
      </c>
      <c r="D6" s="19">
        <v>0</v>
      </c>
      <c r="E6" s="19">
        <v>0.15</v>
      </c>
      <c r="F6" s="19">
        <v>0.05</v>
      </c>
      <c r="H6" t="str">
        <v>UnitCost Inflation</v>
      </c>
      <c r="I6" t="str">
        <v>C6</v>
      </c>
      <c r="J6" s="20">
        <v>0</v>
      </c>
      <c r="K6" s="20">
        <v>0.15</v>
      </c>
      <c r="L6" s="20">
        <v>0.05</v>
      </c>
    </row>
    <row r="7" spans="2:12" x14ac:dyDescent="0.3">
      <c r="B7" t="s">
        <v>1446</v>
      </c>
      <c r="C7" t="s">
        <v>1449</v>
      </c>
      <c r="D7" s="19">
        <v>0</v>
      </c>
      <c r="E7" s="19">
        <v>0.2</v>
      </c>
      <c r="F7" s="19">
        <v>0.08</v>
      </c>
      <c r="H7" t="str">
        <v>Quantity Uplift</v>
      </c>
      <c r="I7" t="str">
        <v>C7</v>
      </c>
      <c r="J7" s="20">
        <v>0</v>
      </c>
      <c r="K7" s="20">
        <v>0.2</v>
      </c>
      <c r="L7" s="20">
        <v>0.08</v>
      </c>
    </row>
    <row r="21" spans="2:16" x14ac:dyDescent="0.3">
      <c r="B21" s="14" t="s">
        <v>1450</v>
      </c>
      <c r="J21" s="14" t="s">
        <v>1451</v>
      </c>
    </row>
    <row r="22" spans="2:16" x14ac:dyDescent="0.3">
      <c r="B22" s="1" t="s">
        <v>10</v>
      </c>
      <c r="C22" s="3" t="s">
        <v>11</v>
      </c>
      <c r="D22" s="3" t="s">
        <v>13</v>
      </c>
      <c r="E22" s="3" t="s">
        <v>14</v>
      </c>
      <c r="F22" s="3" t="s">
        <v>1366</v>
      </c>
      <c r="G22" s="3" t="s">
        <v>1368</v>
      </c>
      <c r="H22" s="3" t="s">
        <v>1367</v>
      </c>
      <c r="I22" s="21"/>
      <c r="J22" s="1" t="s">
        <v>10</v>
      </c>
      <c r="K22" s="3" t="s">
        <v>11</v>
      </c>
      <c r="L22" s="3" t="s">
        <v>13</v>
      </c>
      <c r="M22" s="3" t="s">
        <v>14</v>
      </c>
      <c r="N22" s="3" t="s">
        <v>1366</v>
      </c>
      <c r="O22" s="3" t="s">
        <v>1368</v>
      </c>
      <c r="P22" s="3" t="s">
        <v>1367</v>
      </c>
    </row>
    <row r="23" spans="2:16" x14ac:dyDescent="0.3">
      <c r="B23" s="22" t="s">
        <v>23</v>
      </c>
      <c r="C23" s="23">
        <v>279.24</v>
      </c>
      <c r="D23" s="23">
        <v>0.112</v>
      </c>
      <c r="E23" s="23">
        <v>9</v>
      </c>
      <c r="F23" s="4">
        <f>608.9*E23*(1-D23)</f>
        <v>4866.3287999999993</v>
      </c>
      <c r="G23" s="4">
        <f>F23-H23</f>
        <v>2353.1687999999995</v>
      </c>
      <c r="H23" s="4">
        <f>(C23*E23)</f>
        <v>2513.16</v>
      </c>
      <c r="I23" s="4"/>
      <c r="J23" s="22" t="s">
        <v>23</v>
      </c>
      <c r="K23" s="4">
        <f>(C23*(1+F6))</f>
        <v>293.202</v>
      </c>
      <c r="L23" s="4">
        <f>(D23*(1+F5))</f>
        <v>0.12320000000000002</v>
      </c>
      <c r="M23" s="4">
        <f>(E23*(1+F7))</f>
        <v>9.7200000000000006</v>
      </c>
      <c r="N23" s="4">
        <f>639.35*M23*(1-L23)</f>
        <v>5448.857817600001</v>
      </c>
      <c r="O23" s="4">
        <f>N23-P23</f>
        <v>2598.934377600001</v>
      </c>
      <c r="P23" s="4">
        <f>K23*M23</f>
        <v>2849.92344</v>
      </c>
    </row>
    <row r="24" spans="2:16" x14ac:dyDescent="0.3">
      <c r="B24" s="22" t="s">
        <v>31</v>
      </c>
      <c r="C24" s="23">
        <v>1084.3900000000001</v>
      </c>
      <c r="D24" s="23">
        <v>0.23699999999999999</v>
      </c>
      <c r="E24" s="23">
        <v>31</v>
      </c>
      <c r="F24" s="4">
        <f>759.33*E24*(1-D24)</f>
        <v>17960.432489999999</v>
      </c>
      <c r="G24" s="4">
        <f>F24-H24</f>
        <v>-15655.657510000005</v>
      </c>
      <c r="H24" s="4">
        <f>(C24*E24)</f>
        <v>33616.090000000004</v>
      </c>
      <c r="I24" s="4"/>
      <c r="J24" s="22" t="s">
        <v>31</v>
      </c>
      <c r="K24" s="4">
        <f>(C24*(1+E6))</f>
        <v>1247.0485000000001</v>
      </c>
      <c r="L24" s="4">
        <f>(D24*(1+E5))</f>
        <v>0.29625000000000001</v>
      </c>
      <c r="M24" s="4">
        <f>(E24*(1+E7))</f>
        <v>37.199999999999996</v>
      </c>
      <c r="N24" s="4">
        <f>797.29*M24*(1-L24)</f>
        <v>20872.653554999997</v>
      </c>
      <c r="O24" s="4">
        <f>N24-P24</f>
        <v>-25517.550645000003</v>
      </c>
      <c r="P24" s="4">
        <f>K24*M24</f>
        <v>46390.2042</v>
      </c>
    </row>
    <row r="27" spans="2:16" x14ac:dyDescent="0.3">
      <c r="D27" s="24" t="s">
        <v>1452</v>
      </c>
      <c r="E27" s="24" t="s">
        <v>1368</v>
      </c>
    </row>
    <row r="28" spans="2:16" x14ac:dyDescent="0.3">
      <c r="C28" s="14" t="s">
        <v>1453</v>
      </c>
      <c r="D28" s="23">
        <v>4866.33</v>
      </c>
      <c r="E28" s="22">
        <v>2353.17</v>
      </c>
    </row>
    <row r="29" spans="2:16" x14ac:dyDescent="0.3">
      <c r="C29" s="14" t="s">
        <v>1454</v>
      </c>
      <c r="D29" s="22">
        <v>5448.86</v>
      </c>
      <c r="E29" s="22">
        <v>2598.9299999999998</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6" r:id="rId4" name="Scroll Bar 6">
              <controlPr defaultSize="0" autoPict="0">
                <anchor moveWithCells="1">
                  <from>
                    <xdr:col>12</xdr:col>
                    <xdr:colOff>0</xdr:colOff>
                    <xdr:row>4</xdr:row>
                    <xdr:rowOff>137160</xdr:rowOff>
                  </from>
                  <to>
                    <xdr:col>12</xdr:col>
                    <xdr:colOff>914400</xdr:colOff>
                    <xdr:row>19</xdr:row>
                    <xdr:rowOff>137160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88BD-C3D6-4674-9869-89351A85D0D6}">
  <dimension ref="B4:C10"/>
  <sheetViews>
    <sheetView workbookViewId="0">
      <selection activeCell="C10" sqref="C10"/>
    </sheetView>
  </sheetViews>
  <sheetFormatPr defaultRowHeight="14.4" x14ac:dyDescent="0.3"/>
  <sheetData>
    <row r="4" spans="2:3" x14ac:dyDescent="0.3">
      <c r="B4">
        <v>1</v>
      </c>
      <c r="C4" t="s">
        <v>1463</v>
      </c>
    </row>
    <row r="5" spans="2:3" x14ac:dyDescent="0.3">
      <c r="B5">
        <v>2</v>
      </c>
      <c r="C5" t="s">
        <v>1464</v>
      </c>
    </row>
    <row r="6" spans="2:3" x14ac:dyDescent="0.3">
      <c r="B6">
        <v>3</v>
      </c>
      <c r="C6" t="s">
        <v>1465</v>
      </c>
    </row>
    <row r="7" spans="2:3" x14ac:dyDescent="0.3">
      <c r="B7">
        <v>4</v>
      </c>
      <c r="C7" t="s">
        <v>1466</v>
      </c>
    </row>
    <row r="8" spans="2:3" x14ac:dyDescent="0.3">
      <c r="B8">
        <v>5</v>
      </c>
      <c r="C8" t="s">
        <v>1467</v>
      </c>
    </row>
    <row r="9" spans="2:3" x14ac:dyDescent="0.3">
      <c r="B9">
        <v>6</v>
      </c>
      <c r="C9" t="s">
        <v>1468</v>
      </c>
    </row>
    <row r="10" spans="2:3" x14ac:dyDescent="0.3">
      <c r="B10">
        <v>7</v>
      </c>
      <c r="C10" t="s">
        <v>1469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A950-4EA1-4C48-9FA0-13DA820F5F9D}">
  <dimension ref="A1"/>
  <sheetViews>
    <sheetView workbookViewId="0">
      <selection activeCell="F33" sqref="F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070D-CCA1-425A-BD48-9A2C81A5326A}">
  <dimension ref="A1:Y633"/>
  <sheetViews>
    <sheetView topLeftCell="F1" workbookViewId="0">
      <selection activeCell="G5" sqref="G5"/>
    </sheetView>
  </sheetViews>
  <sheetFormatPr defaultRowHeight="14.4" x14ac:dyDescent="0.3"/>
  <sheetData>
    <row r="1" spans="1:25" x14ac:dyDescent="0.3">
      <c r="A1" t="s">
        <v>0</v>
      </c>
      <c r="B1" t="s">
        <v>1</v>
      </c>
      <c r="C1" t="s">
        <v>2</v>
      </c>
      <c r="D1" t="s">
        <v>1370</v>
      </c>
      <c r="E1" t="s">
        <v>1371</v>
      </c>
      <c r="F1" t="s">
        <v>1472</v>
      </c>
      <c r="G1" t="s">
        <v>1473</v>
      </c>
      <c r="H1" t="s">
        <v>3</v>
      </c>
      <c r="I1" t="s">
        <v>4</v>
      </c>
      <c r="J1" t="s">
        <v>5</v>
      </c>
      <c r="K1" t="s">
        <v>6</v>
      </c>
      <c r="L1" t="s">
        <v>7</v>
      </c>
      <c r="M1" t="s">
        <v>8</v>
      </c>
      <c r="N1" t="s">
        <v>9</v>
      </c>
      <c r="O1" t="s">
        <v>10</v>
      </c>
      <c r="P1" t="s">
        <v>11</v>
      </c>
      <c r="Q1" t="s">
        <v>12</v>
      </c>
      <c r="R1" t="s">
        <v>13</v>
      </c>
      <c r="S1" t="s">
        <v>1474</v>
      </c>
      <c r="T1" t="s">
        <v>14</v>
      </c>
      <c r="U1" t="s">
        <v>1475</v>
      </c>
      <c r="V1" t="s">
        <v>1366</v>
      </c>
      <c r="W1" t="s">
        <v>1476</v>
      </c>
      <c r="X1" t="s">
        <v>1477</v>
      </c>
      <c r="Y1" t="s">
        <v>1478</v>
      </c>
    </row>
    <row r="2" spans="1:25" x14ac:dyDescent="0.3">
      <c r="A2" t="s">
        <v>15</v>
      </c>
      <c r="B2">
        <v>45362</v>
      </c>
      <c r="C2">
        <v>45388</v>
      </c>
      <c r="D2" t="s">
        <v>1479</v>
      </c>
      <c r="E2" t="s">
        <v>1392</v>
      </c>
      <c r="F2">
        <v>26</v>
      </c>
      <c r="G2">
        <v>0</v>
      </c>
      <c r="H2" t="s">
        <v>16</v>
      </c>
      <c r="I2" t="s">
        <v>17</v>
      </c>
      <c r="J2" t="s">
        <v>18</v>
      </c>
      <c r="K2" t="s">
        <v>19</v>
      </c>
      <c r="L2" t="s">
        <v>20</v>
      </c>
      <c r="M2" t="s">
        <v>21</v>
      </c>
      <c r="N2" t="s">
        <v>22</v>
      </c>
      <c r="O2" t="s">
        <v>23</v>
      </c>
      <c r="P2">
        <v>279.24</v>
      </c>
      <c r="Q2">
        <v>608.9</v>
      </c>
      <c r="R2">
        <v>0.112</v>
      </c>
      <c r="S2">
        <v>0</v>
      </c>
      <c r="T2">
        <v>9</v>
      </c>
      <c r="U2" t="s">
        <v>1480</v>
      </c>
      <c r="V2">
        <v>4866.3287999999993</v>
      </c>
      <c r="W2">
        <v>2513.16</v>
      </c>
      <c r="X2">
        <v>2353.1687999999995</v>
      </c>
      <c r="Y2">
        <v>0.48356140670149533</v>
      </c>
    </row>
    <row r="3" spans="1:25" x14ac:dyDescent="0.3">
      <c r="A3" t="s">
        <v>24</v>
      </c>
      <c r="B3">
        <v>45588</v>
      </c>
      <c r="C3">
        <v>45595</v>
      </c>
      <c r="D3" t="s">
        <v>1481</v>
      </c>
      <c r="E3" t="s">
        <v>1399</v>
      </c>
      <c r="F3">
        <v>7</v>
      </c>
      <c r="G3">
        <v>1</v>
      </c>
      <c r="H3" t="s">
        <v>16</v>
      </c>
      <c r="I3" t="s">
        <v>25</v>
      </c>
      <c r="J3" t="s">
        <v>26</v>
      </c>
      <c r="K3" t="s">
        <v>27</v>
      </c>
      <c r="L3" t="s">
        <v>28</v>
      </c>
      <c r="M3" t="s">
        <v>29</v>
      </c>
      <c r="N3" t="s">
        <v>30</v>
      </c>
      <c r="O3" t="s">
        <v>31</v>
      </c>
      <c r="P3">
        <v>1084.3900000000001</v>
      </c>
      <c r="Q3">
        <v>759.33</v>
      </c>
      <c r="R3">
        <v>0.23699999999999999</v>
      </c>
      <c r="S3">
        <v>1</v>
      </c>
      <c r="T3">
        <v>31</v>
      </c>
      <c r="U3" t="s">
        <v>1480</v>
      </c>
      <c r="V3">
        <v>17960.432489999999</v>
      </c>
      <c r="W3">
        <v>33616.090000000004</v>
      </c>
      <c r="X3">
        <v>-15655.657510000005</v>
      </c>
      <c r="Y3">
        <v>-0.87167486187856302</v>
      </c>
    </row>
    <row r="4" spans="1:25" x14ac:dyDescent="0.3">
      <c r="A4" t="s">
        <v>32</v>
      </c>
      <c r="B4">
        <v>44985</v>
      </c>
      <c r="C4">
        <v>45010</v>
      </c>
      <c r="D4" t="s">
        <v>1482</v>
      </c>
      <c r="E4" t="s">
        <v>1379</v>
      </c>
      <c r="F4">
        <v>25</v>
      </c>
      <c r="G4">
        <v>0</v>
      </c>
      <c r="H4" t="s">
        <v>16</v>
      </c>
      <c r="I4" t="s">
        <v>17</v>
      </c>
      <c r="J4" t="s">
        <v>33</v>
      </c>
      <c r="K4" t="s">
        <v>19</v>
      </c>
      <c r="L4" t="s">
        <v>20</v>
      </c>
      <c r="M4" t="s">
        <v>34</v>
      </c>
      <c r="N4" t="s">
        <v>35</v>
      </c>
      <c r="O4" t="s">
        <v>36</v>
      </c>
      <c r="P4">
        <v>1460.76</v>
      </c>
      <c r="Q4">
        <v>30.66</v>
      </c>
      <c r="R4">
        <v>0.13100000000000001</v>
      </c>
      <c r="S4">
        <v>0</v>
      </c>
      <c r="T4">
        <v>12</v>
      </c>
      <c r="U4" t="s">
        <v>1480</v>
      </c>
      <c r="V4">
        <v>319.72248000000002</v>
      </c>
      <c r="W4">
        <v>17529.12</v>
      </c>
      <c r="X4">
        <v>-17209.397519999999</v>
      </c>
      <c r="Y4">
        <v>-53.826047890032626</v>
      </c>
    </row>
    <row r="5" spans="1:25" x14ac:dyDescent="0.3">
      <c r="A5" t="s">
        <v>37</v>
      </c>
      <c r="B5">
        <v>45745</v>
      </c>
      <c r="C5">
        <v>45749</v>
      </c>
      <c r="D5" t="s">
        <v>1483</v>
      </c>
      <c r="E5" t="s">
        <v>1404</v>
      </c>
      <c r="F5">
        <v>4</v>
      </c>
      <c r="G5">
        <v>1</v>
      </c>
      <c r="H5" t="s">
        <v>16</v>
      </c>
      <c r="I5" t="s">
        <v>25</v>
      </c>
      <c r="J5" t="s">
        <v>38</v>
      </c>
      <c r="K5" t="s">
        <v>39</v>
      </c>
      <c r="L5" t="s">
        <v>40</v>
      </c>
      <c r="M5" t="s">
        <v>41</v>
      </c>
      <c r="N5" t="s">
        <v>42</v>
      </c>
      <c r="O5" t="s">
        <v>43</v>
      </c>
      <c r="P5">
        <v>259.93</v>
      </c>
      <c r="Q5">
        <v>255.94</v>
      </c>
      <c r="R5">
        <v>7.1999999999999995E-2</v>
      </c>
      <c r="S5">
        <v>0</v>
      </c>
      <c r="T5">
        <v>22</v>
      </c>
      <c r="U5" t="s">
        <v>1480</v>
      </c>
      <c r="V5">
        <v>5225.2710400000005</v>
      </c>
      <c r="W5">
        <v>5718.46</v>
      </c>
      <c r="X5">
        <v>-493.1889599999995</v>
      </c>
      <c r="Y5">
        <v>-9.4385335463861311E-2</v>
      </c>
    </row>
    <row r="6" spans="1:25" x14ac:dyDescent="0.3">
      <c r="A6" t="s">
        <v>44</v>
      </c>
      <c r="B6">
        <v>45266</v>
      </c>
      <c r="C6">
        <v>45291</v>
      </c>
      <c r="D6" t="s">
        <v>1484</v>
      </c>
      <c r="E6" t="s">
        <v>1389</v>
      </c>
      <c r="F6">
        <v>25</v>
      </c>
      <c r="G6">
        <v>0</v>
      </c>
      <c r="H6" t="s">
        <v>45</v>
      </c>
      <c r="I6" t="s">
        <v>46</v>
      </c>
      <c r="J6" t="s">
        <v>47</v>
      </c>
      <c r="K6" t="s">
        <v>48</v>
      </c>
      <c r="L6" t="s">
        <v>20</v>
      </c>
      <c r="M6" t="s">
        <v>49</v>
      </c>
      <c r="N6" t="s">
        <v>30</v>
      </c>
      <c r="O6" t="s">
        <v>50</v>
      </c>
      <c r="P6">
        <v>663.03</v>
      </c>
      <c r="Q6">
        <v>813.51</v>
      </c>
      <c r="R6">
        <v>0.10199999999999999</v>
      </c>
      <c r="S6">
        <v>0</v>
      </c>
      <c r="T6">
        <v>15</v>
      </c>
      <c r="U6" t="s">
        <v>1480</v>
      </c>
      <c r="V6">
        <v>10957.9797</v>
      </c>
      <c r="W6">
        <v>9945.4499999999989</v>
      </c>
      <c r="X6">
        <v>1012.529700000001</v>
      </c>
      <c r="Y6">
        <v>9.2401129379715952E-2</v>
      </c>
    </row>
    <row r="7" spans="1:25" x14ac:dyDescent="0.3">
      <c r="A7" t="s">
        <v>51</v>
      </c>
      <c r="B7">
        <v>44928</v>
      </c>
      <c r="C7">
        <v>44931</v>
      </c>
      <c r="D7" t="s">
        <v>1482</v>
      </c>
      <c r="E7" t="s">
        <v>1378</v>
      </c>
      <c r="F7">
        <v>3</v>
      </c>
      <c r="G7">
        <v>1</v>
      </c>
      <c r="H7" t="s">
        <v>52</v>
      </c>
      <c r="I7" t="s">
        <v>53</v>
      </c>
      <c r="J7" t="s">
        <v>54</v>
      </c>
      <c r="K7" t="s">
        <v>19</v>
      </c>
      <c r="L7" t="s">
        <v>55</v>
      </c>
      <c r="M7" t="s">
        <v>56</v>
      </c>
      <c r="N7" t="s">
        <v>57</v>
      </c>
      <c r="O7" t="s">
        <v>58</v>
      </c>
      <c r="P7">
        <v>315.87</v>
      </c>
      <c r="Q7">
        <v>591.67999999999995</v>
      </c>
      <c r="R7">
        <v>0</v>
      </c>
      <c r="S7">
        <v>0</v>
      </c>
      <c r="T7">
        <v>7</v>
      </c>
      <c r="U7" t="s">
        <v>1480</v>
      </c>
      <c r="V7">
        <v>4141.7599999999993</v>
      </c>
      <c r="W7">
        <v>2211.09</v>
      </c>
      <c r="X7">
        <v>1930.6699999999992</v>
      </c>
      <c r="Y7">
        <v>0.46614724175229844</v>
      </c>
    </row>
    <row r="8" spans="1:25" x14ac:dyDescent="0.3">
      <c r="A8" t="s">
        <v>59</v>
      </c>
      <c r="B8">
        <v>45653</v>
      </c>
      <c r="C8">
        <v>45671</v>
      </c>
      <c r="D8" t="s">
        <v>1481</v>
      </c>
      <c r="E8" t="s">
        <v>1401</v>
      </c>
      <c r="F8">
        <v>18</v>
      </c>
      <c r="G8">
        <v>0</v>
      </c>
      <c r="H8" t="s">
        <v>45</v>
      </c>
      <c r="I8" t="s">
        <v>60</v>
      </c>
      <c r="J8" t="s">
        <v>61</v>
      </c>
      <c r="K8" t="s">
        <v>62</v>
      </c>
      <c r="L8" t="s">
        <v>40</v>
      </c>
      <c r="M8" t="s">
        <v>63</v>
      </c>
      <c r="N8" t="s">
        <v>64</v>
      </c>
      <c r="O8" t="s">
        <v>65</v>
      </c>
      <c r="P8">
        <v>586.07000000000005</v>
      </c>
      <c r="Q8">
        <v>845.97</v>
      </c>
      <c r="R8">
        <v>0.14699999999999999</v>
      </c>
      <c r="S8">
        <v>0</v>
      </c>
      <c r="T8">
        <v>4</v>
      </c>
      <c r="U8" t="s">
        <v>1485</v>
      </c>
      <c r="V8">
        <v>2886.4496399999998</v>
      </c>
      <c r="W8">
        <v>2344.2800000000002</v>
      </c>
      <c r="X8">
        <v>542.16963999999962</v>
      </c>
      <c r="Y8">
        <v>0.18783270370862928</v>
      </c>
    </row>
    <row r="9" spans="1:25" x14ac:dyDescent="0.3">
      <c r="A9" t="s">
        <v>66</v>
      </c>
      <c r="B9">
        <v>44941</v>
      </c>
      <c r="C9">
        <v>44948</v>
      </c>
      <c r="D9" t="s">
        <v>1482</v>
      </c>
      <c r="E9" t="s">
        <v>1378</v>
      </c>
      <c r="F9">
        <v>7</v>
      </c>
      <c r="G9">
        <v>1</v>
      </c>
      <c r="H9" t="s">
        <v>16</v>
      </c>
      <c r="I9" t="s">
        <v>25</v>
      </c>
      <c r="J9" t="s">
        <v>67</v>
      </c>
      <c r="K9" t="s">
        <v>27</v>
      </c>
      <c r="L9" t="s">
        <v>28</v>
      </c>
      <c r="M9" t="s">
        <v>68</v>
      </c>
      <c r="N9" t="s">
        <v>30</v>
      </c>
      <c r="O9" t="s">
        <v>69</v>
      </c>
      <c r="P9">
        <v>28.38</v>
      </c>
      <c r="Q9">
        <v>47.22</v>
      </c>
      <c r="R9">
        <v>0.19400000000000001</v>
      </c>
      <c r="S9">
        <v>0</v>
      </c>
      <c r="T9">
        <v>18</v>
      </c>
      <c r="U9" t="s">
        <v>1480</v>
      </c>
      <c r="V9">
        <v>685.06776000000002</v>
      </c>
      <c r="W9">
        <v>510.84</v>
      </c>
      <c r="X9">
        <v>174.22776000000005</v>
      </c>
      <c r="Y9">
        <v>0.25432193743871417</v>
      </c>
    </row>
    <row r="10" spans="1:25" x14ac:dyDescent="0.3">
      <c r="A10" t="s">
        <v>70</v>
      </c>
      <c r="B10">
        <v>45416</v>
      </c>
      <c r="C10">
        <v>45441</v>
      </c>
      <c r="D10" t="s">
        <v>1486</v>
      </c>
      <c r="E10" t="s">
        <v>1394</v>
      </c>
      <c r="F10">
        <v>25</v>
      </c>
      <c r="G10">
        <v>0</v>
      </c>
      <c r="H10" t="s">
        <v>16</v>
      </c>
      <c r="I10" t="s">
        <v>25</v>
      </c>
      <c r="J10" t="s">
        <v>67</v>
      </c>
      <c r="K10" t="s">
        <v>39</v>
      </c>
      <c r="L10" t="s">
        <v>40</v>
      </c>
      <c r="M10" t="s">
        <v>68</v>
      </c>
      <c r="N10" t="s">
        <v>64</v>
      </c>
      <c r="O10" t="s">
        <v>71</v>
      </c>
      <c r="P10">
        <v>1295.3399999999999</v>
      </c>
      <c r="Q10">
        <v>2530.81</v>
      </c>
      <c r="R10">
        <v>3.1E-2</v>
      </c>
      <c r="S10">
        <v>0</v>
      </c>
      <c r="T10">
        <v>6</v>
      </c>
      <c r="U10" t="s">
        <v>1474</v>
      </c>
      <c r="V10">
        <v>14714.12934</v>
      </c>
      <c r="W10">
        <v>7772.0399999999991</v>
      </c>
      <c r="X10">
        <v>6942.0893400000004</v>
      </c>
      <c r="Y10">
        <v>0.4717974933880798</v>
      </c>
    </row>
    <row r="11" spans="1:25" x14ac:dyDescent="0.3">
      <c r="A11" t="s">
        <v>72</v>
      </c>
      <c r="B11">
        <v>45798</v>
      </c>
      <c r="C11">
        <v>45817</v>
      </c>
      <c r="D11" t="s">
        <v>1487</v>
      </c>
      <c r="E11" t="s">
        <v>1406</v>
      </c>
      <c r="F11">
        <v>19</v>
      </c>
      <c r="G11">
        <v>0</v>
      </c>
      <c r="H11" t="s">
        <v>52</v>
      </c>
      <c r="I11" t="s">
        <v>73</v>
      </c>
      <c r="J11" t="s">
        <v>74</v>
      </c>
      <c r="K11" t="s">
        <v>39</v>
      </c>
      <c r="L11" t="s">
        <v>28</v>
      </c>
      <c r="M11" t="s">
        <v>75</v>
      </c>
      <c r="N11" t="s">
        <v>22</v>
      </c>
      <c r="O11" t="s">
        <v>76</v>
      </c>
      <c r="P11">
        <v>1331.38</v>
      </c>
      <c r="Q11">
        <v>2309.56</v>
      </c>
      <c r="R11">
        <v>0.14899999999999999</v>
      </c>
      <c r="S11">
        <v>0</v>
      </c>
      <c r="T11">
        <v>31</v>
      </c>
      <c r="U11" t="s">
        <v>1474</v>
      </c>
      <c r="V11">
        <v>60928.502359999999</v>
      </c>
      <c r="W11">
        <v>41272.780000000006</v>
      </c>
      <c r="X11">
        <v>19655.722359999992</v>
      </c>
      <c r="Y11">
        <v>0.32260307735553528</v>
      </c>
    </row>
    <row r="12" spans="1:25" x14ac:dyDescent="0.3">
      <c r="A12" t="s">
        <v>77</v>
      </c>
      <c r="B12">
        <v>45319</v>
      </c>
      <c r="C12">
        <v>45331</v>
      </c>
      <c r="D12" t="s">
        <v>1479</v>
      </c>
      <c r="E12" t="s">
        <v>1390</v>
      </c>
      <c r="F12">
        <v>12</v>
      </c>
      <c r="G12">
        <v>0</v>
      </c>
      <c r="H12" t="s">
        <v>78</v>
      </c>
      <c r="I12" t="s">
        <v>79</v>
      </c>
      <c r="J12" t="s">
        <v>80</v>
      </c>
      <c r="K12" t="s">
        <v>19</v>
      </c>
      <c r="L12" t="s">
        <v>28</v>
      </c>
      <c r="M12" t="s">
        <v>41</v>
      </c>
      <c r="N12" t="s">
        <v>81</v>
      </c>
      <c r="O12" t="s">
        <v>82</v>
      </c>
      <c r="P12">
        <v>644.16999999999996</v>
      </c>
      <c r="Q12">
        <v>700.12</v>
      </c>
      <c r="R12">
        <v>6.0000000000000001E-3</v>
      </c>
      <c r="S12">
        <v>0</v>
      </c>
      <c r="T12">
        <v>23</v>
      </c>
      <c r="U12" t="s">
        <v>1480</v>
      </c>
      <c r="V12">
        <v>16006.14344</v>
      </c>
      <c r="W12">
        <v>14815.91</v>
      </c>
      <c r="X12">
        <v>1190.23344</v>
      </c>
      <c r="Y12">
        <v>7.436103796405813E-2</v>
      </c>
    </row>
    <row r="13" spans="1:25" x14ac:dyDescent="0.3">
      <c r="A13" t="s">
        <v>83</v>
      </c>
      <c r="B13">
        <v>45660</v>
      </c>
      <c r="C13">
        <v>45680</v>
      </c>
      <c r="D13" t="s">
        <v>1483</v>
      </c>
      <c r="E13" t="s">
        <v>1402</v>
      </c>
      <c r="F13">
        <v>20</v>
      </c>
      <c r="G13">
        <v>0</v>
      </c>
      <c r="H13" t="s">
        <v>45</v>
      </c>
      <c r="I13" t="s">
        <v>46</v>
      </c>
      <c r="J13" t="s">
        <v>47</v>
      </c>
      <c r="K13" t="s">
        <v>19</v>
      </c>
      <c r="L13" t="s">
        <v>55</v>
      </c>
      <c r="M13" t="s">
        <v>84</v>
      </c>
      <c r="N13" t="s">
        <v>42</v>
      </c>
      <c r="O13" t="s">
        <v>85</v>
      </c>
      <c r="P13">
        <v>908.6</v>
      </c>
      <c r="Q13">
        <v>691.37</v>
      </c>
      <c r="R13">
        <v>0.25</v>
      </c>
      <c r="S13">
        <v>1</v>
      </c>
      <c r="T13">
        <v>20</v>
      </c>
      <c r="U13" t="s">
        <v>1480</v>
      </c>
      <c r="V13">
        <v>10370.549999999999</v>
      </c>
      <c r="W13">
        <v>18172</v>
      </c>
      <c r="X13">
        <v>-7801.4500000000007</v>
      </c>
      <c r="Y13">
        <v>-0.75226964818645115</v>
      </c>
    </row>
    <row r="14" spans="1:25" x14ac:dyDescent="0.3">
      <c r="A14" t="s">
        <v>86</v>
      </c>
      <c r="B14">
        <v>45722</v>
      </c>
      <c r="C14">
        <v>45747</v>
      </c>
      <c r="D14" t="s">
        <v>1483</v>
      </c>
      <c r="E14" t="s">
        <v>1404</v>
      </c>
      <c r="F14">
        <v>25</v>
      </c>
      <c r="G14">
        <v>0</v>
      </c>
      <c r="H14" t="s">
        <v>52</v>
      </c>
      <c r="I14" t="s">
        <v>73</v>
      </c>
      <c r="J14" t="s">
        <v>87</v>
      </c>
      <c r="K14" t="s">
        <v>39</v>
      </c>
      <c r="L14" t="s">
        <v>28</v>
      </c>
      <c r="M14" t="s">
        <v>29</v>
      </c>
      <c r="N14" t="s">
        <v>22</v>
      </c>
      <c r="O14" t="s">
        <v>88</v>
      </c>
      <c r="P14">
        <v>331.57</v>
      </c>
      <c r="Q14">
        <v>548.4</v>
      </c>
      <c r="R14">
        <v>9.4E-2</v>
      </c>
      <c r="S14">
        <v>0</v>
      </c>
      <c r="T14">
        <v>10</v>
      </c>
      <c r="U14" t="s">
        <v>1480</v>
      </c>
      <c r="V14">
        <v>4968.5039999999999</v>
      </c>
      <c r="W14">
        <v>3315.7</v>
      </c>
      <c r="X14">
        <v>1652.8040000000001</v>
      </c>
      <c r="Y14">
        <v>0.33265626836568918</v>
      </c>
    </row>
    <row r="15" spans="1:25" x14ac:dyDescent="0.3">
      <c r="A15" t="s">
        <v>89</v>
      </c>
      <c r="B15">
        <v>45311</v>
      </c>
      <c r="C15">
        <v>45335</v>
      </c>
      <c r="D15" t="s">
        <v>1479</v>
      </c>
      <c r="E15" t="s">
        <v>1390</v>
      </c>
      <c r="F15">
        <v>24</v>
      </c>
      <c r="G15">
        <v>0</v>
      </c>
      <c r="H15" t="s">
        <v>78</v>
      </c>
      <c r="I15" t="s">
        <v>90</v>
      </c>
      <c r="J15" t="s">
        <v>91</v>
      </c>
      <c r="K15" t="s">
        <v>19</v>
      </c>
      <c r="L15" t="s">
        <v>20</v>
      </c>
      <c r="M15" t="s">
        <v>92</v>
      </c>
      <c r="N15" t="s">
        <v>30</v>
      </c>
      <c r="O15" t="s">
        <v>93</v>
      </c>
      <c r="P15">
        <v>643.53</v>
      </c>
      <c r="Q15">
        <v>1439.01</v>
      </c>
      <c r="R15">
        <v>0</v>
      </c>
      <c r="S15">
        <v>0</v>
      </c>
      <c r="T15">
        <v>15</v>
      </c>
      <c r="U15" t="s">
        <v>1485</v>
      </c>
      <c r="V15">
        <v>21585.15</v>
      </c>
      <c r="W15">
        <v>9652.9499999999989</v>
      </c>
      <c r="X15">
        <v>11932.200000000003</v>
      </c>
      <c r="Y15">
        <v>0.55279671440782208</v>
      </c>
    </row>
    <row r="16" spans="1:25" x14ac:dyDescent="0.3">
      <c r="A16" t="s">
        <v>94</v>
      </c>
      <c r="B16">
        <v>45901</v>
      </c>
      <c r="C16">
        <v>45930</v>
      </c>
      <c r="D16" t="s">
        <v>1488</v>
      </c>
      <c r="E16" t="s">
        <v>1489</v>
      </c>
      <c r="F16">
        <v>29</v>
      </c>
      <c r="G16">
        <v>0</v>
      </c>
      <c r="H16" t="s">
        <v>52</v>
      </c>
      <c r="I16" t="s">
        <v>73</v>
      </c>
      <c r="J16" t="s">
        <v>87</v>
      </c>
      <c r="K16" t="s">
        <v>27</v>
      </c>
      <c r="L16" t="s">
        <v>20</v>
      </c>
      <c r="M16" t="s">
        <v>95</v>
      </c>
      <c r="N16" t="s">
        <v>81</v>
      </c>
      <c r="O16" t="s">
        <v>96</v>
      </c>
      <c r="P16">
        <v>780.59</v>
      </c>
      <c r="Q16">
        <v>631.57000000000005</v>
      </c>
      <c r="R16">
        <v>0</v>
      </c>
      <c r="S16">
        <v>0</v>
      </c>
      <c r="T16">
        <v>12</v>
      </c>
      <c r="U16" t="s">
        <v>1480</v>
      </c>
      <c r="V16">
        <v>7578.84</v>
      </c>
      <c r="W16">
        <v>9367.08</v>
      </c>
      <c r="X16">
        <v>-1788.2399999999998</v>
      </c>
      <c r="Y16">
        <v>-0.23595167598207639</v>
      </c>
    </row>
    <row r="17" spans="1:25" x14ac:dyDescent="0.3">
      <c r="A17" t="s">
        <v>97</v>
      </c>
      <c r="B17">
        <v>45039</v>
      </c>
      <c r="C17">
        <v>45046</v>
      </c>
      <c r="D17" t="s">
        <v>1490</v>
      </c>
      <c r="E17" t="s">
        <v>1381</v>
      </c>
      <c r="F17">
        <v>7</v>
      </c>
      <c r="G17">
        <v>1</v>
      </c>
      <c r="H17" t="s">
        <v>16</v>
      </c>
      <c r="I17" t="s">
        <v>17</v>
      </c>
      <c r="J17" t="s">
        <v>33</v>
      </c>
      <c r="K17" t="s">
        <v>62</v>
      </c>
      <c r="L17" t="s">
        <v>98</v>
      </c>
      <c r="M17" t="s">
        <v>63</v>
      </c>
      <c r="N17" t="s">
        <v>57</v>
      </c>
      <c r="O17" t="s">
        <v>99</v>
      </c>
      <c r="P17">
        <v>756.51</v>
      </c>
      <c r="Q17">
        <v>850.8</v>
      </c>
      <c r="R17">
        <v>7.3999999999999996E-2</v>
      </c>
      <c r="S17">
        <v>0</v>
      </c>
      <c r="T17">
        <v>9</v>
      </c>
      <c r="U17" t="s">
        <v>1485</v>
      </c>
      <c r="V17">
        <v>7090.5672000000004</v>
      </c>
      <c r="W17">
        <v>6808.59</v>
      </c>
      <c r="X17">
        <v>281.97720000000027</v>
      </c>
      <c r="Y17">
        <v>3.9767932810791252E-2</v>
      </c>
    </row>
    <row r="18" spans="1:25" x14ac:dyDescent="0.3">
      <c r="A18" t="s">
        <v>100</v>
      </c>
      <c r="B18">
        <v>45636</v>
      </c>
      <c r="C18">
        <v>45665</v>
      </c>
      <c r="D18" t="s">
        <v>1481</v>
      </c>
      <c r="E18" t="s">
        <v>1401</v>
      </c>
      <c r="F18">
        <v>29</v>
      </c>
      <c r="G18">
        <v>0</v>
      </c>
      <c r="H18" t="s">
        <v>78</v>
      </c>
      <c r="I18" t="s">
        <v>90</v>
      </c>
      <c r="J18" t="s">
        <v>91</v>
      </c>
      <c r="K18" t="s">
        <v>62</v>
      </c>
      <c r="L18" t="s">
        <v>20</v>
      </c>
      <c r="M18" t="s">
        <v>95</v>
      </c>
      <c r="N18" t="s">
        <v>30</v>
      </c>
      <c r="O18" t="s">
        <v>101</v>
      </c>
      <c r="P18">
        <v>891.08</v>
      </c>
      <c r="Q18">
        <v>1040.0999999999999</v>
      </c>
      <c r="R18">
        <v>0.109</v>
      </c>
      <c r="S18">
        <v>0</v>
      </c>
      <c r="T18">
        <v>28</v>
      </c>
      <c r="U18" t="s">
        <v>1485</v>
      </c>
      <c r="V18">
        <v>25948.414799999995</v>
      </c>
      <c r="W18">
        <v>24950.240000000002</v>
      </c>
      <c r="X18">
        <v>998.17479999999341</v>
      </c>
      <c r="Y18">
        <v>3.8467660074556598E-2</v>
      </c>
    </row>
    <row r="19" spans="1:25" x14ac:dyDescent="0.3">
      <c r="A19" t="s">
        <v>102</v>
      </c>
      <c r="B19">
        <v>45908</v>
      </c>
      <c r="C19">
        <v>45916</v>
      </c>
      <c r="D19" t="s">
        <v>1488</v>
      </c>
      <c r="E19" t="s">
        <v>1489</v>
      </c>
      <c r="F19">
        <v>8</v>
      </c>
      <c r="G19">
        <v>0</v>
      </c>
      <c r="H19" t="s">
        <v>45</v>
      </c>
      <c r="I19" t="s">
        <v>46</v>
      </c>
      <c r="J19" t="s">
        <v>47</v>
      </c>
      <c r="K19" t="s">
        <v>19</v>
      </c>
      <c r="L19" t="s">
        <v>55</v>
      </c>
      <c r="M19" t="s">
        <v>21</v>
      </c>
      <c r="N19" t="s">
        <v>42</v>
      </c>
      <c r="O19" t="s">
        <v>103</v>
      </c>
      <c r="P19">
        <v>1225.57</v>
      </c>
      <c r="Q19">
        <v>2705.57</v>
      </c>
      <c r="R19">
        <v>0.183</v>
      </c>
      <c r="S19">
        <v>0</v>
      </c>
      <c r="T19">
        <v>16</v>
      </c>
      <c r="U19" t="s">
        <v>1474</v>
      </c>
      <c r="V19">
        <v>35367.211040000002</v>
      </c>
      <c r="W19">
        <v>19609.12</v>
      </c>
      <c r="X19">
        <v>15758.091040000003</v>
      </c>
      <c r="Y19">
        <v>0.44555650775453404</v>
      </c>
    </row>
    <row r="20" spans="1:25" x14ac:dyDescent="0.3">
      <c r="A20" t="s">
        <v>104</v>
      </c>
      <c r="B20">
        <v>45858</v>
      </c>
      <c r="C20">
        <v>45874</v>
      </c>
      <c r="D20" t="s">
        <v>1488</v>
      </c>
      <c r="E20" t="s">
        <v>1408</v>
      </c>
      <c r="F20">
        <v>16</v>
      </c>
      <c r="G20">
        <v>0</v>
      </c>
      <c r="H20" t="s">
        <v>52</v>
      </c>
      <c r="I20" t="s">
        <v>73</v>
      </c>
      <c r="J20" t="s">
        <v>87</v>
      </c>
      <c r="K20" t="s">
        <v>105</v>
      </c>
      <c r="L20" t="s">
        <v>40</v>
      </c>
      <c r="M20" t="s">
        <v>41</v>
      </c>
      <c r="N20" t="s">
        <v>81</v>
      </c>
      <c r="O20" t="s">
        <v>106</v>
      </c>
      <c r="P20">
        <v>1068.17</v>
      </c>
      <c r="Q20">
        <v>2375.37</v>
      </c>
      <c r="R20">
        <v>0.109</v>
      </c>
      <c r="S20">
        <v>0</v>
      </c>
      <c r="T20">
        <v>18</v>
      </c>
      <c r="U20" t="s">
        <v>1474</v>
      </c>
      <c r="V20">
        <v>38096.18406</v>
      </c>
      <c r="W20">
        <v>19227.060000000001</v>
      </c>
      <c r="X20">
        <v>18869.124059999998</v>
      </c>
      <c r="Y20">
        <v>0.49530220744108822</v>
      </c>
    </row>
    <row r="21" spans="1:25" x14ac:dyDescent="0.3">
      <c r="A21" t="s">
        <v>107</v>
      </c>
      <c r="B21">
        <v>45798</v>
      </c>
      <c r="C21">
        <v>45805</v>
      </c>
      <c r="D21" t="s">
        <v>1487</v>
      </c>
      <c r="E21" t="s">
        <v>1406</v>
      </c>
      <c r="F21">
        <v>7</v>
      </c>
      <c r="G21">
        <v>1</v>
      </c>
      <c r="H21" t="s">
        <v>78</v>
      </c>
      <c r="I21" t="s">
        <v>108</v>
      </c>
      <c r="J21" t="s">
        <v>109</v>
      </c>
      <c r="K21" t="s">
        <v>105</v>
      </c>
      <c r="L21" t="s">
        <v>28</v>
      </c>
      <c r="M21" t="s">
        <v>110</v>
      </c>
      <c r="N21" t="s">
        <v>57</v>
      </c>
      <c r="O21" t="s">
        <v>111</v>
      </c>
      <c r="P21">
        <v>1015.16</v>
      </c>
      <c r="Q21">
        <v>2148.14</v>
      </c>
      <c r="R21">
        <v>3.7999999999999999E-2</v>
      </c>
      <c r="S21">
        <v>0</v>
      </c>
      <c r="T21">
        <v>19</v>
      </c>
      <c r="U21" t="s">
        <v>1474</v>
      </c>
      <c r="V21">
        <v>39263.702919999996</v>
      </c>
      <c r="W21">
        <v>19288.04</v>
      </c>
      <c r="X21">
        <v>19975.662919999995</v>
      </c>
      <c r="Y21">
        <v>0.50875647059322227</v>
      </c>
    </row>
    <row r="22" spans="1:25" x14ac:dyDescent="0.3">
      <c r="A22" t="s">
        <v>112</v>
      </c>
      <c r="B22">
        <v>45498</v>
      </c>
      <c r="C22">
        <v>45505</v>
      </c>
      <c r="D22" t="s">
        <v>1491</v>
      </c>
      <c r="E22" t="s">
        <v>1396</v>
      </c>
      <c r="F22">
        <v>7</v>
      </c>
      <c r="G22">
        <v>1</v>
      </c>
      <c r="H22" t="s">
        <v>16</v>
      </c>
      <c r="I22" t="s">
        <v>17</v>
      </c>
      <c r="J22" t="s">
        <v>113</v>
      </c>
      <c r="K22" t="s">
        <v>39</v>
      </c>
      <c r="L22" t="s">
        <v>98</v>
      </c>
      <c r="M22" t="s">
        <v>29</v>
      </c>
      <c r="N22" t="s">
        <v>57</v>
      </c>
      <c r="O22" t="s">
        <v>114</v>
      </c>
      <c r="P22">
        <v>1494.4</v>
      </c>
      <c r="Q22">
        <v>3661.07</v>
      </c>
      <c r="R22">
        <v>7.1999999999999995E-2</v>
      </c>
      <c r="S22">
        <v>0</v>
      </c>
      <c r="T22">
        <v>7</v>
      </c>
      <c r="U22" t="s">
        <v>1474</v>
      </c>
      <c r="V22">
        <v>23782.310720000001</v>
      </c>
      <c r="W22">
        <v>10460.800000000001</v>
      </c>
      <c r="X22">
        <v>13321.51072</v>
      </c>
      <c r="Y22">
        <v>0.56014366630897339</v>
      </c>
    </row>
    <row r="23" spans="1:25" x14ac:dyDescent="0.3">
      <c r="A23" t="s">
        <v>115</v>
      </c>
      <c r="B23">
        <v>45057</v>
      </c>
      <c r="C23">
        <v>45074</v>
      </c>
      <c r="D23" t="s">
        <v>1490</v>
      </c>
      <c r="E23" t="s">
        <v>1382</v>
      </c>
      <c r="F23">
        <v>17</v>
      </c>
      <c r="G23">
        <v>0</v>
      </c>
      <c r="H23" t="s">
        <v>45</v>
      </c>
      <c r="I23" t="s">
        <v>116</v>
      </c>
      <c r="J23" t="s">
        <v>117</v>
      </c>
      <c r="K23" t="s">
        <v>105</v>
      </c>
      <c r="L23" t="s">
        <v>40</v>
      </c>
      <c r="M23" t="s">
        <v>63</v>
      </c>
      <c r="N23" t="s">
        <v>35</v>
      </c>
      <c r="O23" t="s">
        <v>118</v>
      </c>
      <c r="P23">
        <v>1331.19</v>
      </c>
      <c r="Q23">
        <v>2903.09</v>
      </c>
      <c r="R23">
        <v>0.14299999999999999</v>
      </c>
      <c r="S23">
        <v>0</v>
      </c>
      <c r="T23">
        <v>8</v>
      </c>
      <c r="U23" t="s">
        <v>1474</v>
      </c>
      <c r="V23">
        <v>19903.585040000002</v>
      </c>
      <c r="W23">
        <v>10649.52</v>
      </c>
      <c r="X23">
        <v>9254.0650400000013</v>
      </c>
      <c r="Y23">
        <v>0.46494463290920784</v>
      </c>
    </row>
    <row r="24" spans="1:25" x14ac:dyDescent="0.3">
      <c r="A24" t="s">
        <v>119</v>
      </c>
      <c r="B24">
        <v>45822</v>
      </c>
      <c r="C24">
        <v>45837</v>
      </c>
      <c r="D24" t="s">
        <v>1487</v>
      </c>
      <c r="E24" t="s">
        <v>1407</v>
      </c>
      <c r="F24">
        <v>15</v>
      </c>
      <c r="G24">
        <v>0</v>
      </c>
      <c r="H24" t="s">
        <v>16</v>
      </c>
      <c r="I24" t="s">
        <v>25</v>
      </c>
      <c r="J24" t="s">
        <v>26</v>
      </c>
      <c r="K24" t="s">
        <v>48</v>
      </c>
      <c r="L24" t="s">
        <v>40</v>
      </c>
      <c r="M24" t="s">
        <v>110</v>
      </c>
      <c r="N24" t="s">
        <v>81</v>
      </c>
      <c r="O24" t="s">
        <v>120</v>
      </c>
      <c r="P24">
        <v>730.99</v>
      </c>
      <c r="Q24">
        <v>1242.8399999999999</v>
      </c>
      <c r="R24">
        <v>0.12</v>
      </c>
      <c r="S24">
        <v>0</v>
      </c>
      <c r="T24">
        <v>10</v>
      </c>
      <c r="U24" t="s">
        <v>1485</v>
      </c>
      <c r="V24">
        <v>10936.992</v>
      </c>
      <c r="W24">
        <v>7309.9</v>
      </c>
      <c r="X24">
        <v>3627.0920000000006</v>
      </c>
      <c r="Y24">
        <v>0.33163524303574515</v>
      </c>
    </row>
    <row r="25" spans="1:25" x14ac:dyDescent="0.3">
      <c r="A25" t="s">
        <v>121</v>
      </c>
      <c r="B25">
        <v>45430</v>
      </c>
      <c r="C25">
        <v>45435</v>
      </c>
      <c r="D25" t="s">
        <v>1486</v>
      </c>
      <c r="E25" t="s">
        <v>1394</v>
      </c>
      <c r="F25">
        <v>5</v>
      </c>
      <c r="G25">
        <v>1</v>
      </c>
      <c r="H25" t="s">
        <v>52</v>
      </c>
      <c r="I25" t="s">
        <v>122</v>
      </c>
      <c r="J25" t="s">
        <v>123</v>
      </c>
      <c r="K25" t="s">
        <v>105</v>
      </c>
      <c r="L25" t="s">
        <v>20</v>
      </c>
      <c r="M25" t="s">
        <v>92</v>
      </c>
      <c r="N25" t="s">
        <v>57</v>
      </c>
      <c r="O25" t="s">
        <v>124</v>
      </c>
      <c r="P25">
        <v>1274.5899999999999</v>
      </c>
      <c r="Q25">
        <v>2553.69</v>
      </c>
      <c r="R25">
        <v>0.01</v>
      </c>
      <c r="S25">
        <v>0</v>
      </c>
      <c r="T25">
        <v>8</v>
      </c>
      <c r="U25" t="s">
        <v>1474</v>
      </c>
      <c r="V25">
        <v>20225.2248</v>
      </c>
      <c r="W25">
        <v>10196.719999999999</v>
      </c>
      <c r="X25">
        <v>10028.504800000001</v>
      </c>
      <c r="Y25">
        <v>0.49584145042481803</v>
      </c>
    </row>
    <row r="26" spans="1:25" x14ac:dyDescent="0.3">
      <c r="A26" t="s">
        <v>125</v>
      </c>
      <c r="B26">
        <v>44964</v>
      </c>
      <c r="C26">
        <v>44969</v>
      </c>
      <c r="D26" t="s">
        <v>1482</v>
      </c>
      <c r="E26" t="s">
        <v>1379</v>
      </c>
      <c r="F26">
        <v>5</v>
      </c>
      <c r="G26">
        <v>1</v>
      </c>
      <c r="H26" t="s">
        <v>52</v>
      </c>
      <c r="I26" t="s">
        <v>73</v>
      </c>
      <c r="J26" t="s">
        <v>74</v>
      </c>
      <c r="K26" t="s">
        <v>27</v>
      </c>
      <c r="L26" t="s">
        <v>28</v>
      </c>
      <c r="M26" t="s">
        <v>126</v>
      </c>
      <c r="N26" t="s">
        <v>22</v>
      </c>
      <c r="O26" t="s">
        <v>127</v>
      </c>
      <c r="P26">
        <v>948.55</v>
      </c>
      <c r="Q26">
        <v>2089.16</v>
      </c>
      <c r="R26">
        <v>7.0000000000000001E-3</v>
      </c>
      <c r="S26">
        <v>0</v>
      </c>
      <c r="T26">
        <v>12</v>
      </c>
      <c r="U26" t="s">
        <v>1474</v>
      </c>
      <c r="V26">
        <v>24894.430559999997</v>
      </c>
      <c r="W26">
        <v>11382.599999999999</v>
      </c>
      <c r="X26">
        <v>13511.830559999999</v>
      </c>
      <c r="Y26">
        <v>0.54276519912492427</v>
      </c>
    </row>
    <row r="27" spans="1:25" x14ac:dyDescent="0.3">
      <c r="A27" t="s">
        <v>128</v>
      </c>
      <c r="B27">
        <v>45473</v>
      </c>
      <c r="C27">
        <v>45487</v>
      </c>
      <c r="D27" t="s">
        <v>1486</v>
      </c>
      <c r="E27" t="s">
        <v>1395</v>
      </c>
      <c r="F27">
        <v>14</v>
      </c>
      <c r="G27">
        <v>0</v>
      </c>
      <c r="H27" t="s">
        <v>52</v>
      </c>
      <c r="I27" t="s">
        <v>73</v>
      </c>
      <c r="J27" t="s">
        <v>87</v>
      </c>
      <c r="K27" t="s">
        <v>27</v>
      </c>
      <c r="L27" t="s">
        <v>20</v>
      </c>
      <c r="M27" t="s">
        <v>21</v>
      </c>
      <c r="N27" t="s">
        <v>81</v>
      </c>
      <c r="O27" t="s">
        <v>129</v>
      </c>
      <c r="P27">
        <v>1491.85</v>
      </c>
      <c r="Q27">
        <v>2583.02</v>
      </c>
      <c r="R27">
        <v>0.16800000000000001</v>
      </c>
      <c r="S27">
        <v>0</v>
      </c>
      <c r="T27">
        <v>4</v>
      </c>
      <c r="U27" t="s">
        <v>1474</v>
      </c>
      <c r="V27">
        <v>8596.2905599999995</v>
      </c>
      <c r="W27">
        <v>5967.4</v>
      </c>
      <c r="X27">
        <v>2628.8905599999998</v>
      </c>
      <c r="Y27">
        <v>0.30581685689321325</v>
      </c>
    </row>
    <row r="28" spans="1:25" x14ac:dyDescent="0.3">
      <c r="A28" t="s">
        <v>130</v>
      </c>
      <c r="B28">
        <v>45626</v>
      </c>
      <c r="C28">
        <v>45656</v>
      </c>
      <c r="D28" t="s">
        <v>1481</v>
      </c>
      <c r="E28" t="s">
        <v>1400</v>
      </c>
      <c r="F28">
        <v>30</v>
      </c>
      <c r="G28">
        <v>0</v>
      </c>
      <c r="H28" t="s">
        <v>78</v>
      </c>
      <c r="I28" t="s">
        <v>90</v>
      </c>
      <c r="J28" t="s">
        <v>91</v>
      </c>
      <c r="K28" t="s">
        <v>48</v>
      </c>
      <c r="L28" t="s">
        <v>40</v>
      </c>
      <c r="M28" t="s">
        <v>84</v>
      </c>
      <c r="N28" t="s">
        <v>30</v>
      </c>
      <c r="O28" t="s">
        <v>131</v>
      </c>
      <c r="P28">
        <v>117.64</v>
      </c>
      <c r="Q28">
        <v>175.67</v>
      </c>
      <c r="R28">
        <v>0</v>
      </c>
      <c r="S28">
        <v>0</v>
      </c>
      <c r="T28">
        <v>10</v>
      </c>
      <c r="U28" t="s">
        <v>1480</v>
      </c>
      <c r="V28">
        <v>1756.6999999999998</v>
      </c>
      <c r="W28">
        <v>1176.4000000000001</v>
      </c>
      <c r="X28">
        <v>580.29999999999973</v>
      </c>
      <c r="Y28">
        <v>0.33033528775545046</v>
      </c>
    </row>
    <row r="29" spans="1:25" x14ac:dyDescent="0.3">
      <c r="A29" t="s">
        <v>132</v>
      </c>
      <c r="B29">
        <v>45492</v>
      </c>
      <c r="C29">
        <v>45492</v>
      </c>
      <c r="D29" t="s">
        <v>1491</v>
      </c>
      <c r="E29" t="s">
        <v>1396</v>
      </c>
      <c r="F29">
        <v>0</v>
      </c>
      <c r="G29">
        <v>1</v>
      </c>
      <c r="H29" t="s">
        <v>16</v>
      </c>
      <c r="I29" t="s">
        <v>17</v>
      </c>
      <c r="J29" t="s">
        <v>18</v>
      </c>
      <c r="K29" t="s">
        <v>62</v>
      </c>
      <c r="L29" t="s">
        <v>20</v>
      </c>
      <c r="M29" t="s">
        <v>75</v>
      </c>
      <c r="N29" t="s">
        <v>42</v>
      </c>
      <c r="O29" t="s">
        <v>133</v>
      </c>
      <c r="P29">
        <v>857.24</v>
      </c>
      <c r="Q29">
        <v>758.23</v>
      </c>
      <c r="R29">
        <v>0.125</v>
      </c>
      <c r="S29">
        <v>0</v>
      </c>
      <c r="T29">
        <v>6</v>
      </c>
      <c r="U29" t="s">
        <v>1480</v>
      </c>
      <c r="V29">
        <v>3980.7075</v>
      </c>
      <c r="W29">
        <v>5143.4400000000005</v>
      </c>
      <c r="X29">
        <v>-1162.7325000000005</v>
      </c>
      <c r="Y29">
        <v>-0.29209192084572921</v>
      </c>
    </row>
    <row r="30" spans="1:25" x14ac:dyDescent="0.3">
      <c r="A30" t="s">
        <v>134</v>
      </c>
      <c r="B30">
        <v>45030</v>
      </c>
      <c r="C30">
        <v>45060</v>
      </c>
      <c r="D30" t="s">
        <v>1490</v>
      </c>
      <c r="E30" t="s">
        <v>1381</v>
      </c>
      <c r="F30">
        <v>30</v>
      </c>
      <c r="G30">
        <v>0</v>
      </c>
      <c r="H30" t="s">
        <v>16</v>
      </c>
      <c r="I30" t="s">
        <v>17</v>
      </c>
      <c r="J30" t="s">
        <v>135</v>
      </c>
      <c r="K30" t="s">
        <v>48</v>
      </c>
      <c r="L30" t="s">
        <v>40</v>
      </c>
      <c r="M30" t="s">
        <v>110</v>
      </c>
      <c r="N30" t="s">
        <v>42</v>
      </c>
      <c r="O30" t="s">
        <v>136</v>
      </c>
      <c r="P30">
        <v>209.25</v>
      </c>
      <c r="Q30">
        <v>434.8</v>
      </c>
      <c r="R30">
        <v>0</v>
      </c>
      <c r="S30">
        <v>0</v>
      </c>
      <c r="T30">
        <v>9</v>
      </c>
      <c r="U30" t="s">
        <v>1480</v>
      </c>
      <c r="V30">
        <v>3913.2000000000003</v>
      </c>
      <c r="W30">
        <v>1883.25</v>
      </c>
      <c r="X30">
        <v>2029.9500000000003</v>
      </c>
      <c r="Y30">
        <v>0.51874425022999082</v>
      </c>
    </row>
    <row r="31" spans="1:25" x14ac:dyDescent="0.3">
      <c r="A31" t="s">
        <v>137</v>
      </c>
      <c r="B31">
        <v>45754</v>
      </c>
      <c r="C31">
        <v>45758</v>
      </c>
      <c r="D31" t="s">
        <v>1487</v>
      </c>
      <c r="E31" t="s">
        <v>1405</v>
      </c>
      <c r="F31">
        <v>4</v>
      </c>
      <c r="G31">
        <v>1</v>
      </c>
      <c r="H31" t="s">
        <v>78</v>
      </c>
      <c r="I31" t="s">
        <v>90</v>
      </c>
      <c r="J31" t="s">
        <v>138</v>
      </c>
      <c r="K31" t="s">
        <v>27</v>
      </c>
      <c r="L31" t="s">
        <v>20</v>
      </c>
      <c r="M31" t="s">
        <v>63</v>
      </c>
      <c r="N31" t="s">
        <v>35</v>
      </c>
      <c r="O31" t="s">
        <v>139</v>
      </c>
      <c r="P31">
        <v>754.77</v>
      </c>
      <c r="Q31">
        <v>1666.18</v>
      </c>
      <c r="R31">
        <v>0.13900000000000001</v>
      </c>
      <c r="S31">
        <v>0</v>
      </c>
      <c r="T31">
        <v>14</v>
      </c>
      <c r="U31" t="s">
        <v>1474</v>
      </c>
      <c r="V31">
        <v>20084.133720000002</v>
      </c>
      <c r="W31">
        <v>10566.779999999999</v>
      </c>
      <c r="X31">
        <v>9517.3537200000028</v>
      </c>
      <c r="Y31">
        <v>0.47387424584424653</v>
      </c>
    </row>
    <row r="32" spans="1:25" x14ac:dyDescent="0.3">
      <c r="A32" t="s">
        <v>140</v>
      </c>
      <c r="B32">
        <v>45653</v>
      </c>
      <c r="C32">
        <v>45672</v>
      </c>
      <c r="D32" t="s">
        <v>1481</v>
      </c>
      <c r="E32" t="s">
        <v>1401</v>
      </c>
      <c r="F32">
        <v>19</v>
      </c>
      <c r="G32">
        <v>0</v>
      </c>
      <c r="H32" t="s">
        <v>45</v>
      </c>
      <c r="I32" t="s">
        <v>60</v>
      </c>
      <c r="J32" t="s">
        <v>141</v>
      </c>
      <c r="K32" t="s">
        <v>39</v>
      </c>
      <c r="L32" t="s">
        <v>55</v>
      </c>
      <c r="M32" t="s">
        <v>41</v>
      </c>
      <c r="N32" t="s">
        <v>22</v>
      </c>
      <c r="O32" t="s">
        <v>142</v>
      </c>
      <c r="P32">
        <v>495.59</v>
      </c>
      <c r="Q32">
        <v>631.78</v>
      </c>
      <c r="R32">
        <v>8.6999999999999994E-2</v>
      </c>
      <c r="S32">
        <v>0</v>
      </c>
      <c r="T32">
        <v>17</v>
      </c>
      <c r="U32" t="s">
        <v>1480</v>
      </c>
      <c r="V32">
        <v>9805.8573800000013</v>
      </c>
      <c r="W32">
        <v>8425.0299999999988</v>
      </c>
      <c r="X32">
        <v>1380.8273800000024</v>
      </c>
      <c r="Y32">
        <v>0.14081658813601899</v>
      </c>
    </row>
    <row r="33" spans="1:25" x14ac:dyDescent="0.3">
      <c r="A33" t="s">
        <v>143</v>
      </c>
      <c r="B33">
        <v>44980</v>
      </c>
      <c r="C33">
        <v>45010</v>
      </c>
      <c r="D33" t="s">
        <v>1482</v>
      </c>
      <c r="E33" t="s">
        <v>1379</v>
      </c>
      <c r="F33">
        <v>30</v>
      </c>
      <c r="G33">
        <v>0</v>
      </c>
      <c r="H33" t="s">
        <v>52</v>
      </c>
      <c r="I33" t="s">
        <v>53</v>
      </c>
      <c r="J33" t="s">
        <v>144</v>
      </c>
      <c r="K33" t="s">
        <v>105</v>
      </c>
      <c r="L33" t="s">
        <v>28</v>
      </c>
      <c r="M33" t="s">
        <v>145</v>
      </c>
      <c r="N33" t="s">
        <v>42</v>
      </c>
      <c r="O33" t="s">
        <v>146</v>
      </c>
      <c r="P33">
        <v>1242.6600000000001</v>
      </c>
      <c r="Q33">
        <v>1794.07</v>
      </c>
      <c r="R33">
        <v>8.8999999999999996E-2</v>
      </c>
      <c r="S33">
        <v>0</v>
      </c>
      <c r="T33">
        <v>16</v>
      </c>
      <c r="U33" t="s">
        <v>1474</v>
      </c>
      <c r="V33">
        <v>26150.364320000001</v>
      </c>
      <c r="W33">
        <v>19882.560000000001</v>
      </c>
      <c r="X33">
        <v>6267.8043199999993</v>
      </c>
      <c r="Y33">
        <v>0.23968325042440553</v>
      </c>
    </row>
    <row r="34" spans="1:25" x14ac:dyDescent="0.3">
      <c r="A34" t="s">
        <v>147</v>
      </c>
      <c r="B34">
        <v>45862</v>
      </c>
      <c r="C34">
        <v>45875</v>
      </c>
      <c r="D34" t="s">
        <v>1488</v>
      </c>
      <c r="E34" t="s">
        <v>1408</v>
      </c>
      <c r="F34">
        <v>13</v>
      </c>
      <c r="G34">
        <v>0</v>
      </c>
      <c r="H34" t="s">
        <v>16</v>
      </c>
      <c r="I34" t="s">
        <v>148</v>
      </c>
      <c r="J34" t="s">
        <v>149</v>
      </c>
      <c r="K34" t="s">
        <v>27</v>
      </c>
      <c r="L34" t="s">
        <v>40</v>
      </c>
      <c r="M34" t="s">
        <v>145</v>
      </c>
      <c r="N34" t="s">
        <v>35</v>
      </c>
      <c r="O34" t="s">
        <v>150</v>
      </c>
      <c r="P34">
        <v>1463.9</v>
      </c>
      <c r="Q34">
        <v>2633.02</v>
      </c>
      <c r="R34">
        <v>8.4000000000000005E-2</v>
      </c>
      <c r="S34">
        <v>0</v>
      </c>
      <c r="T34">
        <v>4</v>
      </c>
      <c r="U34" t="s">
        <v>1474</v>
      </c>
      <c r="V34">
        <v>9647.3852800000004</v>
      </c>
      <c r="W34">
        <v>5855.6</v>
      </c>
      <c r="X34">
        <v>3791.7852800000001</v>
      </c>
      <c r="Y34">
        <v>0.39303761277791527</v>
      </c>
    </row>
    <row r="35" spans="1:25" x14ac:dyDescent="0.3">
      <c r="A35" t="s">
        <v>151</v>
      </c>
      <c r="B35">
        <v>45400</v>
      </c>
      <c r="C35">
        <v>45420</v>
      </c>
      <c r="D35" t="s">
        <v>1486</v>
      </c>
      <c r="E35" t="s">
        <v>1393</v>
      </c>
      <c r="F35">
        <v>20</v>
      </c>
      <c r="G35">
        <v>0</v>
      </c>
      <c r="H35" t="s">
        <v>78</v>
      </c>
      <c r="I35" t="s">
        <v>108</v>
      </c>
      <c r="J35" t="s">
        <v>152</v>
      </c>
      <c r="K35" t="s">
        <v>39</v>
      </c>
      <c r="L35" t="s">
        <v>98</v>
      </c>
      <c r="M35" t="s">
        <v>145</v>
      </c>
      <c r="N35" t="s">
        <v>57</v>
      </c>
      <c r="O35" t="s">
        <v>153</v>
      </c>
      <c r="P35">
        <v>645.33000000000004</v>
      </c>
      <c r="Q35">
        <v>1321.85</v>
      </c>
      <c r="R35">
        <v>0</v>
      </c>
      <c r="S35">
        <v>0</v>
      </c>
      <c r="T35">
        <v>10</v>
      </c>
      <c r="U35" t="s">
        <v>1485</v>
      </c>
      <c r="V35">
        <v>13218.5</v>
      </c>
      <c r="W35">
        <v>6453.3</v>
      </c>
      <c r="X35">
        <v>6765.2</v>
      </c>
      <c r="Y35">
        <v>0.51179785906116426</v>
      </c>
    </row>
    <row r="36" spans="1:25" x14ac:dyDescent="0.3">
      <c r="A36" t="s">
        <v>154</v>
      </c>
      <c r="B36">
        <v>45527</v>
      </c>
      <c r="C36">
        <v>45534</v>
      </c>
      <c r="D36" t="s">
        <v>1491</v>
      </c>
      <c r="E36" t="s">
        <v>1397</v>
      </c>
      <c r="F36">
        <v>7</v>
      </c>
      <c r="G36">
        <v>1</v>
      </c>
      <c r="H36" t="s">
        <v>16</v>
      </c>
      <c r="I36" t="s">
        <v>148</v>
      </c>
      <c r="J36" t="s">
        <v>149</v>
      </c>
      <c r="K36" t="s">
        <v>27</v>
      </c>
      <c r="L36" t="s">
        <v>20</v>
      </c>
      <c r="M36" t="s">
        <v>63</v>
      </c>
      <c r="N36" t="s">
        <v>22</v>
      </c>
      <c r="O36" t="s">
        <v>155</v>
      </c>
      <c r="P36">
        <v>1432.52</v>
      </c>
      <c r="Q36">
        <v>3036.87</v>
      </c>
      <c r="R36">
        <v>0</v>
      </c>
      <c r="S36">
        <v>0</v>
      </c>
      <c r="T36">
        <v>9</v>
      </c>
      <c r="U36" t="s">
        <v>1474</v>
      </c>
      <c r="V36">
        <v>27331.829999999998</v>
      </c>
      <c r="W36">
        <v>12892.68</v>
      </c>
      <c r="X36">
        <v>14439.149999999998</v>
      </c>
      <c r="Y36">
        <v>0.52829064135112791</v>
      </c>
    </row>
    <row r="37" spans="1:25" x14ac:dyDescent="0.3">
      <c r="A37" t="s">
        <v>156</v>
      </c>
      <c r="B37">
        <v>45012</v>
      </c>
      <c r="C37">
        <v>45038</v>
      </c>
      <c r="D37" t="s">
        <v>1482</v>
      </c>
      <c r="E37" t="s">
        <v>1380</v>
      </c>
      <c r="F37">
        <v>26</v>
      </c>
      <c r="G37">
        <v>0</v>
      </c>
      <c r="H37" t="s">
        <v>45</v>
      </c>
      <c r="I37" t="s">
        <v>60</v>
      </c>
      <c r="J37" t="s">
        <v>141</v>
      </c>
      <c r="K37" t="s">
        <v>39</v>
      </c>
      <c r="L37" t="s">
        <v>40</v>
      </c>
      <c r="M37" t="s">
        <v>29</v>
      </c>
      <c r="N37" t="s">
        <v>30</v>
      </c>
      <c r="O37" t="s">
        <v>157</v>
      </c>
      <c r="P37">
        <v>178.53</v>
      </c>
      <c r="Q37">
        <v>199.37</v>
      </c>
      <c r="R37">
        <v>0.10100000000000001</v>
      </c>
      <c r="S37">
        <v>0</v>
      </c>
      <c r="T37">
        <v>37</v>
      </c>
      <c r="U37" t="s">
        <v>1480</v>
      </c>
      <c r="V37">
        <v>6631.6443100000006</v>
      </c>
      <c r="W37">
        <v>6605.61</v>
      </c>
      <c r="X37">
        <v>26.034310000000914</v>
      </c>
      <c r="Y37">
        <v>3.9257699573457538E-3</v>
      </c>
    </row>
    <row r="38" spans="1:25" x14ac:dyDescent="0.3">
      <c r="A38" t="s">
        <v>158</v>
      </c>
      <c r="B38">
        <v>45358</v>
      </c>
      <c r="C38">
        <v>45376</v>
      </c>
      <c r="D38" t="s">
        <v>1479</v>
      </c>
      <c r="E38" t="s">
        <v>1392</v>
      </c>
      <c r="F38">
        <v>18</v>
      </c>
      <c r="G38">
        <v>0</v>
      </c>
      <c r="H38" t="s">
        <v>78</v>
      </c>
      <c r="I38" t="s">
        <v>79</v>
      </c>
      <c r="J38" t="s">
        <v>159</v>
      </c>
      <c r="K38" t="s">
        <v>19</v>
      </c>
      <c r="L38" t="s">
        <v>28</v>
      </c>
      <c r="M38" t="s">
        <v>56</v>
      </c>
      <c r="N38" t="s">
        <v>22</v>
      </c>
      <c r="O38" t="s">
        <v>160</v>
      </c>
      <c r="P38">
        <v>712.84</v>
      </c>
      <c r="Q38">
        <v>927.51</v>
      </c>
      <c r="R38">
        <v>0.24299999999999999</v>
      </c>
      <c r="S38">
        <v>1</v>
      </c>
      <c r="T38">
        <v>27</v>
      </c>
      <c r="U38" t="s">
        <v>1485</v>
      </c>
      <c r="V38">
        <v>18957.37689</v>
      </c>
      <c r="W38">
        <v>19246.68</v>
      </c>
      <c r="X38">
        <v>-289.30311000000074</v>
      </c>
      <c r="Y38">
        <v>-1.5260714163076427E-2</v>
      </c>
    </row>
    <row r="39" spans="1:25" x14ac:dyDescent="0.3">
      <c r="A39" t="s">
        <v>161</v>
      </c>
      <c r="B39">
        <v>45832</v>
      </c>
      <c r="C39">
        <v>45848</v>
      </c>
      <c r="D39" t="s">
        <v>1487</v>
      </c>
      <c r="E39" t="s">
        <v>1407</v>
      </c>
      <c r="F39">
        <v>16</v>
      </c>
      <c r="G39">
        <v>0</v>
      </c>
      <c r="H39" t="s">
        <v>45</v>
      </c>
      <c r="I39" t="s">
        <v>116</v>
      </c>
      <c r="J39" t="s">
        <v>162</v>
      </c>
      <c r="K39" t="s">
        <v>105</v>
      </c>
      <c r="L39" t="s">
        <v>98</v>
      </c>
      <c r="M39" t="s">
        <v>126</v>
      </c>
      <c r="N39" t="s">
        <v>22</v>
      </c>
      <c r="O39" t="s">
        <v>163</v>
      </c>
      <c r="P39">
        <v>757.19</v>
      </c>
      <c r="Q39">
        <v>1735.41</v>
      </c>
      <c r="R39">
        <v>0.13600000000000001</v>
      </c>
      <c r="S39">
        <v>0</v>
      </c>
      <c r="T39">
        <v>8</v>
      </c>
      <c r="U39" t="s">
        <v>1474</v>
      </c>
      <c r="V39">
        <v>11995.153920000001</v>
      </c>
      <c r="W39">
        <v>6057.52</v>
      </c>
      <c r="X39">
        <v>5937.6339200000002</v>
      </c>
      <c r="Y39">
        <v>0.4950027285685718</v>
      </c>
    </row>
    <row r="40" spans="1:25" x14ac:dyDescent="0.3">
      <c r="A40" t="s">
        <v>164</v>
      </c>
      <c r="B40">
        <v>45401</v>
      </c>
      <c r="C40">
        <v>45418</v>
      </c>
      <c r="D40" t="s">
        <v>1486</v>
      </c>
      <c r="E40" t="s">
        <v>1393</v>
      </c>
      <c r="F40">
        <v>17</v>
      </c>
      <c r="G40">
        <v>0</v>
      </c>
      <c r="H40" t="s">
        <v>16</v>
      </c>
      <c r="I40" t="s">
        <v>25</v>
      </c>
      <c r="J40" t="s">
        <v>26</v>
      </c>
      <c r="K40" t="s">
        <v>39</v>
      </c>
      <c r="L40" t="s">
        <v>28</v>
      </c>
      <c r="M40" t="s">
        <v>75</v>
      </c>
      <c r="N40" t="s">
        <v>30</v>
      </c>
      <c r="O40" t="s">
        <v>165</v>
      </c>
      <c r="P40">
        <v>865.33</v>
      </c>
      <c r="Q40">
        <v>1395.64</v>
      </c>
      <c r="R40">
        <v>0.17499999999999999</v>
      </c>
      <c r="S40">
        <v>0</v>
      </c>
      <c r="T40">
        <v>13</v>
      </c>
      <c r="U40" t="s">
        <v>1485</v>
      </c>
      <c r="V40">
        <v>14968.239</v>
      </c>
      <c r="W40">
        <v>11249.29</v>
      </c>
      <c r="X40">
        <v>3718.9489999999987</v>
      </c>
      <c r="Y40">
        <v>0.24845601409758347</v>
      </c>
    </row>
    <row r="41" spans="1:25" x14ac:dyDescent="0.3">
      <c r="A41" t="s">
        <v>166</v>
      </c>
      <c r="B41">
        <v>45094</v>
      </c>
      <c r="C41">
        <v>45101</v>
      </c>
      <c r="D41" t="s">
        <v>1490</v>
      </c>
      <c r="E41" t="s">
        <v>1383</v>
      </c>
      <c r="F41">
        <v>7</v>
      </c>
      <c r="G41">
        <v>1</v>
      </c>
      <c r="H41" t="s">
        <v>52</v>
      </c>
      <c r="I41" t="s">
        <v>122</v>
      </c>
      <c r="J41" t="s">
        <v>167</v>
      </c>
      <c r="K41" t="s">
        <v>19</v>
      </c>
      <c r="L41" t="s">
        <v>20</v>
      </c>
      <c r="M41" t="s">
        <v>34</v>
      </c>
      <c r="N41" t="s">
        <v>30</v>
      </c>
      <c r="O41" t="s">
        <v>168</v>
      </c>
      <c r="P41">
        <v>313.99</v>
      </c>
      <c r="Q41">
        <v>454.42</v>
      </c>
      <c r="R41">
        <v>0.129</v>
      </c>
      <c r="S41">
        <v>0</v>
      </c>
      <c r="T41">
        <v>9</v>
      </c>
      <c r="U41" t="s">
        <v>1480</v>
      </c>
      <c r="V41">
        <v>3562.1983800000003</v>
      </c>
      <c r="W41">
        <v>2825.91</v>
      </c>
      <c r="X41">
        <v>736.28838000000042</v>
      </c>
      <c r="Y41">
        <v>0.20669493988147858</v>
      </c>
    </row>
    <row r="42" spans="1:25" x14ac:dyDescent="0.3">
      <c r="A42" t="s">
        <v>169</v>
      </c>
      <c r="B42">
        <v>45531</v>
      </c>
      <c r="C42">
        <v>45554</v>
      </c>
      <c r="D42" t="s">
        <v>1491</v>
      </c>
      <c r="E42" t="s">
        <v>1397</v>
      </c>
      <c r="F42">
        <v>23</v>
      </c>
      <c r="G42">
        <v>0</v>
      </c>
      <c r="H42" t="s">
        <v>78</v>
      </c>
      <c r="I42" t="s">
        <v>79</v>
      </c>
      <c r="J42" t="s">
        <v>80</v>
      </c>
      <c r="K42" t="s">
        <v>62</v>
      </c>
      <c r="L42" t="s">
        <v>98</v>
      </c>
      <c r="M42" t="s">
        <v>145</v>
      </c>
      <c r="N42" t="s">
        <v>64</v>
      </c>
      <c r="O42" t="s">
        <v>170</v>
      </c>
      <c r="P42">
        <v>1024.01</v>
      </c>
      <c r="Q42">
        <v>1580.97</v>
      </c>
      <c r="R42">
        <v>3.6999999999999998E-2</v>
      </c>
      <c r="S42">
        <v>0</v>
      </c>
      <c r="T42">
        <v>27</v>
      </c>
      <c r="U42" t="s">
        <v>1485</v>
      </c>
      <c r="V42">
        <v>41106.800970000004</v>
      </c>
      <c r="W42">
        <v>27648.27</v>
      </c>
      <c r="X42">
        <v>13458.530970000003</v>
      </c>
      <c r="Y42">
        <v>0.3274039976942531</v>
      </c>
    </row>
    <row r="43" spans="1:25" x14ac:dyDescent="0.3">
      <c r="A43" t="s">
        <v>171</v>
      </c>
      <c r="B43">
        <v>45302</v>
      </c>
      <c r="C43">
        <v>45324</v>
      </c>
      <c r="D43" t="s">
        <v>1479</v>
      </c>
      <c r="E43" t="s">
        <v>1390</v>
      </c>
      <c r="F43">
        <v>22</v>
      </c>
      <c r="G43">
        <v>0</v>
      </c>
      <c r="H43" t="s">
        <v>16</v>
      </c>
      <c r="I43" t="s">
        <v>148</v>
      </c>
      <c r="J43" t="s">
        <v>172</v>
      </c>
      <c r="K43" t="s">
        <v>48</v>
      </c>
      <c r="L43" t="s">
        <v>28</v>
      </c>
      <c r="M43" t="s">
        <v>95</v>
      </c>
      <c r="N43" t="s">
        <v>35</v>
      </c>
      <c r="O43" t="s">
        <v>173</v>
      </c>
      <c r="P43">
        <v>1206.2</v>
      </c>
      <c r="Q43">
        <v>1759.79</v>
      </c>
      <c r="R43">
        <v>0</v>
      </c>
      <c r="S43">
        <v>0</v>
      </c>
      <c r="T43">
        <v>6</v>
      </c>
      <c r="U43" t="s">
        <v>1474</v>
      </c>
      <c r="V43">
        <v>10558.74</v>
      </c>
      <c r="W43">
        <v>7237.2000000000007</v>
      </c>
      <c r="X43">
        <v>3321.5399999999991</v>
      </c>
      <c r="Y43">
        <v>0.31457730751964713</v>
      </c>
    </row>
    <row r="44" spans="1:25" x14ac:dyDescent="0.3">
      <c r="A44" t="s">
        <v>174</v>
      </c>
      <c r="B44">
        <v>45590</v>
      </c>
      <c r="C44">
        <v>45610</v>
      </c>
      <c r="D44" t="s">
        <v>1481</v>
      </c>
      <c r="E44" t="s">
        <v>1399</v>
      </c>
      <c r="F44">
        <v>20</v>
      </c>
      <c r="G44">
        <v>0</v>
      </c>
      <c r="H44" t="s">
        <v>16</v>
      </c>
      <c r="I44" t="s">
        <v>17</v>
      </c>
      <c r="J44" t="s">
        <v>113</v>
      </c>
      <c r="K44" t="s">
        <v>19</v>
      </c>
      <c r="L44" t="s">
        <v>98</v>
      </c>
      <c r="M44" t="s">
        <v>92</v>
      </c>
      <c r="N44" t="s">
        <v>30</v>
      </c>
      <c r="O44" t="s">
        <v>175</v>
      </c>
      <c r="P44">
        <v>1396.48</v>
      </c>
      <c r="Q44">
        <v>3204.5</v>
      </c>
      <c r="R44">
        <v>0.3</v>
      </c>
      <c r="S44">
        <v>1</v>
      </c>
      <c r="T44">
        <v>14</v>
      </c>
      <c r="U44" t="s">
        <v>1474</v>
      </c>
      <c r="V44">
        <v>31404.1</v>
      </c>
      <c r="W44">
        <v>19550.72</v>
      </c>
      <c r="X44">
        <v>11853.379999999997</v>
      </c>
      <c r="Y44">
        <v>0.3774468938769141</v>
      </c>
    </row>
    <row r="45" spans="1:25" x14ac:dyDescent="0.3">
      <c r="A45" t="s">
        <v>176</v>
      </c>
      <c r="B45">
        <v>45806</v>
      </c>
      <c r="C45">
        <v>45828</v>
      </c>
      <c r="D45" t="s">
        <v>1487</v>
      </c>
      <c r="E45" t="s">
        <v>1406</v>
      </c>
      <c r="F45">
        <v>22</v>
      </c>
      <c r="G45">
        <v>0</v>
      </c>
      <c r="H45" t="s">
        <v>78</v>
      </c>
      <c r="I45" t="s">
        <v>79</v>
      </c>
      <c r="J45" t="s">
        <v>80</v>
      </c>
      <c r="K45" t="s">
        <v>19</v>
      </c>
      <c r="L45" t="s">
        <v>98</v>
      </c>
      <c r="M45" t="s">
        <v>75</v>
      </c>
      <c r="N45" t="s">
        <v>30</v>
      </c>
      <c r="O45" t="s">
        <v>177</v>
      </c>
      <c r="P45">
        <v>483.47</v>
      </c>
      <c r="Q45">
        <v>1135.43</v>
      </c>
      <c r="R45">
        <v>0.14599999999999999</v>
      </c>
      <c r="S45">
        <v>0</v>
      </c>
      <c r="T45">
        <v>11</v>
      </c>
      <c r="U45" t="s">
        <v>1485</v>
      </c>
      <c r="V45">
        <v>10666.229420000001</v>
      </c>
      <c r="W45">
        <v>5318.17</v>
      </c>
      <c r="X45">
        <v>5348.0594200000014</v>
      </c>
      <c r="Y45">
        <v>0.50140112399719983</v>
      </c>
    </row>
    <row r="46" spans="1:25" x14ac:dyDescent="0.3">
      <c r="A46" t="s">
        <v>178</v>
      </c>
      <c r="B46">
        <v>45432</v>
      </c>
      <c r="C46">
        <v>45445</v>
      </c>
      <c r="D46" t="s">
        <v>1486</v>
      </c>
      <c r="E46" t="s">
        <v>1394</v>
      </c>
      <c r="F46">
        <v>13</v>
      </c>
      <c r="G46">
        <v>0</v>
      </c>
      <c r="H46" t="s">
        <v>52</v>
      </c>
      <c r="I46" t="s">
        <v>53</v>
      </c>
      <c r="J46" t="s">
        <v>179</v>
      </c>
      <c r="K46" t="s">
        <v>105</v>
      </c>
      <c r="L46" t="s">
        <v>40</v>
      </c>
      <c r="M46" t="s">
        <v>95</v>
      </c>
      <c r="N46" t="s">
        <v>22</v>
      </c>
      <c r="O46" t="s">
        <v>180</v>
      </c>
      <c r="P46">
        <v>675.43</v>
      </c>
      <c r="Q46">
        <v>996.36</v>
      </c>
      <c r="R46">
        <v>0.182</v>
      </c>
      <c r="S46">
        <v>0</v>
      </c>
      <c r="T46">
        <v>22</v>
      </c>
      <c r="U46" t="s">
        <v>1485</v>
      </c>
      <c r="V46">
        <v>17930.494560000003</v>
      </c>
      <c r="W46">
        <v>14859.46</v>
      </c>
      <c r="X46">
        <v>3071.0345600000037</v>
      </c>
      <c r="Y46">
        <v>0.17127439233332575</v>
      </c>
    </row>
    <row r="47" spans="1:25" x14ac:dyDescent="0.3">
      <c r="A47" t="s">
        <v>181</v>
      </c>
      <c r="B47">
        <v>45035</v>
      </c>
      <c r="C47">
        <v>45046</v>
      </c>
      <c r="D47" t="s">
        <v>1490</v>
      </c>
      <c r="E47" t="s">
        <v>1381</v>
      </c>
      <c r="F47">
        <v>11</v>
      </c>
      <c r="G47">
        <v>0</v>
      </c>
      <c r="H47" t="s">
        <v>45</v>
      </c>
      <c r="I47" t="s">
        <v>60</v>
      </c>
      <c r="J47" t="s">
        <v>141</v>
      </c>
      <c r="K47" t="s">
        <v>62</v>
      </c>
      <c r="L47" t="s">
        <v>20</v>
      </c>
      <c r="M47" t="s">
        <v>75</v>
      </c>
      <c r="N47" t="s">
        <v>35</v>
      </c>
      <c r="O47" t="s">
        <v>182</v>
      </c>
      <c r="P47">
        <v>826.55</v>
      </c>
      <c r="Q47">
        <v>1397.05</v>
      </c>
      <c r="R47">
        <v>0.16900000000000001</v>
      </c>
      <c r="S47">
        <v>0</v>
      </c>
      <c r="T47">
        <v>28</v>
      </c>
      <c r="U47" t="s">
        <v>1485</v>
      </c>
      <c r="V47">
        <v>32506.559399999998</v>
      </c>
      <c r="W47">
        <v>23143.399999999998</v>
      </c>
      <c r="X47">
        <v>9363.1594000000005</v>
      </c>
      <c r="Y47">
        <v>0.28803907804527601</v>
      </c>
    </row>
    <row r="48" spans="1:25" x14ac:dyDescent="0.3">
      <c r="A48" t="s">
        <v>183</v>
      </c>
      <c r="B48">
        <v>45100</v>
      </c>
      <c r="C48">
        <v>45110</v>
      </c>
      <c r="D48" t="s">
        <v>1490</v>
      </c>
      <c r="E48" t="s">
        <v>1383</v>
      </c>
      <c r="F48">
        <v>10</v>
      </c>
      <c r="G48">
        <v>0</v>
      </c>
      <c r="H48" t="s">
        <v>16</v>
      </c>
      <c r="I48" t="s">
        <v>25</v>
      </c>
      <c r="J48" t="s">
        <v>67</v>
      </c>
      <c r="K48" t="s">
        <v>48</v>
      </c>
      <c r="L48" t="s">
        <v>28</v>
      </c>
      <c r="M48" t="s">
        <v>29</v>
      </c>
      <c r="N48" t="s">
        <v>30</v>
      </c>
      <c r="O48" t="s">
        <v>184</v>
      </c>
      <c r="P48">
        <v>337.75</v>
      </c>
      <c r="Q48">
        <v>548.89</v>
      </c>
      <c r="R48">
        <v>0</v>
      </c>
      <c r="S48">
        <v>0</v>
      </c>
      <c r="T48">
        <v>13</v>
      </c>
      <c r="U48" t="s">
        <v>1480</v>
      </c>
      <c r="V48">
        <v>7135.57</v>
      </c>
      <c r="W48">
        <v>4390.75</v>
      </c>
      <c r="X48">
        <v>2744.8199999999997</v>
      </c>
      <c r="Y48">
        <v>0.38466723751571352</v>
      </c>
    </row>
    <row r="49" spans="1:25" x14ac:dyDescent="0.3">
      <c r="A49" t="s">
        <v>185</v>
      </c>
      <c r="B49">
        <v>45426</v>
      </c>
      <c r="C49">
        <v>45440</v>
      </c>
      <c r="D49" t="s">
        <v>1486</v>
      </c>
      <c r="E49" t="s">
        <v>1394</v>
      </c>
      <c r="F49">
        <v>14</v>
      </c>
      <c r="G49">
        <v>0</v>
      </c>
      <c r="H49" t="s">
        <v>78</v>
      </c>
      <c r="I49" t="s">
        <v>108</v>
      </c>
      <c r="J49" t="s">
        <v>109</v>
      </c>
      <c r="K49" t="s">
        <v>48</v>
      </c>
      <c r="L49" t="s">
        <v>20</v>
      </c>
      <c r="M49" t="s">
        <v>56</v>
      </c>
      <c r="N49" t="s">
        <v>35</v>
      </c>
      <c r="O49" t="s">
        <v>186</v>
      </c>
      <c r="P49">
        <v>1421.14</v>
      </c>
      <c r="Q49">
        <v>3524</v>
      </c>
      <c r="R49">
        <v>0</v>
      </c>
      <c r="S49">
        <v>0</v>
      </c>
      <c r="T49">
        <v>31</v>
      </c>
      <c r="U49" t="s">
        <v>1474</v>
      </c>
      <c r="V49">
        <v>109244</v>
      </c>
      <c r="W49">
        <v>44055.340000000004</v>
      </c>
      <c r="X49">
        <v>65188.659999999996</v>
      </c>
      <c r="Y49">
        <v>0.59672531214528945</v>
      </c>
    </row>
    <row r="50" spans="1:25" x14ac:dyDescent="0.3">
      <c r="A50" t="s">
        <v>187</v>
      </c>
      <c r="B50">
        <v>45579</v>
      </c>
      <c r="C50">
        <v>45604</v>
      </c>
      <c r="D50" t="s">
        <v>1481</v>
      </c>
      <c r="E50" t="s">
        <v>1399</v>
      </c>
      <c r="F50">
        <v>25</v>
      </c>
      <c r="G50">
        <v>0</v>
      </c>
      <c r="H50" t="s">
        <v>16</v>
      </c>
      <c r="I50" t="s">
        <v>25</v>
      </c>
      <c r="J50" t="s">
        <v>38</v>
      </c>
      <c r="K50" t="s">
        <v>105</v>
      </c>
      <c r="L50" t="s">
        <v>28</v>
      </c>
      <c r="M50" t="s">
        <v>68</v>
      </c>
      <c r="N50" t="s">
        <v>35</v>
      </c>
      <c r="O50" t="s">
        <v>188</v>
      </c>
      <c r="P50">
        <v>859.35</v>
      </c>
      <c r="Q50">
        <v>1825.61</v>
      </c>
      <c r="R50">
        <v>0.187</v>
      </c>
      <c r="S50">
        <v>0</v>
      </c>
      <c r="T50">
        <v>24</v>
      </c>
      <c r="U50" t="s">
        <v>1474</v>
      </c>
      <c r="V50">
        <v>35621.302319999995</v>
      </c>
      <c r="W50">
        <v>20624.400000000001</v>
      </c>
      <c r="X50">
        <v>14996.902319999994</v>
      </c>
      <c r="Y50">
        <v>0.42100937762681989</v>
      </c>
    </row>
    <row r="51" spans="1:25" x14ac:dyDescent="0.3">
      <c r="A51" t="s">
        <v>189</v>
      </c>
      <c r="B51">
        <v>45117</v>
      </c>
      <c r="C51">
        <v>45139</v>
      </c>
      <c r="D51" t="s">
        <v>1492</v>
      </c>
      <c r="E51" t="s">
        <v>1384</v>
      </c>
      <c r="F51">
        <v>22</v>
      </c>
      <c r="G51">
        <v>0</v>
      </c>
      <c r="H51" t="s">
        <v>78</v>
      </c>
      <c r="I51" t="s">
        <v>90</v>
      </c>
      <c r="J51" t="s">
        <v>91</v>
      </c>
      <c r="K51" t="s">
        <v>48</v>
      </c>
      <c r="L51" t="s">
        <v>40</v>
      </c>
      <c r="M51" t="s">
        <v>56</v>
      </c>
      <c r="N51" t="s">
        <v>30</v>
      </c>
      <c r="O51" t="s">
        <v>190</v>
      </c>
      <c r="P51">
        <v>1303.56</v>
      </c>
      <c r="Q51">
        <v>1791.37</v>
      </c>
      <c r="R51">
        <v>0.126</v>
      </c>
      <c r="S51">
        <v>0</v>
      </c>
      <c r="T51">
        <v>22</v>
      </c>
      <c r="U51" t="s">
        <v>1474</v>
      </c>
      <c r="V51">
        <v>34444.462359999998</v>
      </c>
      <c r="W51">
        <v>28678.32</v>
      </c>
      <c r="X51">
        <v>5766.142359999998</v>
      </c>
      <c r="Y51">
        <v>0.16740404596055358</v>
      </c>
    </row>
    <row r="52" spans="1:25" x14ac:dyDescent="0.3">
      <c r="A52" t="s">
        <v>191</v>
      </c>
      <c r="B52">
        <v>45602</v>
      </c>
      <c r="C52">
        <v>45618</v>
      </c>
      <c r="D52" t="s">
        <v>1481</v>
      </c>
      <c r="E52" t="s">
        <v>1400</v>
      </c>
      <c r="F52">
        <v>16</v>
      </c>
      <c r="G52">
        <v>0</v>
      </c>
      <c r="H52" t="s">
        <v>52</v>
      </c>
      <c r="I52" t="s">
        <v>53</v>
      </c>
      <c r="J52" t="s">
        <v>54</v>
      </c>
      <c r="K52" t="s">
        <v>39</v>
      </c>
      <c r="L52" t="s">
        <v>55</v>
      </c>
      <c r="M52" t="s">
        <v>145</v>
      </c>
      <c r="N52" t="s">
        <v>81</v>
      </c>
      <c r="O52" t="s">
        <v>192</v>
      </c>
      <c r="P52">
        <v>1454.11</v>
      </c>
      <c r="Q52">
        <v>2629.75</v>
      </c>
      <c r="R52">
        <v>0.29199999999999998</v>
      </c>
      <c r="S52">
        <v>1</v>
      </c>
      <c r="T52">
        <v>8</v>
      </c>
      <c r="U52" t="s">
        <v>1474</v>
      </c>
      <c r="V52">
        <v>14894.903999999999</v>
      </c>
      <c r="W52">
        <v>11632.88</v>
      </c>
      <c r="X52">
        <v>3262.0239999999994</v>
      </c>
      <c r="Y52">
        <v>0.21900268709351867</v>
      </c>
    </row>
    <row r="53" spans="1:25" x14ac:dyDescent="0.3">
      <c r="A53" t="s">
        <v>193</v>
      </c>
      <c r="B53">
        <v>45582</v>
      </c>
      <c r="C53">
        <v>45602</v>
      </c>
      <c r="D53" t="s">
        <v>1481</v>
      </c>
      <c r="E53" t="s">
        <v>1399</v>
      </c>
      <c r="F53">
        <v>20</v>
      </c>
      <c r="G53">
        <v>0</v>
      </c>
      <c r="H53" t="s">
        <v>45</v>
      </c>
      <c r="I53" t="s">
        <v>60</v>
      </c>
      <c r="J53" t="s">
        <v>61</v>
      </c>
      <c r="K53" t="s">
        <v>105</v>
      </c>
      <c r="L53" t="s">
        <v>55</v>
      </c>
      <c r="M53" t="s">
        <v>68</v>
      </c>
      <c r="N53" t="s">
        <v>64</v>
      </c>
      <c r="O53" t="s">
        <v>194</v>
      </c>
      <c r="P53">
        <v>72.94</v>
      </c>
      <c r="Q53">
        <v>106.3</v>
      </c>
      <c r="R53">
        <v>0.29499999999999998</v>
      </c>
      <c r="S53">
        <v>1</v>
      </c>
      <c r="T53">
        <v>8</v>
      </c>
      <c r="U53" t="s">
        <v>1480</v>
      </c>
      <c r="V53">
        <v>599.53200000000004</v>
      </c>
      <c r="W53">
        <v>583.52</v>
      </c>
      <c r="X53">
        <v>16.012000000000057</v>
      </c>
      <c r="Y53">
        <v>2.6707498515508857E-2</v>
      </c>
    </row>
    <row r="54" spans="1:25" x14ac:dyDescent="0.3">
      <c r="A54" t="s">
        <v>195</v>
      </c>
      <c r="B54">
        <v>45016</v>
      </c>
      <c r="C54">
        <v>45021</v>
      </c>
      <c r="D54" t="s">
        <v>1482</v>
      </c>
      <c r="E54" t="s">
        <v>1380</v>
      </c>
      <c r="F54">
        <v>5</v>
      </c>
      <c r="G54">
        <v>1</v>
      </c>
      <c r="H54" t="s">
        <v>16</v>
      </c>
      <c r="I54" t="s">
        <v>17</v>
      </c>
      <c r="J54" t="s">
        <v>135</v>
      </c>
      <c r="K54" t="s">
        <v>27</v>
      </c>
      <c r="L54" t="s">
        <v>40</v>
      </c>
      <c r="M54" t="s">
        <v>56</v>
      </c>
      <c r="N54" t="s">
        <v>57</v>
      </c>
      <c r="O54" t="s">
        <v>196</v>
      </c>
      <c r="P54">
        <v>533.26</v>
      </c>
      <c r="Q54">
        <v>385.72</v>
      </c>
      <c r="R54">
        <v>0</v>
      </c>
      <c r="S54">
        <v>0</v>
      </c>
      <c r="T54">
        <v>15</v>
      </c>
      <c r="U54" t="s">
        <v>1480</v>
      </c>
      <c r="V54">
        <v>5785.8</v>
      </c>
      <c r="W54">
        <v>7998.9</v>
      </c>
      <c r="X54">
        <v>-2213.0999999999995</v>
      </c>
      <c r="Y54">
        <v>-0.38250544436378708</v>
      </c>
    </row>
    <row r="55" spans="1:25" x14ac:dyDescent="0.3">
      <c r="A55" t="s">
        <v>197</v>
      </c>
      <c r="B55">
        <v>45678</v>
      </c>
      <c r="C55">
        <v>45704</v>
      </c>
      <c r="D55" t="s">
        <v>1483</v>
      </c>
      <c r="E55" t="s">
        <v>1402</v>
      </c>
      <c r="F55">
        <v>26</v>
      </c>
      <c r="G55">
        <v>0</v>
      </c>
      <c r="H55" t="s">
        <v>78</v>
      </c>
      <c r="I55" t="s">
        <v>90</v>
      </c>
      <c r="J55" t="s">
        <v>138</v>
      </c>
      <c r="K55" t="s">
        <v>19</v>
      </c>
      <c r="L55" t="s">
        <v>55</v>
      </c>
      <c r="M55" t="s">
        <v>68</v>
      </c>
      <c r="N55" t="s">
        <v>57</v>
      </c>
      <c r="O55" t="s">
        <v>198</v>
      </c>
      <c r="P55">
        <v>204.11</v>
      </c>
      <c r="Q55">
        <v>236.87</v>
      </c>
      <c r="R55">
        <v>0.182</v>
      </c>
      <c r="S55">
        <v>0</v>
      </c>
      <c r="T55">
        <v>13</v>
      </c>
      <c r="U55" t="s">
        <v>1480</v>
      </c>
      <c r="V55">
        <v>2518.8755800000004</v>
      </c>
      <c r="W55">
        <v>2653.4300000000003</v>
      </c>
      <c r="X55">
        <v>-134.55441999999994</v>
      </c>
      <c r="Y55">
        <v>-5.3418446337075494E-2</v>
      </c>
    </row>
    <row r="56" spans="1:25" x14ac:dyDescent="0.3">
      <c r="A56" t="s">
        <v>199</v>
      </c>
      <c r="B56">
        <v>45168</v>
      </c>
      <c r="C56">
        <v>45170</v>
      </c>
      <c r="D56" t="s">
        <v>1492</v>
      </c>
      <c r="E56" t="s">
        <v>1385</v>
      </c>
      <c r="F56">
        <v>2</v>
      </c>
      <c r="G56">
        <v>1</v>
      </c>
      <c r="H56" t="s">
        <v>78</v>
      </c>
      <c r="I56" t="s">
        <v>79</v>
      </c>
      <c r="J56" t="s">
        <v>159</v>
      </c>
      <c r="K56" t="s">
        <v>19</v>
      </c>
      <c r="L56" t="s">
        <v>98</v>
      </c>
      <c r="M56" t="s">
        <v>126</v>
      </c>
      <c r="N56" t="s">
        <v>35</v>
      </c>
      <c r="O56" t="s">
        <v>200</v>
      </c>
      <c r="P56">
        <v>44.42</v>
      </c>
      <c r="Q56">
        <v>41.9</v>
      </c>
      <c r="R56">
        <v>0.14399999999999999</v>
      </c>
      <c r="S56">
        <v>0</v>
      </c>
      <c r="T56">
        <v>6</v>
      </c>
      <c r="U56" t="s">
        <v>1480</v>
      </c>
      <c r="V56">
        <v>215.19839999999996</v>
      </c>
      <c r="W56">
        <v>266.52</v>
      </c>
      <c r="X56">
        <v>-51.321600000000018</v>
      </c>
      <c r="Y56">
        <v>-0.23848504449847224</v>
      </c>
    </row>
    <row r="57" spans="1:25" x14ac:dyDescent="0.3">
      <c r="A57" t="s">
        <v>201</v>
      </c>
      <c r="B57">
        <v>45753</v>
      </c>
      <c r="C57">
        <v>45777</v>
      </c>
      <c r="D57" t="s">
        <v>1487</v>
      </c>
      <c r="E57" t="s">
        <v>1405</v>
      </c>
      <c r="F57">
        <v>24</v>
      </c>
      <c r="G57">
        <v>0</v>
      </c>
      <c r="H57" t="s">
        <v>52</v>
      </c>
      <c r="I57" t="s">
        <v>73</v>
      </c>
      <c r="J57" t="s">
        <v>87</v>
      </c>
      <c r="K57" t="s">
        <v>27</v>
      </c>
      <c r="L57" t="s">
        <v>28</v>
      </c>
      <c r="M57" t="s">
        <v>95</v>
      </c>
      <c r="N57" t="s">
        <v>64</v>
      </c>
      <c r="O57" t="s">
        <v>202</v>
      </c>
      <c r="P57">
        <v>855.78</v>
      </c>
      <c r="Q57">
        <v>977.38</v>
      </c>
      <c r="R57">
        <v>0.14699999999999999</v>
      </c>
      <c r="S57">
        <v>0</v>
      </c>
      <c r="T57">
        <v>38</v>
      </c>
      <c r="U57" t="s">
        <v>1485</v>
      </c>
      <c r="V57">
        <v>31680.795320000001</v>
      </c>
      <c r="W57">
        <v>32519.64</v>
      </c>
      <c r="X57">
        <v>-838.84467999999833</v>
      </c>
      <c r="Y57">
        <v>-2.6478018355506307E-2</v>
      </c>
    </row>
    <row r="58" spans="1:25" x14ac:dyDescent="0.3">
      <c r="A58" t="s">
        <v>203</v>
      </c>
      <c r="B58">
        <v>45697</v>
      </c>
      <c r="C58">
        <v>45717</v>
      </c>
      <c r="D58" t="s">
        <v>1483</v>
      </c>
      <c r="E58" t="s">
        <v>1403</v>
      </c>
      <c r="F58">
        <v>20</v>
      </c>
      <c r="G58">
        <v>0</v>
      </c>
      <c r="H58" t="s">
        <v>52</v>
      </c>
      <c r="I58" t="s">
        <v>73</v>
      </c>
      <c r="J58" t="s">
        <v>74</v>
      </c>
      <c r="K58" t="s">
        <v>19</v>
      </c>
      <c r="L58" t="s">
        <v>55</v>
      </c>
      <c r="M58" t="s">
        <v>56</v>
      </c>
      <c r="N58" t="s">
        <v>57</v>
      </c>
      <c r="O58" t="s">
        <v>204</v>
      </c>
      <c r="P58">
        <v>1154.6400000000001</v>
      </c>
      <c r="Q58">
        <v>2794.13</v>
      </c>
      <c r="R58">
        <v>3.5000000000000003E-2</v>
      </c>
      <c r="S58">
        <v>0</v>
      </c>
      <c r="T58">
        <v>11</v>
      </c>
      <c r="U58" t="s">
        <v>1474</v>
      </c>
      <c r="V58">
        <v>29659.68995</v>
      </c>
      <c r="W58">
        <v>12701.04</v>
      </c>
      <c r="X58">
        <v>16958.649949999999</v>
      </c>
      <c r="Y58">
        <v>0.57177435025749479</v>
      </c>
    </row>
    <row r="59" spans="1:25" x14ac:dyDescent="0.3">
      <c r="A59" t="s">
        <v>205</v>
      </c>
      <c r="B59">
        <v>45643</v>
      </c>
      <c r="C59">
        <v>45644</v>
      </c>
      <c r="D59" t="s">
        <v>1481</v>
      </c>
      <c r="E59" t="s">
        <v>1401</v>
      </c>
      <c r="F59">
        <v>1</v>
      </c>
      <c r="G59">
        <v>1</v>
      </c>
      <c r="H59" t="s">
        <v>78</v>
      </c>
      <c r="I59" t="s">
        <v>79</v>
      </c>
      <c r="J59" t="s">
        <v>159</v>
      </c>
      <c r="K59" t="s">
        <v>27</v>
      </c>
      <c r="L59" t="s">
        <v>20</v>
      </c>
      <c r="M59" t="s">
        <v>49</v>
      </c>
      <c r="N59" t="s">
        <v>81</v>
      </c>
      <c r="O59" t="s">
        <v>206</v>
      </c>
      <c r="P59">
        <v>346.82</v>
      </c>
      <c r="Q59">
        <v>701.95</v>
      </c>
      <c r="R59">
        <v>0.14699999999999999</v>
      </c>
      <c r="S59">
        <v>0</v>
      </c>
      <c r="T59">
        <v>8</v>
      </c>
      <c r="U59" t="s">
        <v>1480</v>
      </c>
      <c r="V59">
        <v>4790.1068000000005</v>
      </c>
      <c r="W59">
        <v>2774.56</v>
      </c>
      <c r="X59">
        <v>2015.5468000000005</v>
      </c>
      <c r="Y59">
        <v>0.42077283120284509</v>
      </c>
    </row>
    <row r="60" spans="1:25" x14ac:dyDescent="0.3">
      <c r="A60" t="s">
        <v>207</v>
      </c>
      <c r="B60">
        <v>45817</v>
      </c>
      <c r="C60">
        <v>45826</v>
      </c>
      <c r="D60" t="s">
        <v>1487</v>
      </c>
      <c r="E60" t="s">
        <v>1407</v>
      </c>
      <c r="F60">
        <v>9</v>
      </c>
      <c r="G60">
        <v>0</v>
      </c>
      <c r="H60" t="s">
        <v>78</v>
      </c>
      <c r="I60" t="s">
        <v>90</v>
      </c>
      <c r="J60" t="s">
        <v>91</v>
      </c>
      <c r="K60" t="s">
        <v>62</v>
      </c>
      <c r="L60" t="s">
        <v>40</v>
      </c>
      <c r="M60" t="s">
        <v>92</v>
      </c>
      <c r="N60" t="s">
        <v>81</v>
      </c>
      <c r="O60" t="s">
        <v>208</v>
      </c>
      <c r="P60">
        <v>1225.5</v>
      </c>
      <c r="Q60">
        <v>5.27</v>
      </c>
      <c r="R60">
        <v>7.4999999999999997E-2</v>
      </c>
      <c r="S60">
        <v>0</v>
      </c>
      <c r="T60">
        <v>56</v>
      </c>
      <c r="U60" t="s">
        <v>1480</v>
      </c>
      <c r="V60">
        <v>272.98599999999999</v>
      </c>
      <c r="W60">
        <v>68628</v>
      </c>
      <c r="X60">
        <v>-68355.013999999996</v>
      </c>
      <c r="Y60">
        <v>-250.39750756449047</v>
      </c>
    </row>
    <row r="61" spans="1:25" x14ac:dyDescent="0.3">
      <c r="A61" t="s">
        <v>209</v>
      </c>
      <c r="B61">
        <v>45779</v>
      </c>
      <c r="C61">
        <v>45790</v>
      </c>
      <c r="D61" t="s">
        <v>1487</v>
      </c>
      <c r="E61" t="s">
        <v>1406</v>
      </c>
      <c r="F61">
        <v>11</v>
      </c>
      <c r="G61">
        <v>0</v>
      </c>
      <c r="H61" t="s">
        <v>16</v>
      </c>
      <c r="I61" t="s">
        <v>17</v>
      </c>
      <c r="J61" t="s">
        <v>135</v>
      </c>
      <c r="K61" t="s">
        <v>62</v>
      </c>
      <c r="L61" t="s">
        <v>28</v>
      </c>
      <c r="M61" t="s">
        <v>75</v>
      </c>
      <c r="N61" t="s">
        <v>81</v>
      </c>
      <c r="O61" t="s">
        <v>210</v>
      </c>
      <c r="P61">
        <v>1057.5999999999999</v>
      </c>
      <c r="Q61">
        <v>1437.06</v>
      </c>
      <c r="R61">
        <v>0.20499999999999999</v>
      </c>
      <c r="S61">
        <v>1</v>
      </c>
      <c r="T61">
        <v>4</v>
      </c>
      <c r="U61" t="s">
        <v>1485</v>
      </c>
      <c r="V61">
        <v>4569.8508000000002</v>
      </c>
      <c r="W61">
        <v>4230.3999999999996</v>
      </c>
      <c r="X61">
        <v>339.45080000000053</v>
      </c>
      <c r="Y61">
        <v>7.4280499485891424E-2</v>
      </c>
    </row>
    <row r="62" spans="1:25" x14ac:dyDescent="0.3">
      <c r="A62" t="s">
        <v>211</v>
      </c>
      <c r="B62">
        <v>45361</v>
      </c>
      <c r="C62">
        <v>45391</v>
      </c>
      <c r="D62" t="s">
        <v>1479</v>
      </c>
      <c r="E62" t="s">
        <v>1392</v>
      </c>
      <c r="F62">
        <v>30</v>
      </c>
      <c r="G62">
        <v>0</v>
      </c>
      <c r="H62" t="s">
        <v>78</v>
      </c>
      <c r="I62" t="s">
        <v>90</v>
      </c>
      <c r="J62" t="s">
        <v>138</v>
      </c>
      <c r="K62" t="s">
        <v>19</v>
      </c>
      <c r="L62" t="s">
        <v>98</v>
      </c>
      <c r="M62" t="s">
        <v>34</v>
      </c>
      <c r="N62" t="s">
        <v>22</v>
      </c>
      <c r="O62" t="s">
        <v>212</v>
      </c>
      <c r="P62">
        <v>1176.56</v>
      </c>
      <c r="Q62">
        <v>1911.89</v>
      </c>
      <c r="R62">
        <v>0.11899999999999999</v>
      </c>
      <c r="S62">
        <v>0</v>
      </c>
      <c r="T62">
        <v>20</v>
      </c>
      <c r="U62" t="s">
        <v>1474</v>
      </c>
      <c r="V62">
        <v>33687.501800000005</v>
      </c>
      <c r="W62">
        <v>23531.199999999997</v>
      </c>
      <c r="X62">
        <v>10156.301800000008</v>
      </c>
      <c r="Y62">
        <v>0.30148575160892477</v>
      </c>
    </row>
    <row r="63" spans="1:25" x14ac:dyDescent="0.3">
      <c r="A63" t="s">
        <v>213</v>
      </c>
      <c r="B63">
        <v>45910</v>
      </c>
      <c r="C63">
        <v>45912</v>
      </c>
      <c r="D63" t="s">
        <v>1488</v>
      </c>
      <c r="E63" t="s">
        <v>1489</v>
      </c>
      <c r="F63">
        <v>2</v>
      </c>
      <c r="G63">
        <v>1</v>
      </c>
      <c r="H63" t="s">
        <v>45</v>
      </c>
      <c r="I63" t="s">
        <v>46</v>
      </c>
      <c r="J63" t="s">
        <v>214</v>
      </c>
      <c r="K63" t="s">
        <v>48</v>
      </c>
      <c r="L63" t="s">
        <v>28</v>
      </c>
      <c r="M63" t="s">
        <v>68</v>
      </c>
      <c r="N63" t="s">
        <v>22</v>
      </c>
      <c r="O63" t="s">
        <v>215</v>
      </c>
      <c r="P63">
        <v>1470.15</v>
      </c>
      <c r="Q63">
        <v>2593.7800000000002</v>
      </c>
      <c r="R63">
        <v>0.11</v>
      </c>
      <c r="S63">
        <v>0</v>
      </c>
      <c r="T63">
        <v>12</v>
      </c>
      <c r="U63" t="s">
        <v>1474</v>
      </c>
      <c r="V63">
        <v>27701.570400000001</v>
      </c>
      <c r="W63">
        <v>17641.800000000003</v>
      </c>
      <c r="X63">
        <v>10059.770399999998</v>
      </c>
      <c r="Y63">
        <v>0.36314801849645306</v>
      </c>
    </row>
    <row r="64" spans="1:25" x14ac:dyDescent="0.3">
      <c r="A64" t="s">
        <v>216</v>
      </c>
      <c r="B64">
        <v>45774</v>
      </c>
      <c r="C64">
        <v>45802</v>
      </c>
      <c r="D64" t="s">
        <v>1487</v>
      </c>
      <c r="E64" t="s">
        <v>1405</v>
      </c>
      <c r="F64">
        <v>28</v>
      </c>
      <c r="G64">
        <v>0</v>
      </c>
      <c r="H64" t="s">
        <v>78</v>
      </c>
      <c r="I64" t="s">
        <v>90</v>
      </c>
      <c r="J64" t="s">
        <v>217</v>
      </c>
      <c r="K64" t="s">
        <v>62</v>
      </c>
      <c r="L64" t="s">
        <v>40</v>
      </c>
      <c r="M64" t="s">
        <v>34</v>
      </c>
      <c r="N64" t="s">
        <v>42</v>
      </c>
      <c r="O64" t="s">
        <v>218</v>
      </c>
      <c r="P64">
        <v>603.45000000000005</v>
      </c>
      <c r="Q64">
        <v>1244.08</v>
      </c>
      <c r="R64">
        <v>0.2</v>
      </c>
      <c r="S64">
        <v>0</v>
      </c>
      <c r="T64">
        <v>11</v>
      </c>
      <c r="U64" t="s">
        <v>1485</v>
      </c>
      <c r="V64">
        <v>10947.904</v>
      </c>
      <c r="W64">
        <v>6637.9500000000007</v>
      </c>
      <c r="X64">
        <v>4309.9539999999997</v>
      </c>
      <c r="Y64">
        <v>0.39367846119220623</v>
      </c>
    </row>
    <row r="65" spans="1:25" x14ac:dyDescent="0.3">
      <c r="A65" t="s">
        <v>219</v>
      </c>
      <c r="B65">
        <v>45598</v>
      </c>
      <c r="C65">
        <v>45614</v>
      </c>
      <c r="D65" t="s">
        <v>1481</v>
      </c>
      <c r="E65" t="s">
        <v>1400</v>
      </c>
      <c r="F65">
        <v>16</v>
      </c>
      <c r="G65">
        <v>0</v>
      </c>
      <c r="H65" t="s">
        <v>45</v>
      </c>
      <c r="I65" t="s">
        <v>60</v>
      </c>
      <c r="J65" t="s">
        <v>220</v>
      </c>
      <c r="K65" t="s">
        <v>62</v>
      </c>
      <c r="L65" t="s">
        <v>55</v>
      </c>
      <c r="M65" t="s">
        <v>68</v>
      </c>
      <c r="N65" t="s">
        <v>64</v>
      </c>
      <c r="O65" t="s">
        <v>221</v>
      </c>
      <c r="P65">
        <v>1233.58</v>
      </c>
      <c r="Q65">
        <v>1912.51</v>
      </c>
      <c r="R65">
        <v>0.255</v>
      </c>
      <c r="S65">
        <v>1</v>
      </c>
      <c r="T65">
        <v>51</v>
      </c>
      <c r="U65" t="s">
        <v>1474</v>
      </c>
      <c r="V65">
        <v>72665.817450000002</v>
      </c>
      <c r="W65">
        <v>62912.579999999994</v>
      </c>
      <c r="X65">
        <v>9753.2374500000078</v>
      </c>
      <c r="Y65">
        <v>0.134220432553601</v>
      </c>
    </row>
    <row r="66" spans="1:25" x14ac:dyDescent="0.3">
      <c r="A66" t="s">
        <v>222</v>
      </c>
      <c r="B66">
        <v>44972</v>
      </c>
      <c r="C66">
        <v>44983</v>
      </c>
      <c r="D66" t="s">
        <v>1482</v>
      </c>
      <c r="E66" t="s">
        <v>1379</v>
      </c>
      <c r="F66">
        <v>11</v>
      </c>
      <c r="G66">
        <v>0</v>
      </c>
      <c r="H66" t="s">
        <v>16</v>
      </c>
      <c r="I66" t="s">
        <v>148</v>
      </c>
      <c r="J66" t="s">
        <v>149</v>
      </c>
      <c r="K66" t="s">
        <v>39</v>
      </c>
      <c r="L66" t="s">
        <v>20</v>
      </c>
      <c r="M66" t="s">
        <v>95</v>
      </c>
      <c r="N66" t="s">
        <v>57</v>
      </c>
      <c r="O66" t="s">
        <v>223</v>
      </c>
      <c r="P66">
        <v>498.5</v>
      </c>
      <c r="Q66">
        <v>755.87</v>
      </c>
      <c r="R66">
        <v>0.13</v>
      </c>
      <c r="S66">
        <v>0</v>
      </c>
      <c r="T66">
        <v>40</v>
      </c>
      <c r="U66" t="s">
        <v>1480</v>
      </c>
      <c r="V66">
        <v>26304.275999999998</v>
      </c>
      <c r="W66">
        <v>19940</v>
      </c>
      <c r="X66">
        <v>6364.275999999998</v>
      </c>
      <c r="Y66">
        <v>0.24194834330357537</v>
      </c>
    </row>
    <row r="67" spans="1:25" x14ac:dyDescent="0.3">
      <c r="A67" t="s">
        <v>224</v>
      </c>
      <c r="B67">
        <v>45263</v>
      </c>
      <c r="C67">
        <v>45286</v>
      </c>
      <c r="D67" t="s">
        <v>1484</v>
      </c>
      <c r="E67" t="s">
        <v>1389</v>
      </c>
      <c r="F67">
        <v>23</v>
      </c>
      <c r="G67">
        <v>0</v>
      </c>
      <c r="H67" t="s">
        <v>52</v>
      </c>
      <c r="I67" t="s">
        <v>73</v>
      </c>
      <c r="J67" t="s">
        <v>225</v>
      </c>
      <c r="K67" t="s">
        <v>27</v>
      </c>
      <c r="L67" t="s">
        <v>20</v>
      </c>
      <c r="M67" t="s">
        <v>68</v>
      </c>
      <c r="N67" t="s">
        <v>42</v>
      </c>
      <c r="O67" t="s">
        <v>226</v>
      </c>
      <c r="P67">
        <v>1303.1099999999999</v>
      </c>
      <c r="Q67">
        <v>1145.67</v>
      </c>
      <c r="R67">
        <v>0.184</v>
      </c>
      <c r="S67">
        <v>0</v>
      </c>
      <c r="T67">
        <v>13</v>
      </c>
      <c r="U67" t="s">
        <v>1485</v>
      </c>
      <c r="V67">
        <v>12153.267360000002</v>
      </c>
      <c r="W67">
        <v>16940.43</v>
      </c>
      <c r="X67">
        <v>-4787.1626399999986</v>
      </c>
      <c r="Y67">
        <v>-0.39389922875851208</v>
      </c>
    </row>
    <row r="68" spans="1:25" x14ac:dyDescent="0.3">
      <c r="A68" t="s">
        <v>227</v>
      </c>
      <c r="B68">
        <v>45004</v>
      </c>
      <c r="C68">
        <v>45025</v>
      </c>
      <c r="D68" t="s">
        <v>1482</v>
      </c>
      <c r="E68" t="s">
        <v>1380</v>
      </c>
      <c r="F68">
        <v>21</v>
      </c>
      <c r="G68">
        <v>0</v>
      </c>
      <c r="H68" t="s">
        <v>78</v>
      </c>
      <c r="I68" t="s">
        <v>108</v>
      </c>
      <c r="J68" t="s">
        <v>228</v>
      </c>
      <c r="K68" t="s">
        <v>48</v>
      </c>
      <c r="L68" t="s">
        <v>20</v>
      </c>
      <c r="M68" t="s">
        <v>49</v>
      </c>
      <c r="N68" t="s">
        <v>81</v>
      </c>
      <c r="O68" t="s">
        <v>229</v>
      </c>
      <c r="P68">
        <v>1082.17</v>
      </c>
      <c r="Q68">
        <v>1234.0999999999999</v>
      </c>
      <c r="R68">
        <v>0.189</v>
      </c>
      <c r="S68">
        <v>0</v>
      </c>
      <c r="T68">
        <v>16</v>
      </c>
      <c r="U68" t="s">
        <v>1485</v>
      </c>
      <c r="V68">
        <v>16013.681599999998</v>
      </c>
      <c r="W68">
        <v>17314.72</v>
      </c>
      <c r="X68">
        <v>-1301.0384000000031</v>
      </c>
      <c r="Y68">
        <v>-8.124542703534228E-2</v>
      </c>
    </row>
    <row r="69" spans="1:25" x14ac:dyDescent="0.3">
      <c r="A69" t="s">
        <v>230</v>
      </c>
      <c r="B69">
        <v>45434</v>
      </c>
      <c r="C69">
        <v>45449</v>
      </c>
      <c r="D69" t="s">
        <v>1486</v>
      </c>
      <c r="E69" t="s">
        <v>1394</v>
      </c>
      <c r="F69">
        <v>15</v>
      </c>
      <c r="G69">
        <v>0</v>
      </c>
      <c r="H69" t="s">
        <v>45</v>
      </c>
      <c r="I69" t="s">
        <v>46</v>
      </c>
      <c r="J69" t="s">
        <v>231</v>
      </c>
      <c r="K69" t="s">
        <v>19</v>
      </c>
      <c r="L69" t="s">
        <v>55</v>
      </c>
      <c r="M69" t="s">
        <v>21</v>
      </c>
      <c r="N69" t="s">
        <v>64</v>
      </c>
      <c r="O69" t="s">
        <v>232</v>
      </c>
      <c r="P69">
        <v>673.88</v>
      </c>
      <c r="Q69">
        <v>1228.01</v>
      </c>
      <c r="R69">
        <v>0.105</v>
      </c>
      <c r="S69">
        <v>0</v>
      </c>
      <c r="T69">
        <v>13</v>
      </c>
      <c r="U69" t="s">
        <v>1485</v>
      </c>
      <c r="V69">
        <v>14287.896349999999</v>
      </c>
      <c r="W69">
        <v>8760.44</v>
      </c>
      <c r="X69">
        <v>5527.4563499999986</v>
      </c>
      <c r="Y69">
        <v>0.38686285332689996</v>
      </c>
    </row>
    <row r="70" spans="1:25" x14ac:dyDescent="0.3">
      <c r="A70" t="s">
        <v>233</v>
      </c>
      <c r="B70">
        <v>45157</v>
      </c>
      <c r="C70">
        <v>45176</v>
      </c>
      <c r="D70" t="s">
        <v>1492</v>
      </c>
      <c r="E70" t="s">
        <v>1385</v>
      </c>
      <c r="F70">
        <v>19</v>
      </c>
      <c r="G70">
        <v>0</v>
      </c>
      <c r="H70" t="s">
        <v>16</v>
      </c>
      <c r="I70" t="s">
        <v>148</v>
      </c>
      <c r="J70" t="s">
        <v>149</v>
      </c>
      <c r="K70" t="s">
        <v>105</v>
      </c>
      <c r="L70" t="s">
        <v>20</v>
      </c>
      <c r="M70" t="s">
        <v>145</v>
      </c>
      <c r="N70" t="s">
        <v>64</v>
      </c>
      <c r="O70" t="s">
        <v>234</v>
      </c>
      <c r="P70">
        <v>494.61</v>
      </c>
      <c r="Q70">
        <v>605.23</v>
      </c>
      <c r="R70">
        <v>0.20399999999999999</v>
      </c>
      <c r="S70">
        <v>1</v>
      </c>
      <c r="T70">
        <v>18</v>
      </c>
      <c r="U70" t="s">
        <v>1480</v>
      </c>
      <c r="V70">
        <v>8671.7354400000004</v>
      </c>
      <c r="W70">
        <v>8902.98</v>
      </c>
      <c r="X70">
        <v>-231.24455999999918</v>
      </c>
      <c r="Y70">
        <v>-2.6666468505639647E-2</v>
      </c>
    </row>
    <row r="71" spans="1:25" x14ac:dyDescent="0.3">
      <c r="A71" t="s">
        <v>235</v>
      </c>
      <c r="B71">
        <v>45037</v>
      </c>
      <c r="C71">
        <v>45056</v>
      </c>
      <c r="D71" t="s">
        <v>1490</v>
      </c>
      <c r="E71" t="s">
        <v>1381</v>
      </c>
      <c r="F71">
        <v>19</v>
      </c>
      <c r="G71">
        <v>0</v>
      </c>
      <c r="H71" t="s">
        <v>45</v>
      </c>
      <c r="I71" t="s">
        <v>116</v>
      </c>
      <c r="J71" t="s">
        <v>162</v>
      </c>
      <c r="K71" t="s">
        <v>19</v>
      </c>
      <c r="L71" t="s">
        <v>20</v>
      </c>
      <c r="M71" t="s">
        <v>75</v>
      </c>
      <c r="N71" t="s">
        <v>22</v>
      </c>
      <c r="O71" t="s">
        <v>236</v>
      </c>
      <c r="P71">
        <v>882.33</v>
      </c>
      <c r="Q71">
        <v>1880.15</v>
      </c>
      <c r="R71">
        <v>0.05</v>
      </c>
      <c r="S71">
        <v>0</v>
      </c>
      <c r="T71">
        <v>5</v>
      </c>
      <c r="U71" t="s">
        <v>1474</v>
      </c>
      <c r="V71">
        <v>8930.7124999999996</v>
      </c>
      <c r="W71">
        <v>4411.6500000000005</v>
      </c>
      <c r="X71">
        <v>4519.0624999999991</v>
      </c>
      <c r="Y71">
        <v>0.50601365792482955</v>
      </c>
    </row>
    <row r="72" spans="1:25" x14ac:dyDescent="0.3">
      <c r="A72" t="s">
        <v>237</v>
      </c>
      <c r="B72">
        <v>45369</v>
      </c>
      <c r="C72">
        <v>45372</v>
      </c>
      <c r="D72" t="s">
        <v>1479</v>
      </c>
      <c r="E72" t="s">
        <v>1392</v>
      </c>
      <c r="F72">
        <v>3</v>
      </c>
      <c r="G72">
        <v>1</v>
      </c>
      <c r="H72" t="s">
        <v>78</v>
      </c>
      <c r="I72" t="s">
        <v>79</v>
      </c>
      <c r="J72" t="s">
        <v>159</v>
      </c>
      <c r="K72" t="s">
        <v>62</v>
      </c>
      <c r="L72" t="s">
        <v>28</v>
      </c>
      <c r="M72" t="s">
        <v>110</v>
      </c>
      <c r="N72" t="s">
        <v>81</v>
      </c>
      <c r="O72" t="s">
        <v>238</v>
      </c>
      <c r="P72">
        <v>910.63</v>
      </c>
      <c r="Q72">
        <v>1269.4000000000001</v>
      </c>
      <c r="R72">
        <v>6.8000000000000005E-2</v>
      </c>
      <c r="S72">
        <v>0</v>
      </c>
      <c r="T72">
        <v>9</v>
      </c>
      <c r="U72" t="s">
        <v>1485</v>
      </c>
      <c r="V72">
        <v>10647.727199999999</v>
      </c>
      <c r="W72">
        <v>8195.67</v>
      </c>
      <c r="X72">
        <v>2452.0571999999993</v>
      </c>
      <c r="Y72">
        <v>0.23028925834989455</v>
      </c>
    </row>
    <row r="73" spans="1:25" x14ac:dyDescent="0.3">
      <c r="A73" t="s">
        <v>239</v>
      </c>
      <c r="B73">
        <v>45756</v>
      </c>
      <c r="C73">
        <v>45783</v>
      </c>
      <c r="D73" t="s">
        <v>1487</v>
      </c>
      <c r="E73" t="s">
        <v>1405</v>
      </c>
      <c r="F73">
        <v>27</v>
      </c>
      <c r="G73">
        <v>0</v>
      </c>
      <c r="H73" t="s">
        <v>52</v>
      </c>
      <c r="I73" t="s">
        <v>73</v>
      </c>
      <c r="J73" t="s">
        <v>87</v>
      </c>
      <c r="K73" t="s">
        <v>105</v>
      </c>
      <c r="L73" t="s">
        <v>40</v>
      </c>
      <c r="M73" t="s">
        <v>84</v>
      </c>
      <c r="N73" t="s">
        <v>57</v>
      </c>
      <c r="O73" t="s">
        <v>240</v>
      </c>
      <c r="P73">
        <v>264.19</v>
      </c>
      <c r="Q73">
        <v>620.92999999999995</v>
      </c>
      <c r="R73">
        <v>0.14199999999999999</v>
      </c>
      <c r="S73">
        <v>0</v>
      </c>
      <c r="T73">
        <v>12</v>
      </c>
      <c r="U73" t="s">
        <v>1480</v>
      </c>
      <c r="V73">
        <v>6393.0952799999995</v>
      </c>
      <c r="W73">
        <v>3170.2799999999997</v>
      </c>
      <c r="X73">
        <v>3222.8152799999998</v>
      </c>
      <c r="Y73">
        <v>0.50410875152794532</v>
      </c>
    </row>
    <row r="74" spans="1:25" x14ac:dyDescent="0.3">
      <c r="A74" t="s">
        <v>241</v>
      </c>
      <c r="B74">
        <v>45394</v>
      </c>
      <c r="C74">
        <v>45419</v>
      </c>
      <c r="D74" t="s">
        <v>1486</v>
      </c>
      <c r="E74" t="s">
        <v>1393</v>
      </c>
      <c r="F74">
        <v>25</v>
      </c>
      <c r="G74">
        <v>0</v>
      </c>
      <c r="H74" t="s">
        <v>16</v>
      </c>
      <c r="I74" t="s">
        <v>148</v>
      </c>
      <c r="J74" t="s">
        <v>149</v>
      </c>
      <c r="K74" t="s">
        <v>27</v>
      </c>
      <c r="L74" t="s">
        <v>55</v>
      </c>
      <c r="M74" t="s">
        <v>75</v>
      </c>
      <c r="N74" t="s">
        <v>57</v>
      </c>
      <c r="O74" t="s">
        <v>242</v>
      </c>
      <c r="P74">
        <v>1376.51</v>
      </c>
      <c r="Q74">
        <v>1455.91</v>
      </c>
      <c r="R74">
        <v>0.185</v>
      </c>
      <c r="S74">
        <v>0</v>
      </c>
      <c r="T74">
        <v>17</v>
      </c>
      <c r="U74" t="s">
        <v>1485</v>
      </c>
      <c r="V74">
        <v>20171.63305</v>
      </c>
      <c r="W74">
        <v>23400.67</v>
      </c>
      <c r="X74">
        <v>-3229.0369499999979</v>
      </c>
      <c r="Y74">
        <v>-0.1600781127634085</v>
      </c>
    </row>
    <row r="75" spans="1:25" x14ac:dyDescent="0.3">
      <c r="A75" t="s">
        <v>243</v>
      </c>
      <c r="B75">
        <v>45641</v>
      </c>
      <c r="C75">
        <v>45646</v>
      </c>
      <c r="D75" t="s">
        <v>1481</v>
      </c>
      <c r="E75" t="s">
        <v>1401</v>
      </c>
      <c r="F75">
        <v>5</v>
      </c>
      <c r="G75">
        <v>1</v>
      </c>
      <c r="H75" t="s">
        <v>45</v>
      </c>
      <c r="I75" t="s">
        <v>116</v>
      </c>
      <c r="J75" t="s">
        <v>117</v>
      </c>
      <c r="K75" t="s">
        <v>62</v>
      </c>
      <c r="L75" t="s">
        <v>98</v>
      </c>
      <c r="M75" t="s">
        <v>29</v>
      </c>
      <c r="N75" t="s">
        <v>35</v>
      </c>
      <c r="O75" t="s">
        <v>244</v>
      </c>
      <c r="P75">
        <v>717.55</v>
      </c>
      <c r="Q75">
        <v>546.42999999999995</v>
      </c>
      <c r="R75">
        <v>4.7E-2</v>
      </c>
      <c r="S75">
        <v>0</v>
      </c>
      <c r="T75">
        <v>18</v>
      </c>
      <c r="U75" t="s">
        <v>1480</v>
      </c>
      <c r="V75">
        <v>9373.460219999999</v>
      </c>
      <c r="W75">
        <v>12915.9</v>
      </c>
      <c r="X75">
        <v>-3542.4397800000006</v>
      </c>
      <c r="Y75">
        <v>-0.37792231437026369</v>
      </c>
    </row>
    <row r="76" spans="1:25" x14ac:dyDescent="0.3">
      <c r="A76" t="s">
        <v>245</v>
      </c>
      <c r="B76">
        <v>45066</v>
      </c>
      <c r="C76">
        <v>45073</v>
      </c>
      <c r="D76" t="s">
        <v>1490</v>
      </c>
      <c r="E76" t="s">
        <v>1382</v>
      </c>
      <c r="F76">
        <v>7</v>
      </c>
      <c r="G76">
        <v>1</v>
      </c>
      <c r="H76" t="s">
        <v>16</v>
      </c>
      <c r="I76" t="s">
        <v>148</v>
      </c>
      <c r="J76" t="s">
        <v>172</v>
      </c>
      <c r="K76" t="s">
        <v>19</v>
      </c>
      <c r="L76" t="s">
        <v>55</v>
      </c>
      <c r="M76" t="s">
        <v>75</v>
      </c>
      <c r="N76" t="s">
        <v>22</v>
      </c>
      <c r="O76" t="s">
        <v>246</v>
      </c>
      <c r="P76">
        <v>917.88</v>
      </c>
      <c r="Q76">
        <v>1347.92</v>
      </c>
      <c r="R76">
        <v>0.3</v>
      </c>
      <c r="S76">
        <v>1</v>
      </c>
      <c r="T76">
        <v>5</v>
      </c>
      <c r="U76" t="s">
        <v>1485</v>
      </c>
      <c r="V76">
        <v>4717.72</v>
      </c>
      <c r="W76">
        <v>4589.3999999999996</v>
      </c>
      <c r="X76">
        <v>128.32000000000062</v>
      </c>
      <c r="Y76">
        <v>2.7199579457873848E-2</v>
      </c>
    </row>
    <row r="77" spans="1:25" x14ac:dyDescent="0.3">
      <c r="A77" t="s">
        <v>247</v>
      </c>
      <c r="B77">
        <v>45187</v>
      </c>
      <c r="C77">
        <v>45207</v>
      </c>
      <c r="D77" t="s">
        <v>1492</v>
      </c>
      <c r="E77" t="s">
        <v>1493</v>
      </c>
      <c r="F77">
        <v>20</v>
      </c>
      <c r="G77">
        <v>0</v>
      </c>
      <c r="H77" t="s">
        <v>45</v>
      </c>
      <c r="I77" t="s">
        <v>60</v>
      </c>
      <c r="J77" t="s">
        <v>141</v>
      </c>
      <c r="K77" t="s">
        <v>62</v>
      </c>
      <c r="L77" t="s">
        <v>98</v>
      </c>
      <c r="M77" t="s">
        <v>56</v>
      </c>
      <c r="N77" t="s">
        <v>22</v>
      </c>
      <c r="O77" t="s">
        <v>248</v>
      </c>
      <c r="P77">
        <v>825.64</v>
      </c>
      <c r="Q77">
        <v>1108.43</v>
      </c>
      <c r="R77">
        <v>0.114</v>
      </c>
      <c r="S77">
        <v>0</v>
      </c>
      <c r="T77">
        <v>7</v>
      </c>
      <c r="U77" t="s">
        <v>1485</v>
      </c>
      <c r="V77">
        <v>6874.4828600000001</v>
      </c>
      <c r="W77">
        <v>5779.48</v>
      </c>
      <c r="X77">
        <v>1095.0028600000005</v>
      </c>
      <c r="Y77">
        <v>0.15928512475773349</v>
      </c>
    </row>
    <row r="78" spans="1:25" x14ac:dyDescent="0.3">
      <c r="A78" t="s">
        <v>249</v>
      </c>
      <c r="B78">
        <v>45532</v>
      </c>
      <c r="C78">
        <v>45560</v>
      </c>
      <c r="D78" t="s">
        <v>1491</v>
      </c>
      <c r="E78" t="s">
        <v>1397</v>
      </c>
      <c r="F78">
        <v>28</v>
      </c>
      <c r="G78">
        <v>0</v>
      </c>
      <c r="H78" t="s">
        <v>52</v>
      </c>
      <c r="I78" t="s">
        <v>73</v>
      </c>
      <c r="J78" t="s">
        <v>225</v>
      </c>
      <c r="K78" t="s">
        <v>39</v>
      </c>
      <c r="L78" t="s">
        <v>28</v>
      </c>
      <c r="M78" t="s">
        <v>84</v>
      </c>
      <c r="N78" t="s">
        <v>81</v>
      </c>
      <c r="O78" t="s">
        <v>250</v>
      </c>
      <c r="P78">
        <v>1394.65</v>
      </c>
      <c r="Q78">
        <v>3144.1</v>
      </c>
      <c r="R78">
        <v>0.13400000000000001</v>
      </c>
      <c r="S78">
        <v>0</v>
      </c>
      <c r="T78">
        <v>13</v>
      </c>
      <c r="U78" t="s">
        <v>1474</v>
      </c>
      <c r="V78">
        <v>35396.277799999996</v>
      </c>
      <c r="W78">
        <v>18130.45</v>
      </c>
      <c r="X78">
        <v>17265.827799999995</v>
      </c>
      <c r="Y78">
        <v>0.4877865378263021</v>
      </c>
    </row>
    <row r="79" spans="1:25" x14ac:dyDescent="0.3">
      <c r="A79" t="s">
        <v>251</v>
      </c>
      <c r="B79">
        <v>45473</v>
      </c>
      <c r="C79">
        <v>45480</v>
      </c>
      <c r="D79" t="s">
        <v>1486</v>
      </c>
      <c r="E79" t="s">
        <v>1395</v>
      </c>
      <c r="F79">
        <v>7</v>
      </c>
      <c r="G79">
        <v>1</v>
      </c>
      <c r="H79" t="s">
        <v>52</v>
      </c>
      <c r="I79" t="s">
        <v>73</v>
      </c>
      <c r="J79" t="s">
        <v>225</v>
      </c>
      <c r="K79" t="s">
        <v>62</v>
      </c>
      <c r="L79" t="s">
        <v>98</v>
      </c>
      <c r="M79" t="s">
        <v>49</v>
      </c>
      <c r="N79" t="s">
        <v>81</v>
      </c>
      <c r="O79" t="s">
        <v>252</v>
      </c>
      <c r="P79">
        <v>1112.98</v>
      </c>
      <c r="Q79">
        <v>2095.73</v>
      </c>
      <c r="R79">
        <v>7.1999999999999995E-2</v>
      </c>
      <c r="S79">
        <v>0</v>
      </c>
      <c r="T79">
        <v>17</v>
      </c>
      <c r="U79" t="s">
        <v>1474</v>
      </c>
      <c r="V79">
        <v>33062.236480000007</v>
      </c>
      <c r="W79">
        <v>18920.66</v>
      </c>
      <c r="X79">
        <v>14141.576480000007</v>
      </c>
      <c r="Y79">
        <v>0.42772594916724777</v>
      </c>
    </row>
    <row r="80" spans="1:25" x14ac:dyDescent="0.3">
      <c r="A80" t="s">
        <v>253</v>
      </c>
      <c r="B80">
        <v>45091</v>
      </c>
      <c r="C80">
        <v>45093</v>
      </c>
      <c r="D80" t="s">
        <v>1490</v>
      </c>
      <c r="E80" t="s">
        <v>1383</v>
      </c>
      <c r="F80">
        <v>2</v>
      </c>
      <c r="G80">
        <v>1</v>
      </c>
      <c r="H80" t="s">
        <v>78</v>
      </c>
      <c r="I80" t="s">
        <v>108</v>
      </c>
      <c r="J80" t="s">
        <v>228</v>
      </c>
      <c r="K80" t="s">
        <v>39</v>
      </c>
      <c r="L80" t="s">
        <v>98</v>
      </c>
      <c r="M80" t="s">
        <v>95</v>
      </c>
      <c r="N80" t="s">
        <v>22</v>
      </c>
      <c r="O80" t="s">
        <v>254</v>
      </c>
      <c r="P80">
        <v>357.36</v>
      </c>
      <c r="Q80">
        <v>703.62</v>
      </c>
      <c r="R80">
        <v>0.25700000000000001</v>
      </c>
      <c r="S80">
        <v>1</v>
      </c>
      <c r="T80">
        <v>20</v>
      </c>
      <c r="U80" t="s">
        <v>1480</v>
      </c>
      <c r="V80">
        <v>10455.7932</v>
      </c>
      <c r="W80">
        <v>7147.2000000000007</v>
      </c>
      <c r="X80">
        <v>3308.5931999999993</v>
      </c>
      <c r="Y80">
        <v>0.31643636563125593</v>
      </c>
    </row>
    <row r="81" spans="1:25" x14ac:dyDescent="0.3">
      <c r="A81" t="s">
        <v>255</v>
      </c>
      <c r="B81">
        <v>45617</v>
      </c>
      <c r="C81">
        <v>45647</v>
      </c>
      <c r="D81" t="s">
        <v>1481</v>
      </c>
      <c r="E81" t="s">
        <v>1400</v>
      </c>
      <c r="F81">
        <v>30</v>
      </c>
      <c r="G81">
        <v>0</v>
      </c>
      <c r="H81" t="s">
        <v>78</v>
      </c>
      <c r="I81" t="s">
        <v>90</v>
      </c>
      <c r="J81" t="s">
        <v>91</v>
      </c>
      <c r="K81" t="s">
        <v>62</v>
      </c>
      <c r="L81" t="s">
        <v>98</v>
      </c>
      <c r="M81" t="s">
        <v>34</v>
      </c>
      <c r="N81" t="s">
        <v>64</v>
      </c>
      <c r="O81" t="s">
        <v>256</v>
      </c>
      <c r="P81">
        <v>1122.68</v>
      </c>
      <c r="Q81">
        <v>1997.19</v>
      </c>
      <c r="R81">
        <v>0.186</v>
      </c>
      <c r="S81">
        <v>0</v>
      </c>
      <c r="T81">
        <v>3</v>
      </c>
      <c r="U81" t="s">
        <v>1474</v>
      </c>
      <c r="V81">
        <v>4877.1379800000004</v>
      </c>
      <c r="W81">
        <v>3368.04</v>
      </c>
      <c r="X81">
        <v>1509.0979800000005</v>
      </c>
      <c r="Y81">
        <v>0.30942285951073306</v>
      </c>
    </row>
    <row r="82" spans="1:25" x14ac:dyDescent="0.3">
      <c r="A82" t="s">
        <v>257</v>
      </c>
      <c r="B82">
        <v>44965</v>
      </c>
      <c r="C82">
        <v>44968</v>
      </c>
      <c r="D82" t="s">
        <v>1482</v>
      </c>
      <c r="E82" t="s">
        <v>1379</v>
      </c>
      <c r="F82">
        <v>3</v>
      </c>
      <c r="G82">
        <v>1</v>
      </c>
      <c r="H82" t="s">
        <v>16</v>
      </c>
      <c r="I82" t="s">
        <v>148</v>
      </c>
      <c r="J82" t="s">
        <v>258</v>
      </c>
      <c r="K82" t="s">
        <v>19</v>
      </c>
      <c r="L82" t="s">
        <v>98</v>
      </c>
      <c r="M82" t="s">
        <v>110</v>
      </c>
      <c r="N82" t="s">
        <v>35</v>
      </c>
      <c r="O82" t="s">
        <v>259</v>
      </c>
      <c r="P82">
        <v>1410.05</v>
      </c>
      <c r="Q82">
        <v>2763.95</v>
      </c>
      <c r="R82">
        <v>0.161</v>
      </c>
      <c r="S82">
        <v>0</v>
      </c>
      <c r="T82">
        <v>26</v>
      </c>
      <c r="U82" t="s">
        <v>1474</v>
      </c>
      <c r="V82">
        <v>60292.805299999993</v>
      </c>
      <c r="W82">
        <v>36661.299999999996</v>
      </c>
      <c r="X82">
        <v>23631.505299999997</v>
      </c>
      <c r="Y82">
        <v>0.39194569206750779</v>
      </c>
    </row>
    <row r="83" spans="1:25" x14ac:dyDescent="0.3">
      <c r="A83" t="s">
        <v>260</v>
      </c>
      <c r="B83">
        <v>45157</v>
      </c>
      <c r="C83">
        <v>45181</v>
      </c>
      <c r="D83" t="s">
        <v>1492</v>
      </c>
      <c r="E83" t="s">
        <v>1385</v>
      </c>
      <c r="F83">
        <v>24</v>
      </c>
      <c r="G83">
        <v>0</v>
      </c>
      <c r="H83" t="s">
        <v>52</v>
      </c>
      <c r="I83" t="s">
        <v>53</v>
      </c>
      <c r="J83" t="s">
        <v>179</v>
      </c>
      <c r="K83" t="s">
        <v>105</v>
      </c>
      <c r="L83" t="s">
        <v>20</v>
      </c>
      <c r="M83" t="s">
        <v>34</v>
      </c>
      <c r="N83" t="s">
        <v>30</v>
      </c>
      <c r="O83" t="s">
        <v>261</v>
      </c>
      <c r="P83">
        <v>1183.95</v>
      </c>
      <c r="Q83">
        <v>1503.53</v>
      </c>
      <c r="R83">
        <v>0.24099999999999999</v>
      </c>
      <c r="S83">
        <v>1</v>
      </c>
      <c r="T83">
        <v>16</v>
      </c>
      <c r="U83" t="s">
        <v>1485</v>
      </c>
      <c r="V83">
        <v>18258.868320000001</v>
      </c>
      <c r="W83">
        <v>18943.2</v>
      </c>
      <c r="X83">
        <v>-684.33167999999932</v>
      </c>
      <c r="Y83">
        <v>-3.7479413729623705E-2</v>
      </c>
    </row>
    <row r="84" spans="1:25" x14ac:dyDescent="0.3">
      <c r="A84" t="s">
        <v>262</v>
      </c>
      <c r="B84">
        <v>45791</v>
      </c>
      <c r="C84">
        <v>45801</v>
      </c>
      <c r="D84" t="s">
        <v>1487</v>
      </c>
      <c r="E84" t="s">
        <v>1406</v>
      </c>
      <c r="F84">
        <v>10</v>
      </c>
      <c r="G84">
        <v>0</v>
      </c>
      <c r="H84" t="s">
        <v>78</v>
      </c>
      <c r="I84" t="s">
        <v>90</v>
      </c>
      <c r="J84" t="s">
        <v>217</v>
      </c>
      <c r="K84" t="s">
        <v>62</v>
      </c>
      <c r="L84" t="s">
        <v>40</v>
      </c>
      <c r="M84" t="s">
        <v>95</v>
      </c>
      <c r="N84" t="s">
        <v>22</v>
      </c>
      <c r="O84" t="s">
        <v>263</v>
      </c>
      <c r="P84">
        <v>170.39</v>
      </c>
      <c r="Q84">
        <v>388.04</v>
      </c>
      <c r="R84">
        <v>8.4000000000000005E-2</v>
      </c>
      <c r="S84">
        <v>0</v>
      </c>
      <c r="T84">
        <v>15</v>
      </c>
      <c r="U84" t="s">
        <v>1480</v>
      </c>
      <c r="V84">
        <v>5331.6696000000002</v>
      </c>
      <c r="W84">
        <v>2555.85</v>
      </c>
      <c r="X84">
        <v>2775.8196000000003</v>
      </c>
      <c r="Y84">
        <v>0.52062858508711796</v>
      </c>
    </row>
    <row r="85" spans="1:25" x14ac:dyDescent="0.3">
      <c r="A85" t="s">
        <v>264</v>
      </c>
      <c r="B85">
        <v>45770</v>
      </c>
      <c r="C85">
        <v>45777</v>
      </c>
      <c r="D85" t="s">
        <v>1487</v>
      </c>
      <c r="E85" t="s">
        <v>1405</v>
      </c>
      <c r="F85">
        <v>7</v>
      </c>
      <c r="G85">
        <v>1</v>
      </c>
      <c r="H85" t="s">
        <v>52</v>
      </c>
      <c r="I85" t="s">
        <v>122</v>
      </c>
      <c r="J85" t="s">
        <v>167</v>
      </c>
      <c r="K85" t="s">
        <v>39</v>
      </c>
      <c r="L85" t="s">
        <v>55</v>
      </c>
      <c r="M85" t="s">
        <v>145</v>
      </c>
      <c r="N85" t="s">
        <v>64</v>
      </c>
      <c r="O85" t="s">
        <v>265</v>
      </c>
      <c r="P85">
        <v>23.24</v>
      </c>
      <c r="Q85">
        <v>44.57</v>
      </c>
      <c r="R85">
        <v>0.215</v>
      </c>
      <c r="S85">
        <v>1</v>
      </c>
      <c r="T85">
        <v>15</v>
      </c>
      <c r="U85" t="s">
        <v>1480</v>
      </c>
      <c r="V85">
        <v>524.81174999999996</v>
      </c>
      <c r="W85">
        <v>348.59999999999997</v>
      </c>
      <c r="X85">
        <v>176.21174999999999</v>
      </c>
      <c r="Y85">
        <v>0.33576182316802167</v>
      </c>
    </row>
    <row r="86" spans="1:25" x14ac:dyDescent="0.3">
      <c r="A86" t="s">
        <v>266</v>
      </c>
      <c r="B86">
        <v>45741</v>
      </c>
      <c r="C86">
        <v>45764</v>
      </c>
      <c r="D86" t="s">
        <v>1483</v>
      </c>
      <c r="E86" t="s">
        <v>1404</v>
      </c>
      <c r="F86">
        <v>23</v>
      </c>
      <c r="G86">
        <v>0</v>
      </c>
      <c r="H86" t="s">
        <v>78</v>
      </c>
      <c r="I86" t="s">
        <v>108</v>
      </c>
      <c r="J86" t="s">
        <v>152</v>
      </c>
      <c r="K86" t="s">
        <v>48</v>
      </c>
      <c r="L86" t="s">
        <v>20</v>
      </c>
      <c r="M86" t="s">
        <v>92</v>
      </c>
      <c r="N86" t="s">
        <v>35</v>
      </c>
      <c r="O86" t="s">
        <v>267</v>
      </c>
      <c r="P86">
        <v>1421.19</v>
      </c>
      <c r="Q86">
        <v>1808.26</v>
      </c>
      <c r="R86">
        <v>0.104</v>
      </c>
      <c r="S86">
        <v>0</v>
      </c>
      <c r="T86">
        <v>13</v>
      </c>
      <c r="U86" t="s">
        <v>1474</v>
      </c>
      <c r="V86">
        <v>21062.61248</v>
      </c>
      <c r="W86">
        <v>18475.47</v>
      </c>
      <c r="X86">
        <v>2587.1424799999986</v>
      </c>
      <c r="Y86">
        <v>0.12283103449093123</v>
      </c>
    </row>
    <row r="87" spans="1:25" x14ac:dyDescent="0.3">
      <c r="A87" t="s">
        <v>268</v>
      </c>
      <c r="B87">
        <v>45282</v>
      </c>
      <c r="C87">
        <v>45283</v>
      </c>
      <c r="D87" t="s">
        <v>1484</v>
      </c>
      <c r="E87" t="s">
        <v>1389</v>
      </c>
      <c r="F87">
        <v>1</v>
      </c>
      <c r="G87">
        <v>1</v>
      </c>
      <c r="H87" t="s">
        <v>16</v>
      </c>
      <c r="I87" t="s">
        <v>148</v>
      </c>
      <c r="J87" t="s">
        <v>258</v>
      </c>
      <c r="K87" t="s">
        <v>39</v>
      </c>
      <c r="L87" t="s">
        <v>40</v>
      </c>
      <c r="M87" t="s">
        <v>145</v>
      </c>
      <c r="N87" t="s">
        <v>22</v>
      </c>
      <c r="O87" t="s">
        <v>269</v>
      </c>
      <c r="P87">
        <v>1186.18</v>
      </c>
      <c r="Q87">
        <v>1285.0899999999999</v>
      </c>
      <c r="R87">
        <v>7.0000000000000007E-2</v>
      </c>
      <c r="S87">
        <v>0</v>
      </c>
      <c r="T87">
        <v>11</v>
      </c>
      <c r="U87" t="s">
        <v>1485</v>
      </c>
      <c r="V87">
        <v>13146.470699999998</v>
      </c>
      <c r="W87">
        <v>13047.980000000001</v>
      </c>
      <c r="X87">
        <v>98.49069999999665</v>
      </c>
      <c r="Y87">
        <v>7.4917977796121861E-3</v>
      </c>
    </row>
    <row r="88" spans="1:25" x14ac:dyDescent="0.3">
      <c r="A88" t="s">
        <v>270</v>
      </c>
      <c r="B88">
        <v>45388</v>
      </c>
      <c r="C88">
        <v>45407</v>
      </c>
      <c r="D88" t="s">
        <v>1486</v>
      </c>
      <c r="E88" t="s">
        <v>1393</v>
      </c>
      <c r="F88">
        <v>19</v>
      </c>
      <c r="G88">
        <v>0</v>
      </c>
      <c r="H88" t="s">
        <v>45</v>
      </c>
      <c r="I88" t="s">
        <v>116</v>
      </c>
      <c r="J88" t="s">
        <v>162</v>
      </c>
      <c r="K88" t="s">
        <v>19</v>
      </c>
      <c r="L88" t="s">
        <v>20</v>
      </c>
      <c r="M88" t="s">
        <v>95</v>
      </c>
      <c r="N88" t="s">
        <v>22</v>
      </c>
      <c r="O88" t="s">
        <v>271</v>
      </c>
      <c r="P88">
        <v>1366.48</v>
      </c>
      <c r="Q88">
        <v>1678.14</v>
      </c>
      <c r="R88">
        <v>0.154</v>
      </c>
      <c r="S88">
        <v>0</v>
      </c>
      <c r="T88">
        <v>10</v>
      </c>
      <c r="U88" t="s">
        <v>1474</v>
      </c>
      <c r="V88">
        <v>14197.064400000001</v>
      </c>
      <c r="W88">
        <v>13664.8</v>
      </c>
      <c r="X88">
        <v>532.26440000000184</v>
      </c>
      <c r="Y88">
        <v>3.7491159087790132E-2</v>
      </c>
    </row>
    <row r="89" spans="1:25" x14ac:dyDescent="0.3">
      <c r="A89" t="s">
        <v>272</v>
      </c>
      <c r="B89">
        <v>45876</v>
      </c>
      <c r="C89">
        <v>45888</v>
      </c>
      <c r="D89" t="s">
        <v>1488</v>
      </c>
      <c r="E89" t="s">
        <v>1409</v>
      </c>
      <c r="F89">
        <v>12</v>
      </c>
      <c r="G89">
        <v>0</v>
      </c>
      <c r="H89" t="s">
        <v>16</v>
      </c>
      <c r="I89" t="s">
        <v>17</v>
      </c>
      <c r="J89" t="s">
        <v>135</v>
      </c>
      <c r="K89" t="s">
        <v>19</v>
      </c>
      <c r="L89" t="s">
        <v>98</v>
      </c>
      <c r="M89" t="s">
        <v>110</v>
      </c>
      <c r="N89" t="s">
        <v>22</v>
      </c>
      <c r="O89" t="s">
        <v>273</v>
      </c>
      <c r="P89">
        <v>601.51</v>
      </c>
      <c r="Q89">
        <v>679.35</v>
      </c>
      <c r="R89">
        <v>0.188</v>
      </c>
      <c r="S89">
        <v>0</v>
      </c>
      <c r="T89">
        <v>3</v>
      </c>
      <c r="U89" t="s">
        <v>1480</v>
      </c>
      <c r="V89">
        <v>1654.8966000000003</v>
      </c>
      <c r="W89">
        <v>1804.53</v>
      </c>
      <c r="X89">
        <v>-149.63339999999971</v>
      </c>
      <c r="Y89">
        <v>-9.0418579626062243E-2</v>
      </c>
    </row>
    <row r="90" spans="1:25" x14ac:dyDescent="0.3">
      <c r="A90" t="s">
        <v>274</v>
      </c>
      <c r="B90">
        <v>45312</v>
      </c>
      <c r="C90">
        <v>45316</v>
      </c>
      <c r="D90" t="s">
        <v>1479</v>
      </c>
      <c r="E90" t="s">
        <v>1390</v>
      </c>
      <c r="F90">
        <v>4</v>
      </c>
      <c r="G90">
        <v>1</v>
      </c>
      <c r="H90" t="s">
        <v>45</v>
      </c>
      <c r="I90" t="s">
        <v>60</v>
      </c>
      <c r="J90" t="s">
        <v>141</v>
      </c>
      <c r="K90" t="s">
        <v>48</v>
      </c>
      <c r="L90" t="s">
        <v>98</v>
      </c>
      <c r="M90" t="s">
        <v>21</v>
      </c>
      <c r="N90" t="s">
        <v>64</v>
      </c>
      <c r="O90" t="s">
        <v>275</v>
      </c>
      <c r="P90">
        <v>523.70000000000005</v>
      </c>
      <c r="Q90">
        <v>1109.92</v>
      </c>
      <c r="R90">
        <v>0.03</v>
      </c>
      <c r="S90">
        <v>0</v>
      </c>
      <c r="T90">
        <v>11</v>
      </c>
      <c r="U90" t="s">
        <v>1485</v>
      </c>
      <c r="V90">
        <v>11842.8464</v>
      </c>
      <c r="W90">
        <v>5760.7000000000007</v>
      </c>
      <c r="X90">
        <v>6082.1463999999996</v>
      </c>
      <c r="Y90">
        <v>0.51357133197302973</v>
      </c>
    </row>
    <row r="91" spans="1:25" x14ac:dyDescent="0.3">
      <c r="A91" t="s">
        <v>276</v>
      </c>
      <c r="B91">
        <v>45106</v>
      </c>
      <c r="C91">
        <v>45109</v>
      </c>
      <c r="D91" t="s">
        <v>1490</v>
      </c>
      <c r="E91" t="s">
        <v>1383</v>
      </c>
      <c r="F91">
        <v>3</v>
      </c>
      <c r="G91">
        <v>1</v>
      </c>
      <c r="H91" t="s">
        <v>45</v>
      </c>
      <c r="I91" t="s">
        <v>46</v>
      </c>
      <c r="J91" t="s">
        <v>231</v>
      </c>
      <c r="K91" t="s">
        <v>27</v>
      </c>
      <c r="L91" t="s">
        <v>40</v>
      </c>
      <c r="M91" t="s">
        <v>84</v>
      </c>
      <c r="N91" t="s">
        <v>64</v>
      </c>
      <c r="O91" t="s">
        <v>277</v>
      </c>
      <c r="P91">
        <v>55.65</v>
      </c>
      <c r="Q91">
        <v>83.57</v>
      </c>
      <c r="R91">
        <v>6.6000000000000003E-2</v>
      </c>
      <c r="S91">
        <v>0</v>
      </c>
      <c r="T91">
        <v>8</v>
      </c>
      <c r="U91" t="s">
        <v>1480</v>
      </c>
      <c r="V91">
        <v>624.43503999999996</v>
      </c>
      <c r="W91">
        <v>445.2</v>
      </c>
      <c r="X91">
        <v>179.23503999999997</v>
      </c>
      <c r="Y91">
        <v>0.2870355257449998</v>
      </c>
    </row>
    <row r="92" spans="1:25" x14ac:dyDescent="0.3">
      <c r="A92" t="s">
        <v>278</v>
      </c>
      <c r="B92">
        <v>45775</v>
      </c>
      <c r="C92">
        <v>45792</v>
      </c>
      <c r="D92" t="s">
        <v>1487</v>
      </c>
      <c r="E92" t="s">
        <v>1405</v>
      </c>
      <c r="F92">
        <v>17</v>
      </c>
      <c r="G92">
        <v>0</v>
      </c>
      <c r="H92" t="s">
        <v>45</v>
      </c>
      <c r="I92" t="s">
        <v>46</v>
      </c>
      <c r="J92" t="s">
        <v>231</v>
      </c>
      <c r="K92" t="s">
        <v>27</v>
      </c>
      <c r="L92" t="s">
        <v>98</v>
      </c>
      <c r="M92" t="s">
        <v>126</v>
      </c>
      <c r="N92" t="s">
        <v>35</v>
      </c>
      <c r="O92" t="s">
        <v>279</v>
      </c>
      <c r="P92">
        <v>691.19</v>
      </c>
      <c r="Q92">
        <v>1284.3</v>
      </c>
      <c r="R92">
        <v>7.3999999999999996E-2</v>
      </c>
      <c r="S92">
        <v>0</v>
      </c>
      <c r="T92">
        <v>7</v>
      </c>
      <c r="U92" t="s">
        <v>1485</v>
      </c>
      <c r="V92">
        <v>8324.8326000000015</v>
      </c>
      <c r="W92">
        <v>4838.33</v>
      </c>
      <c r="X92">
        <v>3486.5026000000016</v>
      </c>
      <c r="Y92">
        <v>0.41880753253825198</v>
      </c>
    </row>
    <row r="93" spans="1:25" x14ac:dyDescent="0.3">
      <c r="A93" t="s">
        <v>280</v>
      </c>
      <c r="B93">
        <v>45817</v>
      </c>
      <c r="C93">
        <v>45833</v>
      </c>
      <c r="D93" t="s">
        <v>1487</v>
      </c>
      <c r="E93" t="s">
        <v>1407</v>
      </c>
      <c r="F93">
        <v>16</v>
      </c>
      <c r="G93">
        <v>0</v>
      </c>
      <c r="H93" t="s">
        <v>45</v>
      </c>
      <c r="I93" t="s">
        <v>60</v>
      </c>
      <c r="J93" t="s">
        <v>281</v>
      </c>
      <c r="K93" t="s">
        <v>105</v>
      </c>
      <c r="L93" t="s">
        <v>55</v>
      </c>
      <c r="M93" t="s">
        <v>110</v>
      </c>
      <c r="N93" t="s">
        <v>42</v>
      </c>
      <c r="O93" t="s">
        <v>282</v>
      </c>
      <c r="P93">
        <v>527.33000000000004</v>
      </c>
      <c r="Q93">
        <v>911.72</v>
      </c>
      <c r="R93">
        <v>0.14399999999999999</v>
      </c>
      <c r="S93">
        <v>0</v>
      </c>
      <c r="T93">
        <v>25</v>
      </c>
      <c r="U93" t="s">
        <v>1485</v>
      </c>
      <c r="V93">
        <v>19510.808000000001</v>
      </c>
      <c r="W93">
        <v>13183.250000000002</v>
      </c>
      <c r="X93">
        <v>6327.5579999999991</v>
      </c>
      <c r="Y93">
        <v>0.32431040272652978</v>
      </c>
    </row>
    <row r="94" spans="1:25" x14ac:dyDescent="0.3">
      <c r="A94" t="s">
        <v>283</v>
      </c>
      <c r="B94">
        <v>45101</v>
      </c>
      <c r="C94">
        <v>45108</v>
      </c>
      <c r="D94" t="s">
        <v>1490</v>
      </c>
      <c r="E94" t="s">
        <v>1383</v>
      </c>
      <c r="F94">
        <v>7</v>
      </c>
      <c r="G94">
        <v>1</v>
      </c>
      <c r="H94" t="s">
        <v>52</v>
      </c>
      <c r="I94" t="s">
        <v>73</v>
      </c>
      <c r="J94" t="s">
        <v>225</v>
      </c>
      <c r="K94" t="s">
        <v>39</v>
      </c>
      <c r="L94" t="s">
        <v>20</v>
      </c>
      <c r="M94" t="s">
        <v>63</v>
      </c>
      <c r="N94" t="s">
        <v>30</v>
      </c>
      <c r="O94" t="s">
        <v>284</v>
      </c>
      <c r="P94">
        <v>804.01</v>
      </c>
      <c r="Q94">
        <v>1405.07</v>
      </c>
      <c r="R94">
        <v>9.6000000000000002E-2</v>
      </c>
      <c r="S94">
        <v>0</v>
      </c>
      <c r="T94">
        <v>8</v>
      </c>
      <c r="U94" t="s">
        <v>1485</v>
      </c>
      <c r="V94">
        <v>10161.46624</v>
      </c>
      <c r="W94">
        <v>6432.08</v>
      </c>
      <c r="X94">
        <v>3729.3862399999998</v>
      </c>
      <c r="Y94">
        <v>0.36701260939287439</v>
      </c>
    </row>
    <row r="95" spans="1:25" x14ac:dyDescent="0.3">
      <c r="A95" t="s">
        <v>285</v>
      </c>
      <c r="B95">
        <v>45569</v>
      </c>
      <c r="C95">
        <v>45598</v>
      </c>
      <c r="D95" t="s">
        <v>1481</v>
      </c>
      <c r="E95" t="s">
        <v>1399</v>
      </c>
      <c r="F95">
        <v>29</v>
      </c>
      <c r="G95">
        <v>0</v>
      </c>
      <c r="H95" t="s">
        <v>16</v>
      </c>
      <c r="I95" t="s">
        <v>25</v>
      </c>
      <c r="J95" t="s">
        <v>67</v>
      </c>
      <c r="K95" t="s">
        <v>19</v>
      </c>
      <c r="L95" t="s">
        <v>55</v>
      </c>
      <c r="M95" t="s">
        <v>84</v>
      </c>
      <c r="N95" t="s">
        <v>81</v>
      </c>
      <c r="O95" t="s">
        <v>286</v>
      </c>
      <c r="P95">
        <v>412.09</v>
      </c>
      <c r="Q95">
        <v>968.94</v>
      </c>
      <c r="R95">
        <v>9.9000000000000005E-2</v>
      </c>
      <c r="S95">
        <v>0</v>
      </c>
      <c r="T95">
        <v>23</v>
      </c>
      <c r="U95" t="s">
        <v>1485</v>
      </c>
      <c r="V95">
        <v>20079.343620000003</v>
      </c>
      <c r="W95">
        <v>9478.07</v>
      </c>
      <c r="X95">
        <v>10601.273620000004</v>
      </c>
      <c r="Y95">
        <v>0.52796913189137418</v>
      </c>
    </row>
    <row r="96" spans="1:25" x14ac:dyDescent="0.3">
      <c r="A96" t="s">
        <v>287</v>
      </c>
      <c r="B96">
        <v>45910</v>
      </c>
      <c r="C96">
        <v>45930</v>
      </c>
      <c r="D96" t="s">
        <v>1488</v>
      </c>
      <c r="E96" t="s">
        <v>1489</v>
      </c>
      <c r="F96">
        <v>20</v>
      </c>
      <c r="G96">
        <v>0</v>
      </c>
      <c r="H96" t="s">
        <v>16</v>
      </c>
      <c r="I96" t="s">
        <v>17</v>
      </c>
      <c r="J96" t="s">
        <v>113</v>
      </c>
      <c r="K96" t="s">
        <v>19</v>
      </c>
      <c r="L96" t="s">
        <v>98</v>
      </c>
      <c r="M96" t="s">
        <v>49</v>
      </c>
      <c r="N96" t="s">
        <v>42</v>
      </c>
      <c r="O96" t="s">
        <v>288</v>
      </c>
      <c r="P96">
        <v>1009.48</v>
      </c>
      <c r="Q96">
        <v>1088.81</v>
      </c>
      <c r="R96">
        <v>0.16</v>
      </c>
      <c r="S96">
        <v>0</v>
      </c>
      <c r="T96">
        <v>6</v>
      </c>
      <c r="U96" t="s">
        <v>1485</v>
      </c>
      <c r="V96">
        <v>5487.6023999999998</v>
      </c>
      <c r="W96">
        <v>6056.88</v>
      </c>
      <c r="X96">
        <v>-569.27760000000035</v>
      </c>
      <c r="Y96">
        <v>-0.10373885688219693</v>
      </c>
    </row>
    <row r="97" spans="1:25" x14ac:dyDescent="0.3">
      <c r="A97" t="s">
        <v>289</v>
      </c>
      <c r="B97">
        <v>45022</v>
      </c>
      <c r="C97">
        <v>45043</v>
      </c>
      <c r="D97" t="s">
        <v>1490</v>
      </c>
      <c r="E97" t="s">
        <v>1381</v>
      </c>
      <c r="F97">
        <v>21</v>
      </c>
      <c r="G97">
        <v>0</v>
      </c>
      <c r="H97" t="s">
        <v>78</v>
      </c>
      <c r="I97" t="s">
        <v>108</v>
      </c>
      <c r="J97" t="s">
        <v>228</v>
      </c>
      <c r="K97" t="s">
        <v>105</v>
      </c>
      <c r="L97" t="s">
        <v>55</v>
      </c>
      <c r="M97" t="s">
        <v>34</v>
      </c>
      <c r="N97" t="s">
        <v>30</v>
      </c>
      <c r="O97" t="s">
        <v>290</v>
      </c>
      <c r="P97">
        <v>1084.79</v>
      </c>
      <c r="Q97">
        <v>2484.9899999999998</v>
      </c>
      <c r="R97">
        <v>3.4000000000000002E-2</v>
      </c>
      <c r="S97">
        <v>0</v>
      </c>
      <c r="T97">
        <v>18</v>
      </c>
      <c r="U97" t="s">
        <v>1474</v>
      </c>
      <c r="V97">
        <v>43209.006119999991</v>
      </c>
      <c r="W97">
        <v>19526.22</v>
      </c>
      <c r="X97">
        <v>23682.78611999999</v>
      </c>
      <c r="Y97">
        <v>0.54809837685755114</v>
      </c>
    </row>
    <row r="98" spans="1:25" x14ac:dyDescent="0.3">
      <c r="A98" t="s">
        <v>291</v>
      </c>
      <c r="B98">
        <v>45870</v>
      </c>
      <c r="C98">
        <v>45885</v>
      </c>
      <c r="D98" t="s">
        <v>1488</v>
      </c>
      <c r="E98" t="s">
        <v>1409</v>
      </c>
      <c r="F98">
        <v>15</v>
      </c>
      <c r="G98">
        <v>0</v>
      </c>
      <c r="H98" t="s">
        <v>45</v>
      </c>
      <c r="I98" t="s">
        <v>60</v>
      </c>
      <c r="J98" t="s">
        <v>141</v>
      </c>
      <c r="K98" t="s">
        <v>105</v>
      </c>
      <c r="L98" t="s">
        <v>98</v>
      </c>
      <c r="M98" t="s">
        <v>68</v>
      </c>
      <c r="N98" t="s">
        <v>64</v>
      </c>
      <c r="O98" t="s">
        <v>292</v>
      </c>
      <c r="P98">
        <v>24.44</v>
      </c>
      <c r="Q98">
        <v>28.69</v>
      </c>
      <c r="R98">
        <v>0.14599999999999999</v>
      </c>
      <c r="S98">
        <v>0</v>
      </c>
      <c r="T98">
        <v>6</v>
      </c>
      <c r="U98" t="s">
        <v>1480</v>
      </c>
      <c r="V98">
        <v>147.00756000000001</v>
      </c>
      <c r="W98">
        <v>146.64000000000001</v>
      </c>
      <c r="X98">
        <v>0.36755999999999744</v>
      </c>
      <c r="Y98">
        <v>2.5002795774584476E-3</v>
      </c>
    </row>
    <row r="99" spans="1:25" x14ac:dyDescent="0.3">
      <c r="A99" t="s">
        <v>293</v>
      </c>
      <c r="B99">
        <v>45440</v>
      </c>
      <c r="C99">
        <v>45447</v>
      </c>
      <c r="D99" t="s">
        <v>1486</v>
      </c>
      <c r="E99" t="s">
        <v>1394</v>
      </c>
      <c r="F99">
        <v>7</v>
      </c>
      <c r="G99">
        <v>1</v>
      </c>
      <c r="H99" t="s">
        <v>16</v>
      </c>
      <c r="I99" t="s">
        <v>25</v>
      </c>
      <c r="J99" t="s">
        <v>67</v>
      </c>
      <c r="K99" t="s">
        <v>105</v>
      </c>
      <c r="L99" t="s">
        <v>28</v>
      </c>
      <c r="M99" t="s">
        <v>84</v>
      </c>
      <c r="N99" t="s">
        <v>81</v>
      </c>
      <c r="O99" t="s">
        <v>294</v>
      </c>
      <c r="P99">
        <v>1227.08</v>
      </c>
      <c r="Q99">
        <v>1896.62</v>
      </c>
      <c r="R99">
        <v>0</v>
      </c>
      <c r="S99">
        <v>0</v>
      </c>
      <c r="T99">
        <v>18</v>
      </c>
      <c r="U99" t="s">
        <v>1474</v>
      </c>
      <c r="V99">
        <v>34139.159999999996</v>
      </c>
      <c r="W99">
        <v>22087.439999999999</v>
      </c>
      <c r="X99">
        <v>12051.719999999998</v>
      </c>
      <c r="Y99">
        <v>0.353017473189147</v>
      </c>
    </row>
    <row r="100" spans="1:25" x14ac:dyDescent="0.3">
      <c r="A100" t="s">
        <v>295</v>
      </c>
      <c r="B100">
        <v>45860</v>
      </c>
      <c r="C100">
        <v>45887</v>
      </c>
      <c r="D100" t="s">
        <v>1488</v>
      </c>
      <c r="E100" t="s">
        <v>1408</v>
      </c>
      <c r="F100">
        <v>27</v>
      </c>
      <c r="G100">
        <v>0</v>
      </c>
      <c r="H100" t="s">
        <v>45</v>
      </c>
      <c r="I100" t="s">
        <v>116</v>
      </c>
      <c r="J100" t="s">
        <v>117</v>
      </c>
      <c r="K100" t="s">
        <v>39</v>
      </c>
      <c r="L100" t="s">
        <v>40</v>
      </c>
      <c r="M100" t="s">
        <v>110</v>
      </c>
      <c r="N100" t="s">
        <v>35</v>
      </c>
      <c r="O100" t="s">
        <v>296</v>
      </c>
      <c r="P100">
        <v>547.32000000000005</v>
      </c>
      <c r="Q100">
        <v>419.17</v>
      </c>
      <c r="R100">
        <v>9.1999999999999998E-2</v>
      </c>
      <c r="S100">
        <v>0</v>
      </c>
      <c r="T100">
        <v>14</v>
      </c>
      <c r="U100" t="s">
        <v>1480</v>
      </c>
      <c r="V100">
        <v>5328.4890400000004</v>
      </c>
      <c r="W100">
        <v>7662.4800000000005</v>
      </c>
      <c r="X100">
        <v>-2333.9909600000001</v>
      </c>
      <c r="Y100">
        <v>-0.43802116181137907</v>
      </c>
    </row>
    <row r="101" spans="1:25" x14ac:dyDescent="0.3">
      <c r="A101" t="s">
        <v>297</v>
      </c>
      <c r="B101">
        <v>44985</v>
      </c>
      <c r="C101">
        <v>45005</v>
      </c>
      <c r="D101" t="s">
        <v>1482</v>
      </c>
      <c r="E101" t="s">
        <v>1379</v>
      </c>
      <c r="F101">
        <v>20</v>
      </c>
      <c r="G101">
        <v>0</v>
      </c>
      <c r="H101" t="s">
        <v>78</v>
      </c>
      <c r="I101" t="s">
        <v>79</v>
      </c>
      <c r="J101" t="s">
        <v>80</v>
      </c>
      <c r="K101" t="s">
        <v>62</v>
      </c>
      <c r="L101" t="s">
        <v>98</v>
      </c>
      <c r="M101" t="s">
        <v>92</v>
      </c>
      <c r="N101" t="s">
        <v>57</v>
      </c>
      <c r="O101" t="s">
        <v>298</v>
      </c>
      <c r="P101">
        <v>1200.78</v>
      </c>
      <c r="Q101">
        <v>2001.17</v>
      </c>
      <c r="R101">
        <v>0.29199999999999998</v>
      </c>
      <c r="S101">
        <v>1</v>
      </c>
      <c r="T101">
        <v>18</v>
      </c>
      <c r="U101" t="s">
        <v>1474</v>
      </c>
      <c r="V101">
        <v>25502.910479999999</v>
      </c>
      <c r="W101">
        <v>21614.04</v>
      </c>
      <c r="X101">
        <v>3888.8704799999978</v>
      </c>
      <c r="Y101">
        <v>0.15248732034132906</v>
      </c>
    </row>
    <row r="102" spans="1:25" x14ac:dyDescent="0.3">
      <c r="A102" t="s">
        <v>299</v>
      </c>
      <c r="B102">
        <v>45684</v>
      </c>
      <c r="C102">
        <v>45703</v>
      </c>
      <c r="D102" t="s">
        <v>1483</v>
      </c>
      <c r="E102" t="s">
        <v>1402</v>
      </c>
      <c r="F102">
        <v>19</v>
      </c>
      <c r="G102">
        <v>0</v>
      </c>
      <c r="H102" t="s">
        <v>45</v>
      </c>
      <c r="I102" t="s">
        <v>116</v>
      </c>
      <c r="J102" t="s">
        <v>117</v>
      </c>
      <c r="K102" t="s">
        <v>39</v>
      </c>
      <c r="L102" t="s">
        <v>98</v>
      </c>
      <c r="M102" t="s">
        <v>49</v>
      </c>
      <c r="N102" t="s">
        <v>42</v>
      </c>
      <c r="O102" t="s">
        <v>300</v>
      </c>
      <c r="P102">
        <v>1253.22</v>
      </c>
      <c r="Q102">
        <v>3104.71</v>
      </c>
      <c r="R102">
        <v>0</v>
      </c>
      <c r="S102">
        <v>0</v>
      </c>
      <c r="T102">
        <v>17</v>
      </c>
      <c r="U102" t="s">
        <v>1474</v>
      </c>
      <c r="V102">
        <v>52780.07</v>
      </c>
      <c r="W102">
        <v>21304.74</v>
      </c>
      <c r="X102">
        <v>31475.329999999998</v>
      </c>
      <c r="Y102">
        <v>0.59634877331538205</v>
      </c>
    </row>
    <row r="103" spans="1:25" x14ac:dyDescent="0.3">
      <c r="A103" t="s">
        <v>301</v>
      </c>
      <c r="B103">
        <v>45304</v>
      </c>
      <c r="C103">
        <v>45313</v>
      </c>
      <c r="D103" t="s">
        <v>1479</v>
      </c>
      <c r="E103" t="s">
        <v>1390</v>
      </c>
      <c r="F103">
        <v>9</v>
      </c>
      <c r="G103">
        <v>0</v>
      </c>
      <c r="H103" t="s">
        <v>45</v>
      </c>
      <c r="I103" t="s">
        <v>60</v>
      </c>
      <c r="J103" t="s">
        <v>220</v>
      </c>
      <c r="K103" t="s">
        <v>105</v>
      </c>
      <c r="L103" t="s">
        <v>40</v>
      </c>
      <c r="M103" t="s">
        <v>29</v>
      </c>
      <c r="N103" t="s">
        <v>22</v>
      </c>
      <c r="O103" t="s">
        <v>302</v>
      </c>
      <c r="P103">
        <v>313.60000000000002</v>
      </c>
      <c r="Q103">
        <v>334.28</v>
      </c>
      <c r="R103">
        <v>0.14000000000000001</v>
      </c>
      <c r="S103">
        <v>0</v>
      </c>
      <c r="T103">
        <v>22</v>
      </c>
      <c r="U103" t="s">
        <v>1480</v>
      </c>
      <c r="V103">
        <v>6324.5775999999996</v>
      </c>
      <c r="W103">
        <v>6899.2000000000007</v>
      </c>
      <c r="X103">
        <v>-574.62240000000111</v>
      </c>
      <c r="Y103">
        <v>-9.0855458868905517E-2</v>
      </c>
    </row>
    <row r="104" spans="1:25" x14ac:dyDescent="0.3">
      <c r="A104" t="s">
        <v>303</v>
      </c>
      <c r="B104">
        <v>45747</v>
      </c>
      <c r="C104">
        <v>45751</v>
      </c>
      <c r="D104" t="s">
        <v>1483</v>
      </c>
      <c r="E104" t="s">
        <v>1404</v>
      </c>
      <c r="F104">
        <v>4</v>
      </c>
      <c r="G104">
        <v>1</v>
      </c>
      <c r="H104" t="s">
        <v>16</v>
      </c>
      <c r="I104" t="s">
        <v>17</v>
      </c>
      <c r="J104" t="s">
        <v>135</v>
      </c>
      <c r="K104" t="s">
        <v>19</v>
      </c>
      <c r="L104" t="s">
        <v>98</v>
      </c>
      <c r="M104" t="s">
        <v>21</v>
      </c>
      <c r="N104" t="s">
        <v>57</v>
      </c>
      <c r="O104" t="s">
        <v>304</v>
      </c>
      <c r="P104">
        <v>862.08</v>
      </c>
      <c r="Q104">
        <v>1952.83</v>
      </c>
      <c r="R104">
        <v>0</v>
      </c>
      <c r="S104">
        <v>0</v>
      </c>
      <c r="T104">
        <v>7</v>
      </c>
      <c r="U104" t="s">
        <v>1474</v>
      </c>
      <c r="V104">
        <v>13669.81</v>
      </c>
      <c r="W104">
        <v>6034.56</v>
      </c>
      <c r="X104">
        <v>7635.2499999999991</v>
      </c>
      <c r="Y104">
        <v>0.5585483631447693</v>
      </c>
    </row>
    <row r="105" spans="1:25" x14ac:dyDescent="0.3">
      <c r="A105" t="s">
        <v>305</v>
      </c>
      <c r="B105">
        <v>45631</v>
      </c>
      <c r="C105">
        <v>45654</v>
      </c>
      <c r="D105" t="s">
        <v>1481</v>
      </c>
      <c r="E105" t="s">
        <v>1401</v>
      </c>
      <c r="F105">
        <v>23</v>
      </c>
      <c r="G105">
        <v>0</v>
      </c>
      <c r="H105" t="s">
        <v>52</v>
      </c>
      <c r="I105" t="s">
        <v>53</v>
      </c>
      <c r="J105" t="s">
        <v>179</v>
      </c>
      <c r="K105" t="s">
        <v>19</v>
      </c>
      <c r="L105" t="s">
        <v>98</v>
      </c>
      <c r="M105" t="s">
        <v>84</v>
      </c>
      <c r="N105" t="s">
        <v>81</v>
      </c>
      <c r="O105" t="s">
        <v>306</v>
      </c>
      <c r="P105">
        <v>107.03</v>
      </c>
      <c r="Q105">
        <v>242.29</v>
      </c>
      <c r="R105">
        <v>0.18</v>
      </c>
      <c r="S105">
        <v>0</v>
      </c>
      <c r="T105">
        <v>30</v>
      </c>
      <c r="U105" t="s">
        <v>1480</v>
      </c>
      <c r="V105">
        <v>5960.3340000000007</v>
      </c>
      <c r="W105">
        <v>3210.9</v>
      </c>
      <c r="X105">
        <v>2749.4340000000007</v>
      </c>
      <c r="Y105">
        <v>0.46128857879440988</v>
      </c>
    </row>
    <row r="106" spans="1:25" x14ac:dyDescent="0.3">
      <c r="A106" t="s">
        <v>307</v>
      </c>
      <c r="B106">
        <v>45549</v>
      </c>
      <c r="C106">
        <v>45570</v>
      </c>
      <c r="D106" t="s">
        <v>1491</v>
      </c>
      <c r="E106" t="s">
        <v>1494</v>
      </c>
      <c r="F106">
        <v>21</v>
      </c>
      <c r="G106">
        <v>0</v>
      </c>
      <c r="H106" t="s">
        <v>45</v>
      </c>
      <c r="I106" t="s">
        <v>116</v>
      </c>
      <c r="J106" t="s">
        <v>162</v>
      </c>
      <c r="K106" t="s">
        <v>62</v>
      </c>
      <c r="L106" t="s">
        <v>28</v>
      </c>
      <c r="M106" t="s">
        <v>92</v>
      </c>
      <c r="N106" t="s">
        <v>57</v>
      </c>
      <c r="O106" t="s">
        <v>308</v>
      </c>
      <c r="P106">
        <v>1405.56</v>
      </c>
      <c r="Q106">
        <v>2968.87</v>
      </c>
      <c r="R106">
        <v>0.16900000000000001</v>
      </c>
      <c r="S106">
        <v>0</v>
      </c>
      <c r="T106">
        <v>5</v>
      </c>
      <c r="U106" t="s">
        <v>1474</v>
      </c>
      <c r="V106">
        <v>12335.654849999999</v>
      </c>
      <c r="W106">
        <v>7027.7999999999993</v>
      </c>
      <c r="X106">
        <v>5307.8548499999997</v>
      </c>
      <c r="Y106">
        <v>0.4302856163327235</v>
      </c>
    </row>
    <row r="107" spans="1:25" x14ac:dyDescent="0.3">
      <c r="A107" t="s">
        <v>309</v>
      </c>
      <c r="B107">
        <v>45433</v>
      </c>
      <c r="C107">
        <v>45439</v>
      </c>
      <c r="D107" t="s">
        <v>1486</v>
      </c>
      <c r="E107" t="s">
        <v>1394</v>
      </c>
      <c r="F107">
        <v>6</v>
      </c>
      <c r="G107">
        <v>1</v>
      </c>
      <c r="H107" t="s">
        <v>16</v>
      </c>
      <c r="I107" t="s">
        <v>148</v>
      </c>
      <c r="J107" t="s">
        <v>149</v>
      </c>
      <c r="K107" t="s">
        <v>39</v>
      </c>
      <c r="L107" t="s">
        <v>28</v>
      </c>
      <c r="M107" t="s">
        <v>110</v>
      </c>
      <c r="N107" t="s">
        <v>22</v>
      </c>
      <c r="O107" t="s">
        <v>310</v>
      </c>
      <c r="P107">
        <v>1157.51</v>
      </c>
      <c r="Q107">
        <v>1394.3</v>
      </c>
      <c r="R107">
        <v>0.27800000000000002</v>
      </c>
      <c r="S107">
        <v>1</v>
      </c>
      <c r="T107">
        <v>12</v>
      </c>
      <c r="U107" t="s">
        <v>1485</v>
      </c>
      <c r="V107">
        <v>12080.215199999999</v>
      </c>
      <c r="W107">
        <v>13890.119999999999</v>
      </c>
      <c r="X107">
        <v>-1809.9048000000003</v>
      </c>
      <c r="Y107">
        <v>-0.14982388724333326</v>
      </c>
    </row>
    <row r="108" spans="1:25" x14ac:dyDescent="0.3">
      <c r="A108" t="s">
        <v>311</v>
      </c>
      <c r="B108">
        <v>45057</v>
      </c>
      <c r="C108">
        <v>45084</v>
      </c>
      <c r="D108" t="s">
        <v>1490</v>
      </c>
      <c r="E108" t="s">
        <v>1382</v>
      </c>
      <c r="F108">
        <v>27</v>
      </c>
      <c r="G108">
        <v>0</v>
      </c>
      <c r="H108" t="s">
        <v>16</v>
      </c>
      <c r="I108" t="s">
        <v>17</v>
      </c>
      <c r="J108" t="s">
        <v>113</v>
      </c>
      <c r="K108" t="s">
        <v>19</v>
      </c>
      <c r="L108" t="s">
        <v>28</v>
      </c>
      <c r="M108" t="s">
        <v>29</v>
      </c>
      <c r="N108" t="s">
        <v>42</v>
      </c>
      <c r="O108" t="s">
        <v>312</v>
      </c>
      <c r="P108">
        <v>12.85</v>
      </c>
      <c r="Q108">
        <v>15.41</v>
      </c>
      <c r="R108">
        <v>0.13700000000000001</v>
      </c>
      <c r="S108">
        <v>0</v>
      </c>
      <c r="T108">
        <v>39</v>
      </c>
      <c r="U108" t="s">
        <v>1480</v>
      </c>
      <c r="V108">
        <v>518.65436999999997</v>
      </c>
      <c r="W108">
        <v>501.15</v>
      </c>
      <c r="X108">
        <v>17.504369999999994</v>
      </c>
      <c r="Y108">
        <v>3.3749585489851353E-2</v>
      </c>
    </row>
    <row r="109" spans="1:25" x14ac:dyDescent="0.3">
      <c r="A109" t="s">
        <v>313</v>
      </c>
      <c r="B109">
        <v>45518</v>
      </c>
      <c r="C109">
        <v>45539</v>
      </c>
      <c r="D109" t="s">
        <v>1491</v>
      </c>
      <c r="E109" t="s">
        <v>1397</v>
      </c>
      <c r="F109">
        <v>21</v>
      </c>
      <c r="G109">
        <v>0</v>
      </c>
      <c r="H109" t="s">
        <v>78</v>
      </c>
      <c r="I109" t="s">
        <v>108</v>
      </c>
      <c r="J109" t="s">
        <v>228</v>
      </c>
      <c r="K109" t="s">
        <v>39</v>
      </c>
      <c r="L109" t="s">
        <v>28</v>
      </c>
      <c r="M109" t="s">
        <v>29</v>
      </c>
      <c r="N109" t="s">
        <v>42</v>
      </c>
      <c r="O109" t="s">
        <v>314</v>
      </c>
      <c r="P109">
        <v>1138.8</v>
      </c>
      <c r="Q109">
        <v>2250.81</v>
      </c>
      <c r="R109">
        <v>0.123</v>
      </c>
      <c r="S109">
        <v>0</v>
      </c>
      <c r="T109">
        <v>12</v>
      </c>
      <c r="U109" t="s">
        <v>1474</v>
      </c>
      <c r="V109">
        <v>23687.524440000001</v>
      </c>
      <c r="W109">
        <v>13665.599999999999</v>
      </c>
      <c r="X109">
        <v>10021.924440000003</v>
      </c>
      <c r="Y109">
        <v>0.42308872188756258</v>
      </c>
    </row>
    <row r="110" spans="1:25" x14ac:dyDescent="0.3">
      <c r="A110" t="s">
        <v>315</v>
      </c>
      <c r="B110">
        <v>45581</v>
      </c>
      <c r="C110">
        <v>45604</v>
      </c>
      <c r="D110" t="s">
        <v>1481</v>
      </c>
      <c r="E110" t="s">
        <v>1399</v>
      </c>
      <c r="F110">
        <v>23</v>
      </c>
      <c r="G110">
        <v>0</v>
      </c>
      <c r="H110" t="s">
        <v>45</v>
      </c>
      <c r="I110" t="s">
        <v>46</v>
      </c>
      <c r="J110" t="s">
        <v>47</v>
      </c>
      <c r="K110" t="s">
        <v>62</v>
      </c>
      <c r="L110" t="s">
        <v>20</v>
      </c>
      <c r="M110" t="s">
        <v>29</v>
      </c>
      <c r="N110" t="s">
        <v>35</v>
      </c>
      <c r="O110" t="s">
        <v>316</v>
      </c>
      <c r="P110">
        <v>82.14</v>
      </c>
      <c r="Q110">
        <v>166.04</v>
      </c>
      <c r="R110">
        <v>0</v>
      </c>
      <c r="S110">
        <v>0</v>
      </c>
      <c r="T110">
        <v>10</v>
      </c>
      <c r="U110" t="s">
        <v>1480</v>
      </c>
      <c r="V110">
        <v>1660.3999999999999</v>
      </c>
      <c r="W110">
        <v>821.4</v>
      </c>
      <c r="X110">
        <v>838.99999999999989</v>
      </c>
      <c r="Y110">
        <v>0.50529992772825827</v>
      </c>
    </row>
    <row r="111" spans="1:25" x14ac:dyDescent="0.3">
      <c r="A111" t="s">
        <v>317</v>
      </c>
      <c r="B111">
        <v>45445</v>
      </c>
      <c r="C111">
        <v>45451</v>
      </c>
      <c r="D111" t="s">
        <v>1486</v>
      </c>
      <c r="E111" t="s">
        <v>1395</v>
      </c>
      <c r="F111">
        <v>6</v>
      </c>
      <c r="G111">
        <v>1</v>
      </c>
      <c r="H111" t="s">
        <v>16</v>
      </c>
      <c r="I111" t="s">
        <v>17</v>
      </c>
      <c r="J111" t="s">
        <v>18</v>
      </c>
      <c r="K111" t="s">
        <v>48</v>
      </c>
      <c r="L111" t="s">
        <v>40</v>
      </c>
      <c r="M111" t="s">
        <v>75</v>
      </c>
      <c r="N111" t="s">
        <v>81</v>
      </c>
      <c r="O111" t="s">
        <v>318</v>
      </c>
      <c r="P111">
        <v>292.94</v>
      </c>
      <c r="Q111">
        <v>356.55</v>
      </c>
      <c r="R111">
        <v>0.22900000000000001</v>
      </c>
      <c r="S111">
        <v>1</v>
      </c>
      <c r="T111">
        <v>2</v>
      </c>
      <c r="U111" t="s">
        <v>1480</v>
      </c>
      <c r="V111">
        <v>549.80010000000004</v>
      </c>
      <c r="W111">
        <v>585.88</v>
      </c>
      <c r="X111">
        <v>-36.079899999999952</v>
      </c>
      <c r="Y111">
        <v>-6.5623669402751925E-2</v>
      </c>
    </row>
    <row r="112" spans="1:25" x14ac:dyDescent="0.3">
      <c r="A112" t="s">
        <v>319</v>
      </c>
      <c r="B112">
        <v>45452</v>
      </c>
      <c r="C112">
        <v>45480</v>
      </c>
      <c r="D112" t="s">
        <v>1486</v>
      </c>
      <c r="E112" t="s">
        <v>1395</v>
      </c>
      <c r="F112">
        <v>28</v>
      </c>
      <c r="G112">
        <v>0</v>
      </c>
      <c r="H112" t="s">
        <v>45</v>
      </c>
      <c r="I112" t="s">
        <v>116</v>
      </c>
      <c r="J112" t="s">
        <v>117</v>
      </c>
      <c r="K112" t="s">
        <v>19</v>
      </c>
      <c r="L112" t="s">
        <v>28</v>
      </c>
      <c r="M112" t="s">
        <v>29</v>
      </c>
      <c r="N112" t="s">
        <v>22</v>
      </c>
      <c r="O112" t="s">
        <v>320</v>
      </c>
      <c r="P112">
        <v>550.22</v>
      </c>
      <c r="Q112">
        <v>1025.05</v>
      </c>
      <c r="R112">
        <v>0</v>
      </c>
      <c r="S112">
        <v>0</v>
      </c>
      <c r="T112">
        <v>27</v>
      </c>
      <c r="U112" t="s">
        <v>1485</v>
      </c>
      <c r="V112">
        <v>27676.35</v>
      </c>
      <c r="W112">
        <v>14855.94</v>
      </c>
      <c r="X112">
        <v>12820.409999999998</v>
      </c>
      <c r="Y112">
        <v>0.46322618408858102</v>
      </c>
    </row>
    <row r="113" spans="1:25" x14ac:dyDescent="0.3">
      <c r="A113" t="s">
        <v>321</v>
      </c>
      <c r="B113">
        <v>45453</v>
      </c>
      <c r="C113">
        <v>45454</v>
      </c>
      <c r="D113" t="s">
        <v>1486</v>
      </c>
      <c r="E113" t="s">
        <v>1395</v>
      </c>
      <c r="F113">
        <v>1</v>
      </c>
      <c r="G113">
        <v>1</v>
      </c>
      <c r="H113" t="s">
        <v>78</v>
      </c>
      <c r="I113" t="s">
        <v>108</v>
      </c>
      <c r="J113" t="s">
        <v>109</v>
      </c>
      <c r="K113" t="s">
        <v>62</v>
      </c>
      <c r="L113" t="s">
        <v>40</v>
      </c>
      <c r="M113" t="s">
        <v>110</v>
      </c>
      <c r="N113" t="s">
        <v>57</v>
      </c>
      <c r="O113" t="s">
        <v>322</v>
      </c>
      <c r="P113">
        <v>1187.1300000000001</v>
      </c>
      <c r="Q113">
        <v>1795.17</v>
      </c>
      <c r="R113">
        <v>1.2E-2</v>
      </c>
      <c r="S113">
        <v>0</v>
      </c>
      <c r="T113">
        <v>17</v>
      </c>
      <c r="U113" t="s">
        <v>1474</v>
      </c>
      <c r="V113">
        <v>30151.675319999998</v>
      </c>
      <c r="W113">
        <v>20181.210000000003</v>
      </c>
      <c r="X113">
        <v>9970.4653199999957</v>
      </c>
      <c r="Y113">
        <v>0.33067699271046663</v>
      </c>
    </row>
    <row r="114" spans="1:25" x14ac:dyDescent="0.3">
      <c r="A114" t="s">
        <v>323</v>
      </c>
      <c r="B114">
        <v>45472</v>
      </c>
      <c r="C114">
        <v>45499</v>
      </c>
      <c r="D114" t="s">
        <v>1486</v>
      </c>
      <c r="E114" t="s">
        <v>1395</v>
      </c>
      <c r="F114">
        <v>27</v>
      </c>
      <c r="G114">
        <v>0</v>
      </c>
      <c r="H114" t="s">
        <v>16</v>
      </c>
      <c r="I114" t="s">
        <v>148</v>
      </c>
      <c r="J114" t="s">
        <v>172</v>
      </c>
      <c r="K114" t="s">
        <v>105</v>
      </c>
      <c r="L114" t="s">
        <v>55</v>
      </c>
      <c r="M114" t="s">
        <v>56</v>
      </c>
      <c r="N114" t="s">
        <v>35</v>
      </c>
      <c r="O114" t="s">
        <v>324</v>
      </c>
      <c r="P114">
        <v>5.36</v>
      </c>
      <c r="Q114">
        <v>4.37</v>
      </c>
      <c r="R114">
        <v>0.11799999999999999</v>
      </c>
      <c r="S114">
        <v>0</v>
      </c>
      <c r="T114">
        <v>9</v>
      </c>
      <c r="U114" t="s">
        <v>1480</v>
      </c>
      <c r="V114">
        <v>34.689059999999998</v>
      </c>
      <c r="W114">
        <v>48.24</v>
      </c>
      <c r="X114">
        <v>-13.550940000000004</v>
      </c>
      <c r="Y114">
        <v>-0.39064016148030545</v>
      </c>
    </row>
    <row r="115" spans="1:25" x14ac:dyDescent="0.3">
      <c r="A115" t="s">
        <v>325</v>
      </c>
      <c r="B115">
        <v>45674</v>
      </c>
      <c r="C115">
        <v>45681</v>
      </c>
      <c r="D115" t="s">
        <v>1483</v>
      </c>
      <c r="E115" t="s">
        <v>1402</v>
      </c>
      <c r="F115">
        <v>7</v>
      </c>
      <c r="G115">
        <v>1</v>
      </c>
      <c r="H115" t="s">
        <v>52</v>
      </c>
      <c r="I115" t="s">
        <v>122</v>
      </c>
      <c r="J115" t="s">
        <v>326</v>
      </c>
      <c r="K115" t="s">
        <v>105</v>
      </c>
      <c r="L115" t="s">
        <v>28</v>
      </c>
      <c r="M115" t="s">
        <v>41</v>
      </c>
      <c r="N115" t="s">
        <v>81</v>
      </c>
      <c r="O115" t="s">
        <v>327</v>
      </c>
      <c r="P115">
        <v>142.09</v>
      </c>
      <c r="Q115">
        <v>218.5</v>
      </c>
      <c r="R115">
        <v>0.11899999999999999</v>
      </c>
      <c r="S115">
        <v>0</v>
      </c>
      <c r="T115">
        <v>11</v>
      </c>
      <c r="U115" t="s">
        <v>1480</v>
      </c>
      <c r="V115">
        <v>2117.4834999999998</v>
      </c>
      <c r="W115">
        <v>1562.99</v>
      </c>
      <c r="X115">
        <v>554.49349999999981</v>
      </c>
      <c r="Y115">
        <v>0.26186437816398561</v>
      </c>
    </row>
    <row r="116" spans="1:25" x14ac:dyDescent="0.3">
      <c r="A116" t="s">
        <v>328</v>
      </c>
      <c r="B116">
        <v>45250</v>
      </c>
      <c r="C116">
        <v>45265</v>
      </c>
      <c r="D116" t="s">
        <v>1484</v>
      </c>
      <c r="E116" t="s">
        <v>1388</v>
      </c>
      <c r="F116">
        <v>15</v>
      </c>
      <c r="G116">
        <v>0</v>
      </c>
      <c r="H116" t="s">
        <v>45</v>
      </c>
      <c r="I116" t="s">
        <v>46</v>
      </c>
      <c r="J116" t="s">
        <v>214</v>
      </c>
      <c r="K116" t="s">
        <v>105</v>
      </c>
      <c r="L116" t="s">
        <v>20</v>
      </c>
      <c r="M116" t="s">
        <v>49</v>
      </c>
      <c r="N116" t="s">
        <v>35</v>
      </c>
      <c r="O116" t="s">
        <v>329</v>
      </c>
      <c r="P116">
        <v>354.24</v>
      </c>
      <c r="Q116">
        <v>249.87</v>
      </c>
      <c r="R116">
        <v>0</v>
      </c>
      <c r="S116">
        <v>0</v>
      </c>
      <c r="T116">
        <v>6</v>
      </c>
      <c r="U116" t="s">
        <v>1480</v>
      </c>
      <c r="V116">
        <v>1499.22</v>
      </c>
      <c r="W116">
        <v>2125.44</v>
      </c>
      <c r="X116">
        <v>-626.22</v>
      </c>
      <c r="Y116">
        <v>-0.41769720254532355</v>
      </c>
    </row>
    <row r="117" spans="1:25" x14ac:dyDescent="0.3">
      <c r="A117" t="s">
        <v>330</v>
      </c>
      <c r="B117">
        <v>44987</v>
      </c>
      <c r="C117">
        <v>44990</v>
      </c>
      <c r="D117" t="s">
        <v>1482</v>
      </c>
      <c r="E117" t="s">
        <v>1380</v>
      </c>
      <c r="F117">
        <v>3</v>
      </c>
      <c r="G117">
        <v>1</v>
      </c>
      <c r="H117" t="s">
        <v>52</v>
      </c>
      <c r="I117" t="s">
        <v>73</v>
      </c>
      <c r="J117" t="s">
        <v>87</v>
      </c>
      <c r="K117" t="s">
        <v>105</v>
      </c>
      <c r="L117" t="s">
        <v>98</v>
      </c>
      <c r="M117" t="s">
        <v>41</v>
      </c>
      <c r="N117" t="s">
        <v>64</v>
      </c>
      <c r="O117" t="s">
        <v>331</v>
      </c>
      <c r="P117">
        <v>1473.58</v>
      </c>
      <c r="Q117">
        <v>3436.52</v>
      </c>
      <c r="R117">
        <v>0.108</v>
      </c>
      <c r="S117">
        <v>0</v>
      </c>
      <c r="T117">
        <v>8</v>
      </c>
      <c r="U117" t="s">
        <v>1474</v>
      </c>
      <c r="V117">
        <v>24523.006720000001</v>
      </c>
      <c r="W117">
        <v>11788.64</v>
      </c>
      <c r="X117">
        <v>12734.366720000002</v>
      </c>
      <c r="Y117">
        <v>0.51928243813652564</v>
      </c>
    </row>
    <row r="118" spans="1:25" x14ac:dyDescent="0.3">
      <c r="A118" t="s">
        <v>332</v>
      </c>
      <c r="B118">
        <v>45811</v>
      </c>
      <c r="C118">
        <v>45818</v>
      </c>
      <c r="D118" t="s">
        <v>1487</v>
      </c>
      <c r="E118" t="s">
        <v>1407</v>
      </c>
      <c r="F118">
        <v>7</v>
      </c>
      <c r="G118">
        <v>1</v>
      </c>
      <c r="H118" t="s">
        <v>52</v>
      </c>
      <c r="I118" t="s">
        <v>53</v>
      </c>
      <c r="J118" t="s">
        <v>54</v>
      </c>
      <c r="K118" t="s">
        <v>48</v>
      </c>
      <c r="L118" t="s">
        <v>55</v>
      </c>
      <c r="M118" t="s">
        <v>68</v>
      </c>
      <c r="N118" t="s">
        <v>30</v>
      </c>
      <c r="O118" t="s">
        <v>333</v>
      </c>
      <c r="P118">
        <v>75.180000000000007</v>
      </c>
      <c r="Q118">
        <v>53.45</v>
      </c>
      <c r="R118">
        <v>0.157</v>
      </c>
      <c r="S118">
        <v>0</v>
      </c>
      <c r="T118">
        <v>17</v>
      </c>
      <c r="U118" t="s">
        <v>1480</v>
      </c>
      <c r="V118">
        <v>765.99195000000009</v>
      </c>
      <c r="W118">
        <v>1278.0600000000002</v>
      </c>
      <c r="X118">
        <v>-512.06805000000008</v>
      </c>
      <c r="Y118">
        <v>-0.66850317421743144</v>
      </c>
    </row>
    <row r="119" spans="1:25" x14ac:dyDescent="0.3">
      <c r="A119" t="s">
        <v>334</v>
      </c>
      <c r="B119">
        <v>45653</v>
      </c>
      <c r="C119">
        <v>45659</v>
      </c>
      <c r="D119" t="s">
        <v>1481</v>
      </c>
      <c r="E119" t="s">
        <v>1401</v>
      </c>
      <c r="F119">
        <v>6</v>
      </c>
      <c r="G119">
        <v>1</v>
      </c>
      <c r="H119" t="s">
        <v>78</v>
      </c>
      <c r="I119" t="s">
        <v>79</v>
      </c>
      <c r="J119" t="s">
        <v>335</v>
      </c>
      <c r="K119" t="s">
        <v>27</v>
      </c>
      <c r="L119" t="s">
        <v>98</v>
      </c>
      <c r="M119" t="s">
        <v>84</v>
      </c>
      <c r="N119" t="s">
        <v>57</v>
      </c>
      <c r="O119" t="s">
        <v>336</v>
      </c>
      <c r="P119">
        <v>1391.99</v>
      </c>
      <c r="Q119">
        <v>3469.7</v>
      </c>
      <c r="R119">
        <v>0.184</v>
      </c>
      <c r="S119">
        <v>0</v>
      </c>
      <c r="T119">
        <v>23</v>
      </c>
      <c r="U119" t="s">
        <v>1474</v>
      </c>
      <c r="V119">
        <v>65119.329599999997</v>
      </c>
      <c r="W119">
        <v>32015.77</v>
      </c>
      <c r="X119">
        <v>33103.559599999993</v>
      </c>
      <c r="Y119">
        <v>0.50835227886006973</v>
      </c>
    </row>
    <row r="120" spans="1:25" x14ac:dyDescent="0.3">
      <c r="A120" t="s">
        <v>337</v>
      </c>
      <c r="B120">
        <v>45086</v>
      </c>
      <c r="C120">
        <v>45096</v>
      </c>
      <c r="D120" t="s">
        <v>1490</v>
      </c>
      <c r="E120" t="s">
        <v>1383</v>
      </c>
      <c r="F120">
        <v>10</v>
      </c>
      <c r="G120">
        <v>0</v>
      </c>
      <c r="H120" t="s">
        <v>45</v>
      </c>
      <c r="I120" t="s">
        <v>116</v>
      </c>
      <c r="J120" t="s">
        <v>338</v>
      </c>
      <c r="K120" t="s">
        <v>105</v>
      </c>
      <c r="L120" t="s">
        <v>20</v>
      </c>
      <c r="M120" t="s">
        <v>84</v>
      </c>
      <c r="N120" t="s">
        <v>64</v>
      </c>
      <c r="O120" t="s">
        <v>339</v>
      </c>
      <c r="P120">
        <v>339.61</v>
      </c>
      <c r="Q120">
        <v>621.02</v>
      </c>
      <c r="R120">
        <v>7.0999999999999994E-2</v>
      </c>
      <c r="S120">
        <v>0</v>
      </c>
      <c r="T120">
        <v>10</v>
      </c>
      <c r="U120" t="s">
        <v>1480</v>
      </c>
      <c r="V120">
        <v>5769.2758000000003</v>
      </c>
      <c r="W120">
        <v>3396.1000000000004</v>
      </c>
      <c r="X120">
        <v>2373.1758</v>
      </c>
      <c r="Y120">
        <v>0.41134726129750981</v>
      </c>
    </row>
    <row r="121" spans="1:25" x14ac:dyDescent="0.3">
      <c r="A121" t="s">
        <v>340</v>
      </c>
      <c r="B121">
        <v>45847</v>
      </c>
      <c r="C121">
        <v>45856</v>
      </c>
      <c r="D121" t="s">
        <v>1488</v>
      </c>
      <c r="E121" t="s">
        <v>1408</v>
      </c>
      <c r="F121">
        <v>9</v>
      </c>
      <c r="G121">
        <v>0</v>
      </c>
      <c r="H121" t="s">
        <v>52</v>
      </c>
      <c r="I121" t="s">
        <v>53</v>
      </c>
      <c r="J121" t="s">
        <v>179</v>
      </c>
      <c r="K121" t="s">
        <v>27</v>
      </c>
      <c r="L121" t="s">
        <v>55</v>
      </c>
      <c r="M121" t="s">
        <v>34</v>
      </c>
      <c r="N121" t="s">
        <v>57</v>
      </c>
      <c r="O121" t="s">
        <v>341</v>
      </c>
      <c r="P121">
        <v>57.96</v>
      </c>
      <c r="Q121">
        <v>88.51</v>
      </c>
      <c r="R121">
        <v>4.2999999999999997E-2</v>
      </c>
      <c r="S121">
        <v>0</v>
      </c>
      <c r="T121">
        <v>7</v>
      </c>
      <c r="U121" t="s">
        <v>1480</v>
      </c>
      <c r="V121">
        <v>592.92849000000001</v>
      </c>
      <c r="W121">
        <v>405.72</v>
      </c>
      <c r="X121">
        <v>187.20848999999998</v>
      </c>
      <c r="Y121">
        <v>0.3157353595877978</v>
      </c>
    </row>
    <row r="122" spans="1:25" x14ac:dyDescent="0.3">
      <c r="A122" t="s">
        <v>342</v>
      </c>
      <c r="B122">
        <v>45827</v>
      </c>
      <c r="C122">
        <v>45850</v>
      </c>
      <c r="D122" t="s">
        <v>1487</v>
      </c>
      <c r="E122" t="s">
        <v>1407</v>
      </c>
      <c r="F122">
        <v>23</v>
      </c>
      <c r="G122">
        <v>0</v>
      </c>
      <c r="H122" t="s">
        <v>78</v>
      </c>
      <c r="I122" t="s">
        <v>108</v>
      </c>
      <c r="J122" t="s">
        <v>152</v>
      </c>
      <c r="K122" t="s">
        <v>39</v>
      </c>
      <c r="L122" t="s">
        <v>98</v>
      </c>
      <c r="M122" t="s">
        <v>63</v>
      </c>
      <c r="N122" t="s">
        <v>35</v>
      </c>
      <c r="O122" t="s">
        <v>343</v>
      </c>
      <c r="P122">
        <v>801.24</v>
      </c>
      <c r="Q122">
        <v>1959.09</v>
      </c>
      <c r="R122">
        <v>0.123</v>
      </c>
      <c r="S122">
        <v>0</v>
      </c>
      <c r="T122">
        <v>23</v>
      </c>
      <c r="U122" t="s">
        <v>1474</v>
      </c>
      <c r="V122">
        <v>39516.804389999998</v>
      </c>
      <c r="W122">
        <v>18428.52</v>
      </c>
      <c r="X122">
        <v>21088.284389999997</v>
      </c>
      <c r="Y122">
        <v>0.53365358650651762</v>
      </c>
    </row>
    <row r="123" spans="1:25" x14ac:dyDescent="0.3">
      <c r="A123" t="s">
        <v>344</v>
      </c>
      <c r="B123">
        <v>45249</v>
      </c>
      <c r="C123">
        <v>45273</v>
      </c>
      <c r="D123" t="s">
        <v>1484</v>
      </c>
      <c r="E123" t="s">
        <v>1388</v>
      </c>
      <c r="F123">
        <v>24</v>
      </c>
      <c r="G123">
        <v>0</v>
      </c>
      <c r="H123" t="s">
        <v>78</v>
      </c>
      <c r="I123" t="s">
        <v>90</v>
      </c>
      <c r="J123" t="s">
        <v>138</v>
      </c>
      <c r="K123" t="s">
        <v>39</v>
      </c>
      <c r="L123" t="s">
        <v>98</v>
      </c>
      <c r="M123" t="s">
        <v>92</v>
      </c>
      <c r="N123" t="s">
        <v>64</v>
      </c>
      <c r="O123" t="s">
        <v>345</v>
      </c>
      <c r="P123">
        <v>1297.42</v>
      </c>
      <c r="Q123">
        <v>2742.97</v>
      </c>
      <c r="R123">
        <v>6.9000000000000006E-2</v>
      </c>
      <c r="S123">
        <v>0</v>
      </c>
      <c r="T123">
        <v>9</v>
      </c>
      <c r="U123" t="s">
        <v>1474</v>
      </c>
      <c r="V123">
        <v>22983.34563</v>
      </c>
      <c r="W123">
        <v>11676.78</v>
      </c>
      <c r="X123">
        <v>11306.565629999999</v>
      </c>
      <c r="Y123">
        <v>0.49194602961727291</v>
      </c>
    </row>
    <row r="124" spans="1:25" x14ac:dyDescent="0.3">
      <c r="A124" t="s">
        <v>346</v>
      </c>
      <c r="B124">
        <v>45289</v>
      </c>
      <c r="C124">
        <v>45311</v>
      </c>
      <c r="D124" t="s">
        <v>1484</v>
      </c>
      <c r="E124" t="s">
        <v>1389</v>
      </c>
      <c r="F124">
        <v>22</v>
      </c>
      <c r="G124">
        <v>0</v>
      </c>
      <c r="H124" t="s">
        <v>16</v>
      </c>
      <c r="I124" t="s">
        <v>17</v>
      </c>
      <c r="J124" t="s">
        <v>18</v>
      </c>
      <c r="K124" t="s">
        <v>19</v>
      </c>
      <c r="L124" t="s">
        <v>98</v>
      </c>
      <c r="M124" t="s">
        <v>49</v>
      </c>
      <c r="N124" t="s">
        <v>42</v>
      </c>
      <c r="O124" t="s">
        <v>347</v>
      </c>
      <c r="P124">
        <v>1395.49</v>
      </c>
      <c r="Q124">
        <v>1679.42</v>
      </c>
      <c r="R124">
        <v>0.20300000000000001</v>
      </c>
      <c r="S124">
        <v>1</v>
      </c>
      <c r="T124">
        <v>12</v>
      </c>
      <c r="U124" t="s">
        <v>1474</v>
      </c>
      <c r="V124">
        <v>16061.972879999999</v>
      </c>
      <c r="W124">
        <v>16745.88</v>
      </c>
      <c r="X124">
        <v>-683.90712000000167</v>
      </c>
      <c r="Y124">
        <v>-4.2579272490964493E-2</v>
      </c>
    </row>
    <row r="125" spans="1:25" x14ac:dyDescent="0.3">
      <c r="A125" t="s">
        <v>348</v>
      </c>
      <c r="B125">
        <v>45598</v>
      </c>
      <c r="C125">
        <v>45625</v>
      </c>
      <c r="D125" t="s">
        <v>1481</v>
      </c>
      <c r="E125" t="s">
        <v>1400</v>
      </c>
      <c r="F125">
        <v>27</v>
      </c>
      <c r="G125">
        <v>0</v>
      </c>
      <c r="H125" t="s">
        <v>52</v>
      </c>
      <c r="I125" t="s">
        <v>73</v>
      </c>
      <c r="J125" t="s">
        <v>87</v>
      </c>
      <c r="K125" t="s">
        <v>62</v>
      </c>
      <c r="L125" t="s">
        <v>98</v>
      </c>
      <c r="M125" t="s">
        <v>34</v>
      </c>
      <c r="N125" t="s">
        <v>35</v>
      </c>
      <c r="O125" t="s">
        <v>349</v>
      </c>
      <c r="P125">
        <v>1363.51</v>
      </c>
      <c r="Q125">
        <v>1433.9</v>
      </c>
      <c r="R125">
        <v>5.7000000000000002E-2</v>
      </c>
      <c r="S125">
        <v>0</v>
      </c>
      <c r="T125">
        <v>8</v>
      </c>
      <c r="U125" t="s">
        <v>1485</v>
      </c>
      <c r="V125">
        <v>10817.3416</v>
      </c>
      <c r="W125">
        <v>10908.08</v>
      </c>
      <c r="X125">
        <v>-90.738400000000183</v>
      </c>
      <c r="Y125">
        <v>-8.3882346842037592E-3</v>
      </c>
    </row>
    <row r="126" spans="1:25" x14ac:dyDescent="0.3">
      <c r="A126" t="s">
        <v>350</v>
      </c>
      <c r="B126">
        <v>45159</v>
      </c>
      <c r="C126">
        <v>45173</v>
      </c>
      <c r="D126" t="s">
        <v>1492</v>
      </c>
      <c r="E126" t="s">
        <v>1385</v>
      </c>
      <c r="F126">
        <v>14</v>
      </c>
      <c r="G126">
        <v>0</v>
      </c>
      <c r="H126" t="s">
        <v>52</v>
      </c>
      <c r="I126" t="s">
        <v>53</v>
      </c>
      <c r="J126" t="s">
        <v>144</v>
      </c>
      <c r="K126" t="s">
        <v>27</v>
      </c>
      <c r="L126" t="s">
        <v>55</v>
      </c>
      <c r="M126" t="s">
        <v>84</v>
      </c>
      <c r="N126" t="s">
        <v>22</v>
      </c>
      <c r="O126" t="s">
        <v>351</v>
      </c>
      <c r="P126">
        <v>178.19</v>
      </c>
      <c r="Q126">
        <v>284.43</v>
      </c>
      <c r="R126">
        <v>8.8999999999999996E-2</v>
      </c>
      <c r="S126">
        <v>0</v>
      </c>
      <c r="T126">
        <v>8</v>
      </c>
      <c r="U126" t="s">
        <v>1480</v>
      </c>
      <c r="V126">
        <v>2072.9258400000003</v>
      </c>
      <c r="W126">
        <v>1425.52</v>
      </c>
      <c r="X126">
        <v>647.40584000000035</v>
      </c>
      <c r="Y126">
        <v>0.31231500302972742</v>
      </c>
    </row>
    <row r="127" spans="1:25" x14ac:dyDescent="0.3">
      <c r="A127" t="s">
        <v>352</v>
      </c>
      <c r="B127">
        <v>45150</v>
      </c>
      <c r="C127">
        <v>45175</v>
      </c>
      <c r="D127" t="s">
        <v>1492</v>
      </c>
      <c r="E127" t="s">
        <v>1385</v>
      </c>
      <c r="F127">
        <v>25</v>
      </c>
      <c r="G127">
        <v>0</v>
      </c>
      <c r="H127" t="s">
        <v>45</v>
      </c>
      <c r="I127" t="s">
        <v>116</v>
      </c>
      <c r="J127" t="s">
        <v>162</v>
      </c>
      <c r="K127" t="s">
        <v>62</v>
      </c>
      <c r="L127" t="s">
        <v>20</v>
      </c>
      <c r="M127" t="s">
        <v>56</v>
      </c>
      <c r="N127" t="s">
        <v>22</v>
      </c>
      <c r="O127" t="s">
        <v>353</v>
      </c>
      <c r="P127">
        <v>950.77</v>
      </c>
      <c r="Q127">
        <v>694.78</v>
      </c>
      <c r="R127">
        <v>8.4000000000000005E-2</v>
      </c>
      <c r="S127">
        <v>0</v>
      </c>
      <c r="T127">
        <v>14</v>
      </c>
      <c r="U127" t="s">
        <v>1480</v>
      </c>
      <c r="V127">
        <v>8909.8587200000002</v>
      </c>
      <c r="W127">
        <v>13310.779999999999</v>
      </c>
      <c r="X127">
        <v>-4400.9212799999987</v>
      </c>
      <c r="Y127">
        <v>-0.49393839097821279</v>
      </c>
    </row>
    <row r="128" spans="1:25" x14ac:dyDescent="0.3">
      <c r="A128" t="s">
        <v>354</v>
      </c>
      <c r="B128">
        <v>45450</v>
      </c>
      <c r="C128">
        <v>45469</v>
      </c>
      <c r="D128" t="s">
        <v>1486</v>
      </c>
      <c r="E128" t="s">
        <v>1395</v>
      </c>
      <c r="F128">
        <v>19</v>
      </c>
      <c r="G128">
        <v>0</v>
      </c>
      <c r="H128" t="s">
        <v>78</v>
      </c>
      <c r="I128" t="s">
        <v>79</v>
      </c>
      <c r="J128" t="s">
        <v>80</v>
      </c>
      <c r="K128" t="s">
        <v>39</v>
      </c>
      <c r="L128" t="s">
        <v>40</v>
      </c>
      <c r="M128" t="s">
        <v>110</v>
      </c>
      <c r="N128" t="s">
        <v>22</v>
      </c>
      <c r="O128" t="s">
        <v>355</v>
      </c>
      <c r="P128">
        <v>1064.32</v>
      </c>
      <c r="Q128">
        <v>1848.39</v>
      </c>
      <c r="R128">
        <v>7.2999999999999995E-2</v>
      </c>
      <c r="S128">
        <v>0</v>
      </c>
      <c r="T128">
        <v>38</v>
      </c>
      <c r="U128" t="s">
        <v>1474</v>
      </c>
      <c r="V128">
        <v>65111.38614000001</v>
      </c>
      <c r="W128">
        <v>40444.159999999996</v>
      </c>
      <c r="X128">
        <v>24667.226140000013</v>
      </c>
      <c r="Y128">
        <v>0.3788465827921631</v>
      </c>
    </row>
    <row r="129" spans="1:25" x14ac:dyDescent="0.3">
      <c r="A129" t="s">
        <v>356</v>
      </c>
      <c r="B129">
        <v>45874</v>
      </c>
      <c r="C129">
        <v>45883</v>
      </c>
      <c r="D129" t="s">
        <v>1488</v>
      </c>
      <c r="E129" t="s">
        <v>1409</v>
      </c>
      <c r="F129">
        <v>9</v>
      </c>
      <c r="G129">
        <v>0</v>
      </c>
      <c r="H129" t="s">
        <v>78</v>
      </c>
      <c r="I129" t="s">
        <v>108</v>
      </c>
      <c r="J129" t="s">
        <v>152</v>
      </c>
      <c r="K129" t="s">
        <v>39</v>
      </c>
      <c r="L129" t="s">
        <v>98</v>
      </c>
      <c r="M129" t="s">
        <v>63</v>
      </c>
      <c r="N129" t="s">
        <v>22</v>
      </c>
      <c r="O129" t="s">
        <v>357</v>
      </c>
      <c r="P129">
        <v>41.76</v>
      </c>
      <c r="Q129">
        <v>45.19</v>
      </c>
      <c r="R129">
        <v>0.17899999999999999</v>
      </c>
      <c r="S129">
        <v>0</v>
      </c>
      <c r="T129">
        <v>23</v>
      </c>
      <c r="U129" t="s">
        <v>1480</v>
      </c>
      <c r="V129">
        <v>853.32276999999988</v>
      </c>
      <c r="W129">
        <v>960.4799999999999</v>
      </c>
      <c r="X129">
        <v>-107.15723000000003</v>
      </c>
      <c r="Y129">
        <v>-0.12557643340514638</v>
      </c>
    </row>
    <row r="130" spans="1:25" x14ac:dyDescent="0.3">
      <c r="A130" t="s">
        <v>358</v>
      </c>
      <c r="B130">
        <v>45442</v>
      </c>
      <c r="C130">
        <v>45456</v>
      </c>
      <c r="D130" t="s">
        <v>1486</v>
      </c>
      <c r="E130" t="s">
        <v>1394</v>
      </c>
      <c r="F130">
        <v>14</v>
      </c>
      <c r="G130">
        <v>0</v>
      </c>
      <c r="H130" t="s">
        <v>52</v>
      </c>
      <c r="I130" t="s">
        <v>122</v>
      </c>
      <c r="J130" t="s">
        <v>167</v>
      </c>
      <c r="K130" t="s">
        <v>62</v>
      </c>
      <c r="L130" t="s">
        <v>20</v>
      </c>
      <c r="M130" t="s">
        <v>84</v>
      </c>
      <c r="N130" t="s">
        <v>42</v>
      </c>
      <c r="O130" t="s">
        <v>359</v>
      </c>
      <c r="P130">
        <v>157.78</v>
      </c>
      <c r="Q130">
        <v>361.1</v>
      </c>
      <c r="R130">
        <v>0.187</v>
      </c>
      <c r="S130">
        <v>0</v>
      </c>
      <c r="T130">
        <v>9</v>
      </c>
      <c r="U130" t="s">
        <v>1480</v>
      </c>
      <c r="V130">
        <v>2642.1686999999997</v>
      </c>
      <c r="W130">
        <v>1420.02</v>
      </c>
      <c r="X130">
        <v>1222.1486999999997</v>
      </c>
      <c r="Y130">
        <v>0.46255513510549112</v>
      </c>
    </row>
    <row r="131" spans="1:25" x14ac:dyDescent="0.3">
      <c r="A131" t="s">
        <v>360</v>
      </c>
      <c r="B131">
        <v>44948</v>
      </c>
      <c r="C131">
        <v>44956</v>
      </c>
      <c r="D131" t="s">
        <v>1482</v>
      </c>
      <c r="E131" t="s">
        <v>1378</v>
      </c>
      <c r="F131">
        <v>8</v>
      </c>
      <c r="G131">
        <v>0</v>
      </c>
      <c r="H131" t="s">
        <v>52</v>
      </c>
      <c r="I131" t="s">
        <v>122</v>
      </c>
      <c r="J131" t="s">
        <v>167</v>
      </c>
      <c r="K131" t="s">
        <v>62</v>
      </c>
      <c r="L131" t="s">
        <v>28</v>
      </c>
      <c r="M131" t="s">
        <v>75</v>
      </c>
      <c r="N131" t="s">
        <v>35</v>
      </c>
      <c r="O131" t="s">
        <v>361</v>
      </c>
      <c r="P131">
        <v>413.52</v>
      </c>
      <c r="Q131">
        <v>1004.34</v>
      </c>
      <c r="R131">
        <v>0.111</v>
      </c>
      <c r="S131">
        <v>0</v>
      </c>
      <c r="T131">
        <v>18</v>
      </c>
      <c r="U131" t="s">
        <v>1485</v>
      </c>
      <c r="V131">
        <v>16071.44868</v>
      </c>
      <c r="W131">
        <v>7443.36</v>
      </c>
      <c r="X131">
        <v>8628.0886800000007</v>
      </c>
      <c r="Y131">
        <v>0.53685817948304593</v>
      </c>
    </row>
    <row r="132" spans="1:25" x14ac:dyDescent="0.3">
      <c r="A132" t="s">
        <v>362</v>
      </c>
      <c r="B132">
        <v>45700</v>
      </c>
      <c r="C132">
        <v>45716</v>
      </c>
      <c r="D132" t="s">
        <v>1483</v>
      </c>
      <c r="E132" t="s">
        <v>1403</v>
      </c>
      <c r="F132">
        <v>16</v>
      </c>
      <c r="G132">
        <v>0</v>
      </c>
      <c r="H132" t="s">
        <v>52</v>
      </c>
      <c r="I132" t="s">
        <v>73</v>
      </c>
      <c r="J132" t="s">
        <v>74</v>
      </c>
      <c r="K132" t="s">
        <v>39</v>
      </c>
      <c r="L132" t="s">
        <v>98</v>
      </c>
      <c r="M132" t="s">
        <v>56</v>
      </c>
      <c r="N132" t="s">
        <v>64</v>
      </c>
      <c r="O132" t="s">
        <v>363</v>
      </c>
      <c r="P132">
        <v>414.95</v>
      </c>
      <c r="Q132">
        <v>1027.73</v>
      </c>
      <c r="R132">
        <v>6.3E-2</v>
      </c>
      <c r="S132">
        <v>0</v>
      </c>
      <c r="T132">
        <v>8</v>
      </c>
      <c r="U132" t="s">
        <v>1485</v>
      </c>
      <c r="V132">
        <v>7703.8640800000003</v>
      </c>
      <c r="W132">
        <v>3319.6</v>
      </c>
      <c r="X132">
        <v>4384.2640800000008</v>
      </c>
      <c r="Y132">
        <v>0.56909935513815568</v>
      </c>
    </row>
    <row r="133" spans="1:25" x14ac:dyDescent="0.3">
      <c r="A133" t="s">
        <v>364</v>
      </c>
      <c r="B133">
        <v>45719</v>
      </c>
      <c r="C133">
        <v>45740</v>
      </c>
      <c r="D133" t="s">
        <v>1483</v>
      </c>
      <c r="E133" t="s">
        <v>1404</v>
      </c>
      <c r="F133">
        <v>21</v>
      </c>
      <c r="G133">
        <v>0</v>
      </c>
      <c r="H133" t="s">
        <v>16</v>
      </c>
      <c r="I133" t="s">
        <v>25</v>
      </c>
      <c r="J133" t="s">
        <v>67</v>
      </c>
      <c r="K133" t="s">
        <v>105</v>
      </c>
      <c r="L133" t="s">
        <v>98</v>
      </c>
      <c r="M133" t="s">
        <v>92</v>
      </c>
      <c r="N133" t="s">
        <v>81</v>
      </c>
      <c r="O133" t="s">
        <v>365</v>
      </c>
      <c r="P133">
        <v>555.95000000000005</v>
      </c>
      <c r="Q133">
        <v>468.09</v>
      </c>
      <c r="R133">
        <v>0.14199999999999999</v>
      </c>
      <c r="S133">
        <v>0</v>
      </c>
      <c r="T133">
        <v>11</v>
      </c>
      <c r="U133" t="s">
        <v>1480</v>
      </c>
      <c r="V133">
        <v>4417.8334199999999</v>
      </c>
      <c r="W133">
        <v>6115.4500000000007</v>
      </c>
      <c r="X133">
        <v>-1697.6165800000008</v>
      </c>
      <c r="Y133">
        <v>-0.38426450674095375</v>
      </c>
    </row>
    <row r="134" spans="1:25" x14ac:dyDescent="0.3">
      <c r="A134" t="s">
        <v>366</v>
      </c>
      <c r="B134">
        <v>44953</v>
      </c>
      <c r="C134">
        <v>44957</v>
      </c>
      <c r="D134" t="s">
        <v>1482</v>
      </c>
      <c r="E134" t="s">
        <v>1378</v>
      </c>
      <c r="F134">
        <v>4</v>
      </c>
      <c r="G134">
        <v>1</v>
      </c>
      <c r="H134" t="s">
        <v>78</v>
      </c>
      <c r="I134" t="s">
        <v>108</v>
      </c>
      <c r="J134" t="s">
        <v>228</v>
      </c>
      <c r="K134" t="s">
        <v>105</v>
      </c>
      <c r="L134" t="s">
        <v>28</v>
      </c>
      <c r="M134" t="s">
        <v>126</v>
      </c>
      <c r="N134" t="s">
        <v>57</v>
      </c>
      <c r="O134" t="s">
        <v>367</v>
      </c>
      <c r="P134">
        <v>941.2</v>
      </c>
      <c r="Q134">
        <v>668.02</v>
      </c>
      <c r="R134">
        <v>0.22</v>
      </c>
      <c r="S134">
        <v>1</v>
      </c>
      <c r="T134">
        <v>16</v>
      </c>
      <c r="U134" t="s">
        <v>1480</v>
      </c>
      <c r="V134">
        <v>8336.8896000000004</v>
      </c>
      <c r="W134">
        <v>15059.2</v>
      </c>
      <c r="X134">
        <v>-6722.3104000000003</v>
      </c>
      <c r="Y134">
        <v>-0.80633314371825193</v>
      </c>
    </row>
    <row r="135" spans="1:25" x14ac:dyDescent="0.3">
      <c r="A135" t="s">
        <v>368</v>
      </c>
      <c r="B135">
        <v>45666</v>
      </c>
      <c r="C135">
        <v>45672</v>
      </c>
      <c r="D135" t="s">
        <v>1483</v>
      </c>
      <c r="E135" t="s">
        <v>1402</v>
      </c>
      <c r="F135">
        <v>6</v>
      </c>
      <c r="G135">
        <v>1</v>
      </c>
      <c r="H135" t="s">
        <v>45</v>
      </c>
      <c r="I135" t="s">
        <v>116</v>
      </c>
      <c r="J135" t="s">
        <v>338</v>
      </c>
      <c r="K135" t="s">
        <v>27</v>
      </c>
      <c r="L135" t="s">
        <v>28</v>
      </c>
      <c r="M135" t="s">
        <v>21</v>
      </c>
      <c r="N135" t="s">
        <v>42</v>
      </c>
      <c r="O135" t="s">
        <v>369</v>
      </c>
      <c r="P135">
        <v>304.77999999999997</v>
      </c>
      <c r="Q135">
        <v>537.27</v>
      </c>
      <c r="R135">
        <v>0.187</v>
      </c>
      <c r="S135">
        <v>0</v>
      </c>
      <c r="T135">
        <v>8</v>
      </c>
      <c r="U135" t="s">
        <v>1480</v>
      </c>
      <c r="V135">
        <v>3494.4040799999998</v>
      </c>
      <c r="W135">
        <v>2438.2399999999998</v>
      </c>
      <c r="X135">
        <v>1056.16408</v>
      </c>
      <c r="Y135">
        <v>0.3022444044307549</v>
      </c>
    </row>
    <row r="136" spans="1:25" x14ac:dyDescent="0.3">
      <c r="A136" t="s">
        <v>370</v>
      </c>
      <c r="B136">
        <v>45647</v>
      </c>
      <c r="C136">
        <v>45652</v>
      </c>
      <c r="D136" t="s">
        <v>1481</v>
      </c>
      <c r="E136" t="s">
        <v>1401</v>
      </c>
      <c r="F136">
        <v>5</v>
      </c>
      <c r="G136">
        <v>1</v>
      </c>
      <c r="H136" t="s">
        <v>52</v>
      </c>
      <c r="I136" t="s">
        <v>122</v>
      </c>
      <c r="J136" t="s">
        <v>167</v>
      </c>
      <c r="K136" t="s">
        <v>48</v>
      </c>
      <c r="L136" t="s">
        <v>40</v>
      </c>
      <c r="M136" t="s">
        <v>110</v>
      </c>
      <c r="N136" t="s">
        <v>30</v>
      </c>
      <c r="O136" t="s">
        <v>371</v>
      </c>
      <c r="P136">
        <v>699.57</v>
      </c>
      <c r="Q136">
        <v>572.71</v>
      </c>
      <c r="R136">
        <v>0.192</v>
      </c>
      <c r="S136">
        <v>0</v>
      </c>
      <c r="T136">
        <v>26</v>
      </c>
      <c r="U136" t="s">
        <v>1480</v>
      </c>
      <c r="V136">
        <v>12031.491680000001</v>
      </c>
      <c r="W136">
        <v>18188.82</v>
      </c>
      <c r="X136">
        <v>-6157.3283199999987</v>
      </c>
      <c r="Y136">
        <v>-0.51176765805651114</v>
      </c>
    </row>
    <row r="137" spans="1:25" x14ac:dyDescent="0.3">
      <c r="A137" t="s">
        <v>372</v>
      </c>
      <c r="B137">
        <v>45028</v>
      </c>
      <c r="C137">
        <v>45033</v>
      </c>
      <c r="D137" t="s">
        <v>1490</v>
      </c>
      <c r="E137" t="s">
        <v>1381</v>
      </c>
      <c r="F137">
        <v>5</v>
      </c>
      <c r="G137">
        <v>1</v>
      </c>
      <c r="H137" t="s">
        <v>78</v>
      </c>
      <c r="I137" t="s">
        <v>90</v>
      </c>
      <c r="J137" t="s">
        <v>138</v>
      </c>
      <c r="K137" t="s">
        <v>105</v>
      </c>
      <c r="L137" t="s">
        <v>98</v>
      </c>
      <c r="M137" t="s">
        <v>63</v>
      </c>
      <c r="N137" t="s">
        <v>64</v>
      </c>
      <c r="O137" t="s">
        <v>373</v>
      </c>
      <c r="P137">
        <v>1087.81</v>
      </c>
      <c r="Q137">
        <v>2323.87</v>
      </c>
      <c r="R137">
        <v>9.4E-2</v>
      </c>
      <c r="S137">
        <v>0</v>
      </c>
      <c r="T137">
        <v>13</v>
      </c>
      <c r="U137" t="s">
        <v>1474</v>
      </c>
      <c r="V137">
        <v>27370.540859999997</v>
      </c>
      <c r="W137">
        <v>14141.529999999999</v>
      </c>
      <c r="X137">
        <v>13229.010859999999</v>
      </c>
      <c r="Y137">
        <v>0.48333026839572651</v>
      </c>
    </row>
    <row r="138" spans="1:25" x14ac:dyDescent="0.3">
      <c r="A138" t="s">
        <v>374</v>
      </c>
      <c r="B138">
        <v>45640</v>
      </c>
      <c r="C138">
        <v>45669</v>
      </c>
      <c r="D138" t="s">
        <v>1481</v>
      </c>
      <c r="E138" t="s">
        <v>1401</v>
      </c>
      <c r="F138">
        <v>29</v>
      </c>
      <c r="G138">
        <v>0</v>
      </c>
      <c r="H138" t="s">
        <v>45</v>
      </c>
      <c r="I138" t="s">
        <v>116</v>
      </c>
      <c r="J138" t="s">
        <v>117</v>
      </c>
      <c r="K138" t="s">
        <v>27</v>
      </c>
      <c r="L138" t="s">
        <v>28</v>
      </c>
      <c r="M138" t="s">
        <v>29</v>
      </c>
      <c r="N138" t="s">
        <v>22</v>
      </c>
      <c r="O138" t="s">
        <v>375</v>
      </c>
      <c r="P138">
        <v>1412.15</v>
      </c>
      <c r="Q138">
        <v>1631.04</v>
      </c>
      <c r="R138">
        <v>8.9999999999999993E-3</v>
      </c>
      <c r="S138">
        <v>0</v>
      </c>
      <c r="T138">
        <v>6</v>
      </c>
      <c r="U138" t="s">
        <v>1474</v>
      </c>
      <c r="V138">
        <v>9698.1638399999993</v>
      </c>
      <c r="W138">
        <v>8472.9000000000015</v>
      </c>
      <c r="X138">
        <v>1225.2638399999978</v>
      </c>
      <c r="Y138">
        <v>0.12633977526203535</v>
      </c>
    </row>
    <row r="139" spans="1:25" x14ac:dyDescent="0.3">
      <c r="A139" t="s">
        <v>376</v>
      </c>
      <c r="B139">
        <v>45016</v>
      </c>
      <c r="C139">
        <v>45028</v>
      </c>
      <c r="D139" t="s">
        <v>1482</v>
      </c>
      <c r="E139" t="s">
        <v>1380</v>
      </c>
      <c r="F139">
        <v>12</v>
      </c>
      <c r="G139">
        <v>0</v>
      </c>
      <c r="H139" t="s">
        <v>16</v>
      </c>
      <c r="I139" t="s">
        <v>17</v>
      </c>
      <c r="J139" t="s">
        <v>113</v>
      </c>
      <c r="K139" t="s">
        <v>62</v>
      </c>
      <c r="L139" t="s">
        <v>28</v>
      </c>
      <c r="M139" t="s">
        <v>21</v>
      </c>
      <c r="N139" t="s">
        <v>42</v>
      </c>
      <c r="O139" t="s">
        <v>377</v>
      </c>
      <c r="P139">
        <v>304.22000000000003</v>
      </c>
      <c r="Q139">
        <v>393.31</v>
      </c>
      <c r="R139">
        <v>0.26500000000000001</v>
      </c>
      <c r="S139">
        <v>1</v>
      </c>
      <c r="T139">
        <v>15</v>
      </c>
      <c r="U139" t="s">
        <v>1480</v>
      </c>
      <c r="V139">
        <v>4336.2427499999994</v>
      </c>
      <c r="W139">
        <v>4563.3</v>
      </c>
      <c r="X139">
        <v>-227.05725000000075</v>
      </c>
      <c r="Y139">
        <v>-5.2362670424759034E-2</v>
      </c>
    </row>
    <row r="140" spans="1:25" x14ac:dyDescent="0.3">
      <c r="A140" t="s">
        <v>378</v>
      </c>
      <c r="B140">
        <v>45616</v>
      </c>
      <c r="C140">
        <v>45641</v>
      </c>
      <c r="D140" t="s">
        <v>1481</v>
      </c>
      <c r="E140" t="s">
        <v>1400</v>
      </c>
      <c r="F140">
        <v>25</v>
      </c>
      <c r="G140">
        <v>0</v>
      </c>
      <c r="H140" t="s">
        <v>78</v>
      </c>
      <c r="I140" t="s">
        <v>90</v>
      </c>
      <c r="J140" t="s">
        <v>217</v>
      </c>
      <c r="K140" t="s">
        <v>19</v>
      </c>
      <c r="L140" t="s">
        <v>28</v>
      </c>
      <c r="M140" t="s">
        <v>41</v>
      </c>
      <c r="N140" t="s">
        <v>30</v>
      </c>
      <c r="O140" t="s">
        <v>379</v>
      </c>
      <c r="P140">
        <v>1203.58</v>
      </c>
      <c r="Q140">
        <v>1856.16</v>
      </c>
      <c r="R140">
        <v>0.129</v>
      </c>
      <c r="S140">
        <v>0</v>
      </c>
      <c r="T140">
        <v>22</v>
      </c>
      <c r="U140" t="s">
        <v>1474</v>
      </c>
      <c r="V140">
        <v>35567.737920000007</v>
      </c>
      <c r="W140">
        <v>26478.76</v>
      </c>
      <c r="X140">
        <v>9088.9779200000085</v>
      </c>
      <c r="Y140">
        <v>0.25553994860295032</v>
      </c>
    </row>
    <row r="141" spans="1:25" x14ac:dyDescent="0.3">
      <c r="A141" t="s">
        <v>380</v>
      </c>
      <c r="B141">
        <v>45336</v>
      </c>
      <c r="C141">
        <v>45336</v>
      </c>
      <c r="D141" t="s">
        <v>1479</v>
      </c>
      <c r="E141" t="s">
        <v>1391</v>
      </c>
      <c r="F141">
        <v>0</v>
      </c>
      <c r="G141">
        <v>1</v>
      </c>
      <c r="H141" t="s">
        <v>45</v>
      </c>
      <c r="I141" t="s">
        <v>116</v>
      </c>
      <c r="J141" t="s">
        <v>338</v>
      </c>
      <c r="K141" t="s">
        <v>19</v>
      </c>
      <c r="L141" t="s">
        <v>55</v>
      </c>
      <c r="M141" t="s">
        <v>49</v>
      </c>
      <c r="N141" t="s">
        <v>81</v>
      </c>
      <c r="O141" t="s">
        <v>381</v>
      </c>
      <c r="P141">
        <v>65.930000000000007</v>
      </c>
      <c r="Q141">
        <v>84.9</v>
      </c>
      <c r="R141">
        <v>0.25900000000000001</v>
      </c>
      <c r="S141">
        <v>1</v>
      </c>
      <c r="T141">
        <v>23</v>
      </c>
      <c r="U141" t="s">
        <v>1480</v>
      </c>
      <c r="V141">
        <v>1446.9507000000001</v>
      </c>
      <c r="W141">
        <v>1516.39</v>
      </c>
      <c r="X141">
        <v>-69.439300000000003</v>
      </c>
      <c r="Y141">
        <v>-4.7990093926489688E-2</v>
      </c>
    </row>
    <row r="142" spans="1:25" x14ac:dyDescent="0.3">
      <c r="A142" t="s">
        <v>382</v>
      </c>
      <c r="B142">
        <v>45048</v>
      </c>
      <c r="C142">
        <v>45064</v>
      </c>
      <c r="D142" t="s">
        <v>1490</v>
      </c>
      <c r="E142" t="s">
        <v>1382</v>
      </c>
      <c r="F142">
        <v>16</v>
      </c>
      <c r="G142">
        <v>0</v>
      </c>
      <c r="H142" t="s">
        <v>45</v>
      </c>
      <c r="I142" t="s">
        <v>60</v>
      </c>
      <c r="J142" t="s">
        <v>141</v>
      </c>
      <c r="K142" t="s">
        <v>62</v>
      </c>
      <c r="L142" t="s">
        <v>40</v>
      </c>
      <c r="M142" t="s">
        <v>95</v>
      </c>
      <c r="N142" t="s">
        <v>64</v>
      </c>
      <c r="O142" t="s">
        <v>383</v>
      </c>
      <c r="P142">
        <v>1463.92</v>
      </c>
      <c r="Q142">
        <v>2252.2399999999998</v>
      </c>
      <c r="R142">
        <v>0.11799999999999999</v>
      </c>
      <c r="S142">
        <v>0</v>
      </c>
      <c r="T142">
        <v>44</v>
      </c>
      <c r="U142" t="s">
        <v>1474</v>
      </c>
      <c r="V142">
        <v>87404.929919999995</v>
      </c>
      <c r="W142">
        <v>64412.480000000003</v>
      </c>
      <c r="X142">
        <v>22992.449919999992</v>
      </c>
      <c r="Y142">
        <v>0.26305667130040061</v>
      </c>
    </row>
    <row r="143" spans="1:25" x14ac:dyDescent="0.3">
      <c r="A143" t="s">
        <v>384</v>
      </c>
      <c r="B143">
        <v>45649</v>
      </c>
      <c r="C143">
        <v>45668</v>
      </c>
      <c r="D143" t="s">
        <v>1481</v>
      </c>
      <c r="E143" t="s">
        <v>1401</v>
      </c>
      <c r="F143">
        <v>19</v>
      </c>
      <c r="G143">
        <v>0</v>
      </c>
      <c r="H143" t="s">
        <v>78</v>
      </c>
      <c r="I143" t="s">
        <v>79</v>
      </c>
      <c r="J143" t="s">
        <v>80</v>
      </c>
      <c r="K143" t="s">
        <v>27</v>
      </c>
      <c r="L143" t="s">
        <v>20</v>
      </c>
      <c r="M143" t="s">
        <v>95</v>
      </c>
      <c r="N143" t="s">
        <v>42</v>
      </c>
      <c r="O143" t="s">
        <v>385</v>
      </c>
      <c r="P143">
        <v>501.81</v>
      </c>
      <c r="Q143">
        <v>921.62</v>
      </c>
      <c r="R143">
        <v>0.01</v>
      </c>
      <c r="S143">
        <v>0</v>
      </c>
      <c r="T143">
        <v>9</v>
      </c>
      <c r="U143" t="s">
        <v>1485</v>
      </c>
      <c r="V143">
        <v>8211.6342000000004</v>
      </c>
      <c r="W143">
        <v>4516.29</v>
      </c>
      <c r="X143">
        <v>3695.3442000000005</v>
      </c>
      <c r="Y143">
        <v>0.45001325071202031</v>
      </c>
    </row>
    <row r="144" spans="1:25" x14ac:dyDescent="0.3">
      <c r="A144" t="s">
        <v>386</v>
      </c>
      <c r="B144">
        <v>45133</v>
      </c>
      <c r="C144">
        <v>45163</v>
      </c>
      <c r="D144" t="s">
        <v>1492</v>
      </c>
      <c r="E144" t="s">
        <v>1384</v>
      </c>
      <c r="F144">
        <v>30</v>
      </c>
      <c r="G144">
        <v>0</v>
      </c>
      <c r="H144" t="s">
        <v>52</v>
      </c>
      <c r="I144" t="s">
        <v>122</v>
      </c>
      <c r="J144" t="s">
        <v>387</v>
      </c>
      <c r="K144" t="s">
        <v>48</v>
      </c>
      <c r="L144" t="s">
        <v>20</v>
      </c>
      <c r="M144" t="s">
        <v>110</v>
      </c>
      <c r="N144" t="s">
        <v>81</v>
      </c>
      <c r="O144" t="s">
        <v>388</v>
      </c>
      <c r="P144">
        <v>1261.48</v>
      </c>
      <c r="Q144">
        <v>1643.18</v>
      </c>
      <c r="R144">
        <v>0.151</v>
      </c>
      <c r="S144">
        <v>0</v>
      </c>
      <c r="T144">
        <v>23</v>
      </c>
      <c r="U144" t="s">
        <v>1474</v>
      </c>
      <c r="V144">
        <v>32086.37586</v>
      </c>
      <c r="W144">
        <v>29014.04</v>
      </c>
      <c r="X144">
        <v>3072.3358599999992</v>
      </c>
      <c r="Y144">
        <v>9.5752037357079045E-2</v>
      </c>
    </row>
    <row r="145" spans="1:25" x14ac:dyDescent="0.3">
      <c r="A145" t="s">
        <v>389</v>
      </c>
      <c r="B145">
        <v>45458</v>
      </c>
      <c r="C145">
        <v>45479</v>
      </c>
      <c r="D145" t="s">
        <v>1486</v>
      </c>
      <c r="E145" t="s">
        <v>1395</v>
      </c>
      <c r="F145">
        <v>21</v>
      </c>
      <c r="G145">
        <v>0</v>
      </c>
      <c r="H145" t="s">
        <v>52</v>
      </c>
      <c r="I145" t="s">
        <v>53</v>
      </c>
      <c r="J145" t="s">
        <v>54</v>
      </c>
      <c r="K145" t="s">
        <v>105</v>
      </c>
      <c r="L145" t="s">
        <v>55</v>
      </c>
      <c r="M145" t="s">
        <v>49</v>
      </c>
      <c r="N145" t="s">
        <v>30</v>
      </c>
      <c r="O145" t="s">
        <v>390</v>
      </c>
      <c r="P145">
        <v>817.23</v>
      </c>
      <c r="Q145">
        <v>1467.17</v>
      </c>
      <c r="R145">
        <v>0.245</v>
      </c>
      <c r="S145">
        <v>1</v>
      </c>
      <c r="T145">
        <v>9</v>
      </c>
      <c r="U145" t="s">
        <v>1485</v>
      </c>
      <c r="V145">
        <v>9969.4201499999999</v>
      </c>
      <c r="W145">
        <v>7355.07</v>
      </c>
      <c r="X145">
        <v>2614.3501500000002</v>
      </c>
      <c r="Y145">
        <v>0.26223693160328893</v>
      </c>
    </row>
    <row r="146" spans="1:25" x14ac:dyDescent="0.3">
      <c r="A146" t="s">
        <v>391</v>
      </c>
      <c r="B146">
        <v>45112</v>
      </c>
      <c r="C146">
        <v>45121</v>
      </c>
      <c r="D146" t="s">
        <v>1492</v>
      </c>
      <c r="E146" t="s">
        <v>1384</v>
      </c>
      <c r="F146">
        <v>9</v>
      </c>
      <c r="G146">
        <v>0</v>
      </c>
      <c r="H146" t="s">
        <v>52</v>
      </c>
      <c r="I146" t="s">
        <v>73</v>
      </c>
      <c r="J146" t="s">
        <v>87</v>
      </c>
      <c r="K146" t="s">
        <v>105</v>
      </c>
      <c r="L146" t="s">
        <v>98</v>
      </c>
      <c r="M146" t="s">
        <v>56</v>
      </c>
      <c r="N146" t="s">
        <v>35</v>
      </c>
      <c r="O146" t="s">
        <v>392</v>
      </c>
      <c r="P146">
        <v>578.85</v>
      </c>
      <c r="Q146">
        <v>998.76</v>
      </c>
      <c r="R146">
        <v>8.2000000000000003E-2</v>
      </c>
      <c r="S146">
        <v>0</v>
      </c>
      <c r="T146">
        <v>28</v>
      </c>
      <c r="U146" t="s">
        <v>1485</v>
      </c>
      <c r="V146">
        <v>25672.127039999999</v>
      </c>
      <c r="W146">
        <v>16207.800000000001</v>
      </c>
      <c r="X146">
        <v>9464.3270399999983</v>
      </c>
      <c r="Y146">
        <v>0.36866158480960831</v>
      </c>
    </row>
    <row r="147" spans="1:25" x14ac:dyDescent="0.3">
      <c r="A147" t="s">
        <v>393</v>
      </c>
      <c r="B147">
        <v>45260</v>
      </c>
      <c r="C147">
        <v>45267</v>
      </c>
      <c r="D147" t="s">
        <v>1484</v>
      </c>
      <c r="E147" t="s">
        <v>1388</v>
      </c>
      <c r="F147">
        <v>7</v>
      </c>
      <c r="G147">
        <v>1</v>
      </c>
      <c r="H147" t="s">
        <v>16</v>
      </c>
      <c r="I147" t="s">
        <v>148</v>
      </c>
      <c r="J147" t="s">
        <v>172</v>
      </c>
      <c r="K147" t="s">
        <v>62</v>
      </c>
      <c r="L147" t="s">
        <v>40</v>
      </c>
      <c r="M147" t="s">
        <v>63</v>
      </c>
      <c r="N147" t="s">
        <v>57</v>
      </c>
      <c r="O147" t="s">
        <v>394</v>
      </c>
      <c r="P147">
        <v>275.56</v>
      </c>
      <c r="Q147">
        <v>630.72</v>
      </c>
      <c r="R147">
        <v>0.107</v>
      </c>
      <c r="S147">
        <v>0</v>
      </c>
      <c r="T147">
        <v>23</v>
      </c>
      <c r="U147" t="s">
        <v>1480</v>
      </c>
      <c r="V147">
        <v>12954.358080000002</v>
      </c>
      <c r="W147">
        <v>6337.88</v>
      </c>
      <c r="X147">
        <v>6616.4780800000017</v>
      </c>
      <c r="Y147">
        <v>0.5107530638831933</v>
      </c>
    </row>
    <row r="148" spans="1:25" x14ac:dyDescent="0.3">
      <c r="A148" t="s">
        <v>395</v>
      </c>
      <c r="B148">
        <v>45911</v>
      </c>
      <c r="C148">
        <v>45928</v>
      </c>
      <c r="D148" t="s">
        <v>1488</v>
      </c>
      <c r="E148" t="s">
        <v>1489</v>
      </c>
      <c r="F148">
        <v>17</v>
      </c>
      <c r="G148">
        <v>0</v>
      </c>
      <c r="H148" t="s">
        <v>16</v>
      </c>
      <c r="I148" t="s">
        <v>17</v>
      </c>
      <c r="J148" t="s">
        <v>33</v>
      </c>
      <c r="K148" t="s">
        <v>39</v>
      </c>
      <c r="L148" t="s">
        <v>55</v>
      </c>
      <c r="M148" t="s">
        <v>29</v>
      </c>
      <c r="N148" t="s">
        <v>57</v>
      </c>
      <c r="O148" t="s">
        <v>396</v>
      </c>
      <c r="P148">
        <v>891.46</v>
      </c>
      <c r="Q148">
        <v>728.61</v>
      </c>
      <c r="R148">
        <v>0.185</v>
      </c>
      <c r="S148">
        <v>0</v>
      </c>
      <c r="T148">
        <v>6</v>
      </c>
      <c r="U148" t="s">
        <v>1480</v>
      </c>
      <c r="V148">
        <v>3562.9028999999996</v>
      </c>
      <c r="W148">
        <v>5348.76</v>
      </c>
      <c r="X148">
        <v>-1785.8571000000006</v>
      </c>
      <c r="Y148">
        <v>-0.50123653383874167</v>
      </c>
    </row>
    <row r="149" spans="1:25" x14ac:dyDescent="0.3">
      <c r="A149" t="s">
        <v>397</v>
      </c>
      <c r="B149">
        <v>45386</v>
      </c>
      <c r="C149">
        <v>45406</v>
      </c>
      <c r="D149" t="s">
        <v>1486</v>
      </c>
      <c r="E149" t="s">
        <v>1393</v>
      </c>
      <c r="F149">
        <v>20</v>
      </c>
      <c r="G149">
        <v>0</v>
      </c>
      <c r="H149" t="s">
        <v>78</v>
      </c>
      <c r="I149" t="s">
        <v>79</v>
      </c>
      <c r="J149" t="s">
        <v>335</v>
      </c>
      <c r="K149" t="s">
        <v>39</v>
      </c>
      <c r="L149" t="s">
        <v>98</v>
      </c>
      <c r="M149" t="s">
        <v>68</v>
      </c>
      <c r="N149" t="s">
        <v>81</v>
      </c>
      <c r="O149" t="s">
        <v>398</v>
      </c>
      <c r="P149">
        <v>683.42</v>
      </c>
      <c r="Q149">
        <v>951.51</v>
      </c>
      <c r="R149">
        <v>0</v>
      </c>
      <c r="S149">
        <v>0</v>
      </c>
      <c r="T149">
        <v>14</v>
      </c>
      <c r="U149" t="s">
        <v>1485</v>
      </c>
      <c r="V149">
        <v>13321.14</v>
      </c>
      <c r="W149">
        <v>9567.8799999999992</v>
      </c>
      <c r="X149">
        <v>3753.26</v>
      </c>
      <c r="Y149">
        <v>0.28175216235247136</v>
      </c>
    </row>
    <row r="150" spans="1:25" x14ac:dyDescent="0.3">
      <c r="A150" t="s">
        <v>399</v>
      </c>
      <c r="B150">
        <v>45183</v>
      </c>
      <c r="C150">
        <v>45185</v>
      </c>
      <c r="D150" t="s">
        <v>1492</v>
      </c>
      <c r="E150" t="s">
        <v>1493</v>
      </c>
      <c r="F150">
        <v>2</v>
      </c>
      <c r="G150">
        <v>1</v>
      </c>
      <c r="H150" t="s">
        <v>78</v>
      </c>
      <c r="I150" t="s">
        <v>90</v>
      </c>
      <c r="J150" t="s">
        <v>138</v>
      </c>
      <c r="K150" t="s">
        <v>39</v>
      </c>
      <c r="L150" t="s">
        <v>98</v>
      </c>
      <c r="M150" t="s">
        <v>56</v>
      </c>
      <c r="N150" t="s">
        <v>30</v>
      </c>
      <c r="O150" t="s">
        <v>400</v>
      </c>
      <c r="P150">
        <v>376.83</v>
      </c>
      <c r="Q150">
        <v>732.88</v>
      </c>
      <c r="R150">
        <v>0.188</v>
      </c>
      <c r="S150">
        <v>0</v>
      </c>
      <c r="T150">
        <v>25</v>
      </c>
      <c r="U150" t="s">
        <v>1480</v>
      </c>
      <c r="V150">
        <v>14877.464000000002</v>
      </c>
      <c r="W150">
        <v>9420.75</v>
      </c>
      <c r="X150">
        <v>5456.7140000000018</v>
      </c>
      <c r="Y150">
        <v>0.36677716040852132</v>
      </c>
    </row>
    <row r="151" spans="1:25" x14ac:dyDescent="0.3">
      <c r="A151" t="s">
        <v>401</v>
      </c>
      <c r="B151">
        <v>45558</v>
      </c>
      <c r="C151">
        <v>45583</v>
      </c>
      <c r="D151" t="s">
        <v>1491</v>
      </c>
      <c r="E151" t="s">
        <v>1494</v>
      </c>
      <c r="F151">
        <v>25</v>
      </c>
      <c r="G151">
        <v>0</v>
      </c>
      <c r="H151" t="s">
        <v>52</v>
      </c>
      <c r="I151" t="s">
        <v>53</v>
      </c>
      <c r="J151" t="s">
        <v>179</v>
      </c>
      <c r="K151" t="s">
        <v>62</v>
      </c>
      <c r="L151" t="s">
        <v>28</v>
      </c>
      <c r="M151" t="s">
        <v>126</v>
      </c>
      <c r="N151" t="s">
        <v>42</v>
      </c>
      <c r="O151" t="s">
        <v>402</v>
      </c>
      <c r="P151">
        <v>1297</v>
      </c>
      <c r="Q151">
        <v>2411.52</v>
      </c>
      <c r="R151">
        <v>2.1000000000000001E-2</v>
      </c>
      <c r="S151">
        <v>0</v>
      </c>
      <c r="T151">
        <v>18</v>
      </c>
      <c r="U151" t="s">
        <v>1474</v>
      </c>
      <c r="V151">
        <v>42495.805439999996</v>
      </c>
      <c r="W151">
        <v>23346</v>
      </c>
      <c r="X151">
        <v>19149.805439999996</v>
      </c>
      <c r="Y151">
        <v>0.45062813239385913</v>
      </c>
    </row>
    <row r="152" spans="1:25" x14ac:dyDescent="0.3">
      <c r="A152" t="s">
        <v>403</v>
      </c>
      <c r="B152">
        <v>45763</v>
      </c>
      <c r="C152">
        <v>45793</v>
      </c>
      <c r="D152" t="s">
        <v>1487</v>
      </c>
      <c r="E152" t="s">
        <v>1405</v>
      </c>
      <c r="F152">
        <v>30</v>
      </c>
      <c r="G152">
        <v>0</v>
      </c>
      <c r="H152" t="s">
        <v>52</v>
      </c>
      <c r="I152" t="s">
        <v>53</v>
      </c>
      <c r="J152" t="s">
        <v>144</v>
      </c>
      <c r="K152" t="s">
        <v>105</v>
      </c>
      <c r="L152" t="s">
        <v>55</v>
      </c>
      <c r="M152" t="s">
        <v>95</v>
      </c>
      <c r="N152" t="s">
        <v>30</v>
      </c>
      <c r="O152" t="s">
        <v>404</v>
      </c>
      <c r="P152">
        <v>763.32</v>
      </c>
      <c r="Q152">
        <v>568.29</v>
      </c>
      <c r="R152">
        <v>0.13100000000000001</v>
      </c>
      <c r="S152">
        <v>0</v>
      </c>
      <c r="T152">
        <v>16</v>
      </c>
      <c r="U152" t="s">
        <v>1480</v>
      </c>
      <c r="V152">
        <v>7901.5041599999995</v>
      </c>
      <c r="W152">
        <v>12213.12</v>
      </c>
      <c r="X152">
        <v>-4311.6158400000013</v>
      </c>
      <c r="Y152">
        <v>-0.54567026134426555</v>
      </c>
    </row>
    <row r="153" spans="1:25" x14ac:dyDescent="0.3">
      <c r="A153" t="s">
        <v>405</v>
      </c>
      <c r="B153">
        <v>45110</v>
      </c>
      <c r="C153">
        <v>45130</v>
      </c>
      <c r="D153" t="s">
        <v>1492</v>
      </c>
      <c r="E153" t="s">
        <v>1384</v>
      </c>
      <c r="F153">
        <v>20</v>
      </c>
      <c r="G153">
        <v>0</v>
      </c>
      <c r="H153" t="s">
        <v>16</v>
      </c>
      <c r="I153" t="s">
        <v>148</v>
      </c>
      <c r="J153" t="s">
        <v>149</v>
      </c>
      <c r="K153" t="s">
        <v>62</v>
      </c>
      <c r="L153" t="s">
        <v>55</v>
      </c>
      <c r="M153" t="s">
        <v>84</v>
      </c>
      <c r="N153" t="s">
        <v>57</v>
      </c>
      <c r="O153" t="s">
        <v>406</v>
      </c>
      <c r="P153">
        <v>1001.96</v>
      </c>
      <c r="Q153">
        <v>1254.95</v>
      </c>
      <c r="R153">
        <v>4.4999999999999998E-2</v>
      </c>
      <c r="S153">
        <v>0</v>
      </c>
      <c r="T153">
        <v>18</v>
      </c>
      <c r="U153" t="s">
        <v>1485</v>
      </c>
      <c r="V153">
        <v>21572.590500000002</v>
      </c>
      <c r="W153">
        <v>18035.28</v>
      </c>
      <c r="X153">
        <v>3537.3105000000032</v>
      </c>
      <c r="Y153">
        <v>0.16397244920585699</v>
      </c>
    </row>
    <row r="154" spans="1:25" x14ac:dyDescent="0.3">
      <c r="A154" t="s">
        <v>407</v>
      </c>
      <c r="B154">
        <v>45267</v>
      </c>
      <c r="C154">
        <v>45274</v>
      </c>
      <c r="D154" t="s">
        <v>1484</v>
      </c>
      <c r="E154" t="s">
        <v>1389</v>
      </c>
      <c r="F154">
        <v>7</v>
      </c>
      <c r="G154">
        <v>1</v>
      </c>
      <c r="H154" t="s">
        <v>45</v>
      </c>
      <c r="I154" t="s">
        <v>46</v>
      </c>
      <c r="J154" t="s">
        <v>214</v>
      </c>
      <c r="K154" t="s">
        <v>39</v>
      </c>
      <c r="L154" t="s">
        <v>40</v>
      </c>
      <c r="M154" t="s">
        <v>92</v>
      </c>
      <c r="N154" t="s">
        <v>30</v>
      </c>
      <c r="O154" t="s">
        <v>408</v>
      </c>
      <c r="P154">
        <v>1097.5899999999999</v>
      </c>
      <c r="Q154">
        <v>845.55</v>
      </c>
      <c r="R154">
        <v>0.184</v>
      </c>
      <c r="S154">
        <v>0</v>
      </c>
      <c r="T154">
        <v>6</v>
      </c>
      <c r="U154" t="s">
        <v>1480</v>
      </c>
      <c r="V154">
        <v>4139.8127999999997</v>
      </c>
      <c r="W154">
        <v>6585.5399999999991</v>
      </c>
      <c r="X154">
        <v>-2445.7271999999994</v>
      </c>
      <c r="Y154">
        <v>-0.59078207594314402</v>
      </c>
    </row>
    <row r="155" spans="1:25" x14ac:dyDescent="0.3">
      <c r="A155" t="s">
        <v>409</v>
      </c>
      <c r="B155">
        <v>45340</v>
      </c>
      <c r="C155">
        <v>45355</v>
      </c>
      <c r="D155" t="s">
        <v>1479</v>
      </c>
      <c r="E155" t="s">
        <v>1391</v>
      </c>
      <c r="F155">
        <v>15</v>
      </c>
      <c r="G155">
        <v>0</v>
      </c>
      <c r="H155" t="s">
        <v>16</v>
      </c>
      <c r="I155" t="s">
        <v>17</v>
      </c>
      <c r="J155" t="s">
        <v>18</v>
      </c>
      <c r="K155" t="s">
        <v>27</v>
      </c>
      <c r="L155" t="s">
        <v>98</v>
      </c>
      <c r="M155" t="s">
        <v>95</v>
      </c>
      <c r="N155" t="s">
        <v>30</v>
      </c>
      <c r="O155" t="s">
        <v>410</v>
      </c>
      <c r="P155">
        <v>928.68</v>
      </c>
      <c r="Q155">
        <v>2145.17</v>
      </c>
      <c r="R155">
        <v>0.13600000000000001</v>
      </c>
      <c r="S155">
        <v>0</v>
      </c>
      <c r="T155">
        <v>16</v>
      </c>
      <c r="U155" t="s">
        <v>1474</v>
      </c>
      <c r="V155">
        <v>29654.83008</v>
      </c>
      <c r="W155">
        <v>14858.88</v>
      </c>
      <c r="X155">
        <v>14795.950080000001</v>
      </c>
      <c r="Y155">
        <v>0.49893896003062177</v>
      </c>
    </row>
    <row r="156" spans="1:25" x14ac:dyDescent="0.3">
      <c r="A156" t="s">
        <v>411</v>
      </c>
      <c r="B156">
        <v>45230</v>
      </c>
      <c r="C156">
        <v>45232</v>
      </c>
      <c r="D156" t="s">
        <v>1484</v>
      </c>
      <c r="E156" t="s">
        <v>1387</v>
      </c>
      <c r="F156">
        <v>2</v>
      </c>
      <c r="G156">
        <v>1</v>
      </c>
      <c r="H156" t="s">
        <v>16</v>
      </c>
      <c r="I156" t="s">
        <v>17</v>
      </c>
      <c r="J156" t="s">
        <v>18</v>
      </c>
      <c r="K156" t="s">
        <v>27</v>
      </c>
      <c r="L156" t="s">
        <v>20</v>
      </c>
      <c r="M156" t="s">
        <v>68</v>
      </c>
      <c r="N156" t="s">
        <v>81</v>
      </c>
      <c r="O156" t="s">
        <v>412</v>
      </c>
      <c r="P156">
        <v>867.89</v>
      </c>
      <c r="Q156">
        <v>1349.94</v>
      </c>
      <c r="R156">
        <v>0.184</v>
      </c>
      <c r="S156">
        <v>0</v>
      </c>
      <c r="T156">
        <v>10</v>
      </c>
      <c r="U156" t="s">
        <v>1485</v>
      </c>
      <c r="V156">
        <v>11015.510400000003</v>
      </c>
      <c r="W156">
        <v>8678.9</v>
      </c>
      <c r="X156">
        <v>2336.6104000000032</v>
      </c>
      <c r="Y156">
        <v>0.21212003031652557</v>
      </c>
    </row>
    <row r="157" spans="1:25" x14ac:dyDescent="0.3">
      <c r="A157" t="s">
        <v>413</v>
      </c>
      <c r="B157">
        <v>45511</v>
      </c>
      <c r="C157">
        <v>45521</v>
      </c>
      <c r="D157" t="s">
        <v>1491</v>
      </c>
      <c r="E157" t="s">
        <v>1397</v>
      </c>
      <c r="F157">
        <v>10</v>
      </c>
      <c r="G157">
        <v>0</v>
      </c>
      <c r="H157" t="s">
        <v>45</v>
      </c>
      <c r="I157" t="s">
        <v>46</v>
      </c>
      <c r="J157" t="s">
        <v>47</v>
      </c>
      <c r="K157" t="s">
        <v>48</v>
      </c>
      <c r="L157" t="s">
        <v>28</v>
      </c>
      <c r="M157" t="s">
        <v>95</v>
      </c>
      <c r="N157" t="s">
        <v>35</v>
      </c>
      <c r="O157" t="s">
        <v>414</v>
      </c>
      <c r="P157">
        <v>436.58</v>
      </c>
      <c r="Q157">
        <v>527.48</v>
      </c>
      <c r="R157">
        <v>0.111</v>
      </c>
      <c r="S157">
        <v>0</v>
      </c>
      <c r="T157">
        <v>19</v>
      </c>
      <c r="U157" t="s">
        <v>1480</v>
      </c>
      <c r="V157">
        <v>8909.6646800000017</v>
      </c>
      <c r="W157">
        <v>8295.02</v>
      </c>
      <c r="X157">
        <v>614.64468000000124</v>
      </c>
      <c r="Y157">
        <v>6.8986286473802644E-2</v>
      </c>
    </row>
    <row r="158" spans="1:25" x14ac:dyDescent="0.3">
      <c r="A158" t="s">
        <v>415</v>
      </c>
      <c r="B158">
        <v>45323</v>
      </c>
      <c r="C158">
        <v>45343</v>
      </c>
      <c r="D158" t="s">
        <v>1479</v>
      </c>
      <c r="E158" t="s">
        <v>1391</v>
      </c>
      <c r="F158">
        <v>20</v>
      </c>
      <c r="G158">
        <v>0</v>
      </c>
      <c r="H158" t="s">
        <v>78</v>
      </c>
      <c r="I158" t="s">
        <v>90</v>
      </c>
      <c r="J158" t="s">
        <v>217</v>
      </c>
      <c r="K158" t="s">
        <v>62</v>
      </c>
      <c r="L158" t="s">
        <v>40</v>
      </c>
      <c r="M158" t="s">
        <v>75</v>
      </c>
      <c r="N158" t="s">
        <v>35</v>
      </c>
      <c r="O158" t="s">
        <v>416</v>
      </c>
      <c r="P158">
        <v>656.2</v>
      </c>
      <c r="Q158">
        <v>1467.17</v>
      </c>
      <c r="R158">
        <v>1.7999999999999999E-2</v>
      </c>
      <c r="S158">
        <v>0</v>
      </c>
      <c r="T158">
        <v>5</v>
      </c>
      <c r="U158" t="s">
        <v>1485</v>
      </c>
      <c r="V158">
        <v>7203.8047000000006</v>
      </c>
      <c r="W158">
        <v>3281</v>
      </c>
      <c r="X158">
        <v>3922.8047000000006</v>
      </c>
      <c r="Y158">
        <v>0.54454623124360946</v>
      </c>
    </row>
    <row r="159" spans="1:25" x14ac:dyDescent="0.3">
      <c r="A159" t="s">
        <v>417</v>
      </c>
      <c r="B159">
        <v>45531</v>
      </c>
      <c r="C159">
        <v>45553</v>
      </c>
      <c r="D159" t="s">
        <v>1491</v>
      </c>
      <c r="E159" t="s">
        <v>1397</v>
      </c>
      <c r="F159">
        <v>22</v>
      </c>
      <c r="G159">
        <v>0</v>
      </c>
      <c r="H159" t="s">
        <v>45</v>
      </c>
      <c r="I159" t="s">
        <v>60</v>
      </c>
      <c r="J159" t="s">
        <v>141</v>
      </c>
      <c r="K159" t="s">
        <v>48</v>
      </c>
      <c r="L159" t="s">
        <v>98</v>
      </c>
      <c r="M159" t="s">
        <v>56</v>
      </c>
      <c r="N159" t="s">
        <v>22</v>
      </c>
      <c r="O159" t="s">
        <v>418</v>
      </c>
      <c r="P159">
        <v>896.75</v>
      </c>
      <c r="Q159">
        <v>1651.14</v>
      </c>
      <c r="R159">
        <v>2.5000000000000001E-2</v>
      </c>
      <c r="S159">
        <v>0</v>
      </c>
      <c r="T159">
        <v>15</v>
      </c>
      <c r="U159" t="s">
        <v>1474</v>
      </c>
      <c r="V159">
        <v>24147.922500000001</v>
      </c>
      <c r="W159">
        <v>13451.25</v>
      </c>
      <c r="X159">
        <v>10696.672500000001</v>
      </c>
      <c r="Y159">
        <v>0.44296450346815552</v>
      </c>
    </row>
    <row r="160" spans="1:25" x14ac:dyDescent="0.3">
      <c r="A160" t="s">
        <v>419</v>
      </c>
      <c r="B160">
        <v>45703</v>
      </c>
      <c r="C160">
        <v>45703</v>
      </c>
      <c r="D160" t="s">
        <v>1483</v>
      </c>
      <c r="E160" t="s">
        <v>1403</v>
      </c>
      <c r="F160">
        <v>0</v>
      </c>
      <c r="G160">
        <v>1</v>
      </c>
      <c r="H160" t="s">
        <v>78</v>
      </c>
      <c r="I160" t="s">
        <v>79</v>
      </c>
      <c r="J160" t="s">
        <v>335</v>
      </c>
      <c r="K160" t="s">
        <v>62</v>
      </c>
      <c r="L160" t="s">
        <v>40</v>
      </c>
      <c r="M160" t="s">
        <v>49</v>
      </c>
      <c r="N160" t="s">
        <v>81</v>
      </c>
      <c r="O160" t="s">
        <v>420</v>
      </c>
      <c r="P160">
        <v>815.83</v>
      </c>
      <c r="Q160">
        <v>1982.18</v>
      </c>
      <c r="R160">
        <v>0.127</v>
      </c>
      <c r="S160">
        <v>0</v>
      </c>
      <c r="T160">
        <v>6</v>
      </c>
      <c r="U160" t="s">
        <v>1474</v>
      </c>
      <c r="V160">
        <v>10382.65884</v>
      </c>
      <c r="W160">
        <v>4894.9800000000005</v>
      </c>
      <c r="X160">
        <v>5487.6788399999996</v>
      </c>
      <c r="Y160">
        <v>0.52854272923408507</v>
      </c>
    </row>
    <row r="161" spans="1:25" x14ac:dyDescent="0.3">
      <c r="A161" t="s">
        <v>421</v>
      </c>
      <c r="B161">
        <v>45870</v>
      </c>
      <c r="C161">
        <v>45890</v>
      </c>
      <c r="D161" t="s">
        <v>1488</v>
      </c>
      <c r="E161" t="s">
        <v>1409</v>
      </c>
      <c r="F161">
        <v>20</v>
      </c>
      <c r="G161">
        <v>0</v>
      </c>
      <c r="H161" t="s">
        <v>45</v>
      </c>
      <c r="I161" t="s">
        <v>116</v>
      </c>
      <c r="J161" t="s">
        <v>162</v>
      </c>
      <c r="K161" t="s">
        <v>19</v>
      </c>
      <c r="L161" t="s">
        <v>98</v>
      </c>
      <c r="M161" t="s">
        <v>34</v>
      </c>
      <c r="N161" t="s">
        <v>42</v>
      </c>
      <c r="O161" t="s">
        <v>422</v>
      </c>
      <c r="P161">
        <v>1220.4100000000001</v>
      </c>
      <c r="Q161">
        <v>2552.2199999999998</v>
      </c>
      <c r="R161">
        <v>0.18099999999999999</v>
      </c>
      <c r="S161">
        <v>0</v>
      </c>
      <c r="T161">
        <v>14</v>
      </c>
      <c r="U161" t="s">
        <v>1474</v>
      </c>
      <c r="V161">
        <v>29263.754519999995</v>
      </c>
      <c r="W161">
        <v>17085.740000000002</v>
      </c>
      <c r="X161">
        <v>12178.014519999993</v>
      </c>
      <c r="Y161">
        <v>0.41614668793360271</v>
      </c>
    </row>
    <row r="162" spans="1:25" x14ac:dyDescent="0.3">
      <c r="A162" t="s">
        <v>423</v>
      </c>
      <c r="B162">
        <v>44977</v>
      </c>
      <c r="C162">
        <v>44989</v>
      </c>
      <c r="D162" t="s">
        <v>1482</v>
      </c>
      <c r="E162" t="s">
        <v>1379</v>
      </c>
      <c r="F162">
        <v>12</v>
      </c>
      <c r="G162">
        <v>0</v>
      </c>
      <c r="H162" t="s">
        <v>45</v>
      </c>
      <c r="I162" t="s">
        <v>60</v>
      </c>
      <c r="J162" t="s">
        <v>141</v>
      </c>
      <c r="K162" t="s">
        <v>48</v>
      </c>
      <c r="L162" t="s">
        <v>55</v>
      </c>
      <c r="M162" t="s">
        <v>110</v>
      </c>
      <c r="N162" t="s">
        <v>64</v>
      </c>
      <c r="O162" t="s">
        <v>424</v>
      </c>
      <c r="P162">
        <v>299.75</v>
      </c>
      <c r="Q162">
        <v>523.01</v>
      </c>
      <c r="R162">
        <v>0.157</v>
      </c>
      <c r="S162">
        <v>0</v>
      </c>
      <c r="T162">
        <v>50</v>
      </c>
      <c r="U162" t="s">
        <v>1480</v>
      </c>
      <c r="V162">
        <v>22044.871499999997</v>
      </c>
      <c r="W162">
        <v>14987.5</v>
      </c>
      <c r="X162">
        <v>7057.3714999999975</v>
      </c>
      <c r="Y162">
        <v>0.32013665854210122</v>
      </c>
    </row>
    <row r="163" spans="1:25" x14ac:dyDescent="0.3">
      <c r="A163" t="s">
        <v>425</v>
      </c>
      <c r="B163">
        <v>45595</v>
      </c>
      <c r="C163">
        <v>45620</v>
      </c>
      <c r="D163" t="s">
        <v>1481</v>
      </c>
      <c r="E163" t="s">
        <v>1399</v>
      </c>
      <c r="F163">
        <v>25</v>
      </c>
      <c r="G163">
        <v>0</v>
      </c>
      <c r="H163" t="s">
        <v>45</v>
      </c>
      <c r="I163" t="s">
        <v>116</v>
      </c>
      <c r="J163" t="s">
        <v>117</v>
      </c>
      <c r="K163" t="s">
        <v>62</v>
      </c>
      <c r="L163" t="s">
        <v>28</v>
      </c>
      <c r="M163" t="s">
        <v>63</v>
      </c>
      <c r="N163" t="s">
        <v>22</v>
      </c>
      <c r="O163" t="s">
        <v>426</v>
      </c>
      <c r="P163">
        <v>811.05</v>
      </c>
      <c r="Q163">
        <v>1217.71</v>
      </c>
      <c r="R163">
        <v>7.1999999999999995E-2</v>
      </c>
      <c r="S163">
        <v>0</v>
      </c>
      <c r="T163">
        <v>5</v>
      </c>
      <c r="U163" t="s">
        <v>1485</v>
      </c>
      <c r="V163">
        <v>5650.1744000000008</v>
      </c>
      <c r="W163">
        <v>4055.25</v>
      </c>
      <c r="X163">
        <v>1594.9244000000008</v>
      </c>
      <c r="Y163">
        <v>0.28227879125288602</v>
      </c>
    </row>
    <row r="164" spans="1:25" x14ac:dyDescent="0.3">
      <c r="A164" t="s">
        <v>427</v>
      </c>
      <c r="B164">
        <v>45385</v>
      </c>
      <c r="C164">
        <v>45389</v>
      </c>
      <c r="D164" t="s">
        <v>1486</v>
      </c>
      <c r="E164" t="s">
        <v>1393</v>
      </c>
      <c r="F164">
        <v>4</v>
      </c>
      <c r="G164">
        <v>1</v>
      </c>
      <c r="H164" t="s">
        <v>52</v>
      </c>
      <c r="I164" t="s">
        <v>73</v>
      </c>
      <c r="J164" t="s">
        <v>87</v>
      </c>
      <c r="K164" t="s">
        <v>39</v>
      </c>
      <c r="L164" t="s">
        <v>98</v>
      </c>
      <c r="M164" t="s">
        <v>126</v>
      </c>
      <c r="N164" t="s">
        <v>42</v>
      </c>
      <c r="O164" t="s">
        <v>428</v>
      </c>
      <c r="P164">
        <v>1023.27</v>
      </c>
      <c r="Q164">
        <v>1343.64</v>
      </c>
      <c r="R164">
        <v>0.13300000000000001</v>
      </c>
      <c r="S164">
        <v>0</v>
      </c>
      <c r="T164">
        <v>7</v>
      </c>
      <c r="U164" t="s">
        <v>1485</v>
      </c>
      <c r="V164">
        <v>8154.5511600000009</v>
      </c>
      <c r="W164">
        <v>7162.8899999999994</v>
      </c>
      <c r="X164">
        <v>991.66116000000147</v>
      </c>
      <c r="Y164">
        <v>0.12160830688810116</v>
      </c>
    </row>
    <row r="165" spans="1:25" x14ac:dyDescent="0.3">
      <c r="A165" t="s">
        <v>429</v>
      </c>
      <c r="B165">
        <v>45010</v>
      </c>
      <c r="C165">
        <v>45011</v>
      </c>
      <c r="D165" t="s">
        <v>1482</v>
      </c>
      <c r="E165" t="s">
        <v>1380</v>
      </c>
      <c r="F165">
        <v>1</v>
      </c>
      <c r="G165">
        <v>1</v>
      </c>
      <c r="H165" t="s">
        <v>45</v>
      </c>
      <c r="I165" t="s">
        <v>46</v>
      </c>
      <c r="J165" t="s">
        <v>47</v>
      </c>
      <c r="K165" t="s">
        <v>62</v>
      </c>
      <c r="L165" t="s">
        <v>55</v>
      </c>
      <c r="M165" t="s">
        <v>34</v>
      </c>
      <c r="N165" t="s">
        <v>64</v>
      </c>
      <c r="O165" t="s">
        <v>430</v>
      </c>
      <c r="P165">
        <v>135.12</v>
      </c>
      <c r="Q165">
        <v>301.7</v>
      </c>
      <c r="R165">
        <v>0.14000000000000001</v>
      </c>
      <c r="S165">
        <v>0</v>
      </c>
      <c r="T165">
        <v>47</v>
      </c>
      <c r="U165" t="s">
        <v>1480</v>
      </c>
      <c r="V165">
        <v>12194.714</v>
      </c>
      <c r="W165">
        <v>6350.64</v>
      </c>
      <c r="X165">
        <v>5844.0739999999996</v>
      </c>
      <c r="Y165">
        <v>0.47923009920527859</v>
      </c>
    </row>
    <row r="166" spans="1:25" x14ac:dyDescent="0.3">
      <c r="A166" t="s">
        <v>431</v>
      </c>
      <c r="B166">
        <v>45447</v>
      </c>
      <c r="C166">
        <v>45459</v>
      </c>
      <c r="D166" t="s">
        <v>1486</v>
      </c>
      <c r="E166" t="s">
        <v>1395</v>
      </c>
      <c r="F166">
        <v>12</v>
      </c>
      <c r="G166">
        <v>0</v>
      </c>
      <c r="H166" t="s">
        <v>45</v>
      </c>
      <c r="I166" t="s">
        <v>116</v>
      </c>
      <c r="J166" t="s">
        <v>162</v>
      </c>
      <c r="K166" t="s">
        <v>19</v>
      </c>
      <c r="L166" t="s">
        <v>20</v>
      </c>
      <c r="M166" t="s">
        <v>29</v>
      </c>
      <c r="N166" t="s">
        <v>30</v>
      </c>
      <c r="O166" t="s">
        <v>432</v>
      </c>
      <c r="P166">
        <v>918.42</v>
      </c>
      <c r="Q166">
        <v>1511.71</v>
      </c>
      <c r="R166">
        <v>0.02</v>
      </c>
      <c r="S166">
        <v>0</v>
      </c>
      <c r="T166">
        <v>8</v>
      </c>
      <c r="U166" t="s">
        <v>1485</v>
      </c>
      <c r="V166">
        <v>11851.806399999999</v>
      </c>
      <c r="W166">
        <v>7347.36</v>
      </c>
      <c r="X166">
        <v>4504.4463999999998</v>
      </c>
      <c r="Y166">
        <v>0.38006412254590999</v>
      </c>
    </row>
    <row r="167" spans="1:25" x14ac:dyDescent="0.3">
      <c r="A167" t="s">
        <v>433</v>
      </c>
      <c r="B167">
        <v>44976</v>
      </c>
      <c r="C167">
        <v>44997</v>
      </c>
      <c r="D167" t="s">
        <v>1482</v>
      </c>
      <c r="E167" t="s">
        <v>1379</v>
      </c>
      <c r="F167">
        <v>21</v>
      </c>
      <c r="G167">
        <v>0</v>
      </c>
      <c r="H167" t="s">
        <v>78</v>
      </c>
      <c r="I167" t="s">
        <v>79</v>
      </c>
      <c r="J167" t="s">
        <v>80</v>
      </c>
      <c r="K167" t="s">
        <v>62</v>
      </c>
      <c r="L167" t="s">
        <v>98</v>
      </c>
      <c r="M167" t="s">
        <v>49</v>
      </c>
      <c r="N167" t="s">
        <v>64</v>
      </c>
      <c r="O167" t="s">
        <v>434</v>
      </c>
      <c r="P167">
        <v>1234.81</v>
      </c>
      <c r="Q167">
        <v>2055.2399999999998</v>
      </c>
      <c r="R167">
        <v>5.2999999999999999E-2</v>
      </c>
      <c r="S167">
        <v>0</v>
      </c>
      <c r="T167">
        <v>44</v>
      </c>
      <c r="U167" t="s">
        <v>1474</v>
      </c>
      <c r="V167">
        <v>85637.740319999997</v>
      </c>
      <c r="W167">
        <v>54331.64</v>
      </c>
      <c r="X167">
        <v>31306.100319999998</v>
      </c>
      <c r="Y167">
        <v>0.36556429680441616</v>
      </c>
    </row>
    <row r="168" spans="1:25" x14ac:dyDescent="0.3">
      <c r="A168" t="s">
        <v>435</v>
      </c>
      <c r="B168">
        <v>45034</v>
      </c>
      <c r="C168">
        <v>45064</v>
      </c>
      <c r="D168" t="s">
        <v>1490</v>
      </c>
      <c r="E168" t="s">
        <v>1381</v>
      </c>
      <c r="F168">
        <v>30</v>
      </c>
      <c r="G168">
        <v>0</v>
      </c>
      <c r="H168" t="s">
        <v>45</v>
      </c>
      <c r="I168" t="s">
        <v>116</v>
      </c>
      <c r="J168" t="s">
        <v>117</v>
      </c>
      <c r="K168" t="s">
        <v>39</v>
      </c>
      <c r="L168" t="s">
        <v>20</v>
      </c>
      <c r="M168" t="s">
        <v>92</v>
      </c>
      <c r="N168" t="s">
        <v>57</v>
      </c>
      <c r="O168" t="s">
        <v>436</v>
      </c>
      <c r="P168">
        <v>329.03</v>
      </c>
      <c r="Q168">
        <v>391.15</v>
      </c>
      <c r="R168">
        <v>0.19700000000000001</v>
      </c>
      <c r="S168">
        <v>0</v>
      </c>
      <c r="T168">
        <v>46</v>
      </c>
      <c r="U168" t="s">
        <v>1480</v>
      </c>
      <c r="V168">
        <v>14448.298699999998</v>
      </c>
      <c r="W168">
        <v>15135.38</v>
      </c>
      <c r="X168">
        <v>-687.08130000000165</v>
      </c>
      <c r="Y168">
        <v>-4.7554477815440081E-2</v>
      </c>
    </row>
    <row r="169" spans="1:25" x14ac:dyDescent="0.3">
      <c r="A169" t="s">
        <v>437</v>
      </c>
      <c r="B169">
        <v>45435</v>
      </c>
      <c r="C169">
        <v>45457</v>
      </c>
      <c r="D169" t="s">
        <v>1486</v>
      </c>
      <c r="E169" t="s">
        <v>1394</v>
      </c>
      <c r="F169">
        <v>22</v>
      </c>
      <c r="G169">
        <v>0</v>
      </c>
      <c r="H169" t="s">
        <v>78</v>
      </c>
      <c r="I169" t="s">
        <v>90</v>
      </c>
      <c r="J169" t="s">
        <v>91</v>
      </c>
      <c r="K169" t="s">
        <v>62</v>
      </c>
      <c r="L169" t="s">
        <v>28</v>
      </c>
      <c r="M169" t="s">
        <v>126</v>
      </c>
      <c r="N169" t="s">
        <v>64</v>
      </c>
      <c r="O169" t="s">
        <v>438</v>
      </c>
      <c r="P169">
        <v>1481.74</v>
      </c>
      <c r="Q169">
        <v>1848.97</v>
      </c>
      <c r="R169">
        <v>0.254</v>
      </c>
      <c r="S169">
        <v>1</v>
      </c>
      <c r="T169">
        <v>9</v>
      </c>
      <c r="U169" t="s">
        <v>1474</v>
      </c>
      <c r="V169">
        <v>12413.98458</v>
      </c>
      <c r="W169">
        <v>13335.66</v>
      </c>
      <c r="X169">
        <v>-921.67541999999958</v>
      </c>
      <c r="Y169">
        <v>-7.4244930309072407E-2</v>
      </c>
    </row>
    <row r="170" spans="1:25" x14ac:dyDescent="0.3">
      <c r="A170" t="s">
        <v>439</v>
      </c>
      <c r="B170">
        <v>45206</v>
      </c>
      <c r="C170">
        <v>45222</v>
      </c>
      <c r="D170" t="s">
        <v>1484</v>
      </c>
      <c r="E170" t="s">
        <v>1387</v>
      </c>
      <c r="F170">
        <v>16</v>
      </c>
      <c r="G170">
        <v>0</v>
      </c>
      <c r="H170" t="s">
        <v>45</v>
      </c>
      <c r="I170" t="s">
        <v>60</v>
      </c>
      <c r="J170" t="s">
        <v>281</v>
      </c>
      <c r="K170" t="s">
        <v>48</v>
      </c>
      <c r="L170" t="s">
        <v>20</v>
      </c>
      <c r="M170" t="s">
        <v>41</v>
      </c>
      <c r="N170" t="s">
        <v>64</v>
      </c>
      <c r="O170" t="s">
        <v>440</v>
      </c>
      <c r="P170">
        <v>906.81</v>
      </c>
      <c r="Q170">
        <v>1395.56</v>
      </c>
      <c r="R170">
        <v>0.185</v>
      </c>
      <c r="S170">
        <v>0</v>
      </c>
      <c r="T170">
        <v>6</v>
      </c>
      <c r="U170" t="s">
        <v>1485</v>
      </c>
      <c r="V170">
        <v>6824.2884000000004</v>
      </c>
      <c r="W170">
        <v>5440.86</v>
      </c>
      <c r="X170">
        <v>1383.4284000000007</v>
      </c>
      <c r="Y170">
        <v>0.20272126834498974</v>
      </c>
    </row>
    <row r="171" spans="1:25" x14ac:dyDescent="0.3">
      <c r="A171" t="s">
        <v>441</v>
      </c>
      <c r="B171">
        <v>45574</v>
      </c>
      <c r="C171">
        <v>45604</v>
      </c>
      <c r="D171" t="s">
        <v>1481</v>
      </c>
      <c r="E171" t="s">
        <v>1399</v>
      </c>
      <c r="F171">
        <v>30</v>
      </c>
      <c r="G171">
        <v>0</v>
      </c>
      <c r="H171" t="s">
        <v>78</v>
      </c>
      <c r="I171" t="s">
        <v>108</v>
      </c>
      <c r="J171" t="s">
        <v>228</v>
      </c>
      <c r="K171" t="s">
        <v>62</v>
      </c>
      <c r="L171" t="s">
        <v>55</v>
      </c>
      <c r="M171" t="s">
        <v>29</v>
      </c>
      <c r="N171" t="s">
        <v>22</v>
      </c>
      <c r="O171" t="s">
        <v>442</v>
      </c>
      <c r="P171">
        <v>343.85</v>
      </c>
      <c r="Q171">
        <v>538.04</v>
      </c>
      <c r="R171">
        <v>0.13900000000000001</v>
      </c>
      <c r="S171">
        <v>0</v>
      </c>
      <c r="T171">
        <v>5</v>
      </c>
      <c r="U171" t="s">
        <v>1480</v>
      </c>
      <c r="V171">
        <v>2316.2621999999997</v>
      </c>
      <c r="W171">
        <v>1719.25</v>
      </c>
      <c r="X171">
        <v>597.01219999999967</v>
      </c>
      <c r="Y171">
        <v>0.25774810813732563</v>
      </c>
    </row>
    <row r="172" spans="1:25" x14ac:dyDescent="0.3">
      <c r="A172" t="s">
        <v>443</v>
      </c>
      <c r="B172">
        <v>45488</v>
      </c>
      <c r="C172">
        <v>45488</v>
      </c>
      <c r="D172" t="s">
        <v>1491</v>
      </c>
      <c r="E172" t="s">
        <v>1396</v>
      </c>
      <c r="F172">
        <v>0</v>
      </c>
      <c r="G172">
        <v>1</v>
      </c>
      <c r="H172" t="s">
        <v>45</v>
      </c>
      <c r="I172" t="s">
        <v>46</v>
      </c>
      <c r="J172" t="s">
        <v>214</v>
      </c>
      <c r="K172" t="s">
        <v>62</v>
      </c>
      <c r="L172" t="s">
        <v>40</v>
      </c>
      <c r="M172" t="s">
        <v>41</v>
      </c>
      <c r="N172" t="s">
        <v>81</v>
      </c>
      <c r="O172" t="s">
        <v>444</v>
      </c>
      <c r="P172">
        <v>801.77</v>
      </c>
      <c r="Q172">
        <v>1218.92</v>
      </c>
      <c r="R172">
        <v>0.254</v>
      </c>
      <c r="S172">
        <v>1</v>
      </c>
      <c r="T172">
        <v>16</v>
      </c>
      <c r="U172" t="s">
        <v>1485</v>
      </c>
      <c r="V172">
        <v>14549.029120000001</v>
      </c>
      <c r="W172">
        <v>12828.32</v>
      </c>
      <c r="X172">
        <v>1720.7091200000013</v>
      </c>
      <c r="Y172">
        <v>0.11826968698788344</v>
      </c>
    </row>
    <row r="173" spans="1:25" x14ac:dyDescent="0.3">
      <c r="A173" t="s">
        <v>445</v>
      </c>
      <c r="B173">
        <v>45190</v>
      </c>
      <c r="C173">
        <v>45209</v>
      </c>
      <c r="D173" t="s">
        <v>1492</v>
      </c>
      <c r="E173" t="s">
        <v>1493</v>
      </c>
      <c r="F173">
        <v>19</v>
      </c>
      <c r="G173">
        <v>0</v>
      </c>
      <c r="H173" t="s">
        <v>45</v>
      </c>
      <c r="I173" t="s">
        <v>46</v>
      </c>
      <c r="J173" t="s">
        <v>214</v>
      </c>
      <c r="K173" t="s">
        <v>27</v>
      </c>
      <c r="L173" t="s">
        <v>28</v>
      </c>
      <c r="M173" t="s">
        <v>145</v>
      </c>
      <c r="N173" t="s">
        <v>22</v>
      </c>
      <c r="O173" t="s">
        <v>446</v>
      </c>
      <c r="P173">
        <v>845.63</v>
      </c>
      <c r="Q173">
        <v>2062.12</v>
      </c>
      <c r="R173">
        <v>0.13400000000000001</v>
      </c>
      <c r="S173">
        <v>0</v>
      </c>
      <c r="T173">
        <v>5</v>
      </c>
      <c r="U173" t="s">
        <v>1474</v>
      </c>
      <c r="V173">
        <v>8928.9795999999988</v>
      </c>
      <c r="W173">
        <v>4228.1499999999996</v>
      </c>
      <c r="X173">
        <v>4700.8295999999991</v>
      </c>
      <c r="Y173">
        <v>0.52646884757133949</v>
      </c>
    </row>
    <row r="174" spans="1:25" x14ac:dyDescent="0.3">
      <c r="A174" t="s">
        <v>447</v>
      </c>
      <c r="B174">
        <v>44981</v>
      </c>
      <c r="C174">
        <v>44994</v>
      </c>
      <c r="D174" t="s">
        <v>1482</v>
      </c>
      <c r="E174" t="s">
        <v>1379</v>
      </c>
      <c r="F174">
        <v>13</v>
      </c>
      <c r="G174">
        <v>0</v>
      </c>
      <c r="H174" t="s">
        <v>52</v>
      </c>
      <c r="I174" t="s">
        <v>122</v>
      </c>
      <c r="J174" t="s">
        <v>387</v>
      </c>
      <c r="K174" t="s">
        <v>105</v>
      </c>
      <c r="L174" t="s">
        <v>28</v>
      </c>
      <c r="M174" t="s">
        <v>110</v>
      </c>
      <c r="N174" t="s">
        <v>22</v>
      </c>
      <c r="O174" t="s">
        <v>448</v>
      </c>
      <c r="P174">
        <v>6.85</v>
      </c>
      <c r="Q174">
        <v>10.18</v>
      </c>
      <c r="R174">
        <v>4.7E-2</v>
      </c>
      <c r="S174">
        <v>0</v>
      </c>
      <c r="T174">
        <v>10</v>
      </c>
      <c r="U174" t="s">
        <v>1480</v>
      </c>
      <c r="V174">
        <v>97.0154</v>
      </c>
      <c r="W174">
        <v>68.5</v>
      </c>
      <c r="X174">
        <v>28.5154</v>
      </c>
      <c r="Y174">
        <v>0.2939265312517394</v>
      </c>
    </row>
    <row r="175" spans="1:25" x14ac:dyDescent="0.3">
      <c r="A175" t="s">
        <v>449</v>
      </c>
      <c r="B175">
        <v>45798</v>
      </c>
      <c r="C175">
        <v>45805</v>
      </c>
      <c r="D175" t="s">
        <v>1487</v>
      </c>
      <c r="E175" t="s">
        <v>1406</v>
      </c>
      <c r="F175">
        <v>7</v>
      </c>
      <c r="G175">
        <v>1</v>
      </c>
      <c r="H175" t="s">
        <v>16</v>
      </c>
      <c r="I175" t="s">
        <v>148</v>
      </c>
      <c r="J175" t="s">
        <v>149</v>
      </c>
      <c r="K175" t="s">
        <v>39</v>
      </c>
      <c r="L175" t="s">
        <v>55</v>
      </c>
      <c r="M175" t="s">
        <v>68</v>
      </c>
      <c r="N175" t="s">
        <v>57</v>
      </c>
      <c r="O175" t="s">
        <v>450</v>
      </c>
      <c r="P175">
        <v>1263.8399999999999</v>
      </c>
      <c r="Q175">
        <v>2281.7199999999998</v>
      </c>
      <c r="R175">
        <v>7.8E-2</v>
      </c>
      <c r="S175">
        <v>0</v>
      </c>
      <c r="T175">
        <v>15</v>
      </c>
      <c r="U175" t="s">
        <v>1474</v>
      </c>
      <c r="V175">
        <v>31556.187599999997</v>
      </c>
      <c r="W175">
        <v>18957.599999999999</v>
      </c>
      <c r="X175">
        <v>12598.587599999999</v>
      </c>
      <c r="Y175">
        <v>0.39924301882398494</v>
      </c>
    </row>
    <row r="176" spans="1:25" x14ac:dyDescent="0.3">
      <c r="A176" t="s">
        <v>451</v>
      </c>
      <c r="B176">
        <v>45435</v>
      </c>
      <c r="C176">
        <v>45446</v>
      </c>
      <c r="D176" t="s">
        <v>1486</v>
      </c>
      <c r="E176" t="s">
        <v>1394</v>
      </c>
      <c r="F176">
        <v>11</v>
      </c>
      <c r="G176">
        <v>0</v>
      </c>
      <c r="H176" t="s">
        <v>16</v>
      </c>
      <c r="I176" t="s">
        <v>148</v>
      </c>
      <c r="J176" t="s">
        <v>149</v>
      </c>
      <c r="K176" t="s">
        <v>62</v>
      </c>
      <c r="L176" t="s">
        <v>55</v>
      </c>
      <c r="M176" t="s">
        <v>84</v>
      </c>
      <c r="N176" t="s">
        <v>30</v>
      </c>
      <c r="O176" t="s">
        <v>452</v>
      </c>
      <c r="P176">
        <v>180.89</v>
      </c>
      <c r="Q176">
        <v>249.57</v>
      </c>
      <c r="R176">
        <v>2.1999999999999999E-2</v>
      </c>
      <c r="S176">
        <v>0</v>
      </c>
      <c r="T176">
        <v>8</v>
      </c>
      <c r="U176" t="s">
        <v>1480</v>
      </c>
      <c r="V176">
        <v>1952.6356799999999</v>
      </c>
      <c r="W176">
        <v>1447.12</v>
      </c>
      <c r="X176">
        <v>505.51567999999997</v>
      </c>
      <c r="Y176">
        <v>0.25888888806948362</v>
      </c>
    </row>
    <row r="177" spans="1:25" x14ac:dyDescent="0.3">
      <c r="A177" t="s">
        <v>453</v>
      </c>
      <c r="B177">
        <v>45761</v>
      </c>
      <c r="C177">
        <v>45781</v>
      </c>
      <c r="D177" t="s">
        <v>1487</v>
      </c>
      <c r="E177" t="s">
        <v>1405</v>
      </c>
      <c r="F177">
        <v>20</v>
      </c>
      <c r="G177">
        <v>0</v>
      </c>
      <c r="H177" t="s">
        <v>78</v>
      </c>
      <c r="I177" t="s">
        <v>108</v>
      </c>
      <c r="J177" t="s">
        <v>109</v>
      </c>
      <c r="K177" t="s">
        <v>105</v>
      </c>
      <c r="L177" t="s">
        <v>40</v>
      </c>
      <c r="M177" t="s">
        <v>95</v>
      </c>
      <c r="N177" t="s">
        <v>64</v>
      </c>
      <c r="O177" t="s">
        <v>454</v>
      </c>
      <c r="P177">
        <v>1413.87</v>
      </c>
      <c r="Q177">
        <v>3275</v>
      </c>
      <c r="R177">
        <v>0.255</v>
      </c>
      <c r="S177">
        <v>1</v>
      </c>
      <c r="T177">
        <v>38</v>
      </c>
      <c r="U177" t="s">
        <v>1474</v>
      </c>
      <c r="V177">
        <v>92715.25</v>
      </c>
      <c r="W177">
        <v>53727.06</v>
      </c>
      <c r="X177">
        <v>38988.19</v>
      </c>
      <c r="Y177">
        <v>0.42051539525590453</v>
      </c>
    </row>
    <row r="178" spans="1:25" x14ac:dyDescent="0.3">
      <c r="A178" t="s">
        <v>455</v>
      </c>
      <c r="B178">
        <v>45165</v>
      </c>
      <c r="C178">
        <v>45180</v>
      </c>
      <c r="D178" t="s">
        <v>1492</v>
      </c>
      <c r="E178" t="s">
        <v>1385</v>
      </c>
      <c r="F178">
        <v>15</v>
      </c>
      <c r="G178">
        <v>0</v>
      </c>
      <c r="H178" t="s">
        <v>78</v>
      </c>
      <c r="I178" t="s">
        <v>108</v>
      </c>
      <c r="J178" t="s">
        <v>152</v>
      </c>
      <c r="K178" t="s">
        <v>48</v>
      </c>
      <c r="L178" t="s">
        <v>40</v>
      </c>
      <c r="M178" t="s">
        <v>126</v>
      </c>
      <c r="N178" t="s">
        <v>30</v>
      </c>
      <c r="O178" t="s">
        <v>456</v>
      </c>
      <c r="P178">
        <v>943.79</v>
      </c>
      <c r="Q178">
        <v>1913.76</v>
      </c>
      <c r="R178">
        <v>9.0999999999999998E-2</v>
      </c>
      <c r="S178">
        <v>0</v>
      </c>
      <c r="T178">
        <v>9</v>
      </c>
      <c r="U178" t="s">
        <v>1474</v>
      </c>
      <c r="V178">
        <v>15656.47056</v>
      </c>
      <c r="W178">
        <v>8494.11</v>
      </c>
      <c r="X178">
        <v>7162.3605599999992</v>
      </c>
      <c r="Y178">
        <v>0.45746967891338081</v>
      </c>
    </row>
    <row r="179" spans="1:25" x14ac:dyDescent="0.3">
      <c r="A179" t="s">
        <v>457</v>
      </c>
      <c r="B179">
        <v>45325</v>
      </c>
      <c r="C179">
        <v>45343</v>
      </c>
      <c r="D179" t="s">
        <v>1479</v>
      </c>
      <c r="E179" t="s">
        <v>1391</v>
      </c>
      <c r="F179">
        <v>18</v>
      </c>
      <c r="G179">
        <v>0</v>
      </c>
      <c r="H179" t="s">
        <v>78</v>
      </c>
      <c r="I179" t="s">
        <v>79</v>
      </c>
      <c r="J179" t="s">
        <v>335</v>
      </c>
      <c r="K179" t="s">
        <v>19</v>
      </c>
      <c r="L179" t="s">
        <v>20</v>
      </c>
      <c r="M179" t="s">
        <v>92</v>
      </c>
      <c r="N179" t="s">
        <v>22</v>
      </c>
      <c r="O179" t="s">
        <v>458</v>
      </c>
      <c r="P179">
        <v>39.229999999999997</v>
      </c>
      <c r="Q179">
        <v>30.09</v>
      </c>
      <c r="R179">
        <v>0.17699999999999999</v>
      </c>
      <c r="S179">
        <v>0</v>
      </c>
      <c r="T179">
        <v>13</v>
      </c>
      <c r="U179" t="s">
        <v>1480</v>
      </c>
      <c r="V179">
        <v>321.93290999999999</v>
      </c>
      <c r="W179">
        <v>509.98999999999995</v>
      </c>
      <c r="X179">
        <v>-188.05708999999996</v>
      </c>
      <c r="Y179">
        <v>-0.58414993981199359</v>
      </c>
    </row>
    <row r="180" spans="1:25" x14ac:dyDescent="0.3">
      <c r="A180" t="s">
        <v>459</v>
      </c>
      <c r="B180">
        <v>45021</v>
      </c>
      <c r="C180">
        <v>45032</v>
      </c>
      <c r="D180" t="s">
        <v>1490</v>
      </c>
      <c r="E180" t="s">
        <v>1381</v>
      </c>
      <c r="F180">
        <v>11</v>
      </c>
      <c r="G180">
        <v>0</v>
      </c>
      <c r="H180" t="s">
        <v>52</v>
      </c>
      <c r="I180" t="s">
        <v>53</v>
      </c>
      <c r="J180" t="s">
        <v>179</v>
      </c>
      <c r="K180" t="s">
        <v>39</v>
      </c>
      <c r="L180" t="s">
        <v>28</v>
      </c>
      <c r="M180" t="s">
        <v>68</v>
      </c>
      <c r="N180" t="s">
        <v>64</v>
      </c>
      <c r="O180" t="s">
        <v>460</v>
      </c>
      <c r="P180">
        <v>213.1</v>
      </c>
      <c r="Q180">
        <v>501.31</v>
      </c>
      <c r="R180">
        <v>5.6000000000000001E-2</v>
      </c>
      <c r="S180">
        <v>0</v>
      </c>
      <c r="T180">
        <v>15</v>
      </c>
      <c r="U180" t="s">
        <v>1480</v>
      </c>
      <c r="V180">
        <v>7098.5495999999994</v>
      </c>
      <c r="W180">
        <v>3196.5</v>
      </c>
      <c r="X180">
        <v>3902.0495999999994</v>
      </c>
      <c r="Y180">
        <v>0.54969674368409005</v>
      </c>
    </row>
    <row r="181" spans="1:25" x14ac:dyDescent="0.3">
      <c r="A181" t="s">
        <v>461</v>
      </c>
      <c r="B181">
        <v>45890</v>
      </c>
      <c r="C181">
        <v>45912</v>
      </c>
      <c r="D181" t="s">
        <v>1488</v>
      </c>
      <c r="E181" t="s">
        <v>1409</v>
      </c>
      <c r="F181">
        <v>22</v>
      </c>
      <c r="G181">
        <v>0</v>
      </c>
      <c r="H181" t="s">
        <v>45</v>
      </c>
      <c r="I181" t="s">
        <v>116</v>
      </c>
      <c r="J181" t="s">
        <v>117</v>
      </c>
      <c r="K181" t="s">
        <v>27</v>
      </c>
      <c r="L181" t="s">
        <v>20</v>
      </c>
      <c r="M181" t="s">
        <v>56</v>
      </c>
      <c r="N181" t="s">
        <v>30</v>
      </c>
      <c r="O181" t="s">
        <v>462</v>
      </c>
      <c r="P181">
        <v>352.66</v>
      </c>
      <c r="Q181">
        <v>411.18</v>
      </c>
      <c r="R181">
        <v>0.17299999999999999</v>
      </c>
      <c r="S181">
        <v>0</v>
      </c>
      <c r="T181">
        <v>13</v>
      </c>
      <c r="U181" t="s">
        <v>1480</v>
      </c>
      <c r="V181">
        <v>4420.5961799999995</v>
      </c>
      <c r="W181">
        <v>4584.58</v>
      </c>
      <c r="X181">
        <v>-163.98382000000038</v>
      </c>
      <c r="Y181">
        <v>-3.7095408248758066E-2</v>
      </c>
    </row>
    <row r="182" spans="1:25" x14ac:dyDescent="0.3">
      <c r="A182" t="s">
        <v>463</v>
      </c>
      <c r="B182">
        <v>45915</v>
      </c>
      <c r="C182">
        <v>45918</v>
      </c>
      <c r="D182" t="s">
        <v>1488</v>
      </c>
      <c r="E182" t="s">
        <v>1489</v>
      </c>
      <c r="F182">
        <v>3</v>
      </c>
      <c r="G182">
        <v>1</v>
      </c>
      <c r="H182" t="s">
        <v>52</v>
      </c>
      <c r="I182" t="s">
        <v>73</v>
      </c>
      <c r="J182" t="s">
        <v>225</v>
      </c>
      <c r="K182" t="s">
        <v>39</v>
      </c>
      <c r="L182" t="s">
        <v>98</v>
      </c>
      <c r="M182" t="s">
        <v>49</v>
      </c>
      <c r="N182" t="s">
        <v>81</v>
      </c>
      <c r="O182" t="s">
        <v>464</v>
      </c>
      <c r="P182">
        <v>5.5</v>
      </c>
      <c r="Q182">
        <v>5.92</v>
      </c>
      <c r="R182">
        <v>0.21199999999999999</v>
      </c>
      <c r="S182">
        <v>1</v>
      </c>
      <c r="T182">
        <v>4</v>
      </c>
      <c r="U182" t="s">
        <v>1480</v>
      </c>
      <c r="V182">
        <v>18.659839999999999</v>
      </c>
      <c r="W182">
        <v>22</v>
      </c>
      <c r="X182">
        <v>-3.3401600000000009</v>
      </c>
      <c r="Y182">
        <v>-0.17900260666758133</v>
      </c>
    </row>
    <row r="183" spans="1:25" x14ac:dyDescent="0.3">
      <c r="A183" t="s">
        <v>465</v>
      </c>
      <c r="B183">
        <v>45568</v>
      </c>
      <c r="C183">
        <v>45576</v>
      </c>
      <c r="D183" t="s">
        <v>1481</v>
      </c>
      <c r="E183" t="s">
        <v>1399</v>
      </c>
      <c r="F183">
        <v>8</v>
      </c>
      <c r="G183">
        <v>0</v>
      </c>
      <c r="H183" t="s">
        <v>45</v>
      </c>
      <c r="I183" t="s">
        <v>116</v>
      </c>
      <c r="J183" t="s">
        <v>338</v>
      </c>
      <c r="K183" t="s">
        <v>105</v>
      </c>
      <c r="L183" t="s">
        <v>98</v>
      </c>
      <c r="M183" t="s">
        <v>56</v>
      </c>
      <c r="N183" t="s">
        <v>42</v>
      </c>
      <c r="O183" t="s">
        <v>466</v>
      </c>
      <c r="P183">
        <v>1132.6099999999999</v>
      </c>
      <c r="Q183">
        <v>2206.63</v>
      </c>
      <c r="R183">
        <v>6.3E-2</v>
      </c>
      <c r="S183">
        <v>0</v>
      </c>
      <c r="T183">
        <v>20</v>
      </c>
      <c r="U183" t="s">
        <v>1474</v>
      </c>
      <c r="V183">
        <v>41352.246200000009</v>
      </c>
      <c r="W183">
        <v>22652.199999999997</v>
      </c>
      <c r="X183">
        <v>18700.046200000012</v>
      </c>
      <c r="Y183">
        <v>0.45221355351671338</v>
      </c>
    </row>
    <row r="184" spans="1:25" x14ac:dyDescent="0.3">
      <c r="A184" t="s">
        <v>467</v>
      </c>
      <c r="B184">
        <v>45690</v>
      </c>
      <c r="C184">
        <v>45720</v>
      </c>
      <c r="D184" t="s">
        <v>1483</v>
      </c>
      <c r="E184" t="s">
        <v>1403</v>
      </c>
      <c r="F184">
        <v>30</v>
      </c>
      <c r="G184">
        <v>0</v>
      </c>
      <c r="H184" t="s">
        <v>45</v>
      </c>
      <c r="I184" t="s">
        <v>46</v>
      </c>
      <c r="J184" t="s">
        <v>47</v>
      </c>
      <c r="K184" t="s">
        <v>27</v>
      </c>
      <c r="L184" t="s">
        <v>55</v>
      </c>
      <c r="M184" t="s">
        <v>49</v>
      </c>
      <c r="N184" t="s">
        <v>81</v>
      </c>
      <c r="O184" t="s">
        <v>468</v>
      </c>
      <c r="P184">
        <v>766.59</v>
      </c>
      <c r="Q184">
        <v>1912.8</v>
      </c>
      <c r="R184">
        <v>0.19600000000000001</v>
      </c>
      <c r="S184">
        <v>0</v>
      </c>
      <c r="T184">
        <v>5</v>
      </c>
      <c r="U184" t="s">
        <v>1474</v>
      </c>
      <c r="V184">
        <v>7689.4560000000001</v>
      </c>
      <c r="W184">
        <v>3832.9500000000003</v>
      </c>
      <c r="X184">
        <v>3856.5059999999999</v>
      </c>
      <c r="Y184">
        <v>0.50153170783472845</v>
      </c>
    </row>
    <row r="185" spans="1:25" x14ac:dyDescent="0.3">
      <c r="A185" t="s">
        <v>469</v>
      </c>
      <c r="B185">
        <v>45157</v>
      </c>
      <c r="C185">
        <v>45161</v>
      </c>
      <c r="D185" t="s">
        <v>1492</v>
      </c>
      <c r="E185" t="s">
        <v>1385</v>
      </c>
      <c r="F185">
        <v>4</v>
      </c>
      <c r="G185">
        <v>1</v>
      </c>
      <c r="H185" t="s">
        <v>16</v>
      </c>
      <c r="I185" t="s">
        <v>25</v>
      </c>
      <c r="J185" t="s">
        <v>67</v>
      </c>
      <c r="K185" t="s">
        <v>62</v>
      </c>
      <c r="L185" t="s">
        <v>28</v>
      </c>
      <c r="M185" t="s">
        <v>29</v>
      </c>
      <c r="N185" t="s">
        <v>64</v>
      </c>
      <c r="O185" t="s">
        <v>470</v>
      </c>
      <c r="P185">
        <v>790.63</v>
      </c>
      <c r="Q185">
        <v>1382.31</v>
      </c>
      <c r="R185">
        <v>0.10100000000000001</v>
      </c>
      <c r="S185">
        <v>0</v>
      </c>
      <c r="T185">
        <v>7</v>
      </c>
      <c r="U185" t="s">
        <v>1485</v>
      </c>
      <c r="V185">
        <v>8698.8768300000011</v>
      </c>
      <c r="W185">
        <v>5534.41</v>
      </c>
      <c r="X185">
        <v>3164.4668300000012</v>
      </c>
      <c r="Y185">
        <v>0.36377878338116448</v>
      </c>
    </row>
    <row r="186" spans="1:25" x14ac:dyDescent="0.3">
      <c r="A186" t="s">
        <v>471</v>
      </c>
      <c r="B186">
        <v>45587</v>
      </c>
      <c r="C186">
        <v>45594</v>
      </c>
      <c r="D186" t="s">
        <v>1481</v>
      </c>
      <c r="E186" t="s">
        <v>1399</v>
      </c>
      <c r="F186">
        <v>7</v>
      </c>
      <c r="G186">
        <v>1</v>
      </c>
      <c r="H186" t="s">
        <v>16</v>
      </c>
      <c r="I186" t="s">
        <v>25</v>
      </c>
      <c r="J186" t="s">
        <v>26</v>
      </c>
      <c r="K186" t="s">
        <v>105</v>
      </c>
      <c r="L186" t="s">
        <v>55</v>
      </c>
      <c r="M186" t="s">
        <v>110</v>
      </c>
      <c r="N186" t="s">
        <v>64</v>
      </c>
      <c r="O186" t="s">
        <v>472</v>
      </c>
      <c r="P186">
        <v>1023.06</v>
      </c>
      <c r="Q186">
        <v>1355.61</v>
      </c>
      <c r="R186">
        <v>0.153</v>
      </c>
      <c r="S186">
        <v>0</v>
      </c>
      <c r="T186">
        <v>23</v>
      </c>
      <c r="U186" t="s">
        <v>1485</v>
      </c>
      <c r="V186">
        <v>26408.63841</v>
      </c>
      <c r="W186">
        <v>23530.379999999997</v>
      </c>
      <c r="X186">
        <v>2878.2584100000022</v>
      </c>
      <c r="Y186">
        <v>0.10898927711888809</v>
      </c>
    </row>
    <row r="187" spans="1:25" x14ac:dyDescent="0.3">
      <c r="A187" t="s">
        <v>473</v>
      </c>
      <c r="B187">
        <v>45099</v>
      </c>
      <c r="C187">
        <v>45128</v>
      </c>
      <c r="D187" t="s">
        <v>1490</v>
      </c>
      <c r="E187" t="s">
        <v>1383</v>
      </c>
      <c r="F187">
        <v>29</v>
      </c>
      <c r="G187">
        <v>0</v>
      </c>
      <c r="H187" t="s">
        <v>78</v>
      </c>
      <c r="I187" t="s">
        <v>90</v>
      </c>
      <c r="J187" t="s">
        <v>138</v>
      </c>
      <c r="K187" t="s">
        <v>19</v>
      </c>
      <c r="L187" t="s">
        <v>20</v>
      </c>
      <c r="M187" t="s">
        <v>29</v>
      </c>
      <c r="N187" t="s">
        <v>81</v>
      </c>
      <c r="O187" t="s">
        <v>474</v>
      </c>
      <c r="P187">
        <v>734.34</v>
      </c>
      <c r="Q187">
        <v>887.9</v>
      </c>
      <c r="R187">
        <v>2.5000000000000001E-2</v>
      </c>
      <c r="S187">
        <v>0</v>
      </c>
      <c r="T187">
        <v>12</v>
      </c>
      <c r="U187" t="s">
        <v>1485</v>
      </c>
      <c r="V187">
        <v>10388.429999999998</v>
      </c>
      <c r="W187">
        <v>8812.08</v>
      </c>
      <c r="X187">
        <v>1576.3499999999985</v>
      </c>
      <c r="Y187">
        <v>0.15174092716608753</v>
      </c>
    </row>
    <row r="188" spans="1:25" x14ac:dyDescent="0.3">
      <c r="A188" t="s">
        <v>475</v>
      </c>
      <c r="B188">
        <v>45670</v>
      </c>
      <c r="C188">
        <v>45696</v>
      </c>
      <c r="D188" t="s">
        <v>1483</v>
      </c>
      <c r="E188" t="s">
        <v>1402</v>
      </c>
      <c r="F188">
        <v>26</v>
      </c>
      <c r="G188">
        <v>0</v>
      </c>
      <c r="H188" t="s">
        <v>78</v>
      </c>
      <c r="I188" t="s">
        <v>90</v>
      </c>
      <c r="J188" t="s">
        <v>217</v>
      </c>
      <c r="K188" t="s">
        <v>39</v>
      </c>
      <c r="L188" t="s">
        <v>98</v>
      </c>
      <c r="M188" t="s">
        <v>63</v>
      </c>
      <c r="N188" t="s">
        <v>64</v>
      </c>
      <c r="O188" t="s">
        <v>476</v>
      </c>
      <c r="P188">
        <v>594.74</v>
      </c>
      <c r="Q188">
        <v>1020.69</v>
      </c>
      <c r="R188">
        <v>0.21099999999999999</v>
      </c>
      <c r="S188">
        <v>1</v>
      </c>
      <c r="T188">
        <v>6</v>
      </c>
      <c r="U188" t="s">
        <v>1485</v>
      </c>
      <c r="V188">
        <v>4831.9464600000001</v>
      </c>
      <c r="W188">
        <v>3568.44</v>
      </c>
      <c r="X188">
        <v>1263.5064600000001</v>
      </c>
      <c r="Y188">
        <v>0.26149016146176424</v>
      </c>
    </row>
    <row r="189" spans="1:25" x14ac:dyDescent="0.3">
      <c r="A189" t="s">
        <v>360</v>
      </c>
      <c r="B189">
        <v>44955</v>
      </c>
      <c r="C189">
        <v>44985</v>
      </c>
      <c r="D189" t="s">
        <v>1482</v>
      </c>
      <c r="E189" t="s">
        <v>1378</v>
      </c>
      <c r="F189">
        <v>30</v>
      </c>
      <c r="G189">
        <v>0</v>
      </c>
      <c r="H189" t="s">
        <v>45</v>
      </c>
      <c r="I189" t="s">
        <v>60</v>
      </c>
      <c r="J189" t="s">
        <v>61</v>
      </c>
      <c r="K189" t="s">
        <v>39</v>
      </c>
      <c r="L189" t="s">
        <v>20</v>
      </c>
      <c r="M189" t="s">
        <v>56</v>
      </c>
      <c r="N189" t="s">
        <v>81</v>
      </c>
      <c r="O189" t="s">
        <v>477</v>
      </c>
      <c r="P189">
        <v>1262.0999999999999</v>
      </c>
      <c r="Q189">
        <v>1395.53</v>
      </c>
      <c r="R189">
        <v>0.23300000000000001</v>
      </c>
      <c r="S189">
        <v>1</v>
      </c>
      <c r="T189">
        <v>25</v>
      </c>
      <c r="U189" t="s">
        <v>1485</v>
      </c>
      <c r="V189">
        <v>26759.28775</v>
      </c>
      <c r="W189">
        <v>31552.499999999996</v>
      </c>
      <c r="X189">
        <v>-4793.2122499999969</v>
      </c>
      <c r="Y189">
        <v>-0.17912331205452198</v>
      </c>
    </row>
    <row r="190" spans="1:25" x14ac:dyDescent="0.3">
      <c r="A190" t="s">
        <v>478</v>
      </c>
      <c r="B190">
        <v>45126</v>
      </c>
      <c r="C190">
        <v>45138</v>
      </c>
      <c r="D190" t="s">
        <v>1492</v>
      </c>
      <c r="E190" t="s">
        <v>1384</v>
      </c>
      <c r="F190">
        <v>12</v>
      </c>
      <c r="G190">
        <v>0</v>
      </c>
      <c r="H190" t="s">
        <v>52</v>
      </c>
      <c r="I190" t="s">
        <v>73</v>
      </c>
      <c r="J190" t="s">
        <v>225</v>
      </c>
      <c r="K190" t="s">
        <v>19</v>
      </c>
      <c r="L190" t="s">
        <v>20</v>
      </c>
      <c r="M190" t="s">
        <v>21</v>
      </c>
      <c r="N190" t="s">
        <v>64</v>
      </c>
      <c r="O190" t="s">
        <v>479</v>
      </c>
      <c r="P190">
        <v>1334.64</v>
      </c>
      <c r="Q190">
        <v>2273.42</v>
      </c>
      <c r="R190">
        <v>0.11799999999999999</v>
      </c>
      <c r="S190">
        <v>0</v>
      </c>
      <c r="T190">
        <v>14</v>
      </c>
      <c r="U190" t="s">
        <v>1474</v>
      </c>
      <c r="V190">
        <v>28072.190160000002</v>
      </c>
      <c r="W190">
        <v>18684.960000000003</v>
      </c>
      <c r="X190">
        <v>9387.2301599999992</v>
      </c>
      <c r="Y190">
        <v>0.33439607335575267</v>
      </c>
    </row>
    <row r="191" spans="1:25" x14ac:dyDescent="0.3">
      <c r="A191" t="s">
        <v>480</v>
      </c>
      <c r="B191">
        <v>45431</v>
      </c>
      <c r="C191">
        <v>45451</v>
      </c>
      <c r="D191" t="s">
        <v>1486</v>
      </c>
      <c r="E191" t="s">
        <v>1394</v>
      </c>
      <c r="F191">
        <v>20</v>
      </c>
      <c r="G191">
        <v>0</v>
      </c>
      <c r="H191" t="s">
        <v>52</v>
      </c>
      <c r="I191" t="s">
        <v>73</v>
      </c>
      <c r="J191" t="s">
        <v>87</v>
      </c>
      <c r="K191" t="s">
        <v>62</v>
      </c>
      <c r="L191" t="s">
        <v>20</v>
      </c>
      <c r="M191" t="s">
        <v>63</v>
      </c>
      <c r="N191" t="s">
        <v>64</v>
      </c>
      <c r="O191" t="s">
        <v>481</v>
      </c>
      <c r="P191">
        <v>1075.9000000000001</v>
      </c>
      <c r="Q191">
        <v>1242.1500000000001</v>
      </c>
      <c r="R191">
        <v>1.2E-2</v>
      </c>
      <c r="S191">
        <v>0</v>
      </c>
      <c r="T191">
        <v>7</v>
      </c>
      <c r="U191" t="s">
        <v>1485</v>
      </c>
      <c r="V191">
        <v>8590.7094000000016</v>
      </c>
      <c r="W191">
        <v>7531.3000000000011</v>
      </c>
      <c r="X191">
        <v>1059.4094000000005</v>
      </c>
      <c r="Y191">
        <v>0.12332036280961853</v>
      </c>
    </row>
    <row r="192" spans="1:25" x14ac:dyDescent="0.3">
      <c r="A192" t="s">
        <v>482</v>
      </c>
      <c r="B192">
        <v>45325</v>
      </c>
      <c r="C192">
        <v>45341</v>
      </c>
      <c r="D192" t="s">
        <v>1479</v>
      </c>
      <c r="E192" t="s">
        <v>1391</v>
      </c>
      <c r="F192">
        <v>16</v>
      </c>
      <c r="G192">
        <v>0</v>
      </c>
      <c r="H192" t="s">
        <v>45</v>
      </c>
      <c r="I192" t="s">
        <v>116</v>
      </c>
      <c r="J192" t="s">
        <v>117</v>
      </c>
      <c r="K192" t="s">
        <v>62</v>
      </c>
      <c r="L192" t="s">
        <v>28</v>
      </c>
      <c r="M192" t="s">
        <v>92</v>
      </c>
      <c r="N192" t="s">
        <v>57</v>
      </c>
      <c r="O192" t="s">
        <v>483</v>
      </c>
      <c r="P192">
        <v>993.75</v>
      </c>
      <c r="Q192">
        <v>1310.29</v>
      </c>
      <c r="R192">
        <v>0.215</v>
      </c>
      <c r="S192">
        <v>1</v>
      </c>
      <c r="T192">
        <v>19</v>
      </c>
      <c r="U192" t="s">
        <v>1485</v>
      </c>
      <c r="V192">
        <v>19542.975350000001</v>
      </c>
      <c r="W192">
        <v>18881.25</v>
      </c>
      <c r="X192">
        <v>661.72535000000062</v>
      </c>
      <c r="Y192">
        <v>3.3860010471742245E-2</v>
      </c>
    </row>
    <row r="193" spans="1:25" x14ac:dyDescent="0.3">
      <c r="A193" t="s">
        <v>484</v>
      </c>
      <c r="B193">
        <v>45146</v>
      </c>
      <c r="C193">
        <v>45160</v>
      </c>
      <c r="D193" t="s">
        <v>1492</v>
      </c>
      <c r="E193" t="s">
        <v>1385</v>
      </c>
      <c r="F193">
        <v>14</v>
      </c>
      <c r="G193">
        <v>0</v>
      </c>
      <c r="H193" t="s">
        <v>78</v>
      </c>
      <c r="I193" t="s">
        <v>108</v>
      </c>
      <c r="J193" t="s">
        <v>109</v>
      </c>
      <c r="K193" t="s">
        <v>39</v>
      </c>
      <c r="L193" t="s">
        <v>98</v>
      </c>
      <c r="M193" t="s">
        <v>126</v>
      </c>
      <c r="N193" t="s">
        <v>64</v>
      </c>
      <c r="O193" t="s">
        <v>485</v>
      </c>
      <c r="P193">
        <v>446.69</v>
      </c>
      <c r="Q193">
        <v>967.25</v>
      </c>
      <c r="R193">
        <v>9.4E-2</v>
      </c>
      <c r="S193">
        <v>0</v>
      </c>
      <c r="T193">
        <v>10</v>
      </c>
      <c r="U193" t="s">
        <v>1485</v>
      </c>
      <c r="V193">
        <v>8763.2849999999999</v>
      </c>
      <c r="W193">
        <v>4466.8999999999996</v>
      </c>
      <c r="X193">
        <v>4296.3850000000002</v>
      </c>
      <c r="Y193">
        <v>0.49027105702941309</v>
      </c>
    </row>
    <row r="194" spans="1:25" x14ac:dyDescent="0.3">
      <c r="A194" t="s">
        <v>486</v>
      </c>
      <c r="B194">
        <v>45516</v>
      </c>
      <c r="C194">
        <v>45538</v>
      </c>
      <c r="D194" t="s">
        <v>1491</v>
      </c>
      <c r="E194" t="s">
        <v>1397</v>
      </c>
      <c r="F194">
        <v>22</v>
      </c>
      <c r="G194">
        <v>0</v>
      </c>
      <c r="H194" t="s">
        <v>52</v>
      </c>
      <c r="I194" t="s">
        <v>122</v>
      </c>
      <c r="J194" t="s">
        <v>326</v>
      </c>
      <c r="K194" t="s">
        <v>48</v>
      </c>
      <c r="L194" t="s">
        <v>55</v>
      </c>
      <c r="M194" t="s">
        <v>34</v>
      </c>
      <c r="N194" t="s">
        <v>57</v>
      </c>
      <c r="O194" t="s">
        <v>487</v>
      </c>
      <c r="P194">
        <v>797.8</v>
      </c>
      <c r="Q194">
        <v>886.22</v>
      </c>
      <c r="R194">
        <v>0.23599999999999999</v>
      </c>
      <c r="S194">
        <v>1</v>
      </c>
      <c r="T194">
        <v>36</v>
      </c>
      <c r="U194" t="s">
        <v>1485</v>
      </c>
      <c r="V194">
        <v>24374.594880000001</v>
      </c>
      <c r="W194">
        <v>28720.799999999999</v>
      </c>
      <c r="X194">
        <v>-4346.2051199999987</v>
      </c>
      <c r="Y194">
        <v>-0.17830881462428633</v>
      </c>
    </row>
    <row r="195" spans="1:25" x14ac:dyDescent="0.3">
      <c r="A195" t="s">
        <v>488</v>
      </c>
      <c r="B195">
        <v>45214</v>
      </c>
      <c r="C195">
        <v>45243</v>
      </c>
      <c r="D195" t="s">
        <v>1484</v>
      </c>
      <c r="E195" t="s">
        <v>1387</v>
      </c>
      <c r="F195">
        <v>29</v>
      </c>
      <c r="G195">
        <v>0</v>
      </c>
      <c r="H195" t="s">
        <v>45</v>
      </c>
      <c r="I195" t="s">
        <v>116</v>
      </c>
      <c r="J195" t="s">
        <v>117</v>
      </c>
      <c r="K195" t="s">
        <v>39</v>
      </c>
      <c r="L195" t="s">
        <v>55</v>
      </c>
      <c r="M195" t="s">
        <v>29</v>
      </c>
      <c r="N195" t="s">
        <v>30</v>
      </c>
      <c r="O195" t="s">
        <v>489</v>
      </c>
      <c r="P195">
        <v>986.44</v>
      </c>
      <c r="Q195">
        <v>790.61</v>
      </c>
      <c r="R195">
        <v>7.1999999999999995E-2</v>
      </c>
      <c r="S195">
        <v>0</v>
      </c>
      <c r="T195">
        <v>6</v>
      </c>
      <c r="U195" t="s">
        <v>1480</v>
      </c>
      <c r="V195">
        <v>4402.1164799999997</v>
      </c>
      <c r="W195">
        <v>5918.64</v>
      </c>
      <c r="X195">
        <v>-1516.5235200000006</v>
      </c>
      <c r="Y195">
        <v>-0.34449872621271499</v>
      </c>
    </row>
    <row r="196" spans="1:25" x14ac:dyDescent="0.3">
      <c r="A196" t="s">
        <v>490</v>
      </c>
      <c r="B196">
        <v>45050</v>
      </c>
      <c r="C196">
        <v>45072</v>
      </c>
      <c r="D196" t="s">
        <v>1490</v>
      </c>
      <c r="E196" t="s">
        <v>1382</v>
      </c>
      <c r="F196">
        <v>22</v>
      </c>
      <c r="G196">
        <v>0</v>
      </c>
      <c r="H196" t="s">
        <v>52</v>
      </c>
      <c r="I196" t="s">
        <v>122</v>
      </c>
      <c r="J196" t="s">
        <v>167</v>
      </c>
      <c r="K196" t="s">
        <v>105</v>
      </c>
      <c r="L196" t="s">
        <v>28</v>
      </c>
      <c r="M196" t="s">
        <v>29</v>
      </c>
      <c r="N196" t="s">
        <v>35</v>
      </c>
      <c r="O196" t="s">
        <v>491</v>
      </c>
      <c r="P196">
        <v>249.71</v>
      </c>
      <c r="Q196">
        <v>361.33</v>
      </c>
      <c r="R196">
        <v>9.4E-2</v>
      </c>
      <c r="S196">
        <v>0</v>
      </c>
      <c r="T196">
        <v>12</v>
      </c>
      <c r="U196" t="s">
        <v>1480</v>
      </c>
      <c r="V196">
        <v>3928.3797600000003</v>
      </c>
      <c r="W196">
        <v>2996.52</v>
      </c>
      <c r="X196">
        <v>931.85976000000028</v>
      </c>
      <c r="Y196">
        <v>0.23721223937881206</v>
      </c>
    </row>
    <row r="197" spans="1:25" x14ac:dyDescent="0.3">
      <c r="A197" t="s">
        <v>492</v>
      </c>
      <c r="B197">
        <v>45557</v>
      </c>
      <c r="C197">
        <v>45566</v>
      </c>
      <c r="D197" t="s">
        <v>1491</v>
      </c>
      <c r="E197" t="s">
        <v>1494</v>
      </c>
      <c r="F197">
        <v>9</v>
      </c>
      <c r="G197">
        <v>0</v>
      </c>
      <c r="H197" t="s">
        <v>52</v>
      </c>
      <c r="I197" t="s">
        <v>73</v>
      </c>
      <c r="J197" t="s">
        <v>74</v>
      </c>
      <c r="K197" t="s">
        <v>39</v>
      </c>
      <c r="L197" t="s">
        <v>28</v>
      </c>
      <c r="M197" t="s">
        <v>95</v>
      </c>
      <c r="N197" t="s">
        <v>64</v>
      </c>
      <c r="O197" t="s">
        <v>493</v>
      </c>
      <c r="P197">
        <v>1378.8</v>
      </c>
      <c r="Q197">
        <v>1952.04</v>
      </c>
      <c r="R197">
        <v>0.159</v>
      </c>
      <c r="S197">
        <v>0</v>
      </c>
      <c r="T197">
        <v>19</v>
      </c>
      <c r="U197" t="s">
        <v>1474</v>
      </c>
      <c r="V197">
        <v>31191.64716</v>
      </c>
      <c r="W197">
        <v>26197.200000000001</v>
      </c>
      <c r="X197">
        <v>4994.4471599999997</v>
      </c>
      <c r="Y197">
        <v>0.16012130216723058</v>
      </c>
    </row>
    <row r="198" spans="1:25" x14ac:dyDescent="0.3">
      <c r="A198" t="s">
        <v>494</v>
      </c>
      <c r="B198">
        <v>45588</v>
      </c>
      <c r="C198">
        <v>45610</v>
      </c>
      <c r="D198" t="s">
        <v>1481</v>
      </c>
      <c r="E198" t="s">
        <v>1399</v>
      </c>
      <c r="F198">
        <v>22</v>
      </c>
      <c r="G198">
        <v>0</v>
      </c>
      <c r="H198" t="s">
        <v>45</v>
      </c>
      <c r="I198" t="s">
        <v>46</v>
      </c>
      <c r="J198" t="s">
        <v>47</v>
      </c>
      <c r="K198" t="s">
        <v>39</v>
      </c>
      <c r="L198" t="s">
        <v>98</v>
      </c>
      <c r="M198" t="s">
        <v>56</v>
      </c>
      <c r="N198" t="s">
        <v>42</v>
      </c>
      <c r="O198" t="s">
        <v>495</v>
      </c>
      <c r="P198">
        <v>1406.4</v>
      </c>
      <c r="Q198">
        <v>1564.76</v>
      </c>
      <c r="R198">
        <v>0.185</v>
      </c>
      <c r="S198">
        <v>0</v>
      </c>
      <c r="T198">
        <v>17</v>
      </c>
      <c r="U198" t="s">
        <v>1485</v>
      </c>
      <c r="V198">
        <v>21679.749799999998</v>
      </c>
      <c r="W198">
        <v>23908.800000000003</v>
      </c>
      <c r="X198">
        <v>-2229.0502000000051</v>
      </c>
      <c r="Y198">
        <v>-0.10281715520536151</v>
      </c>
    </row>
    <row r="199" spans="1:25" x14ac:dyDescent="0.3">
      <c r="A199" t="s">
        <v>496</v>
      </c>
      <c r="B199">
        <v>45333</v>
      </c>
      <c r="C199">
        <v>45354</v>
      </c>
      <c r="D199" t="s">
        <v>1479</v>
      </c>
      <c r="E199" t="s">
        <v>1391</v>
      </c>
      <c r="F199">
        <v>21</v>
      </c>
      <c r="G199">
        <v>0</v>
      </c>
      <c r="H199" t="s">
        <v>16</v>
      </c>
      <c r="I199" t="s">
        <v>17</v>
      </c>
      <c r="J199" t="s">
        <v>18</v>
      </c>
      <c r="K199" t="s">
        <v>105</v>
      </c>
      <c r="L199" t="s">
        <v>28</v>
      </c>
      <c r="M199" t="s">
        <v>56</v>
      </c>
      <c r="N199" t="s">
        <v>42</v>
      </c>
      <c r="O199" t="s">
        <v>497</v>
      </c>
      <c r="P199">
        <v>516.86</v>
      </c>
      <c r="Q199">
        <v>852.54</v>
      </c>
      <c r="R199">
        <v>5.0999999999999997E-2</v>
      </c>
      <c r="S199">
        <v>0</v>
      </c>
      <c r="T199">
        <v>14</v>
      </c>
      <c r="U199" t="s">
        <v>1480</v>
      </c>
      <c r="V199">
        <v>11326.846439999999</v>
      </c>
      <c r="W199">
        <v>7236.04</v>
      </c>
      <c r="X199">
        <v>4090.8064399999994</v>
      </c>
      <c r="Y199">
        <v>0.36116022775355994</v>
      </c>
    </row>
    <row r="200" spans="1:25" x14ac:dyDescent="0.3">
      <c r="A200" t="s">
        <v>498</v>
      </c>
      <c r="B200">
        <v>44956</v>
      </c>
      <c r="C200">
        <v>44978</v>
      </c>
      <c r="D200" t="s">
        <v>1482</v>
      </c>
      <c r="E200" t="s">
        <v>1378</v>
      </c>
      <c r="F200">
        <v>22</v>
      </c>
      <c r="G200">
        <v>0</v>
      </c>
      <c r="H200" t="s">
        <v>78</v>
      </c>
      <c r="I200" t="s">
        <v>79</v>
      </c>
      <c r="J200" t="s">
        <v>159</v>
      </c>
      <c r="K200" t="s">
        <v>62</v>
      </c>
      <c r="L200" t="s">
        <v>40</v>
      </c>
      <c r="M200" t="s">
        <v>41</v>
      </c>
      <c r="N200" t="s">
        <v>35</v>
      </c>
      <c r="O200" t="s">
        <v>499</v>
      </c>
      <c r="P200">
        <v>1142.8800000000001</v>
      </c>
      <c r="Q200">
        <v>1465.29</v>
      </c>
      <c r="R200">
        <v>0.186</v>
      </c>
      <c r="S200">
        <v>0</v>
      </c>
      <c r="T200">
        <v>7</v>
      </c>
      <c r="U200" t="s">
        <v>1485</v>
      </c>
      <c r="V200">
        <v>8349.2224200000001</v>
      </c>
      <c r="W200">
        <v>8000.1600000000008</v>
      </c>
      <c r="X200">
        <v>349.06241999999929</v>
      </c>
      <c r="Y200">
        <v>4.1807775915017401E-2</v>
      </c>
    </row>
    <row r="201" spans="1:25" x14ac:dyDescent="0.3">
      <c r="A201" t="s">
        <v>500</v>
      </c>
      <c r="B201">
        <v>45030</v>
      </c>
      <c r="C201">
        <v>45059</v>
      </c>
      <c r="D201" t="s">
        <v>1490</v>
      </c>
      <c r="E201" t="s">
        <v>1381</v>
      </c>
      <c r="F201">
        <v>29</v>
      </c>
      <c r="G201">
        <v>0</v>
      </c>
      <c r="H201" t="s">
        <v>78</v>
      </c>
      <c r="I201" t="s">
        <v>79</v>
      </c>
      <c r="J201" t="s">
        <v>335</v>
      </c>
      <c r="K201" t="s">
        <v>48</v>
      </c>
      <c r="L201" t="s">
        <v>98</v>
      </c>
      <c r="M201" t="s">
        <v>29</v>
      </c>
      <c r="N201" t="s">
        <v>30</v>
      </c>
      <c r="O201" t="s">
        <v>501</v>
      </c>
      <c r="P201">
        <v>1320.33</v>
      </c>
      <c r="Q201">
        <v>2645.23</v>
      </c>
      <c r="R201">
        <v>0.155</v>
      </c>
      <c r="S201">
        <v>0</v>
      </c>
      <c r="T201">
        <v>25</v>
      </c>
      <c r="U201" t="s">
        <v>1474</v>
      </c>
      <c r="V201">
        <v>55880.483749999999</v>
      </c>
      <c r="W201">
        <v>33008.25</v>
      </c>
      <c r="X201">
        <v>22872.233749999999</v>
      </c>
      <c r="Y201">
        <v>0.40930629470436536</v>
      </c>
    </row>
    <row r="202" spans="1:25" x14ac:dyDescent="0.3">
      <c r="A202" t="s">
        <v>502</v>
      </c>
      <c r="B202">
        <v>44939</v>
      </c>
      <c r="C202">
        <v>44945</v>
      </c>
      <c r="D202" t="s">
        <v>1482</v>
      </c>
      <c r="E202" t="s">
        <v>1378</v>
      </c>
      <c r="F202">
        <v>6</v>
      </c>
      <c r="G202">
        <v>1</v>
      </c>
      <c r="H202" t="s">
        <v>52</v>
      </c>
      <c r="I202" t="s">
        <v>122</v>
      </c>
      <c r="J202" t="s">
        <v>123</v>
      </c>
      <c r="K202" t="s">
        <v>19</v>
      </c>
      <c r="L202" t="s">
        <v>98</v>
      </c>
      <c r="M202" t="s">
        <v>92</v>
      </c>
      <c r="N202" t="s">
        <v>42</v>
      </c>
      <c r="O202" t="s">
        <v>503</v>
      </c>
      <c r="P202">
        <v>833.57</v>
      </c>
      <c r="Q202">
        <v>881.57</v>
      </c>
      <c r="R202">
        <v>5.7000000000000002E-2</v>
      </c>
      <c r="S202">
        <v>0</v>
      </c>
      <c r="T202">
        <v>18</v>
      </c>
      <c r="U202" t="s">
        <v>1485</v>
      </c>
      <c r="V202">
        <v>14963.769179999999</v>
      </c>
      <c r="W202">
        <v>15004.26</v>
      </c>
      <c r="X202">
        <v>-40.490820000000895</v>
      </c>
      <c r="Y202">
        <v>-2.7059238560107821E-3</v>
      </c>
    </row>
    <row r="203" spans="1:25" x14ac:dyDescent="0.3">
      <c r="A203" t="s">
        <v>504</v>
      </c>
      <c r="B203">
        <v>45303</v>
      </c>
      <c r="C203">
        <v>45320</v>
      </c>
      <c r="D203" t="s">
        <v>1479</v>
      </c>
      <c r="E203" t="s">
        <v>1390</v>
      </c>
      <c r="F203">
        <v>17</v>
      </c>
      <c r="G203">
        <v>0</v>
      </c>
      <c r="H203" t="s">
        <v>52</v>
      </c>
      <c r="I203" t="s">
        <v>122</v>
      </c>
      <c r="J203" t="s">
        <v>123</v>
      </c>
      <c r="K203" t="s">
        <v>27</v>
      </c>
      <c r="L203" t="s">
        <v>55</v>
      </c>
      <c r="M203" t="s">
        <v>75</v>
      </c>
      <c r="N203" t="s">
        <v>30</v>
      </c>
      <c r="O203" t="s">
        <v>505</v>
      </c>
      <c r="P203">
        <v>493.76</v>
      </c>
      <c r="Q203">
        <v>625.04</v>
      </c>
      <c r="R203">
        <v>0.25800000000000001</v>
      </c>
      <c r="S203">
        <v>1</v>
      </c>
      <c r="T203">
        <v>10</v>
      </c>
      <c r="U203" t="s">
        <v>1480</v>
      </c>
      <c r="V203">
        <v>4637.7968000000001</v>
      </c>
      <c r="W203">
        <v>4937.6000000000004</v>
      </c>
      <c r="X203">
        <v>-299.80320000000029</v>
      </c>
      <c r="Y203">
        <v>-6.464345311549663E-2</v>
      </c>
    </row>
    <row r="204" spans="1:25" x14ac:dyDescent="0.3">
      <c r="A204" t="s">
        <v>506</v>
      </c>
      <c r="B204">
        <v>45153</v>
      </c>
      <c r="C204">
        <v>45176</v>
      </c>
      <c r="D204" t="s">
        <v>1492</v>
      </c>
      <c r="E204" t="s">
        <v>1385</v>
      </c>
      <c r="F204">
        <v>23</v>
      </c>
      <c r="G204">
        <v>0</v>
      </c>
      <c r="H204" t="s">
        <v>52</v>
      </c>
      <c r="I204" t="s">
        <v>122</v>
      </c>
      <c r="J204" t="s">
        <v>387</v>
      </c>
      <c r="K204" t="s">
        <v>105</v>
      </c>
      <c r="L204" t="s">
        <v>28</v>
      </c>
      <c r="M204" t="s">
        <v>95</v>
      </c>
      <c r="N204" t="s">
        <v>42</v>
      </c>
      <c r="O204" t="s">
        <v>507</v>
      </c>
      <c r="P204">
        <v>590.33000000000004</v>
      </c>
      <c r="Q204">
        <v>973.04</v>
      </c>
      <c r="R204">
        <v>0</v>
      </c>
      <c r="S204">
        <v>0</v>
      </c>
      <c r="T204">
        <v>26</v>
      </c>
      <c r="U204" t="s">
        <v>1485</v>
      </c>
      <c r="V204">
        <v>25299.040000000001</v>
      </c>
      <c r="W204">
        <v>15348.580000000002</v>
      </c>
      <c r="X204">
        <v>9950.4599999999991</v>
      </c>
      <c r="Y204">
        <v>0.39331373838691108</v>
      </c>
    </row>
    <row r="205" spans="1:25" x14ac:dyDescent="0.3">
      <c r="A205" t="s">
        <v>508</v>
      </c>
      <c r="B205">
        <v>44946</v>
      </c>
      <c r="C205">
        <v>44960</v>
      </c>
      <c r="D205" t="s">
        <v>1482</v>
      </c>
      <c r="E205" t="s">
        <v>1378</v>
      </c>
      <c r="F205">
        <v>14</v>
      </c>
      <c r="G205">
        <v>0</v>
      </c>
      <c r="H205" t="s">
        <v>16</v>
      </c>
      <c r="I205" t="s">
        <v>17</v>
      </c>
      <c r="J205" t="s">
        <v>18</v>
      </c>
      <c r="K205" t="s">
        <v>19</v>
      </c>
      <c r="L205" t="s">
        <v>20</v>
      </c>
      <c r="M205" t="s">
        <v>110</v>
      </c>
      <c r="N205" t="s">
        <v>35</v>
      </c>
      <c r="O205" t="s">
        <v>509</v>
      </c>
      <c r="P205">
        <v>884.36</v>
      </c>
      <c r="Q205">
        <v>1545.34</v>
      </c>
      <c r="R205">
        <v>0.24299999999999999</v>
      </c>
      <c r="S205">
        <v>1</v>
      </c>
      <c r="T205">
        <v>41</v>
      </c>
      <c r="U205" t="s">
        <v>1485</v>
      </c>
      <c r="V205">
        <v>47962.717579999997</v>
      </c>
      <c r="W205">
        <v>36258.76</v>
      </c>
      <c r="X205">
        <v>11703.957579999995</v>
      </c>
      <c r="Y205">
        <v>0.24402198562827965</v>
      </c>
    </row>
    <row r="206" spans="1:25" x14ac:dyDescent="0.3">
      <c r="A206" t="s">
        <v>510</v>
      </c>
      <c r="B206">
        <v>45692</v>
      </c>
      <c r="C206">
        <v>45713</v>
      </c>
      <c r="D206" t="s">
        <v>1483</v>
      </c>
      <c r="E206" t="s">
        <v>1403</v>
      </c>
      <c r="F206">
        <v>21</v>
      </c>
      <c r="G206">
        <v>0</v>
      </c>
      <c r="H206" t="s">
        <v>78</v>
      </c>
      <c r="I206" t="s">
        <v>108</v>
      </c>
      <c r="J206" t="s">
        <v>109</v>
      </c>
      <c r="K206" t="s">
        <v>19</v>
      </c>
      <c r="L206" t="s">
        <v>40</v>
      </c>
      <c r="M206" t="s">
        <v>145</v>
      </c>
      <c r="N206" t="s">
        <v>64</v>
      </c>
      <c r="O206" t="s">
        <v>511</v>
      </c>
      <c r="P206">
        <v>1016.32</v>
      </c>
      <c r="Q206">
        <v>2253.42</v>
      </c>
      <c r="R206">
        <v>5.5E-2</v>
      </c>
      <c r="S206">
        <v>0</v>
      </c>
      <c r="T206">
        <v>12</v>
      </c>
      <c r="U206" t="s">
        <v>1474</v>
      </c>
      <c r="V206">
        <v>25553.782800000001</v>
      </c>
      <c r="W206">
        <v>12195.84</v>
      </c>
      <c r="X206">
        <v>13357.942800000001</v>
      </c>
      <c r="Y206">
        <v>0.52273837124419797</v>
      </c>
    </row>
    <row r="207" spans="1:25" x14ac:dyDescent="0.3">
      <c r="A207" t="s">
        <v>512</v>
      </c>
      <c r="B207">
        <v>45035</v>
      </c>
      <c r="C207">
        <v>45044</v>
      </c>
      <c r="D207" t="s">
        <v>1490</v>
      </c>
      <c r="E207" t="s">
        <v>1381</v>
      </c>
      <c r="F207">
        <v>9</v>
      </c>
      <c r="G207">
        <v>0</v>
      </c>
      <c r="H207" t="s">
        <v>78</v>
      </c>
      <c r="I207" t="s">
        <v>79</v>
      </c>
      <c r="J207" t="s">
        <v>80</v>
      </c>
      <c r="K207" t="s">
        <v>27</v>
      </c>
      <c r="L207" t="s">
        <v>28</v>
      </c>
      <c r="M207" t="s">
        <v>63</v>
      </c>
      <c r="N207" t="s">
        <v>64</v>
      </c>
      <c r="O207" t="s">
        <v>513</v>
      </c>
      <c r="P207">
        <v>1178.42</v>
      </c>
      <c r="Q207">
        <v>2446.56</v>
      </c>
      <c r="R207">
        <v>2.9000000000000001E-2</v>
      </c>
      <c r="S207">
        <v>0</v>
      </c>
      <c r="T207">
        <v>11</v>
      </c>
      <c r="U207" t="s">
        <v>1474</v>
      </c>
      <c r="V207">
        <v>26131.70736</v>
      </c>
      <c r="W207">
        <v>12962.62</v>
      </c>
      <c r="X207">
        <v>13169.08736</v>
      </c>
      <c r="Y207">
        <v>0.5039505141618883</v>
      </c>
    </row>
    <row r="208" spans="1:25" x14ac:dyDescent="0.3">
      <c r="A208" t="s">
        <v>514</v>
      </c>
      <c r="B208">
        <v>45109</v>
      </c>
      <c r="C208">
        <v>45139</v>
      </c>
      <c r="D208" t="s">
        <v>1492</v>
      </c>
      <c r="E208" t="s">
        <v>1384</v>
      </c>
      <c r="F208">
        <v>30</v>
      </c>
      <c r="G208">
        <v>0</v>
      </c>
      <c r="H208" t="s">
        <v>78</v>
      </c>
      <c r="I208" t="s">
        <v>108</v>
      </c>
      <c r="J208" t="s">
        <v>109</v>
      </c>
      <c r="K208" t="s">
        <v>62</v>
      </c>
      <c r="L208" t="s">
        <v>20</v>
      </c>
      <c r="M208" t="s">
        <v>56</v>
      </c>
      <c r="N208" t="s">
        <v>22</v>
      </c>
      <c r="O208" t="s">
        <v>515</v>
      </c>
      <c r="P208">
        <v>137.46</v>
      </c>
      <c r="Q208">
        <v>188.3</v>
      </c>
      <c r="R208">
        <v>3.7999999999999999E-2</v>
      </c>
      <c r="S208">
        <v>0</v>
      </c>
      <c r="T208">
        <v>37</v>
      </c>
      <c r="U208" t="s">
        <v>1480</v>
      </c>
      <c r="V208">
        <v>6702.3501999999999</v>
      </c>
      <c r="W208">
        <v>5086.0200000000004</v>
      </c>
      <c r="X208">
        <v>1616.3301999999994</v>
      </c>
      <c r="Y208">
        <v>0.24115872071262398</v>
      </c>
    </row>
    <row r="209" spans="1:25" x14ac:dyDescent="0.3">
      <c r="A209" t="s">
        <v>516</v>
      </c>
      <c r="B209">
        <v>45678</v>
      </c>
      <c r="C209">
        <v>45702</v>
      </c>
      <c r="D209" t="s">
        <v>1483</v>
      </c>
      <c r="E209" t="s">
        <v>1402</v>
      </c>
      <c r="F209">
        <v>24</v>
      </c>
      <c r="G209">
        <v>0</v>
      </c>
      <c r="H209" t="s">
        <v>16</v>
      </c>
      <c r="I209" t="s">
        <v>17</v>
      </c>
      <c r="J209" t="s">
        <v>33</v>
      </c>
      <c r="K209" t="s">
        <v>62</v>
      </c>
      <c r="L209" t="s">
        <v>20</v>
      </c>
      <c r="M209" t="s">
        <v>29</v>
      </c>
      <c r="N209" t="s">
        <v>81</v>
      </c>
      <c r="O209" t="s">
        <v>517</v>
      </c>
      <c r="P209">
        <v>1030.44</v>
      </c>
      <c r="Q209">
        <v>2562.84</v>
      </c>
      <c r="R209">
        <v>0.14799999999999999</v>
      </c>
      <c r="S209">
        <v>0</v>
      </c>
      <c r="T209">
        <v>13</v>
      </c>
      <c r="U209" t="s">
        <v>1474</v>
      </c>
      <c r="V209">
        <v>28386.015839999996</v>
      </c>
      <c r="W209">
        <v>13395.720000000001</v>
      </c>
      <c r="X209">
        <v>14990.295839999995</v>
      </c>
      <c r="Y209">
        <v>0.52808734852027039</v>
      </c>
    </row>
    <row r="210" spans="1:25" x14ac:dyDescent="0.3">
      <c r="A210" t="s">
        <v>518</v>
      </c>
      <c r="B210">
        <v>45545</v>
      </c>
      <c r="C210">
        <v>45572</v>
      </c>
      <c r="D210" t="s">
        <v>1491</v>
      </c>
      <c r="E210" t="s">
        <v>1494</v>
      </c>
      <c r="F210">
        <v>27</v>
      </c>
      <c r="G210">
        <v>0</v>
      </c>
      <c r="H210" t="s">
        <v>16</v>
      </c>
      <c r="I210" t="s">
        <v>17</v>
      </c>
      <c r="J210" t="s">
        <v>18</v>
      </c>
      <c r="K210" t="s">
        <v>48</v>
      </c>
      <c r="L210" t="s">
        <v>20</v>
      </c>
      <c r="M210" t="s">
        <v>49</v>
      </c>
      <c r="N210" t="s">
        <v>30</v>
      </c>
      <c r="O210" t="s">
        <v>519</v>
      </c>
      <c r="P210">
        <v>1248.3900000000001</v>
      </c>
      <c r="Q210">
        <v>1805.11</v>
      </c>
      <c r="R210">
        <v>0.20300000000000001</v>
      </c>
      <c r="S210">
        <v>1</v>
      </c>
      <c r="T210">
        <v>11</v>
      </c>
      <c r="U210" t="s">
        <v>1474</v>
      </c>
      <c r="V210">
        <v>15825.399369999997</v>
      </c>
      <c r="W210">
        <v>13732.29</v>
      </c>
      <c r="X210">
        <v>2093.1093699999965</v>
      </c>
      <c r="Y210">
        <v>0.13226265707820786</v>
      </c>
    </row>
    <row r="211" spans="1:25" x14ac:dyDescent="0.3">
      <c r="A211" t="s">
        <v>520</v>
      </c>
      <c r="B211">
        <v>45859</v>
      </c>
      <c r="C211">
        <v>45876</v>
      </c>
      <c r="D211" t="s">
        <v>1488</v>
      </c>
      <c r="E211" t="s">
        <v>1408</v>
      </c>
      <c r="F211">
        <v>17</v>
      </c>
      <c r="G211">
        <v>0</v>
      </c>
      <c r="H211" t="s">
        <v>16</v>
      </c>
      <c r="I211" t="s">
        <v>25</v>
      </c>
      <c r="J211" t="s">
        <v>38</v>
      </c>
      <c r="K211" t="s">
        <v>105</v>
      </c>
      <c r="L211" t="s">
        <v>98</v>
      </c>
      <c r="M211" t="s">
        <v>110</v>
      </c>
      <c r="N211" t="s">
        <v>81</v>
      </c>
      <c r="O211" t="s">
        <v>521</v>
      </c>
      <c r="P211">
        <v>1204.95</v>
      </c>
      <c r="Q211">
        <v>2065.73</v>
      </c>
      <c r="R211">
        <v>0.13600000000000001</v>
      </c>
      <c r="S211">
        <v>0</v>
      </c>
      <c r="T211">
        <v>10</v>
      </c>
      <c r="U211" t="s">
        <v>1474</v>
      </c>
      <c r="V211">
        <v>17847.907199999998</v>
      </c>
      <c r="W211">
        <v>12049.5</v>
      </c>
      <c r="X211">
        <v>5798.4071999999978</v>
      </c>
      <c r="Y211">
        <v>0.32487882949100039</v>
      </c>
    </row>
    <row r="212" spans="1:25" x14ac:dyDescent="0.3">
      <c r="A212" t="s">
        <v>522</v>
      </c>
      <c r="B212">
        <v>45567</v>
      </c>
      <c r="C212">
        <v>45588</v>
      </c>
      <c r="D212" t="s">
        <v>1481</v>
      </c>
      <c r="E212" t="s">
        <v>1399</v>
      </c>
      <c r="F212">
        <v>21</v>
      </c>
      <c r="G212">
        <v>0</v>
      </c>
      <c r="H212" t="s">
        <v>16</v>
      </c>
      <c r="I212" t="s">
        <v>148</v>
      </c>
      <c r="J212" t="s">
        <v>172</v>
      </c>
      <c r="K212" t="s">
        <v>19</v>
      </c>
      <c r="L212" t="s">
        <v>40</v>
      </c>
      <c r="M212" t="s">
        <v>75</v>
      </c>
      <c r="N212" t="s">
        <v>22</v>
      </c>
      <c r="O212" t="s">
        <v>523</v>
      </c>
      <c r="P212">
        <v>1095.6099999999999</v>
      </c>
      <c r="Q212">
        <v>2366.5100000000002</v>
      </c>
      <c r="R212">
        <v>0.152</v>
      </c>
      <c r="S212">
        <v>0</v>
      </c>
      <c r="T212">
        <v>9</v>
      </c>
      <c r="U212" t="s">
        <v>1474</v>
      </c>
      <c r="V212">
        <v>18061.204320000004</v>
      </c>
      <c r="W212">
        <v>9860.49</v>
      </c>
      <c r="X212">
        <v>8200.7143200000046</v>
      </c>
      <c r="Y212">
        <v>0.4540513564158607</v>
      </c>
    </row>
    <row r="213" spans="1:25" x14ac:dyDescent="0.3">
      <c r="A213" t="s">
        <v>524</v>
      </c>
      <c r="B213">
        <v>45852</v>
      </c>
      <c r="C213">
        <v>45873</v>
      </c>
      <c r="D213" t="s">
        <v>1488</v>
      </c>
      <c r="E213" t="s">
        <v>1408</v>
      </c>
      <c r="F213">
        <v>21</v>
      </c>
      <c r="G213">
        <v>0</v>
      </c>
      <c r="H213" t="s">
        <v>52</v>
      </c>
      <c r="I213" t="s">
        <v>53</v>
      </c>
      <c r="J213" t="s">
        <v>144</v>
      </c>
      <c r="K213" t="s">
        <v>48</v>
      </c>
      <c r="L213" t="s">
        <v>28</v>
      </c>
      <c r="M213" t="s">
        <v>92</v>
      </c>
      <c r="N213" t="s">
        <v>64</v>
      </c>
      <c r="O213" t="s">
        <v>525</v>
      </c>
      <c r="P213">
        <v>90.3</v>
      </c>
      <c r="Q213">
        <v>131.76</v>
      </c>
      <c r="R213">
        <v>0.10199999999999999</v>
      </c>
      <c r="S213">
        <v>0</v>
      </c>
      <c r="T213">
        <v>15</v>
      </c>
      <c r="U213" t="s">
        <v>1480</v>
      </c>
      <c r="V213">
        <v>1774.8072</v>
      </c>
      <c r="W213">
        <v>1354.5</v>
      </c>
      <c r="X213">
        <v>420.30719999999997</v>
      </c>
      <c r="Y213">
        <v>0.23681851189244668</v>
      </c>
    </row>
    <row r="214" spans="1:25" x14ac:dyDescent="0.3">
      <c r="A214" t="s">
        <v>526</v>
      </c>
      <c r="B214">
        <v>45544</v>
      </c>
      <c r="C214">
        <v>45566</v>
      </c>
      <c r="D214" t="s">
        <v>1491</v>
      </c>
      <c r="E214" t="s">
        <v>1494</v>
      </c>
      <c r="F214">
        <v>22</v>
      </c>
      <c r="G214">
        <v>0</v>
      </c>
      <c r="H214" t="s">
        <v>45</v>
      </c>
      <c r="I214" t="s">
        <v>116</v>
      </c>
      <c r="J214" t="s">
        <v>117</v>
      </c>
      <c r="K214" t="s">
        <v>48</v>
      </c>
      <c r="L214" t="s">
        <v>98</v>
      </c>
      <c r="M214" t="s">
        <v>49</v>
      </c>
      <c r="N214" t="s">
        <v>30</v>
      </c>
      <c r="O214" t="s">
        <v>527</v>
      </c>
      <c r="P214">
        <v>1166.18</v>
      </c>
      <c r="Q214">
        <v>1335.02</v>
      </c>
      <c r="R214">
        <v>0.128</v>
      </c>
      <c r="S214">
        <v>0</v>
      </c>
      <c r="T214">
        <v>6</v>
      </c>
      <c r="U214" t="s">
        <v>1485</v>
      </c>
      <c r="V214">
        <v>6984.8246399999998</v>
      </c>
      <c r="W214">
        <v>6997.08</v>
      </c>
      <c r="X214">
        <v>-12.25536000000011</v>
      </c>
      <c r="Y214">
        <v>-1.7545694604582242E-3</v>
      </c>
    </row>
    <row r="215" spans="1:25" x14ac:dyDescent="0.3">
      <c r="A215" t="s">
        <v>528</v>
      </c>
      <c r="B215">
        <v>45686</v>
      </c>
      <c r="C215">
        <v>45694</v>
      </c>
      <c r="D215" t="s">
        <v>1483</v>
      </c>
      <c r="E215" t="s">
        <v>1402</v>
      </c>
      <c r="F215">
        <v>8</v>
      </c>
      <c r="G215">
        <v>0</v>
      </c>
      <c r="H215" t="s">
        <v>16</v>
      </c>
      <c r="I215" t="s">
        <v>17</v>
      </c>
      <c r="J215" t="s">
        <v>18</v>
      </c>
      <c r="K215" t="s">
        <v>27</v>
      </c>
      <c r="L215" t="s">
        <v>20</v>
      </c>
      <c r="M215" t="s">
        <v>56</v>
      </c>
      <c r="N215" t="s">
        <v>42</v>
      </c>
      <c r="O215" t="s">
        <v>529</v>
      </c>
      <c r="P215">
        <v>1445.27</v>
      </c>
      <c r="Q215">
        <v>2691.45</v>
      </c>
      <c r="R215">
        <v>0</v>
      </c>
      <c r="S215">
        <v>0</v>
      </c>
      <c r="T215">
        <v>9</v>
      </c>
      <c r="U215" t="s">
        <v>1474</v>
      </c>
      <c r="V215">
        <v>24223.05</v>
      </c>
      <c r="W215">
        <v>13007.43</v>
      </c>
      <c r="X215">
        <v>11215.619999999999</v>
      </c>
      <c r="Y215">
        <v>0.46301436028906351</v>
      </c>
    </row>
    <row r="216" spans="1:25" x14ac:dyDescent="0.3">
      <c r="A216" t="s">
        <v>530</v>
      </c>
      <c r="B216">
        <v>45240</v>
      </c>
      <c r="C216">
        <v>45258</v>
      </c>
      <c r="D216" t="s">
        <v>1484</v>
      </c>
      <c r="E216" t="s">
        <v>1388</v>
      </c>
      <c r="F216">
        <v>18</v>
      </c>
      <c r="G216">
        <v>0</v>
      </c>
      <c r="H216" t="s">
        <v>52</v>
      </c>
      <c r="I216" t="s">
        <v>73</v>
      </c>
      <c r="J216" t="s">
        <v>87</v>
      </c>
      <c r="K216" t="s">
        <v>27</v>
      </c>
      <c r="L216" t="s">
        <v>40</v>
      </c>
      <c r="M216" t="s">
        <v>49</v>
      </c>
      <c r="N216" t="s">
        <v>81</v>
      </c>
      <c r="O216" t="s">
        <v>531</v>
      </c>
      <c r="P216">
        <v>388.51</v>
      </c>
      <c r="Q216">
        <v>776.46</v>
      </c>
      <c r="R216">
        <v>0.157</v>
      </c>
      <c r="S216">
        <v>0</v>
      </c>
      <c r="T216">
        <v>12</v>
      </c>
      <c r="U216" t="s">
        <v>1480</v>
      </c>
      <c r="V216">
        <v>7854.6693599999999</v>
      </c>
      <c r="W216">
        <v>4662.12</v>
      </c>
      <c r="X216">
        <v>3192.54936</v>
      </c>
      <c r="Y216">
        <v>0.40645241876864946</v>
      </c>
    </row>
    <row r="217" spans="1:25" x14ac:dyDescent="0.3">
      <c r="A217" t="s">
        <v>532</v>
      </c>
      <c r="B217">
        <v>45351</v>
      </c>
      <c r="C217">
        <v>45381</v>
      </c>
      <c r="D217" t="s">
        <v>1479</v>
      </c>
      <c r="E217" t="s">
        <v>1391</v>
      </c>
      <c r="F217">
        <v>30</v>
      </c>
      <c r="G217">
        <v>0</v>
      </c>
      <c r="H217" t="s">
        <v>45</v>
      </c>
      <c r="I217" t="s">
        <v>46</v>
      </c>
      <c r="J217" t="s">
        <v>231</v>
      </c>
      <c r="K217" t="s">
        <v>62</v>
      </c>
      <c r="L217" t="s">
        <v>98</v>
      </c>
      <c r="M217" t="s">
        <v>34</v>
      </c>
      <c r="N217" t="s">
        <v>35</v>
      </c>
      <c r="O217" t="s">
        <v>533</v>
      </c>
      <c r="P217">
        <v>231.11</v>
      </c>
      <c r="Q217">
        <v>318.17</v>
      </c>
      <c r="R217">
        <v>0.20100000000000001</v>
      </c>
      <c r="S217">
        <v>1</v>
      </c>
      <c r="T217">
        <v>60</v>
      </c>
      <c r="U217" t="s">
        <v>1480</v>
      </c>
      <c r="V217">
        <v>15253.069799999999</v>
      </c>
      <c r="W217">
        <v>13866.6</v>
      </c>
      <c r="X217">
        <v>1386.4697999999989</v>
      </c>
      <c r="Y217">
        <v>9.0897754889969692E-2</v>
      </c>
    </row>
    <row r="218" spans="1:25" x14ac:dyDescent="0.3">
      <c r="A218" t="s">
        <v>534</v>
      </c>
      <c r="B218">
        <v>45280</v>
      </c>
      <c r="C218">
        <v>45305</v>
      </c>
      <c r="D218" t="s">
        <v>1484</v>
      </c>
      <c r="E218" t="s">
        <v>1389</v>
      </c>
      <c r="F218">
        <v>25</v>
      </c>
      <c r="G218">
        <v>0</v>
      </c>
      <c r="H218" t="s">
        <v>45</v>
      </c>
      <c r="I218" t="s">
        <v>60</v>
      </c>
      <c r="J218" t="s">
        <v>220</v>
      </c>
      <c r="K218" t="s">
        <v>39</v>
      </c>
      <c r="L218" t="s">
        <v>40</v>
      </c>
      <c r="M218" t="s">
        <v>49</v>
      </c>
      <c r="N218" t="s">
        <v>64</v>
      </c>
      <c r="O218" t="s">
        <v>535</v>
      </c>
      <c r="P218">
        <v>1085.6099999999999</v>
      </c>
      <c r="Q218">
        <v>1246.4100000000001</v>
      </c>
      <c r="R218">
        <v>0.113</v>
      </c>
      <c r="S218">
        <v>0</v>
      </c>
      <c r="T218">
        <v>7</v>
      </c>
      <c r="U218" t="s">
        <v>1485</v>
      </c>
      <c r="V218">
        <v>7738.9596900000006</v>
      </c>
      <c r="W218">
        <v>7599.2699999999995</v>
      </c>
      <c r="X218">
        <v>139.68969000000106</v>
      </c>
      <c r="Y218">
        <v>1.8050189637310417E-2</v>
      </c>
    </row>
    <row r="219" spans="1:25" x14ac:dyDescent="0.3">
      <c r="A219" t="s">
        <v>536</v>
      </c>
      <c r="B219">
        <v>44948</v>
      </c>
      <c r="C219">
        <v>44955</v>
      </c>
      <c r="D219" t="s">
        <v>1482</v>
      </c>
      <c r="E219" t="s">
        <v>1378</v>
      </c>
      <c r="F219">
        <v>7</v>
      </c>
      <c r="G219">
        <v>1</v>
      </c>
      <c r="H219" t="s">
        <v>78</v>
      </c>
      <c r="I219" t="s">
        <v>79</v>
      </c>
      <c r="J219" t="s">
        <v>159</v>
      </c>
      <c r="K219" t="s">
        <v>19</v>
      </c>
      <c r="L219" t="s">
        <v>98</v>
      </c>
      <c r="M219" t="s">
        <v>84</v>
      </c>
      <c r="N219" t="s">
        <v>64</v>
      </c>
      <c r="O219" t="s">
        <v>537</v>
      </c>
      <c r="P219">
        <v>150.86000000000001</v>
      </c>
      <c r="Q219">
        <v>346.96</v>
      </c>
      <c r="R219">
        <v>0.19600000000000001</v>
      </c>
      <c r="S219">
        <v>0</v>
      </c>
      <c r="T219">
        <v>8</v>
      </c>
      <c r="U219" t="s">
        <v>1480</v>
      </c>
      <c r="V219">
        <v>2231.6467200000002</v>
      </c>
      <c r="W219">
        <v>1206.8800000000001</v>
      </c>
      <c r="X219">
        <v>1024.7667200000001</v>
      </c>
      <c r="Y219">
        <v>0.45919755614365343</v>
      </c>
    </row>
    <row r="220" spans="1:25" x14ac:dyDescent="0.3">
      <c r="A220" t="s">
        <v>538</v>
      </c>
      <c r="B220">
        <v>45576</v>
      </c>
      <c r="C220">
        <v>45605</v>
      </c>
      <c r="D220" t="s">
        <v>1481</v>
      </c>
      <c r="E220" t="s">
        <v>1399</v>
      </c>
      <c r="F220">
        <v>29</v>
      </c>
      <c r="G220">
        <v>0</v>
      </c>
      <c r="H220" t="s">
        <v>45</v>
      </c>
      <c r="I220" t="s">
        <v>116</v>
      </c>
      <c r="J220" t="s">
        <v>162</v>
      </c>
      <c r="K220" t="s">
        <v>39</v>
      </c>
      <c r="L220" t="s">
        <v>28</v>
      </c>
      <c r="M220" t="s">
        <v>84</v>
      </c>
      <c r="N220" t="s">
        <v>30</v>
      </c>
      <c r="O220" t="s">
        <v>539</v>
      </c>
      <c r="P220">
        <v>391.64</v>
      </c>
      <c r="Q220">
        <v>504.76</v>
      </c>
      <c r="R220">
        <v>4.0000000000000001E-3</v>
      </c>
      <c r="S220">
        <v>0</v>
      </c>
      <c r="T220">
        <v>13</v>
      </c>
      <c r="U220" t="s">
        <v>1480</v>
      </c>
      <c r="V220">
        <v>6535.6324800000002</v>
      </c>
      <c r="W220">
        <v>5091.32</v>
      </c>
      <c r="X220">
        <v>1444.3124800000005</v>
      </c>
      <c r="Y220">
        <v>0.22099046793402319</v>
      </c>
    </row>
    <row r="221" spans="1:25" x14ac:dyDescent="0.3">
      <c r="A221" t="s">
        <v>540</v>
      </c>
      <c r="B221">
        <v>45554</v>
      </c>
      <c r="C221">
        <v>45579</v>
      </c>
      <c r="D221" t="s">
        <v>1491</v>
      </c>
      <c r="E221" t="s">
        <v>1494</v>
      </c>
      <c r="F221">
        <v>25</v>
      </c>
      <c r="G221">
        <v>0</v>
      </c>
      <c r="H221" t="s">
        <v>52</v>
      </c>
      <c r="I221" t="s">
        <v>73</v>
      </c>
      <c r="J221" t="s">
        <v>225</v>
      </c>
      <c r="K221" t="s">
        <v>62</v>
      </c>
      <c r="L221" t="s">
        <v>20</v>
      </c>
      <c r="M221" t="s">
        <v>95</v>
      </c>
      <c r="N221" t="s">
        <v>30</v>
      </c>
      <c r="O221" t="s">
        <v>541</v>
      </c>
      <c r="P221">
        <v>386.96</v>
      </c>
      <c r="Q221">
        <v>937.46</v>
      </c>
      <c r="R221">
        <v>0.26600000000000001</v>
      </c>
      <c r="S221">
        <v>1</v>
      </c>
      <c r="T221">
        <v>41</v>
      </c>
      <c r="U221" t="s">
        <v>1485</v>
      </c>
      <c r="V221">
        <v>28211.92124</v>
      </c>
      <c r="W221">
        <v>15865.359999999999</v>
      </c>
      <c r="X221">
        <v>12346.561240000001</v>
      </c>
      <c r="Y221">
        <v>0.43763631462626335</v>
      </c>
    </row>
    <row r="222" spans="1:25" x14ac:dyDescent="0.3">
      <c r="A222" t="s">
        <v>542</v>
      </c>
      <c r="B222">
        <v>45894</v>
      </c>
      <c r="C222">
        <v>45924</v>
      </c>
      <c r="D222" t="s">
        <v>1488</v>
      </c>
      <c r="E222" t="s">
        <v>1409</v>
      </c>
      <c r="F222">
        <v>30</v>
      </c>
      <c r="G222">
        <v>0</v>
      </c>
      <c r="H222" t="s">
        <v>16</v>
      </c>
      <c r="I222" t="s">
        <v>17</v>
      </c>
      <c r="J222" t="s">
        <v>33</v>
      </c>
      <c r="K222" t="s">
        <v>48</v>
      </c>
      <c r="L222" t="s">
        <v>98</v>
      </c>
      <c r="M222" t="s">
        <v>56</v>
      </c>
      <c r="N222" t="s">
        <v>22</v>
      </c>
      <c r="O222" t="s">
        <v>543</v>
      </c>
      <c r="P222">
        <v>589.14</v>
      </c>
      <c r="Q222">
        <v>1300.58</v>
      </c>
      <c r="R222">
        <v>5.5E-2</v>
      </c>
      <c r="S222">
        <v>0</v>
      </c>
      <c r="T222">
        <v>11</v>
      </c>
      <c r="U222" t="s">
        <v>1485</v>
      </c>
      <c r="V222">
        <v>13519.529099999998</v>
      </c>
      <c r="W222">
        <v>6480.54</v>
      </c>
      <c r="X222">
        <v>7038.989099999998</v>
      </c>
      <c r="Y222">
        <v>0.52065342275863724</v>
      </c>
    </row>
    <row r="223" spans="1:25" x14ac:dyDescent="0.3">
      <c r="A223" t="s">
        <v>544</v>
      </c>
      <c r="B223">
        <v>45194</v>
      </c>
      <c r="C223">
        <v>45201</v>
      </c>
      <c r="D223" t="s">
        <v>1492</v>
      </c>
      <c r="E223" t="s">
        <v>1493</v>
      </c>
      <c r="F223">
        <v>7</v>
      </c>
      <c r="G223">
        <v>1</v>
      </c>
      <c r="H223" t="s">
        <v>52</v>
      </c>
      <c r="I223" t="s">
        <v>122</v>
      </c>
      <c r="J223" t="s">
        <v>387</v>
      </c>
      <c r="K223" t="s">
        <v>27</v>
      </c>
      <c r="L223" t="s">
        <v>40</v>
      </c>
      <c r="M223" t="s">
        <v>34</v>
      </c>
      <c r="N223" t="s">
        <v>81</v>
      </c>
      <c r="O223" t="s">
        <v>545</v>
      </c>
      <c r="P223">
        <v>145.58000000000001</v>
      </c>
      <c r="Q223">
        <v>228.15</v>
      </c>
      <c r="R223">
        <v>0.20399999999999999</v>
      </c>
      <c r="S223">
        <v>1</v>
      </c>
      <c r="T223">
        <v>5</v>
      </c>
      <c r="U223" t="s">
        <v>1480</v>
      </c>
      <c r="V223">
        <v>908.03700000000003</v>
      </c>
      <c r="W223">
        <v>727.90000000000009</v>
      </c>
      <c r="X223">
        <v>180.13699999999994</v>
      </c>
      <c r="Y223">
        <v>0.19838068272548359</v>
      </c>
    </row>
    <row r="224" spans="1:25" x14ac:dyDescent="0.3">
      <c r="A224" t="s">
        <v>546</v>
      </c>
      <c r="B224">
        <v>45164</v>
      </c>
      <c r="C224">
        <v>45179</v>
      </c>
      <c r="D224" t="s">
        <v>1492</v>
      </c>
      <c r="E224" t="s">
        <v>1385</v>
      </c>
      <c r="F224">
        <v>15</v>
      </c>
      <c r="G224">
        <v>0</v>
      </c>
      <c r="H224" t="s">
        <v>16</v>
      </c>
      <c r="I224" t="s">
        <v>148</v>
      </c>
      <c r="J224" t="s">
        <v>258</v>
      </c>
      <c r="K224" t="s">
        <v>39</v>
      </c>
      <c r="L224" t="s">
        <v>98</v>
      </c>
      <c r="M224" t="s">
        <v>126</v>
      </c>
      <c r="N224" t="s">
        <v>22</v>
      </c>
      <c r="O224" t="s">
        <v>547</v>
      </c>
      <c r="P224">
        <v>241.14</v>
      </c>
      <c r="Q224">
        <v>496.52</v>
      </c>
      <c r="R224">
        <v>9.2999999999999999E-2</v>
      </c>
      <c r="S224">
        <v>0</v>
      </c>
      <c r="T224">
        <v>10</v>
      </c>
      <c r="U224" t="s">
        <v>1480</v>
      </c>
      <c r="V224">
        <v>4503.4363999999996</v>
      </c>
      <c r="W224">
        <v>2411.3999999999996</v>
      </c>
      <c r="X224">
        <v>2092.0364</v>
      </c>
      <c r="Y224">
        <v>0.46454223268257994</v>
      </c>
    </row>
    <row r="225" spans="1:25" x14ac:dyDescent="0.3">
      <c r="A225" t="s">
        <v>548</v>
      </c>
      <c r="B225">
        <v>45854</v>
      </c>
      <c r="C225">
        <v>45855</v>
      </c>
      <c r="D225" t="s">
        <v>1488</v>
      </c>
      <c r="E225" t="s">
        <v>1408</v>
      </c>
      <c r="F225">
        <v>1</v>
      </c>
      <c r="G225">
        <v>1</v>
      </c>
      <c r="H225" t="s">
        <v>16</v>
      </c>
      <c r="I225" t="s">
        <v>148</v>
      </c>
      <c r="J225" t="s">
        <v>172</v>
      </c>
      <c r="K225" t="s">
        <v>62</v>
      </c>
      <c r="L225" t="s">
        <v>55</v>
      </c>
      <c r="M225" t="s">
        <v>56</v>
      </c>
      <c r="N225" t="s">
        <v>35</v>
      </c>
      <c r="O225" t="s">
        <v>549</v>
      </c>
      <c r="P225">
        <v>1198.9000000000001</v>
      </c>
      <c r="Q225">
        <v>2941.2</v>
      </c>
      <c r="R225">
        <v>5.0999999999999997E-2</v>
      </c>
      <c r="S225">
        <v>0</v>
      </c>
      <c r="T225">
        <v>24</v>
      </c>
      <c r="U225" t="s">
        <v>1474</v>
      </c>
      <c r="V225">
        <v>66988.771199999988</v>
      </c>
      <c r="W225">
        <v>28773.600000000002</v>
      </c>
      <c r="X225">
        <v>38215.171199999982</v>
      </c>
      <c r="Y225">
        <v>0.57047129713583977</v>
      </c>
    </row>
    <row r="226" spans="1:25" x14ac:dyDescent="0.3">
      <c r="A226" t="s">
        <v>550</v>
      </c>
      <c r="B226">
        <v>45035</v>
      </c>
      <c r="C226">
        <v>45053</v>
      </c>
      <c r="D226" t="s">
        <v>1490</v>
      </c>
      <c r="E226" t="s">
        <v>1381</v>
      </c>
      <c r="F226">
        <v>18</v>
      </c>
      <c r="G226">
        <v>0</v>
      </c>
      <c r="H226" t="s">
        <v>78</v>
      </c>
      <c r="I226" t="s">
        <v>108</v>
      </c>
      <c r="J226" t="s">
        <v>109</v>
      </c>
      <c r="K226" t="s">
        <v>105</v>
      </c>
      <c r="L226" t="s">
        <v>20</v>
      </c>
      <c r="M226" t="s">
        <v>126</v>
      </c>
      <c r="N226" t="s">
        <v>57</v>
      </c>
      <c r="O226" t="s">
        <v>551</v>
      </c>
      <c r="P226">
        <v>1089.1500000000001</v>
      </c>
      <c r="Q226">
        <v>1088.2</v>
      </c>
      <c r="R226">
        <v>5.0999999999999997E-2</v>
      </c>
      <c r="S226">
        <v>0</v>
      </c>
      <c r="T226">
        <v>15</v>
      </c>
      <c r="U226" t="s">
        <v>1485</v>
      </c>
      <c r="V226">
        <v>15490.527</v>
      </c>
      <c r="W226">
        <v>16337.250000000002</v>
      </c>
      <c r="X226">
        <v>-846.72300000000178</v>
      </c>
      <c r="Y226">
        <v>-5.4660696824582002E-2</v>
      </c>
    </row>
    <row r="227" spans="1:25" x14ac:dyDescent="0.3">
      <c r="A227" t="s">
        <v>552</v>
      </c>
      <c r="B227">
        <v>45279</v>
      </c>
      <c r="C227">
        <v>45280</v>
      </c>
      <c r="D227" t="s">
        <v>1484</v>
      </c>
      <c r="E227" t="s">
        <v>1389</v>
      </c>
      <c r="F227">
        <v>1</v>
      </c>
      <c r="G227">
        <v>1</v>
      </c>
      <c r="H227" t="s">
        <v>52</v>
      </c>
      <c r="I227" t="s">
        <v>73</v>
      </c>
      <c r="J227" t="s">
        <v>225</v>
      </c>
      <c r="K227" t="s">
        <v>48</v>
      </c>
      <c r="L227" t="s">
        <v>55</v>
      </c>
      <c r="M227" t="s">
        <v>29</v>
      </c>
      <c r="N227" t="s">
        <v>42</v>
      </c>
      <c r="O227" t="s">
        <v>553</v>
      </c>
      <c r="P227">
        <v>1080.43</v>
      </c>
      <c r="Q227">
        <v>2529.15</v>
      </c>
      <c r="R227">
        <v>0.14699999999999999</v>
      </c>
      <c r="S227">
        <v>0</v>
      </c>
      <c r="T227">
        <v>10</v>
      </c>
      <c r="U227" t="s">
        <v>1474</v>
      </c>
      <c r="V227">
        <v>21573.6495</v>
      </c>
      <c r="W227">
        <v>10804.300000000001</v>
      </c>
      <c r="X227">
        <v>10769.349499999998</v>
      </c>
      <c r="Y227">
        <v>0.49918997247081437</v>
      </c>
    </row>
    <row r="228" spans="1:25" x14ac:dyDescent="0.3">
      <c r="A228" t="s">
        <v>554</v>
      </c>
      <c r="B228">
        <v>45137</v>
      </c>
      <c r="C228">
        <v>45145</v>
      </c>
      <c r="D228" t="s">
        <v>1492</v>
      </c>
      <c r="E228" t="s">
        <v>1384</v>
      </c>
      <c r="F228">
        <v>8</v>
      </c>
      <c r="G228">
        <v>0</v>
      </c>
      <c r="H228" t="s">
        <v>45</v>
      </c>
      <c r="I228" t="s">
        <v>46</v>
      </c>
      <c r="J228" t="s">
        <v>231</v>
      </c>
      <c r="K228" t="s">
        <v>27</v>
      </c>
      <c r="L228" t="s">
        <v>40</v>
      </c>
      <c r="M228" t="s">
        <v>75</v>
      </c>
      <c r="N228" t="s">
        <v>35</v>
      </c>
      <c r="O228" t="s">
        <v>555</v>
      </c>
      <c r="P228">
        <v>1352.44</v>
      </c>
      <c r="Q228">
        <v>2698.01</v>
      </c>
      <c r="R228">
        <v>0.13100000000000001</v>
      </c>
      <c r="S228">
        <v>0</v>
      </c>
      <c r="T228">
        <v>13</v>
      </c>
      <c r="U228" t="s">
        <v>1474</v>
      </c>
      <c r="V228">
        <v>30479.418970000002</v>
      </c>
      <c r="W228">
        <v>17581.72</v>
      </c>
      <c r="X228">
        <v>12897.698970000001</v>
      </c>
      <c r="Y228">
        <v>0.42316091992090887</v>
      </c>
    </row>
    <row r="229" spans="1:25" x14ac:dyDescent="0.3">
      <c r="A229" t="s">
        <v>556</v>
      </c>
      <c r="B229">
        <v>45203</v>
      </c>
      <c r="C229">
        <v>45228</v>
      </c>
      <c r="D229" t="s">
        <v>1484</v>
      </c>
      <c r="E229" t="s">
        <v>1387</v>
      </c>
      <c r="F229">
        <v>25</v>
      </c>
      <c r="G229">
        <v>0</v>
      </c>
      <c r="H229" t="s">
        <v>52</v>
      </c>
      <c r="I229" t="s">
        <v>122</v>
      </c>
      <c r="J229" t="s">
        <v>167</v>
      </c>
      <c r="K229" t="s">
        <v>62</v>
      </c>
      <c r="L229" t="s">
        <v>55</v>
      </c>
      <c r="M229" t="s">
        <v>68</v>
      </c>
      <c r="N229" t="s">
        <v>81</v>
      </c>
      <c r="O229" t="s">
        <v>557</v>
      </c>
      <c r="P229">
        <v>1239.8399999999999</v>
      </c>
      <c r="Q229">
        <v>1482.75</v>
      </c>
      <c r="R229">
        <v>6.7000000000000004E-2</v>
      </c>
      <c r="S229">
        <v>0</v>
      </c>
      <c r="T229">
        <v>4</v>
      </c>
      <c r="U229" t="s">
        <v>1485</v>
      </c>
      <c r="V229">
        <v>5533.6230000000005</v>
      </c>
      <c r="W229">
        <v>4959.3599999999997</v>
      </c>
      <c r="X229">
        <v>574.26300000000083</v>
      </c>
      <c r="Y229">
        <v>0.10377703721413634</v>
      </c>
    </row>
    <row r="230" spans="1:25" x14ac:dyDescent="0.3">
      <c r="A230" t="s">
        <v>558</v>
      </c>
      <c r="B230">
        <v>45879</v>
      </c>
      <c r="C230">
        <v>45899</v>
      </c>
      <c r="D230" t="s">
        <v>1488</v>
      </c>
      <c r="E230" t="s">
        <v>1409</v>
      </c>
      <c r="F230">
        <v>20</v>
      </c>
      <c r="G230">
        <v>0</v>
      </c>
      <c r="H230" t="s">
        <v>52</v>
      </c>
      <c r="I230" t="s">
        <v>122</v>
      </c>
      <c r="J230" t="s">
        <v>167</v>
      </c>
      <c r="K230" t="s">
        <v>19</v>
      </c>
      <c r="L230" t="s">
        <v>40</v>
      </c>
      <c r="M230" t="s">
        <v>95</v>
      </c>
      <c r="N230" t="s">
        <v>30</v>
      </c>
      <c r="O230" t="s">
        <v>559</v>
      </c>
      <c r="P230">
        <v>933.29</v>
      </c>
      <c r="Q230">
        <v>1456.81</v>
      </c>
      <c r="R230">
        <v>0.123</v>
      </c>
      <c r="S230">
        <v>0</v>
      </c>
      <c r="T230">
        <v>13</v>
      </c>
      <c r="U230" t="s">
        <v>1485</v>
      </c>
      <c r="V230">
        <v>16609.090809999998</v>
      </c>
      <c r="W230">
        <v>12132.77</v>
      </c>
      <c r="X230">
        <v>4476.3208099999974</v>
      </c>
      <c r="Y230">
        <v>0.26951028573489977</v>
      </c>
    </row>
    <row r="231" spans="1:25" x14ac:dyDescent="0.3">
      <c r="A231" t="s">
        <v>560</v>
      </c>
      <c r="B231">
        <v>44992</v>
      </c>
      <c r="C231">
        <v>45017</v>
      </c>
      <c r="D231" t="s">
        <v>1482</v>
      </c>
      <c r="E231" t="s">
        <v>1380</v>
      </c>
      <c r="F231">
        <v>25</v>
      </c>
      <c r="G231">
        <v>0</v>
      </c>
      <c r="H231" t="s">
        <v>16</v>
      </c>
      <c r="I231" t="s">
        <v>17</v>
      </c>
      <c r="J231" t="s">
        <v>33</v>
      </c>
      <c r="K231" t="s">
        <v>48</v>
      </c>
      <c r="L231" t="s">
        <v>40</v>
      </c>
      <c r="M231" t="s">
        <v>145</v>
      </c>
      <c r="N231" t="s">
        <v>30</v>
      </c>
      <c r="O231" t="s">
        <v>561</v>
      </c>
      <c r="P231">
        <v>1024.0999999999999</v>
      </c>
      <c r="Q231">
        <v>918.19</v>
      </c>
      <c r="R231">
        <v>0.189</v>
      </c>
      <c r="S231">
        <v>0</v>
      </c>
      <c r="T231">
        <v>10</v>
      </c>
      <c r="U231" t="s">
        <v>1485</v>
      </c>
      <c r="V231">
        <v>7446.5209000000004</v>
      </c>
      <c r="W231">
        <v>10241</v>
      </c>
      <c r="X231">
        <v>-2794.4790999999996</v>
      </c>
      <c r="Y231">
        <v>-0.37527311579827827</v>
      </c>
    </row>
    <row r="232" spans="1:25" x14ac:dyDescent="0.3">
      <c r="A232" t="s">
        <v>562</v>
      </c>
      <c r="B232">
        <v>45069</v>
      </c>
      <c r="C232">
        <v>45087</v>
      </c>
      <c r="D232" t="s">
        <v>1490</v>
      </c>
      <c r="E232" t="s">
        <v>1382</v>
      </c>
      <c r="F232">
        <v>18</v>
      </c>
      <c r="G232">
        <v>0</v>
      </c>
      <c r="H232" t="s">
        <v>45</v>
      </c>
      <c r="I232" t="s">
        <v>116</v>
      </c>
      <c r="J232" t="s">
        <v>162</v>
      </c>
      <c r="K232" t="s">
        <v>19</v>
      </c>
      <c r="L232" t="s">
        <v>55</v>
      </c>
      <c r="M232" t="s">
        <v>63</v>
      </c>
      <c r="N232" t="s">
        <v>22</v>
      </c>
      <c r="O232" t="s">
        <v>563</v>
      </c>
      <c r="P232">
        <v>54.62</v>
      </c>
      <c r="Q232">
        <v>48.94</v>
      </c>
      <c r="R232">
        <v>0.14799999999999999</v>
      </c>
      <c r="S232">
        <v>0</v>
      </c>
      <c r="T232">
        <v>16</v>
      </c>
      <c r="U232" t="s">
        <v>1480</v>
      </c>
      <c r="V232">
        <v>667.15008</v>
      </c>
      <c r="W232">
        <v>873.92</v>
      </c>
      <c r="X232">
        <v>-206.76991999999996</v>
      </c>
      <c r="Y232">
        <v>-0.3099301434543783</v>
      </c>
    </row>
    <row r="233" spans="1:25" x14ac:dyDescent="0.3">
      <c r="A233" t="s">
        <v>564</v>
      </c>
      <c r="B233">
        <v>45771</v>
      </c>
      <c r="C233">
        <v>45783</v>
      </c>
      <c r="D233" t="s">
        <v>1487</v>
      </c>
      <c r="E233" t="s">
        <v>1405</v>
      </c>
      <c r="F233">
        <v>12</v>
      </c>
      <c r="G233">
        <v>0</v>
      </c>
      <c r="H233" t="s">
        <v>52</v>
      </c>
      <c r="I233" t="s">
        <v>73</v>
      </c>
      <c r="J233" t="s">
        <v>87</v>
      </c>
      <c r="K233" t="s">
        <v>48</v>
      </c>
      <c r="L233" t="s">
        <v>28</v>
      </c>
      <c r="M233" t="s">
        <v>21</v>
      </c>
      <c r="N233" t="s">
        <v>42</v>
      </c>
      <c r="O233" t="s">
        <v>565</v>
      </c>
      <c r="P233">
        <v>394.13</v>
      </c>
      <c r="Q233">
        <v>932.29</v>
      </c>
      <c r="R233">
        <v>0.109</v>
      </c>
      <c r="S233">
        <v>0</v>
      </c>
      <c r="T233">
        <v>7</v>
      </c>
      <c r="U233" t="s">
        <v>1485</v>
      </c>
      <c r="V233">
        <v>5814.6927299999998</v>
      </c>
      <c r="W233">
        <v>2758.91</v>
      </c>
      <c r="X233">
        <v>3055.7827299999999</v>
      </c>
      <c r="Y233">
        <v>0.5255278089303268</v>
      </c>
    </row>
    <row r="234" spans="1:25" x14ac:dyDescent="0.3">
      <c r="A234" t="s">
        <v>566</v>
      </c>
      <c r="B234">
        <v>45538</v>
      </c>
      <c r="C234">
        <v>45543</v>
      </c>
      <c r="D234" t="s">
        <v>1491</v>
      </c>
      <c r="E234" t="s">
        <v>1494</v>
      </c>
      <c r="F234">
        <v>5</v>
      </c>
      <c r="G234">
        <v>1</v>
      </c>
      <c r="H234" t="s">
        <v>16</v>
      </c>
      <c r="I234" t="s">
        <v>25</v>
      </c>
      <c r="J234" t="s">
        <v>38</v>
      </c>
      <c r="K234" t="s">
        <v>62</v>
      </c>
      <c r="L234" t="s">
        <v>98</v>
      </c>
      <c r="M234" t="s">
        <v>95</v>
      </c>
      <c r="N234" t="s">
        <v>30</v>
      </c>
      <c r="O234" t="s">
        <v>567</v>
      </c>
      <c r="P234">
        <v>197.63</v>
      </c>
      <c r="Q234">
        <v>325.79000000000002</v>
      </c>
      <c r="R234">
        <v>0.11600000000000001</v>
      </c>
      <c r="S234">
        <v>0</v>
      </c>
      <c r="T234">
        <v>10</v>
      </c>
      <c r="U234" t="s">
        <v>1480</v>
      </c>
      <c r="V234">
        <v>2879.9836</v>
      </c>
      <c r="W234">
        <v>1976.3</v>
      </c>
      <c r="X234">
        <v>903.68360000000007</v>
      </c>
      <c r="Y234">
        <v>0.31378081458519419</v>
      </c>
    </row>
    <row r="235" spans="1:25" x14ac:dyDescent="0.3">
      <c r="A235" t="s">
        <v>568</v>
      </c>
      <c r="B235">
        <v>45540</v>
      </c>
      <c r="C235">
        <v>45560</v>
      </c>
      <c r="D235" t="s">
        <v>1491</v>
      </c>
      <c r="E235" t="s">
        <v>1494</v>
      </c>
      <c r="F235">
        <v>20</v>
      </c>
      <c r="G235">
        <v>0</v>
      </c>
      <c r="H235" t="s">
        <v>45</v>
      </c>
      <c r="I235" t="s">
        <v>46</v>
      </c>
      <c r="J235" t="s">
        <v>47</v>
      </c>
      <c r="K235" t="s">
        <v>105</v>
      </c>
      <c r="L235" t="s">
        <v>55</v>
      </c>
      <c r="M235" t="s">
        <v>145</v>
      </c>
      <c r="N235" t="s">
        <v>64</v>
      </c>
      <c r="O235" t="s">
        <v>569</v>
      </c>
      <c r="P235">
        <v>195.54</v>
      </c>
      <c r="Q235">
        <v>405.97</v>
      </c>
      <c r="R235">
        <v>0.187</v>
      </c>
      <c r="S235">
        <v>0</v>
      </c>
      <c r="T235">
        <v>16</v>
      </c>
      <c r="U235" t="s">
        <v>1480</v>
      </c>
      <c r="V235">
        <v>5280.8577599999999</v>
      </c>
      <c r="W235">
        <v>3128.64</v>
      </c>
      <c r="X235">
        <v>2152.21776</v>
      </c>
      <c r="Y235">
        <v>0.40755079152141377</v>
      </c>
    </row>
    <row r="236" spans="1:25" x14ac:dyDescent="0.3">
      <c r="A236" t="s">
        <v>570</v>
      </c>
      <c r="B236">
        <v>44999</v>
      </c>
      <c r="C236">
        <v>45015</v>
      </c>
      <c r="D236" t="s">
        <v>1482</v>
      </c>
      <c r="E236" t="s">
        <v>1380</v>
      </c>
      <c r="F236">
        <v>16</v>
      </c>
      <c r="G236">
        <v>0</v>
      </c>
      <c r="H236" t="s">
        <v>16</v>
      </c>
      <c r="I236" t="s">
        <v>148</v>
      </c>
      <c r="J236" t="s">
        <v>258</v>
      </c>
      <c r="K236" t="s">
        <v>48</v>
      </c>
      <c r="L236" t="s">
        <v>55</v>
      </c>
      <c r="M236" t="s">
        <v>95</v>
      </c>
      <c r="N236" t="s">
        <v>22</v>
      </c>
      <c r="O236" t="s">
        <v>571</v>
      </c>
      <c r="P236">
        <v>1309.77</v>
      </c>
      <c r="Q236">
        <v>1589.07</v>
      </c>
      <c r="R236">
        <v>0.10199999999999999</v>
      </c>
      <c r="S236">
        <v>0</v>
      </c>
      <c r="T236">
        <v>10</v>
      </c>
      <c r="U236" t="s">
        <v>1485</v>
      </c>
      <c r="V236">
        <v>14269.848599999999</v>
      </c>
      <c r="W236">
        <v>13097.7</v>
      </c>
      <c r="X236">
        <v>1172.1485999999986</v>
      </c>
      <c r="Y236">
        <v>8.2141628328137886E-2</v>
      </c>
    </row>
    <row r="237" spans="1:25" x14ac:dyDescent="0.3">
      <c r="A237" t="s">
        <v>572</v>
      </c>
      <c r="B237">
        <v>45302</v>
      </c>
      <c r="C237">
        <v>45324</v>
      </c>
      <c r="D237" t="s">
        <v>1479</v>
      </c>
      <c r="E237" t="s">
        <v>1390</v>
      </c>
      <c r="F237">
        <v>22</v>
      </c>
      <c r="G237">
        <v>0</v>
      </c>
      <c r="H237" t="s">
        <v>45</v>
      </c>
      <c r="I237" t="s">
        <v>46</v>
      </c>
      <c r="J237" t="s">
        <v>231</v>
      </c>
      <c r="K237" t="s">
        <v>62</v>
      </c>
      <c r="L237" t="s">
        <v>28</v>
      </c>
      <c r="M237" t="s">
        <v>29</v>
      </c>
      <c r="N237" t="s">
        <v>30</v>
      </c>
      <c r="O237" t="s">
        <v>573</v>
      </c>
      <c r="P237">
        <v>1237.68</v>
      </c>
      <c r="Q237">
        <v>1432.8</v>
      </c>
      <c r="R237">
        <v>6.8000000000000005E-2</v>
      </c>
      <c r="S237">
        <v>0</v>
      </c>
      <c r="T237">
        <v>13</v>
      </c>
      <c r="U237" t="s">
        <v>1485</v>
      </c>
      <c r="V237">
        <v>17359.804799999998</v>
      </c>
      <c r="W237">
        <v>16089.84</v>
      </c>
      <c r="X237">
        <v>1269.9647999999979</v>
      </c>
      <c r="Y237">
        <v>7.315547695559331E-2</v>
      </c>
    </row>
    <row r="238" spans="1:25" x14ac:dyDescent="0.3">
      <c r="A238" t="s">
        <v>574</v>
      </c>
      <c r="B238">
        <v>45548</v>
      </c>
      <c r="C238">
        <v>45567</v>
      </c>
      <c r="D238" t="s">
        <v>1491</v>
      </c>
      <c r="E238" t="s">
        <v>1494</v>
      </c>
      <c r="F238">
        <v>19</v>
      </c>
      <c r="G238">
        <v>0</v>
      </c>
      <c r="H238" t="s">
        <v>16</v>
      </c>
      <c r="I238" t="s">
        <v>17</v>
      </c>
      <c r="J238" t="s">
        <v>113</v>
      </c>
      <c r="K238" t="s">
        <v>62</v>
      </c>
      <c r="L238" t="s">
        <v>20</v>
      </c>
      <c r="M238" t="s">
        <v>110</v>
      </c>
      <c r="N238" t="s">
        <v>42</v>
      </c>
      <c r="O238" t="s">
        <v>575</v>
      </c>
      <c r="P238">
        <v>1338.99</v>
      </c>
      <c r="Q238">
        <v>1765.76</v>
      </c>
      <c r="R238">
        <v>0.126</v>
      </c>
      <c r="S238">
        <v>0</v>
      </c>
      <c r="T238">
        <v>24</v>
      </c>
      <c r="U238" t="s">
        <v>1474</v>
      </c>
      <c r="V238">
        <v>37038.581760000001</v>
      </c>
      <c r="W238">
        <v>32135.760000000002</v>
      </c>
      <c r="X238">
        <v>4902.8217599999989</v>
      </c>
      <c r="Y238">
        <v>0.1323706666677725</v>
      </c>
    </row>
    <row r="239" spans="1:25" x14ac:dyDescent="0.3">
      <c r="A239" t="s">
        <v>576</v>
      </c>
      <c r="B239">
        <v>45855</v>
      </c>
      <c r="C239">
        <v>45861</v>
      </c>
      <c r="D239" t="s">
        <v>1488</v>
      </c>
      <c r="E239" t="s">
        <v>1408</v>
      </c>
      <c r="F239">
        <v>6</v>
      </c>
      <c r="G239">
        <v>1</v>
      </c>
      <c r="H239" t="s">
        <v>52</v>
      </c>
      <c r="I239" t="s">
        <v>53</v>
      </c>
      <c r="J239" t="s">
        <v>179</v>
      </c>
      <c r="K239" t="s">
        <v>48</v>
      </c>
      <c r="L239" t="s">
        <v>28</v>
      </c>
      <c r="M239" t="s">
        <v>92</v>
      </c>
      <c r="N239" t="s">
        <v>22</v>
      </c>
      <c r="O239" t="s">
        <v>577</v>
      </c>
      <c r="P239">
        <v>1364.89</v>
      </c>
      <c r="Q239">
        <v>2757.54</v>
      </c>
      <c r="R239">
        <v>0.17199999999999999</v>
      </c>
      <c r="S239">
        <v>0</v>
      </c>
      <c r="T239">
        <v>61</v>
      </c>
      <c r="U239" t="s">
        <v>1474</v>
      </c>
      <c r="V239">
        <v>139277.83032000001</v>
      </c>
      <c r="W239">
        <v>83258.290000000008</v>
      </c>
      <c r="X239">
        <v>56019.54032</v>
      </c>
      <c r="Y239">
        <v>0.4022143379983118</v>
      </c>
    </row>
    <row r="240" spans="1:25" x14ac:dyDescent="0.3">
      <c r="A240" t="s">
        <v>578</v>
      </c>
      <c r="B240">
        <v>45258</v>
      </c>
      <c r="C240">
        <v>45267</v>
      </c>
      <c r="D240" t="s">
        <v>1484</v>
      </c>
      <c r="E240" t="s">
        <v>1388</v>
      </c>
      <c r="F240">
        <v>9</v>
      </c>
      <c r="G240">
        <v>0</v>
      </c>
      <c r="H240" t="s">
        <v>45</v>
      </c>
      <c r="I240" t="s">
        <v>60</v>
      </c>
      <c r="J240" t="s">
        <v>141</v>
      </c>
      <c r="K240" t="s">
        <v>105</v>
      </c>
      <c r="L240" t="s">
        <v>40</v>
      </c>
      <c r="M240" t="s">
        <v>49</v>
      </c>
      <c r="N240" t="s">
        <v>42</v>
      </c>
      <c r="O240" t="s">
        <v>579</v>
      </c>
      <c r="P240">
        <v>699.33</v>
      </c>
      <c r="Q240">
        <v>873.75</v>
      </c>
      <c r="R240">
        <v>0.23499999999999999</v>
      </c>
      <c r="S240">
        <v>1</v>
      </c>
      <c r="T240">
        <v>10</v>
      </c>
      <c r="U240" t="s">
        <v>1485</v>
      </c>
      <c r="V240">
        <v>6684.1875</v>
      </c>
      <c r="W240">
        <v>6993.3</v>
      </c>
      <c r="X240">
        <v>-309.11250000000018</v>
      </c>
      <c r="Y240">
        <v>-4.6245336475076469E-2</v>
      </c>
    </row>
    <row r="241" spans="1:25" x14ac:dyDescent="0.3">
      <c r="A241" t="s">
        <v>580</v>
      </c>
      <c r="B241">
        <v>45381</v>
      </c>
      <c r="C241">
        <v>45406</v>
      </c>
      <c r="D241" t="s">
        <v>1479</v>
      </c>
      <c r="E241" t="s">
        <v>1392</v>
      </c>
      <c r="F241">
        <v>25</v>
      </c>
      <c r="G241">
        <v>0</v>
      </c>
      <c r="H241" t="s">
        <v>52</v>
      </c>
      <c r="I241" t="s">
        <v>122</v>
      </c>
      <c r="J241" t="s">
        <v>326</v>
      </c>
      <c r="K241" t="s">
        <v>39</v>
      </c>
      <c r="L241" t="s">
        <v>28</v>
      </c>
      <c r="M241" t="s">
        <v>41</v>
      </c>
      <c r="N241" t="s">
        <v>57</v>
      </c>
      <c r="O241" t="s">
        <v>581</v>
      </c>
      <c r="P241">
        <v>160.82</v>
      </c>
      <c r="Q241">
        <v>258.52</v>
      </c>
      <c r="R241">
        <v>0.13</v>
      </c>
      <c r="S241">
        <v>0</v>
      </c>
      <c r="T241">
        <v>17</v>
      </c>
      <c r="U241" t="s">
        <v>1480</v>
      </c>
      <c r="V241">
        <v>3823.5108</v>
      </c>
      <c r="W241">
        <v>2733.94</v>
      </c>
      <c r="X241">
        <v>1089.5708</v>
      </c>
      <c r="Y241">
        <v>0.28496605789631874</v>
      </c>
    </row>
    <row r="242" spans="1:25" x14ac:dyDescent="0.3">
      <c r="A242" t="s">
        <v>582</v>
      </c>
      <c r="B242">
        <v>45188</v>
      </c>
      <c r="C242">
        <v>45207</v>
      </c>
      <c r="D242" t="s">
        <v>1492</v>
      </c>
      <c r="E242" t="s">
        <v>1493</v>
      </c>
      <c r="F242">
        <v>19</v>
      </c>
      <c r="G242">
        <v>0</v>
      </c>
      <c r="H242" t="s">
        <v>45</v>
      </c>
      <c r="I242" t="s">
        <v>60</v>
      </c>
      <c r="J242" t="s">
        <v>61</v>
      </c>
      <c r="K242" t="s">
        <v>27</v>
      </c>
      <c r="L242" t="s">
        <v>98</v>
      </c>
      <c r="M242" t="s">
        <v>29</v>
      </c>
      <c r="N242" t="s">
        <v>30</v>
      </c>
      <c r="O242" t="s">
        <v>583</v>
      </c>
      <c r="P242">
        <v>385.32</v>
      </c>
      <c r="Q242">
        <v>606.76</v>
      </c>
      <c r="R242">
        <v>8.5999999999999993E-2</v>
      </c>
      <c r="S242">
        <v>0</v>
      </c>
      <c r="T242">
        <v>8</v>
      </c>
      <c r="U242" t="s">
        <v>1480</v>
      </c>
      <c r="V242">
        <v>4436.6291200000005</v>
      </c>
      <c r="W242">
        <v>3082.56</v>
      </c>
      <c r="X242">
        <v>1354.0691200000006</v>
      </c>
      <c r="Y242">
        <v>0.30520223425842735</v>
      </c>
    </row>
    <row r="243" spans="1:25" x14ac:dyDescent="0.3">
      <c r="A243" t="s">
        <v>584</v>
      </c>
      <c r="B243">
        <v>45793</v>
      </c>
      <c r="C243">
        <v>45804</v>
      </c>
      <c r="D243" t="s">
        <v>1487</v>
      </c>
      <c r="E243" t="s">
        <v>1406</v>
      </c>
      <c r="F243">
        <v>11</v>
      </c>
      <c r="G243">
        <v>0</v>
      </c>
      <c r="H243" t="s">
        <v>45</v>
      </c>
      <c r="I243" t="s">
        <v>116</v>
      </c>
      <c r="J243" t="s">
        <v>338</v>
      </c>
      <c r="K243" t="s">
        <v>105</v>
      </c>
      <c r="L243" t="s">
        <v>28</v>
      </c>
      <c r="M243" t="s">
        <v>84</v>
      </c>
      <c r="N243" t="s">
        <v>42</v>
      </c>
      <c r="O243" t="s">
        <v>585</v>
      </c>
      <c r="P243">
        <v>918.12</v>
      </c>
      <c r="Q243">
        <v>1337.69</v>
      </c>
      <c r="R243">
        <v>9.5000000000000001E-2</v>
      </c>
      <c r="S243">
        <v>0</v>
      </c>
      <c r="T243">
        <v>8</v>
      </c>
      <c r="U243" t="s">
        <v>1485</v>
      </c>
      <c r="V243">
        <v>9684.8756000000012</v>
      </c>
      <c r="W243">
        <v>7344.96</v>
      </c>
      <c r="X243">
        <v>2339.9156000000012</v>
      </c>
      <c r="Y243">
        <v>0.24160512707050164</v>
      </c>
    </row>
    <row r="244" spans="1:25" x14ac:dyDescent="0.3">
      <c r="A244" t="s">
        <v>586</v>
      </c>
      <c r="B244">
        <v>45871</v>
      </c>
      <c r="C244">
        <v>45877</v>
      </c>
      <c r="D244" t="s">
        <v>1488</v>
      </c>
      <c r="E244" t="s">
        <v>1409</v>
      </c>
      <c r="F244">
        <v>6</v>
      </c>
      <c r="G244">
        <v>1</v>
      </c>
      <c r="H244" t="s">
        <v>45</v>
      </c>
      <c r="I244" t="s">
        <v>46</v>
      </c>
      <c r="J244" t="s">
        <v>47</v>
      </c>
      <c r="K244" t="s">
        <v>48</v>
      </c>
      <c r="L244" t="s">
        <v>98</v>
      </c>
      <c r="M244" t="s">
        <v>126</v>
      </c>
      <c r="N244" t="s">
        <v>57</v>
      </c>
      <c r="O244" t="s">
        <v>587</v>
      </c>
      <c r="P244">
        <v>1225.94</v>
      </c>
      <c r="Q244">
        <v>1793.08</v>
      </c>
      <c r="R244">
        <v>0.13600000000000001</v>
      </c>
      <c r="S244">
        <v>0</v>
      </c>
      <c r="T244">
        <v>22</v>
      </c>
      <c r="U244" t="s">
        <v>1474</v>
      </c>
      <c r="V244">
        <v>34082.864639999993</v>
      </c>
      <c r="W244">
        <v>26970.68</v>
      </c>
      <c r="X244">
        <v>7112.1846399999922</v>
      </c>
      <c r="Y244">
        <v>0.20867332353434462</v>
      </c>
    </row>
    <row r="245" spans="1:25" x14ac:dyDescent="0.3">
      <c r="A245" t="s">
        <v>588</v>
      </c>
      <c r="B245">
        <v>45630</v>
      </c>
      <c r="C245">
        <v>45638</v>
      </c>
      <c r="D245" t="s">
        <v>1481</v>
      </c>
      <c r="E245" t="s">
        <v>1401</v>
      </c>
      <c r="F245">
        <v>8</v>
      </c>
      <c r="G245">
        <v>0</v>
      </c>
      <c r="H245" t="s">
        <v>78</v>
      </c>
      <c r="I245" t="s">
        <v>79</v>
      </c>
      <c r="J245" t="s">
        <v>335</v>
      </c>
      <c r="K245" t="s">
        <v>105</v>
      </c>
      <c r="L245" t="s">
        <v>40</v>
      </c>
      <c r="M245" t="s">
        <v>56</v>
      </c>
      <c r="N245" t="s">
        <v>30</v>
      </c>
      <c r="O245" t="s">
        <v>589</v>
      </c>
      <c r="P245">
        <v>72.06</v>
      </c>
      <c r="Q245">
        <v>122.74</v>
      </c>
      <c r="R245">
        <v>0.23799999999999999</v>
      </c>
      <c r="S245">
        <v>1</v>
      </c>
      <c r="T245">
        <v>8</v>
      </c>
      <c r="U245" t="s">
        <v>1480</v>
      </c>
      <c r="V245">
        <v>748.22303999999997</v>
      </c>
      <c r="W245">
        <v>576.48</v>
      </c>
      <c r="X245">
        <v>171.74303999999995</v>
      </c>
      <c r="Y245">
        <v>0.22953455162246802</v>
      </c>
    </row>
    <row r="246" spans="1:25" x14ac:dyDescent="0.3">
      <c r="A246" t="s">
        <v>590</v>
      </c>
      <c r="B246">
        <v>45035</v>
      </c>
      <c r="C246">
        <v>45044</v>
      </c>
      <c r="D246" t="s">
        <v>1490</v>
      </c>
      <c r="E246" t="s">
        <v>1381</v>
      </c>
      <c r="F246">
        <v>9</v>
      </c>
      <c r="G246">
        <v>0</v>
      </c>
      <c r="H246" t="s">
        <v>52</v>
      </c>
      <c r="I246" t="s">
        <v>73</v>
      </c>
      <c r="J246" t="s">
        <v>225</v>
      </c>
      <c r="K246" t="s">
        <v>19</v>
      </c>
      <c r="L246" t="s">
        <v>55</v>
      </c>
      <c r="M246" t="s">
        <v>110</v>
      </c>
      <c r="N246" t="s">
        <v>42</v>
      </c>
      <c r="O246" t="s">
        <v>591</v>
      </c>
      <c r="P246">
        <v>1013.54</v>
      </c>
      <c r="Q246">
        <v>927.93</v>
      </c>
      <c r="R246">
        <v>0.17499999999999999</v>
      </c>
      <c r="S246">
        <v>0</v>
      </c>
      <c r="T246">
        <v>16</v>
      </c>
      <c r="U246" t="s">
        <v>1485</v>
      </c>
      <c r="V246">
        <v>12248.675999999999</v>
      </c>
      <c r="W246">
        <v>16216.64</v>
      </c>
      <c r="X246">
        <v>-3967.9639999999999</v>
      </c>
      <c r="Y246">
        <v>-0.32395044166406234</v>
      </c>
    </row>
    <row r="247" spans="1:25" x14ac:dyDescent="0.3">
      <c r="A247" t="s">
        <v>592</v>
      </c>
      <c r="B247">
        <v>45357</v>
      </c>
      <c r="C247">
        <v>45377</v>
      </c>
      <c r="D247" t="s">
        <v>1479</v>
      </c>
      <c r="E247" t="s">
        <v>1392</v>
      </c>
      <c r="F247">
        <v>20</v>
      </c>
      <c r="G247">
        <v>0</v>
      </c>
      <c r="H247" t="s">
        <v>16</v>
      </c>
      <c r="I247" t="s">
        <v>25</v>
      </c>
      <c r="J247" t="s">
        <v>26</v>
      </c>
      <c r="K247" t="s">
        <v>48</v>
      </c>
      <c r="L247" t="s">
        <v>40</v>
      </c>
      <c r="M247" t="s">
        <v>34</v>
      </c>
      <c r="N247" t="s">
        <v>42</v>
      </c>
      <c r="O247" t="s">
        <v>593</v>
      </c>
      <c r="P247">
        <v>65.64</v>
      </c>
      <c r="Q247">
        <v>151.88</v>
      </c>
      <c r="R247">
        <v>0.16700000000000001</v>
      </c>
      <c r="S247">
        <v>0</v>
      </c>
      <c r="T247">
        <v>23</v>
      </c>
      <c r="U247" t="s">
        <v>1480</v>
      </c>
      <c r="V247">
        <v>2909.8689199999999</v>
      </c>
      <c r="W247">
        <v>1509.72</v>
      </c>
      <c r="X247">
        <v>1400.1489199999999</v>
      </c>
      <c r="Y247">
        <v>0.48117250587356353</v>
      </c>
    </row>
    <row r="248" spans="1:25" x14ac:dyDescent="0.3">
      <c r="A248" t="s">
        <v>594</v>
      </c>
      <c r="B248">
        <v>45338</v>
      </c>
      <c r="C248">
        <v>45355</v>
      </c>
      <c r="D248" t="s">
        <v>1479</v>
      </c>
      <c r="E248" t="s">
        <v>1391</v>
      </c>
      <c r="F248">
        <v>17</v>
      </c>
      <c r="G248">
        <v>0</v>
      </c>
      <c r="H248" t="s">
        <v>52</v>
      </c>
      <c r="I248" t="s">
        <v>53</v>
      </c>
      <c r="J248" t="s">
        <v>144</v>
      </c>
      <c r="K248" t="s">
        <v>39</v>
      </c>
      <c r="L248" t="s">
        <v>20</v>
      </c>
      <c r="M248" t="s">
        <v>145</v>
      </c>
      <c r="N248" t="s">
        <v>57</v>
      </c>
      <c r="O248" t="s">
        <v>595</v>
      </c>
      <c r="P248">
        <v>1350.98</v>
      </c>
      <c r="Q248">
        <v>2210.4</v>
      </c>
      <c r="R248">
        <v>0.26300000000000001</v>
      </c>
      <c r="S248">
        <v>1</v>
      </c>
      <c r="T248">
        <v>6</v>
      </c>
      <c r="U248" t="s">
        <v>1474</v>
      </c>
      <c r="V248">
        <v>9774.3888000000006</v>
      </c>
      <c r="W248">
        <v>8105.88</v>
      </c>
      <c r="X248">
        <v>1668.5088000000005</v>
      </c>
      <c r="Y248">
        <v>0.17070211080615091</v>
      </c>
    </row>
    <row r="249" spans="1:25" x14ac:dyDescent="0.3">
      <c r="A249" t="s">
        <v>596</v>
      </c>
      <c r="B249">
        <v>45769</v>
      </c>
      <c r="C249">
        <v>45779</v>
      </c>
      <c r="D249" t="s">
        <v>1487</v>
      </c>
      <c r="E249" t="s">
        <v>1405</v>
      </c>
      <c r="F249">
        <v>10</v>
      </c>
      <c r="G249">
        <v>0</v>
      </c>
      <c r="H249" t="s">
        <v>78</v>
      </c>
      <c r="I249" t="s">
        <v>79</v>
      </c>
      <c r="J249" t="s">
        <v>80</v>
      </c>
      <c r="K249" t="s">
        <v>19</v>
      </c>
      <c r="L249" t="s">
        <v>40</v>
      </c>
      <c r="M249" t="s">
        <v>21</v>
      </c>
      <c r="N249" t="s">
        <v>64</v>
      </c>
      <c r="O249" t="s">
        <v>597</v>
      </c>
      <c r="P249">
        <v>20.149999999999999</v>
      </c>
      <c r="Q249">
        <v>39.74</v>
      </c>
      <c r="R249">
        <v>0.151</v>
      </c>
      <c r="S249">
        <v>0</v>
      </c>
      <c r="T249">
        <v>18</v>
      </c>
      <c r="U249" t="s">
        <v>1480</v>
      </c>
      <c r="V249">
        <v>607.30668000000003</v>
      </c>
      <c r="W249">
        <v>362.7</v>
      </c>
      <c r="X249">
        <v>244.60668000000004</v>
      </c>
      <c r="Y249">
        <v>0.4027729120318585</v>
      </c>
    </row>
    <row r="250" spans="1:25" x14ac:dyDescent="0.3">
      <c r="A250" t="s">
        <v>598</v>
      </c>
      <c r="B250">
        <v>45604</v>
      </c>
      <c r="C250">
        <v>45604</v>
      </c>
      <c r="D250" t="s">
        <v>1481</v>
      </c>
      <c r="E250" t="s">
        <v>1400</v>
      </c>
      <c r="F250">
        <v>0</v>
      </c>
      <c r="G250">
        <v>1</v>
      </c>
      <c r="H250" t="s">
        <v>16</v>
      </c>
      <c r="I250" t="s">
        <v>17</v>
      </c>
      <c r="J250" t="s">
        <v>135</v>
      </c>
      <c r="K250" t="s">
        <v>105</v>
      </c>
      <c r="L250" t="s">
        <v>40</v>
      </c>
      <c r="M250" t="s">
        <v>110</v>
      </c>
      <c r="N250" t="s">
        <v>35</v>
      </c>
      <c r="O250" t="s">
        <v>599</v>
      </c>
      <c r="P250">
        <v>803.28</v>
      </c>
      <c r="Q250">
        <v>1009</v>
      </c>
      <c r="R250">
        <v>0.11</v>
      </c>
      <c r="S250">
        <v>0</v>
      </c>
      <c r="T250">
        <v>4</v>
      </c>
      <c r="U250" t="s">
        <v>1485</v>
      </c>
      <c r="V250">
        <v>3592.04</v>
      </c>
      <c r="W250">
        <v>3213.12</v>
      </c>
      <c r="X250">
        <v>378.92000000000007</v>
      </c>
      <c r="Y250">
        <v>0.10548880302001093</v>
      </c>
    </row>
    <row r="251" spans="1:25" x14ac:dyDescent="0.3">
      <c r="A251" t="s">
        <v>600</v>
      </c>
      <c r="B251">
        <v>45912</v>
      </c>
      <c r="C251">
        <v>45930</v>
      </c>
      <c r="D251" t="s">
        <v>1488</v>
      </c>
      <c r="E251" t="s">
        <v>1489</v>
      </c>
      <c r="F251">
        <v>18</v>
      </c>
      <c r="G251">
        <v>0</v>
      </c>
      <c r="H251" t="s">
        <v>45</v>
      </c>
      <c r="I251" t="s">
        <v>46</v>
      </c>
      <c r="J251" t="s">
        <v>231</v>
      </c>
      <c r="K251" t="s">
        <v>39</v>
      </c>
      <c r="L251" t="s">
        <v>40</v>
      </c>
      <c r="M251" t="s">
        <v>84</v>
      </c>
      <c r="N251" t="s">
        <v>64</v>
      </c>
      <c r="O251" t="s">
        <v>601</v>
      </c>
      <c r="P251">
        <v>1212.99</v>
      </c>
      <c r="Q251">
        <v>1653.64</v>
      </c>
      <c r="R251">
        <v>0.107</v>
      </c>
      <c r="S251">
        <v>0</v>
      </c>
      <c r="T251">
        <v>8</v>
      </c>
      <c r="U251" t="s">
        <v>1474</v>
      </c>
      <c r="V251">
        <v>11813.604160000001</v>
      </c>
      <c r="W251">
        <v>9703.92</v>
      </c>
      <c r="X251">
        <v>2109.6841600000007</v>
      </c>
      <c r="Y251">
        <v>0.17858090819931455</v>
      </c>
    </row>
    <row r="252" spans="1:25" x14ac:dyDescent="0.3">
      <c r="A252" t="s">
        <v>602</v>
      </c>
      <c r="B252">
        <v>45537</v>
      </c>
      <c r="C252">
        <v>45543</v>
      </c>
      <c r="D252" t="s">
        <v>1491</v>
      </c>
      <c r="E252" t="s">
        <v>1494</v>
      </c>
      <c r="F252">
        <v>6</v>
      </c>
      <c r="G252">
        <v>1</v>
      </c>
      <c r="H252" t="s">
        <v>52</v>
      </c>
      <c r="I252" t="s">
        <v>122</v>
      </c>
      <c r="J252" t="s">
        <v>326</v>
      </c>
      <c r="K252" t="s">
        <v>48</v>
      </c>
      <c r="L252" t="s">
        <v>98</v>
      </c>
      <c r="M252" t="s">
        <v>92</v>
      </c>
      <c r="N252" t="s">
        <v>22</v>
      </c>
      <c r="O252" t="s">
        <v>603</v>
      </c>
      <c r="P252">
        <v>462.94</v>
      </c>
      <c r="Q252">
        <v>1015.7</v>
      </c>
      <c r="R252">
        <v>0.14299999999999999</v>
      </c>
      <c r="S252">
        <v>0</v>
      </c>
      <c r="T252">
        <v>14</v>
      </c>
      <c r="U252" t="s">
        <v>1485</v>
      </c>
      <c r="V252">
        <v>12186.368600000002</v>
      </c>
      <c r="W252">
        <v>6481.16</v>
      </c>
      <c r="X252">
        <v>5705.2086000000018</v>
      </c>
      <c r="Y252">
        <v>0.46816314090483041</v>
      </c>
    </row>
    <row r="253" spans="1:25" x14ac:dyDescent="0.3">
      <c r="A253" t="s">
        <v>604</v>
      </c>
      <c r="B253">
        <v>44989</v>
      </c>
      <c r="C253">
        <v>45009</v>
      </c>
      <c r="D253" t="s">
        <v>1482</v>
      </c>
      <c r="E253" t="s">
        <v>1380</v>
      </c>
      <c r="F253">
        <v>20</v>
      </c>
      <c r="G253">
        <v>0</v>
      </c>
      <c r="H253" t="s">
        <v>52</v>
      </c>
      <c r="I253" t="s">
        <v>53</v>
      </c>
      <c r="J253" t="s">
        <v>144</v>
      </c>
      <c r="K253" t="s">
        <v>48</v>
      </c>
      <c r="L253" t="s">
        <v>55</v>
      </c>
      <c r="M253" t="s">
        <v>34</v>
      </c>
      <c r="N253" t="s">
        <v>57</v>
      </c>
      <c r="O253" t="s">
        <v>605</v>
      </c>
      <c r="P253">
        <v>481.71</v>
      </c>
      <c r="Q253">
        <v>912.45</v>
      </c>
      <c r="R253">
        <v>0.20300000000000001</v>
      </c>
      <c r="S253">
        <v>1</v>
      </c>
      <c r="T253">
        <v>24</v>
      </c>
      <c r="U253" t="s">
        <v>1485</v>
      </c>
      <c r="V253">
        <v>17453.3436</v>
      </c>
      <c r="W253">
        <v>11561.039999999999</v>
      </c>
      <c r="X253">
        <v>5892.3036000000011</v>
      </c>
      <c r="Y253">
        <v>0.33760313983619739</v>
      </c>
    </row>
    <row r="254" spans="1:25" x14ac:dyDescent="0.3">
      <c r="A254" t="s">
        <v>606</v>
      </c>
      <c r="B254">
        <v>45366</v>
      </c>
      <c r="C254">
        <v>45391</v>
      </c>
      <c r="D254" t="s">
        <v>1479</v>
      </c>
      <c r="E254" t="s">
        <v>1392</v>
      </c>
      <c r="F254">
        <v>25</v>
      </c>
      <c r="G254">
        <v>0</v>
      </c>
      <c r="H254" t="s">
        <v>52</v>
      </c>
      <c r="I254" t="s">
        <v>53</v>
      </c>
      <c r="J254" t="s">
        <v>179</v>
      </c>
      <c r="K254" t="s">
        <v>48</v>
      </c>
      <c r="L254" t="s">
        <v>28</v>
      </c>
      <c r="M254" t="s">
        <v>84</v>
      </c>
      <c r="N254" t="s">
        <v>64</v>
      </c>
      <c r="O254" t="s">
        <v>607</v>
      </c>
      <c r="P254">
        <v>648.64</v>
      </c>
      <c r="Q254">
        <v>815.19</v>
      </c>
      <c r="R254">
        <v>0.22500000000000001</v>
      </c>
      <c r="S254">
        <v>1</v>
      </c>
      <c r="T254">
        <v>28</v>
      </c>
      <c r="U254" t="s">
        <v>1480</v>
      </c>
      <c r="V254">
        <v>17689.623</v>
      </c>
      <c r="W254">
        <v>18161.919999999998</v>
      </c>
      <c r="X254">
        <v>-472.29699999999866</v>
      </c>
      <c r="Y254">
        <v>-2.6699099240272032E-2</v>
      </c>
    </row>
    <row r="255" spans="1:25" x14ac:dyDescent="0.3">
      <c r="A255" t="s">
        <v>608</v>
      </c>
      <c r="B255">
        <v>45502</v>
      </c>
      <c r="C255">
        <v>45504</v>
      </c>
      <c r="D255" t="s">
        <v>1491</v>
      </c>
      <c r="E255" t="s">
        <v>1396</v>
      </c>
      <c r="F255">
        <v>2</v>
      </c>
      <c r="G255">
        <v>1</v>
      </c>
      <c r="H255" t="s">
        <v>52</v>
      </c>
      <c r="I255" t="s">
        <v>122</v>
      </c>
      <c r="J255" t="s">
        <v>387</v>
      </c>
      <c r="K255" t="s">
        <v>27</v>
      </c>
      <c r="L255" t="s">
        <v>40</v>
      </c>
      <c r="M255" t="s">
        <v>34</v>
      </c>
      <c r="N255" t="s">
        <v>30</v>
      </c>
      <c r="O255" t="s">
        <v>609</v>
      </c>
      <c r="P255">
        <v>798.97</v>
      </c>
      <c r="Q255">
        <v>1814.06</v>
      </c>
      <c r="R255">
        <v>0.122</v>
      </c>
      <c r="S255">
        <v>0</v>
      </c>
      <c r="T255">
        <v>16</v>
      </c>
      <c r="U255" t="s">
        <v>1474</v>
      </c>
      <c r="V255">
        <v>25483.91488</v>
      </c>
      <c r="W255">
        <v>12783.52</v>
      </c>
      <c r="X255">
        <v>12700.39488</v>
      </c>
      <c r="Y255">
        <v>0.49836906691159061</v>
      </c>
    </row>
    <row r="256" spans="1:25" x14ac:dyDescent="0.3">
      <c r="A256" t="s">
        <v>610</v>
      </c>
      <c r="B256">
        <v>45592</v>
      </c>
      <c r="C256">
        <v>45616</v>
      </c>
      <c r="D256" t="s">
        <v>1481</v>
      </c>
      <c r="E256" t="s">
        <v>1399</v>
      </c>
      <c r="F256">
        <v>24</v>
      </c>
      <c r="G256">
        <v>0</v>
      </c>
      <c r="H256" t="s">
        <v>45</v>
      </c>
      <c r="I256" t="s">
        <v>46</v>
      </c>
      <c r="J256" t="s">
        <v>231</v>
      </c>
      <c r="K256" t="s">
        <v>39</v>
      </c>
      <c r="L256" t="s">
        <v>28</v>
      </c>
      <c r="M256" t="s">
        <v>92</v>
      </c>
      <c r="N256" t="s">
        <v>64</v>
      </c>
      <c r="O256" t="s">
        <v>611</v>
      </c>
      <c r="P256">
        <v>317.25</v>
      </c>
      <c r="Q256">
        <v>758.92</v>
      </c>
      <c r="R256">
        <v>5.2999999999999999E-2</v>
      </c>
      <c r="S256">
        <v>0</v>
      </c>
      <c r="T256">
        <v>9</v>
      </c>
      <c r="U256" t="s">
        <v>1480</v>
      </c>
      <c r="V256">
        <v>6468.2751599999992</v>
      </c>
      <c r="W256">
        <v>2855.25</v>
      </c>
      <c r="X256">
        <v>3613.0251599999992</v>
      </c>
      <c r="Y256">
        <v>0.5585762928489888</v>
      </c>
    </row>
    <row r="257" spans="1:25" x14ac:dyDescent="0.3">
      <c r="A257" t="s">
        <v>612</v>
      </c>
      <c r="B257">
        <v>45411</v>
      </c>
      <c r="C257">
        <v>45431</v>
      </c>
      <c r="D257" t="s">
        <v>1486</v>
      </c>
      <c r="E257" t="s">
        <v>1393</v>
      </c>
      <c r="F257">
        <v>20</v>
      </c>
      <c r="G257">
        <v>0</v>
      </c>
      <c r="H257" t="s">
        <v>78</v>
      </c>
      <c r="I257" t="s">
        <v>79</v>
      </c>
      <c r="J257" t="s">
        <v>335</v>
      </c>
      <c r="K257" t="s">
        <v>105</v>
      </c>
      <c r="L257" t="s">
        <v>40</v>
      </c>
      <c r="M257" t="s">
        <v>21</v>
      </c>
      <c r="N257" t="s">
        <v>57</v>
      </c>
      <c r="O257" t="s">
        <v>613</v>
      </c>
      <c r="P257">
        <v>668.97</v>
      </c>
      <c r="Q257">
        <v>1667.44</v>
      </c>
      <c r="R257">
        <v>3.4000000000000002E-2</v>
      </c>
      <c r="S257">
        <v>0</v>
      </c>
      <c r="T257">
        <v>15</v>
      </c>
      <c r="U257" t="s">
        <v>1474</v>
      </c>
      <c r="V257">
        <v>24161.205600000001</v>
      </c>
      <c r="W257">
        <v>10034.550000000001</v>
      </c>
      <c r="X257">
        <v>14126.6556</v>
      </c>
      <c r="Y257">
        <v>0.58468339013679016</v>
      </c>
    </row>
    <row r="258" spans="1:25" x14ac:dyDescent="0.3">
      <c r="A258" t="s">
        <v>614</v>
      </c>
      <c r="B258">
        <v>45204</v>
      </c>
      <c r="C258">
        <v>45205</v>
      </c>
      <c r="D258" t="s">
        <v>1484</v>
      </c>
      <c r="E258" t="s">
        <v>1387</v>
      </c>
      <c r="F258">
        <v>1</v>
      </c>
      <c r="G258">
        <v>1</v>
      </c>
      <c r="H258" t="s">
        <v>45</v>
      </c>
      <c r="I258" t="s">
        <v>60</v>
      </c>
      <c r="J258" t="s">
        <v>61</v>
      </c>
      <c r="K258" t="s">
        <v>39</v>
      </c>
      <c r="L258" t="s">
        <v>28</v>
      </c>
      <c r="M258" t="s">
        <v>34</v>
      </c>
      <c r="N258" t="s">
        <v>22</v>
      </c>
      <c r="O258" t="s">
        <v>615</v>
      </c>
      <c r="P258">
        <v>1470.26</v>
      </c>
      <c r="Q258">
        <v>2562.5500000000002</v>
      </c>
      <c r="R258">
        <v>0.17299999999999999</v>
      </c>
      <c r="S258">
        <v>0</v>
      </c>
      <c r="T258">
        <v>9</v>
      </c>
      <c r="U258" t="s">
        <v>1474</v>
      </c>
      <c r="V258">
        <v>19073.059649999999</v>
      </c>
      <c r="W258">
        <v>13232.34</v>
      </c>
      <c r="X258">
        <v>5840.7196499999991</v>
      </c>
      <c r="Y258">
        <v>0.30622877279157462</v>
      </c>
    </row>
    <row r="259" spans="1:25" x14ac:dyDescent="0.3">
      <c r="A259" t="s">
        <v>616</v>
      </c>
      <c r="B259">
        <v>45035</v>
      </c>
      <c r="C259">
        <v>45053</v>
      </c>
      <c r="D259" t="s">
        <v>1490</v>
      </c>
      <c r="E259" t="s">
        <v>1381</v>
      </c>
      <c r="F259">
        <v>18</v>
      </c>
      <c r="G259">
        <v>0</v>
      </c>
      <c r="H259" t="s">
        <v>78</v>
      </c>
      <c r="I259" t="s">
        <v>108</v>
      </c>
      <c r="J259" t="s">
        <v>152</v>
      </c>
      <c r="K259" t="s">
        <v>39</v>
      </c>
      <c r="L259" t="s">
        <v>98</v>
      </c>
      <c r="M259" t="s">
        <v>92</v>
      </c>
      <c r="N259" t="s">
        <v>35</v>
      </c>
      <c r="O259" t="s">
        <v>617</v>
      </c>
      <c r="P259">
        <v>516.96</v>
      </c>
      <c r="Q259">
        <v>745.38</v>
      </c>
      <c r="R259">
        <v>0.19700000000000001</v>
      </c>
      <c r="S259">
        <v>0</v>
      </c>
      <c r="T259">
        <v>4</v>
      </c>
      <c r="U259" t="s">
        <v>1480</v>
      </c>
      <c r="V259">
        <v>2394.1605599999998</v>
      </c>
      <c r="W259">
        <v>2067.84</v>
      </c>
      <c r="X259">
        <v>326.32055999999966</v>
      </c>
      <c r="Y259">
        <v>0.13629852794835101</v>
      </c>
    </row>
    <row r="260" spans="1:25" x14ac:dyDescent="0.3">
      <c r="A260" t="s">
        <v>618</v>
      </c>
      <c r="B260">
        <v>45835</v>
      </c>
      <c r="C260">
        <v>45843</v>
      </c>
      <c r="D260" t="s">
        <v>1487</v>
      </c>
      <c r="E260" t="s">
        <v>1407</v>
      </c>
      <c r="F260">
        <v>8</v>
      </c>
      <c r="G260">
        <v>0</v>
      </c>
      <c r="H260" t="s">
        <v>78</v>
      </c>
      <c r="I260" t="s">
        <v>79</v>
      </c>
      <c r="J260" t="s">
        <v>159</v>
      </c>
      <c r="K260" t="s">
        <v>62</v>
      </c>
      <c r="L260" t="s">
        <v>98</v>
      </c>
      <c r="M260" t="s">
        <v>41</v>
      </c>
      <c r="N260" t="s">
        <v>64</v>
      </c>
      <c r="O260" t="s">
        <v>619</v>
      </c>
      <c r="P260">
        <v>314.93</v>
      </c>
      <c r="Q260">
        <v>687.95</v>
      </c>
      <c r="R260">
        <v>0.20499999999999999</v>
      </c>
      <c r="S260">
        <v>1</v>
      </c>
      <c r="T260">
        <v>8</v>
      </c>
      <c r="U260" t="s">
        <v>1480</v>
      </c>
      <c r="V260">
        <v>4375.3620000000001</v>
      </c>
      <c r="W260">
        <v>2519.44</v>
      </c>
      <c r="X260">
        <v>1855.922</v>
      </c>
      <c r="Y260">
        <v>0.424175645352316</v>
      </c>
    </row>
    <row r="261" spans="1:25" x14ac:dyDescent="0.3">
      <c r="A261" t="s">
        <v>620</v>
      </c>
      <c r="B261">
        <v>45210</v>
      </c>
      <c r="C261">
        <v>45212</v>
      </c>
      <c r="D261" t="s">
        <v>1484</v>
      </c>
      <c r="E261" t="s">
        <v>1387</v>
      </c>
      <c r="F261">
        <v>2</v>
      </c>
      <c r="G261">
        <v>1</v>
      </c>
      <c r="H261" t="s">
        <v>52</v>
      </c>
      <c r="I261" t="s">
        <v>73</v>
      </c>
      <c r="J261" t="s">
        <v>87</v>
      </c>
      <c r="K261" t="s">
        <v>48</v>
      </c>
      <c r="L261" t="s">
        <v>55</v>
      </c>
      <c r="M261" t="s">
        <v>84</v>
      </c>
      <c r="N261" t="s">
        <v>81</v>
      </c>
      <c r="O261" t="s">
        <v>621</v>
      </c>
      <c r="P261">
        <v>715.94</v>
      </c>
      <c r="Q261">
        <v>550.07000000000005</v>
      </c>
      <c r="R261">
        <v>0.14000000000000001</v>
      </c>
      <c r="S261">
        <v>0</v>
      </c>
      <c r="T261">
        <v>16</v>
      </c>
      <c r="U261" t="s">
        <v>1480</v>
      </c>
      <c r="V261">
        <v>7568.9632000000001</v>
      </c>
      <c r="W261">
        <v>11455.04</v>
      </c>
      <c r="X261">
        <v>-3886.0768000000007</v>
      </c>
      <c r="Y261">
        <v>-0.51342260456491595</v>
      </c>
    </row>
    <row r="262" spans="1:25" x14ac:dyDescent="0.3">
      <c r="A262" t="s">
        <v>622</v>
      </c>
      <c r="B262">
        <v>45066</v>
      </c>
      <c r="C262">
        <v>45084</v>
      </c>
      <c r="D262" t="s">
        <v>1490</v>
      </c>
      <c r="E262" t="s">
        <v>1382</v>
      </c>
      <c r="F262">
        <v>18</v>
      </c>
      <c r="G262">
        <v>0</v>
      </c>
      <c r="H262" t="s">
        <v>16</v>
      </c>
      <c r="I262" t="s">
        <v>25</v>
      </c>
      <c r="J262" t="s">
        <v>26</v>
      </c>
      <c r="K262" t="s">
        <v>105</v>
      </c>
      <c r="L262" t="s">
        <v>55</v>
      </c>
      <c r="M262" t="s">
        <v>63</v>
      </c>
      <c r="N262" t="s">
        <v>22</v>
      </c>
      <c r="O262" t="s">
        <v>623</v>
      </c>
      <c r="P262">
        <v>1120.06</v>
      </c>
      <c r="Q262">
        <v>2068.21</v>
      </c>
      <c r="R262">
        <v>7.8E-2</v>
      </c>
      <c r="S262">
        <v>0</v>
      </c>
      <c r="T262">
        <v>12</v>
      </c>
      <c r="U262" t="s">
        <v>1474</v>
      </c>
      <c r="V262">
        <v>22882.675440000003</v>
      </c>
      <c r="W262">
        <v>13440.72</v>
      </c>
      <c r="X262">
        <v>9441.9554400000034</v>
      </c>
      <c r="Y262">
        <v>0.41262462795303284</v>
      </c>
    </row>
    <row r="263" spans="1:25" x14ac:dyDescent="0.3">
      <c r="A263" t="s">
        <v>624</v>
      </c>
      <c r="B263">
        <v>45073</v>
      </c>
      <c r="C263">
        <v>45096</v>
      </c>
      <c r="D263" t="s">
        <v>1490</v>
      </c>
      <c r="E263" t="s">
        <v>1382</v>
      </c>
      <c r="F263">
        <v>23</v>
      </c>
      <c r="G263">
        <v>0</v>
      </c>
      <c r="H263" t="s">
        <v>78</v>
      </c>
      <c r="I263" t="s">
        <v>79</v>
      </c>
      <c r="J263" t="s">
        <v>80</v>
      </c>
      <c r="K263" t="s">
        <v>27</v>
      </c>
      <c r="L263" t="s">
        <v>20</v>
      </c>
      <c r="M263" t="s">
        <v>68</v>
      </c>
      <c r="N263" t="s">
        <v>81</v>
      </c>
      <c r="O263" t="s">
        <v>625</v>
      </c>
      <c r="P263">
        <v>1471.58</v>
      </c>
      <c r="Q263">
        <v>2576.65</v>
      </c>
      <c r="R263">
        <v>4.0000000000000001E-3</v>
      </c>
      <c r="S263">
        <v>0</v>
      </c>
      <c r="T263">
        <v>7</v>
      </c>
      <c r="U263" t="s">
        <v>1474</v>
      </c>
      <c r="V263">
        <v>17964.4038</v>
      </c>
      <c r="W263">
        <v>10301.06</v>
      </c>
      <c r="X263">
        <v>7663.3438000000006</v>
      </c>
      <c r="Y263">
        <v>0.4265849223451546</v>
      </c>
    </row>
    <row r="264" spans="1:25" x14ac:dyDescent="0.3">
      <c r="A264" t="s">
        <v>626</v>
      </c>
      <c r="B264">
        <v>45142</v>
      </c>
      <c r="C264">
        <v>45162</v>
      </c>
      <c r="D264" t="s">
        <v>1492</v>
      </c>
      <c r="E264" t="s">
        <v>1385</v>
      </c>
      <c r="F264">
        <v>20</v>
      </c>
      <c r="G264">
        <v>0</v>
      </c>
      <c r="H264" t="s">
        <v>52</v>
      </c>
      <c r="I264" t="s">
        <v>73</v>
      </c>
      <c r="J264" t="s">
        <v>87</v>
      </c>
      <c r="K264" t="s">
        <v>39</v>
      </c>
      <c r="L264" t="s">
        <v>98</v>
      </c>
      <c r="M264" t="s">
        <v>84</v>
      </c>
      <c r="N264" t="s">
        <v>35</v>
      </c>
      <c r="O264" t="s">
        <v>627</v>
      </c>
      <c r="P264">
        <v>582.88</v>
      </c>
      <c r="Q264">
        <v>1044.1400000000001</v>
      </c>
      <c r="R264">
        <v>0.216</v>
      </c>
      <c r="S264">
        <v>1</v>
      </c>
      <c r="T264">
        <v>10</v>
      </c>
      <c r="U264" t="s">
        <v>1485</v>
      </c>
      <c r="V264">
        <v>8186.057600000001</v>
      </c>
      <c r="W264">
        <v>5828.8</v>
      </c>
      <c r="X264">
        <v>2357.2576000000008</v>
      </c>
      <c r="Y264">
        <v>0.28796005539956138</v>
      </c>
    </row>
    <row r="265" spans="1:25" x14ac:dyDescent="0.3">
      <c r="A265" t="s">
        <v>628</v>
      </c>
      <c r="B265">
        <v>45829</v>
      </c>
      <c r="C265">
        <v>45835</v>
      </c>
      <c r="D265" t="s">
        <v>1487</v>
      </c>
      <c r="E265" t="s">
        <v>1407</v>
      </c>
      <c r="F265">
        <v>6</v>
      </c>
      <c r="G265">
        <v>1</v>
      </c>
      <c r="H265" t="s">
        <v>16</v>
      </c>
      <c r="I265" t="s">
        <v>148</v>
      </c>
      <c r="J265" t="s">
        <v>172</v>
      </c>
      <c r="K265" t="s">
        <v>105</v>
      </c>
      <c r="L265" t="s">
        <v>55</v>
      </c>
      <c r="M265" t="s">
        <v>126</v>
      </c>
      <c r="N265" t="s">
        <v>42</v>
      </c>
      <c r="O265" t="s">
        <v>629</v>
      </c>
      <c r="P265">
        <v>93.91</v>
      </c>
      <c r="Q265">
        <v>99.04</v>
      </c>
      <c r="R265">
        <v>5.7000000000000002E-2</v>
      </c>
      <c r="S265">
        <v>0</v>
      </c>
      <c r="T265">
        <v>6</v>
      </c>
      <c r="U265" t="s">
        <v>1480</v>
      </c>
      <c r="V265">
        <v>560.36831999999993</v>
      </c>
      <c r="W265">
        <v>563.46</v>
      </c>
      <c r="X265">
        <v>-3.0916800000001103</v>
      </c>
      <c r="Y265">
        <v>-5.5172283829323376E-3</v>
      </c>
    </row>
    <row r="266" spans="1:25" x14ac:dyDescent="0.3">
      <c r="A266" t="s">
        <v>630</v>
      </c>
      <c r="B266">
        <v>45763</v>
      </c>
      <c r="C266">
        <v>45773</v>
      </c>
      <c r="D266" t="s">
        <v>1487</v>
      </c>
      <c r="E266" t="s">
        <v>1405</v>
      </c>
      <c r="F266">
        <v>10</v>
      </c>
      <c r="G266">
        <v>0</v>
      </c>
      <c r="H266" t="s">
        <v>16</v>
      </c>
      <c r="I266" t="s">
        <v>25</v>
      </c>
      <c r="J266" t="s">
        <v>26</v>
      </c>
      <c r="K266" t="s">
        <v>105</v>
      </c>
      <c r="L266" t="s">
        <v>40</v>
      </c>
      <c r="M266" t="s">
        <v>84</v>
      </c>
      <c r="N266" t="s">
        <v>57</v>
      </c>
      <c r="O266" t="s">
        <v>631</v>
      </c>
      <c r="P266">
        <v>1457.44</v>
      </c>
      <c r="Q266">
        <v>1996.81</v>
      </c>
      <c r="R266">
        <v>0.126</v>
      </c>
      <c r="S266">
        <v>0</v>
      </c>
      <c r="T266">
        <v>23</v>
      </c>
      <c r="U266" t="s">
        <v>1474</v>
      </c>
      <c r="V266">
        <v>40139.874619999995</v>
      </c>
      <c r="W266">
        <v>33521.120000000003</v>
      </c>
      <c r="X266">
        <v>6618.7546199999924</v>
      </c>
      <c r="Y266">
        <v>0.16489225944672353</v>
      </c>
    </row>
    <row r="267" spans="1:25" x14ac:dyDescent="0.3">
      <c r="A267" t="s">
        <v>632</v>
      </c>
      <c r="B267">
        <v>45902</v>
      </c>
      <c r="C267">
        <v>45911</v>
      </c>
      <c r="D267" t="s">
        <v>1488</v>
      </c>
      <c r="E267" t="s">
        <v>1489</v>
      </c>
      <c r="F267">
        <v>9</v>
      </c>
      <c r="G267">
        <v>0</v>
      </c>
      <c r="H267" t="s">
        <v>52</v>
      </c>
      <c r="I267" t="s">
        <v>53</v>
      </c>
      <c r="J267" t="s">
        <v>54</v>
      </c>
      <c r="K267" t="s">
        <v>19</v>
      </c>
      <c r="L267" t="s">
        <v>55</v>
      </c>
      <c r="M267" t="s">
        <v>110</v>
      </c>
      <c r="N267" t="s">
        <v>30</v>
      </c>
      <c r="O267" t="s">
        <v>633</v>
      </c>
      <c r="P267">
        <v>1207.6300000000001</v>
      </c>
      <c r="Q267">
        <v>921.68</v>
      </c>
      <c r="R267">
        <v>0.19600000000000001</v>
      </c>
      <c r="S267">
        <v>0</v>
      </c>
      <c r="T267">
        <v>17</v>
      </c>
      <c r="U267" t="s">
        <v>1485</v>
      </c>
      <c r="V267">
        <v>12597.52224</v>
      </c>
      <c r="W267">
        <v>20529.710000000003</v>
      </c>
      <c r="X267">
        <v>-7932.1877600000025</v>
      </c>
      <c r="Y267">
        <v>-0.62966253274897988</v>
      </c>
    </row>
    <row r="268" spans="1:25" x14ac:dyDescent="0.3">
      <c r="A268" t="s">
        <v>634</v>
      </c>
      <c r="B268">
        <v>45573</v>
      </c>
      <c r="C268">
        <v>45573</v>
      </c>
      <c r="D268" t="s">
        <v>1481</v>
      </c>
      <c r="E268" t="s">
        <v>1399</v>
      </c>
      <c r="F268">
        <v>0</v>
      </c>
      <c r="G268">
        <v>1</v>
      </c>
      <c r="H268" t="s">
        <v>78</v>
      </c>
      <c r="I268" t="s">
        <v>108</v>
      </c>
      <c r="J268" t="s">
        <v>152</v>
      </c>
      <c r="K268" t="s">
        <v>19</v>
      </c>
      <c r="L268" t="s">
        <v>28</v>
      </c>
      <c r="M268" t="s">
        <v>63</v>
      </c>
      <c r="N268" t="s">
        <v>64</v>
      </c>
      <c r="O268" t="s">
        <v>635</v>
      </c>
      <c r="P268">
        <v>1108.1099999999999</v>
      </c>
      <c r="Q268">
        <v>2503.79</v>
      </c>
      <c r="R268">
        <v>0.184</v>
      </c>
      <c r="S268">
        <v>0</v>
      </c>
      <c r="T268">
        <v>19</v>
      </c>
      <c r="U268" t="s">
        <v>1474</v>
      </c>
      <c r="V268">
        <v>38818.760160000005</v>
      </c>
      <c r="W268">
        <v>21054.089999999997</v>
      </c>
      <c r="X268">
        <v>17764.670160000009</v>
      </c>
      <c r="Y268">
        <v>0.45763105485025896</v>
      </c>
    </row>
    <row r="269" spans="1:25" x14ac:dyDescent="0.3">
      <c r="A269" t="s">
        <v>636</v>
      </c>
      <c r="B269">
        <v>45053</v>
      </c>
      <c r="C269">
        <v>45060</v>
      </c>
      <c r="D269" t="s">
        <v>1490</v>
      </c>
      <c r="E269" t="s">
        <v>1382</v>
      </c>
      <c r="F269">
        <v>7</v>
      </c>
      <c r="G269">
        <v>1</v>
      </c>
      <c r="H269" t="s">
        <v>16</v>
      </c>
      <c r="I269" t="s">
        <v>25</v>
      </c>
      <c r="J269" t="s">
        <v>26</v>
      </c>
      <c r="K269" t="s">
        <v>39</v>
      </c>
      <c r="L269" t="s">
        <v>40</v>
      </c>
      <c r="M269" t="s">
        <v>75</v>
      </c>
      <c r="N269" t="s">
        <v>22</v>
      </c>
      <c r="O269" t="s">
        <v>637</v>
      </c>
      <c r="P269">
        <v>1269.6500000000001</v>
      </c>
      <c r="Q269">
        <v>2462.77</v>
      </c>
      <c r="R269">
        <v>0.107</v>
      </c>
      <c r="S269">
        <v>0</v>
      </c>
      <c r="T269">
        <v>8</v>
      </c>
      <c r="U269" t="s">
        <v>1474</v>
      </c>
      <c r="V269">
        <v>17594.028880000002</v>
      </c>
      <c r="W269">
        <v>10157.200000000001</v>
      </c>
      <c r="X269">
        <v>7436.8288800000009</v>
      </c>
      <c r="Y269">
        <v>0.42269050089225502</v>
      </c>
    </row>
    <row r="270" spans="1:25" x14ac:dyDescent="0.3">
      <c r="A270" t="s">
        <v>638</v>
      </c>
      <c r="B270">
        <v>45284</v>
      </c>
      <c r="C270">
        <v>45292</v>
      </c>
      <c r="D270" t="s">
        <v>1484</v>
      </c>
      <c r="E270" t="s">
        <v>1389</v>
      </c>
      <c r="F270">
        <v>8</v>
      </c>
      <c r="G270">
        <v>0</v>
      </c>
      <c r="H270" t="s">
        <v>52</v>
      </c>
      <c r="I270" t="s">
        <v>73</v>
      </c>
      <c r="J270" t="s">
        <v>74</v>
      </c>
      <c r="K270" t="s">
        <v>27</v>
      </c>
      <c r="L270" t="s">
        <v>98</v>
      </c>
      <c r="M270" t="s">
        <v>21</v>
      </c>
      <c r="N270" t="s">
        <v>42</v>
      </c>
      <c r="O270" t="s">
        <v>639</v>
      </c>
      <c r="P270">
        <v>526.49</v>
      </c>
      <c r="Q270">
        <v>496.2</v>
      </c>
      <c r="R270">
        <v>0</v>
      </c>
      <c r="S270">
        <v>0</v>
      </c>
      <c r="T270">
        <v>14</v>
      </c>
      <c r="U270" t="s">
        <v>1480</v>
      </c>
      <c r="V270">
        <v>6946.8</v>
      </c>
      <c r="W270">
        <v>7370.8600000000006</v>
      </c>
      <c r="X270">
        <v>-424.0600000000004</v>
      </c>
      <c r="Y270">
        <v>-6.1043933897621985E-2</v>
      </c>
    </row>
    <row r="271" spans="1:25" x14ac:dyDescent="0.3">
      <c r="A271" t="s">
        <v>640</v>
      </c>
      <c r="B271">
        <v>45301</v>
      </c>
      <c r="C271">
        <v>45314</v>
      </c>
      <c r="D271" t="s">
        <v>1479</v>
      </c>
      <c r="E271" t="s">
        <v>1390</v>
      </c>
      <c r="F271">
        <v>13</v>
      </c>
      <c r="G271">
        <v>0</v>
      </c>
      <c r="H271" t="s">
        <v>78</v>
      </c>
      <c r="I271" t="s">
        <v>90</v>
      </c>
      <c r="J271" t="s">
        <v>91</v>
      </c>
      <c r="K271" t="s">
        <v>19</v>
      </c>
      <c r="L271" t="s">
        <v>98</v>
      </c>
      <c r="M271" t="s">
        <v>75</v>
      </c>
      <c r="N271" t="s">
        <v>30</v>
      </c>
      <c r="O271" t="s">
        <v>641</v>
      </c>
      <c r="P271">
        <v>720</v>
      </c>
      <c r="Q271">
        <v>907.59</v>
      </c>
      <c r="R271">
        <v>0.154</v>
      </c>
      <c r="S271">
        <v>0</v>
      </c>
      <c r="T271">
        <v>10</v>
      </c>
      <c r="U271" t="s">
        <v>1485</v>
      </c>
      <c r="V271">
        <v>7678.2113999999992</v>
      </c>
      <c r="W271">
        <v>7200</v>
      </c>
      <c r="X271">
        <v>478.21139999999923</v>
      </c>
      <c r="Y271">
        <v>6.2281614179052078E-2</v>
      </c>
    </row>
    <row r="272" spans="1:25" x14ac:dyDescent="0.3">
      <c r="A272" t="s">
        <v>642</v>
      </c>
      <c r="B272">
        <v>45141</v>
      </c>
      <c r="C272">
        <v>45152</v>
      </c>
      <c r="D272" t="s">
        <v>1492</v>
      </c>
      <c r="E272" t="s">
        <v>1385</v>
      </c>
      <c r="F272">
        <v>11</v>
      </c>
      <c r="G272">
        <v>0</v>
      </c>
      <c r="H272" t="s">
        <v>52</v>
      </c>
      <c r="I272" t="s">
        <v>73</v>
      </c>
      <c r="J272" t="s">
        <v>87</v>
      </c>
      <c r="K272" t="s">
        <v>19</v>
      </c>
      <c r="L272" t="s">
        <v>98</v>
      </c>
      <c r="M272" t="s">
        <v>29</v>
      </c>
      <c r="N272" t="s">
        <v>81</v>
      </c>
      <c r="O272" t="s">
        <v>643</v>
      </c>
      <c r="P272">
        <v>232.73</v>
      </c>
      <c r="Q272">
        <v>334.19</v>
      </c>
      <c r="R272">
        <v>0.13400000000000001</v>
      </c>
      <c r="S272">
        <v>0</v>
      </c>
      <c r="T272">
        <v>25</v>
      </c>
      <c r="U272" t="s">
        <v>1480</v>
      </c>
      <c r="V272">
        <v>7235.2134999999998</v>
      </c>
      <c r="W272">
        <v>5818.25</v>
      </c>
      <c r="X272">
        <v>1416.9634999999998</v>
      </c>
      <c r="Y272">
        <v>0.1958426658729559</v>
      </c>
    </row>
    <row r="273" spans="1:25" x14ac:dyDescent="0.3">
      <c r="A273" t="s">
        <v>644</v>
      </c>
      <c r="B273">
        <v>45707</v>
      </c>
      <c r="C273">
        <v>45725</v>
      </c>
      <c r="D273" t="s">
        <v>1483</v>
      </c>
      <c r="E273" t="s">
        <v>1403</v>
      </c>
      <c r="F273">
        <v>18</v>
      </c>
      <c r="G273">
        <v>0</v>
      </c>
      <c r="H273" t="s">
        <v>45</v>
      </c>
      <c r="I273" t="s">
        <v>60</v>
      </c>
      <c r="J273" t="s">
        <v>141</v>
      </c>
      <c r="K273" t="s">
        <v>62</v>
      </c>
      <c r="L273" t="s">
        <v>98</v>
      </c>
      <c r="M273" t="s">
        <v>68</v>
      </c>
      <c r="N273" t="s">
        <v>64</v>
      </c>
      <c r="O273" t="s">
        <v>645</v>
      </c>
      <c r="P273">
        <v>325.87</v>
      </c>
      <c r="Q273">
        <v>538.79</v>
      </c>
      <c r="R273">
        <v>0.17399999999999999</v>
      </c>
      <c r="S273">
        <v>0</v>
      </c>
      <c r="T273">
        <v>16</v>
      </c>
      <c r="U273" t="s">
        <v>1480</v>
      </c>
      <c r="V273">
        <v>7120.6486400000003</v>
      </c>
      <c r="W273">
        <v>5213.92</v>
      </c>
      <c r="X273">
        <v>1906.7286400000003</v>
      </c>
      <c r="Y273">
        <v>0.26777457172778013</v>
      </c>
    </row>
    <row r="274" spans="1:25" x14ac:dyDescent="0.3">
      <c r="A274" t="s">
        <v>646</v>
      </c>
      <c r="B274">
        <v>45382</v>
      </c>
      <c r="C274">
        <v>45399</v>
      </c>
      <c r="D274" t="s">
        <v>1479</v>
      </c>
      <c r="E274" t="s">
        <v>1392</v>
      </c>
      <c r="F274">
        <v>17</v>
      </c>
      <c r="G274">
        <v>0</v>
      </c>
      <c r="H274" t="s">
        <v>78</v>
      </c>
      <c r="I274" t="s">
        <v>79</v>
      </c>
      <c r="J274" t="s">
        <v>335</v>
      </c>
      <c r="K274" t="s">
        <v>27</v>
      </c>
      <c r="L274" t="s">
        <v>98</v>
      </c>
      <c r="M274" t="s">
        <v>92</v>
      </c>
      <c r="N274" t="s">
        <v>64</v>
      </c>
      <c r="O274" t="s">
        <v>647</v>
      </c>
      <c r="P274">
        <v>1025.51</v>
      </c>
      <c r="Q274">
        <v>1436.54</v>
      </c>
      <c r="R274">
        <v>0.13900000000000001</v>
      </c>
      <c r="S274">
        <v>0</v>
      </c>
      <c r="T274">
        <v>28</v>
      </c>
      <c r="U274" t="s">
        <v>1485</v>
      </c>
      <c r="V274">
        <v>34632.106319999999</v>
      </c>
      <c r="W274">
        <v>28714.28</v>
      </c>
      <c r="X274">
        <v>5917.8263200000001</v>
      </c>
      <c r="Y274">
        <v>0.17087688127656453</v>
      </c>
    </row>
    <row r="275" spans="1:25" x14ac:dyDescent="0.3">
      <c r="A275" t="s">
        <v>648</v>
      </c>
      <c r="B275">
        <v>45131</v>
      </c>
      <c r="C275">
        <v>45151</v>
      </c>
      <c r="D275" t="s">
        <v>1492</v>
      </c>
      <c r="E275" t="s">
        <v>1384</v>
      </c>
      <c r="F275">
        <v>20</v>
      </c>
      <c r="G275">
        <v>0</v>
      </c>
      <c r="H275" t="s">
        <v>52</v>
      </c>
      <c r="I275" t="s">
        <v>53</v>
      </c>
      <c r="J275" t="s">
        <v>144</v>
      </c>
      <c r="K275" t="s">
        <v>27</v>
      </c>
      <c r="L275" t="s">
        <v>98</v>
      </c>
      <c r="M275" t="s">
        <v>21</v>
      </c>
      <c r="N275" t="s">
        <v>64</v>
      </c>
      <c r="O275" t="s">
        <v>649</v>
      </c>
      <c r="P275">
        <v>1082.3800000000001</v>
      </c>
      <c r="Q275">
        <v>1766.55</v>
      </c>
      <c r="R275">
        <v>0.16400000000000001</v>
      </c>
      <c r="S275">
        <v>0</v>
      </c>
      <c r="T275">
        <v>20</v>
      </c>
      <c r="U275" t="s">
        <v>1474</v>
      </c>
      <c r="V275">
        <v>29536.716</v>
      </c>
      <c r="W275">
        <v>21647.600000000002</v>
      </c>
      <c r="X275">
        <v>7889.1159999999982</v>
      </c>
      <c r="Y275">
        <v>0.26709523157550752</v>
      </c>
    </row>
    <row r="276" spans="1:25" x14ac:dyDescent="0.3">
      <c r="A276" t="s">
        <v>650</v>
      </c>
      <c r="B276">
        <v>45367</v>
      </c>
      <c r="C276">
        <v>45395</v>
      </c>
      <c r="D276" t="s">
        <v>1479</v>
      </c>
      <c r="E276" t="s">
        <v>1392</v>
      </c>
      <c r="F276">
        <v>28</v>
      </c>
      <c r="G276">
        <v>0</v>
      </c>
      <c r="H276" t="s">
        <v>78</v>
      </c>
      <c r="I276" t="s">
        <v>90</v>
      </c>
      <c r="J276" t="s">
        <v>217</v>
      </c>
      <c r="K276" t="s">
        <v>62</v>
      </c>
      <c r="L276" t="s">
        <v>28</v>
      </c>
      <c r="M276" t="s">
        <v>95</v>
      </c>
      <c r="N276" t="s">
        <v>30</v>
      </c>
      <c r="O276" t="s">
        <v>651</v>
      </c>
      <c r="P276">
        <v>287.61</v>
      </c>
      <c r="Q276">
        <v>628.54</v>
      </c>
      <c r="R276">
        <v>0.13500000000000001</v>
      </c>
      <c r="S276">
        <v>0</v>
      </c>
      <c r="T276">
        <v>21</v>
      </c>
      <c r="U276" t="s">
        <v>1480</v>
      </c>
      <c r="V276">
        <v>11417.429099999999</v>
      </c>
      <c r="W276">
        <v>6039.81</v>
      </c>
      <c r="X276">
        <v>5377.619099999999</v>
      </c>
      <c r="Y276">
        <v>0.47100087531964613</v>
      </c>
    </row>
    <row r="277" spans="1:25" x14ac:dyDescent="0.3">
      <c r="A277" t="s">
        <v>652</v>
      </c>
      <c r="B277">
        <v>45316</v>
      </c>
      <c r="C277">
        <v>45318</v>
      </c>
      <c r="D277" t="s">
        <v>1479</v>
      </c>
      <c r="E277" t="s">
        <v>1390</v>
      </c>
      <c r="F277">
        <v>2</v>
      </c>
      <c r="G277">
        <v>1</v>
      </c>
      <c r="H277" t="s">
        <v>52</v>
      </c>
      <c r="I277" t="s">
        <v>73</v>
      </c>
      <c r="J277" t="s">
        <v>74</v>
      </c>
      <c r="K277" t="s">
        <v>39</v>
      </c>
      <c r="L277" t="s">
        <v>40</v>
      </c>
      <c r="M277" t="s">
        <v>126</v>
      </c>
      <c r="N277" t="s">
        <v>57</v>
      </c>
      <c r="O277" t="s">
        <v>653</v>
      </c>
      <c r="P277">
        <v>1410.97</v>
      </c>
      <c r="Q277">
        <v>1650.75</v>
      </c>
      <c r="R277">
        <v>0.13500000000000001</v>
      </c>
      <c r="S277">
        <v>0</v>
      </c>
      <c r="T277">
        <v>6</v>
      </c>
      <c r="U277" t="s">
        <v>1474</v>
      </c>
      <c r="V277">
        <v>8567.3924999999999</v>
      </c>
      <c r="W277">
        <v>8465.82</v>
      </c>
      <c r="X277">
        <v>101.57250000000022</v>
      </c>
      <c r="Y277">
        <v>1.1855707556295596E-2</v>
      </c>
    </row>
    <row r="278" spans="1:25" x14ac:dyDescent="0.3">
      <c r="A278" t="s">
        <v>654</v>
      </c>
      <c r="B278">
        <v>45378</v>
      </c>
      <c r="C278">
        <v>45393</v>
      </c>
      <c r="D278" t="s">
        <v>1479</v>
      </c>
      <c r="E278" t="s">
        <v>1392</v>
      </c>
      <c r="F278">
        <v>15</v>
      </c>
      <c r="G278">
        <v>0</v>
      </c>
      <c r="H278" t="s">
        <v>52</v>
      </c>
      <c r="I278" t="s">
        <v>122</v>
      </c>
      <c r="J278" t="s">
        <v>167</v>
      </c>
      <c r="K278" t="s">
        <v>62</v>
      </c>
      <c r="L278" t="s">
        <v>98</v>
      </c>
      <c r="M278" t="s">
        <v>68</v>
      </c>
      <c r="N278" t="s">
        <v>35</v>
      </c>
      <c r="O278" t="s">
        <v>655</v>
      </c>
      <c r="P278">
        <v>1338.35</v>
      </c>
      <c r="Q278">
        <v>2247.14</v>
      </c>
      <c r="R278">
        <v>0.115</v>
      </c>
      <c r="S278">
        <v>0</v>
      </c>
      <c r="T278">
        <v>40</v>
      </c>
      <c r="U278" t="s">
        <v>1474</v>
      </c>
      <c r="V278">
        <v>79548.755999999994</v>
      </c>
      <c r="W278">
        <v>53534</v>
      </c>
      <c r="X278">
        <v>26014.755999999994</v>
      </c>
      <c r="Y278">
        <v>0.32702907384246205</v>
      </c>
    </row>
    <row r="279" spans="1:25" x14ac:dyDescent="0.3">
      <c r="A279" t="s">
        <v>656</v>
      </c>
      <c r="B279">
        <v>45832</v>
      </c>
      <c r="C279">
        <v>45852</v>
      </c>
      <c r="D279" t="s">
        <v>1487</v>
      </c>
      <c r="E279" t="s">
        <v>1407</v>
      </c>
      <c r="F279">
        <v>20</v>
      </c>
      <c r="G279">
        <v>0</v>
      </c>
      <c r="H279" t="s">
        <v>78</v>
      </c>
      <c r="I279" t="s">
        <v>79</v>
      </c>
      <c r="J279" t="s">
        <v>80</v>
      </c>
      <c r="K279" t="s">
        <v>19</v>
      </c>
      <c r="L279" t="s">
        <v>98</v>
      </c>
      <c r="M279" t="s">
        <v>68</v>
      </c>
      <c r="N279" t="s">
        <v>81</v>
      </c>
      <c r="O279" t="s">
        <v>657</v>
      </c>
      <c r="P279">
        <v>385.08</v>
      </c>
      <c r="Q279">
        <v>893.19</v>
      </c>
      <c r="R279">
        <v>0.151</v>
      </c>
      <c r="S279">
        <v>0</v>
      </c>
      <c r="T279">
        <v>8</v>
      </c>
      <c r="U279" t="s">
        <v>1485</v>
      </c>
      <c r="V279">
        <v>6066.54648</v>
      </c>
      <c r="W279">
        <v>3080.64</v>
      </c>
      <c r="X279">
        <v>2985.9064800000001</v>
      </c>
      <c r="Y279">
        <v>0.49219213762621666</v>
      </c>
    </row>
    <row r="280" spans="1:25" x14ac:dyDescent="0.3">
      <c r="A280" t="s">
        <v>658</v>
      </c>
      <c r="B280">
        <v>45459</v>
      </c>
      <c r="C280">
        <v>45476</v>
      </c>
      <c r="D280" t="s">
        <v>1486</v>
      </c>
      <c r="E280" t="s">
        <v>1395</v>
      </c>
      <c r="F280">
        <v>17</v>
      </c>
      <c r="G280">
        <v>0</v>
      </c>
      <c r="H280" t="s">
        <v>16</v>
      </c>
      <c r="I280" t="s">
        <v>148</v>
      </c>
      <c r="J280" t="s">
        <v>149</v>
      </c>
      <c r="K280" t="s">
        <v>105</v>
      </c>
      <c r="L280" t="s">
        <v>40</v>
      </c>
      <c r="M280" t="s">
        <v>84</v>
      </c>
      <c r="N280" t="s">
        <v>42</v>
      </c>
      <c r="O280" t="s">
        <v>659</v>
      </c>
      <c r="P280">
        <v>1173.83</v>
      </c>
      <c r="Q280">
        <v>2328.9</v>
      </c>
      <c r="R280">
        <v>0.12</v>
      </c>
      <c r="S280">
        <v>0</v>
      </c>
      <c r="T280">
        <v>17</v>
      </c>
      <c r="U280" t="s">
        <v>1474</v>
      </c>
      <c r="V280">
        <v>34840.344000000005</v>
      </c>
      <c r="W280">
        <v>19955.11</v>
      </c>
      <c r="X280">
        <v>14885.234000000004</v>
      </c>
      <c r="Y280">
        <v>0.42724130393201637</v>
      </c>
    </row>
    <row r="281" spans="1:25" x14ac:dyDescent="0.3">
      <c r="A281" t="s">
        <v>660</v>
      </c>
      <c r="B281">
        <v>45229</v>
      </c>
      <c r="C281">
        <v>45244</v>
      </c>
      <c r="D281" t="s">
        <v>1484</v>
      </c>
      <c r="E281" t="s">
        <v>1387</v>
      </c>
      <c r="F281">
        <v>15</v>
      </c>
      <c r="G281">
        <v>0</v>
      </c>
      <c r="H281" t="s">
        <v>45</v>
      </c>
      <c r="I281" t="s">
        <v>60</v>
      </c>
      <c r="J281" t="s">
        <v>61</v>
      </c>
      <c r="K281" t="s">
        <v>19</v>
      </c>
      <c r="L281" t="s">
        <v>28</v>
      </c>
      <c r="M281" t="s">
        <v>84</v>
      </c>
      <c r="N281" t="s">
        <v>57</v>
      </c>
      <c r="O281" t="s">
        <v>661</v>
      </c>
      <c r="P281">
        <v>953.46</v>
      </c>
      <c r="Q281">
        <v>2066.75</v>
      </c>
      <c r="R281">
        <v>0.13800000000000001</v>
      </c>
      <c r="S281">
        <v>0</v>
      </c>
      <c r="T281">
        <v>5</v>
      </c>
      <c r="U281" t="s">
        <v>1474</v>
      </c>
      <c r="V281">
        <v>8907.6924999999992</v>
      </c>
      <c r="W281">
        <v>4767.3</v>
      </c>
      <c r="X281">
        <v>4140.392499999999</v>
      </c>
      <c r="Y281">
        <v>0.46481089238318446</v>
      </c>
    </row>
    <row r="282" spans="1:25" x14ac:dyDescent="0.3">
      <c r="A282" t="s">
        <v>662</v>
      </c>
      <c r="B282">
        <v>45092</v>
      </c>
      <c r="C282">
        <v>45100</v>
      </c>
      <c r="D282" t="s">
        <v>1490</v>
      </c>
      <c r="E282" t="s">
        <v>1383</v>
      </c>
      <c r="F282">
        <v>8</v>
      </c>
      <c r="G282">
        <v>0</v>
      </c>
      <c r="H282" t="s">
        <v>52</v>
      </c>
      <c r="I282" t="s">
        <v>122</v>
      </c>
      <c r="J282" t="s">
        <v>167</v>
      </c>
      <c r="K282" t="s">
        <v>48</v>
      </c>
      <c r="L282" t="s">
        <v>55</v>
      </c>
      <c r="M282" t="s">
        <v>68</v>
      </c>
      <c r="N282" t="s">
        <v>64</v>
      </c>
      <c r="O282" t="s">
        <v>663</v>
      </c>
      <c r="P282">
        <v>1097.0899999999999</v>
      </c>
      <c r="Q282">
        <v>2182.31</v>
      </c>
      <c r="R282">
        <v>0.112</v>
      </c>
      <c r="S282">
        <v>0</v>
      </c>
      <c r="T282">
        <v>9</v>
      </c>
      <c r="U282" t="s">
        <v>1474</v>
      </c>
      <c r="V282">
        <v>17441.021520000002</v>
      </c>
      <c r="W282">
        <v>9873.81</v>
      </c>
      <c r="X282">
        <v>7567.2115200000026</v>
      </c>
      <c r="Y282">
        <v>0.43387432962699546</v>
      </c>
    </row>
    <row r="283" spans="1:25" x14ac:dyDescent="0.3">
      <c r="A283" t="s">
        <v>664</v>
      </c>
      <c r="B283">
        <v>45730</v>
      </c>
      <c r="C283">
        <v>45745</v>
      </c>
      <c r="D283" t="s">
        <v>1483</v>
      </c>
      <c r="E283" t="s">
        <v>1404</v>
      </c>
      <c r="F283">
        <v>15</v>
      </c>
      <c r="G283">
        <v>0</v>
      </c>
      <c r="H283" t="s">
        <v>45</v>
      </c>
      <c r="I283" t="s">
        <v>46</v>
      </c>
      <c r="J283" t="s">
        <v>214</v>
      </c>
      <c r="K283" t="s">
        <v>39</v>
      </c>
      <c r="L283" t="s">
        <v>98</v>
      </c>
      <c r="M283" t="s">
        <v>92</v>
      </c>
      <c r="N283" t="s">
        <v>35</v>
      </c>
      <c r="O283" t="s">
        <v>665</v>
      </c>
      <c r="P283">
        <v>1106.96</v>
      </c>
      <c r="Q283">
        <v>2726.62</v>
      </c>
      <c r="R283">
        <v>0.3</v>
      </c>
      <c r="S283">
        <v>1</v>
      </c>
      <c r="T283">
        <v>7</v>
      </c>
      <c r="U283" t="s">
        <v>1474</v>
      </c>
      <c r="V283">
        <v>13360.438</v>
      </c>
      <c r="W283">
        <v>7748.72</v>
      </c>
      <c r="X283">
        <v>5611.7179999999998</v>
      </c>
      <c r="Y283">
        <v>0.42002500217432992</v>
      </c>
    </row>
    <row r="284" spans="1:25" x14ac:dyDescent="0.3">
      <c r="A284" t="s">
        <v>666</v>
      </c>
      <c r="B284">
        <v>45153</v>
      </c>
      <c r="C284">
        <v>45163</v>
      </c>
      <c r="D284" t="s">
        <v>1492</v>
      </c>
      <c r="E284" t="s">
        <v>1385</v>
      </c>
      <c r="F284">
        <v>10</v>
      </c>
      <c r="G284">
        <v>0</v>
      </c>
      <c r="H284" t="s">
        <v>16</v>
      </c>
      <c r="I284" t="s">
        <v>17</v>
      </c>
      <c r="J284" t="s">
        <v>33</v>
      </c>
      <c r="K284" t="s">
        <v>62</v>
      </c>
      <c r="L284" t="s">
        <v>20</v>
      </c>
      <c r="M284" t="s">
        <v>126</v>
      </c>
      <c r="N284" t="s">
        <v>42</v>
      </c>
      <c r="O284" t="s">
        <v>667</v>
      </c>
      <c r="P284">
        <v>91.85</v>
      </c>
      <c r="Q284">
        <v>111.29</v>
      </c>
      <c r="R284">
        <v>0</v>
      </c>
      <c r="S284">
        <v>0</v>
      </c>
      <c r="T284">
        <v>6</v>
      </c>
      <c r="U284" t="s">
        <v>1480</v>
      </c>
      <c r="V284">
        <v>667.74</v>
      </c>
      <c r="W284">
        <v>551.09999999999991</v>
      </c>
      <c r="X284">
        <v>116.6400000000001</v>
      </c>
      <c r="Y284">
        <v>0.17467876718483258</v>
      </c>
    </row>
    <row r="285" spans="1:25" x14ac:dyDescent="0.3">
      <c r="A285" t="s">
        <v>668</v>
      </c>
      <c r="B285">
        <v>45794</v>
      </c>
      <c r="C285">
        <v>45805</v>
      </c>
      <c r="D285" t="s">
        <v>1487</v>
      </c>
      <c r="E285" t="s">
        <v>1406</v>
      </c>
      <c r="F285">
        <v>11</v>
      </c>
      <c r="G285">
        <v>0</v>
      </c>
      <c r="H285" t="s">
        <v>45</v>
      </c>
      <c r="I285" t="s">
        <v>60</v>
      </c>
      <c r="J285" t="s">
        <v>61</v>
      </c>
      <c r="K285" t="s">
        <v>19</v>
      </c>
      <c r="L285" t="s">
        <v>55</v>
      </c>
      <c r="M285" t="s">
        <v>56</v>
      </c>
      <c r="N285" t="s">
        <v>57</v>
      </c>
      <c r="O285" t="s">
        <v>669</v>
      </c>
      <c r="P285">
        <v>623.4</v>
      </c>
      <c r="Q285">
        <v>1100.0899999999999</v>
      </c>
      <c r="R285">
        <v>0.114</v>
      </c>
      <c r="S285">
        <v>0</v>
      </c>
      <c r="T285">
        <v>12</v>
      </c>
      <c r="U285" t="s">
        <v>1485</v>
      </c>
      <c r="V285">
        <v>11696.156879999999</v>
      </c>
      <c r="W285">
        <v>7480.7999999999993</v>
      </c>
      <c r="X285">
        <v>4215.3568799999994</v>
      </c>
      <c r="Y285">
        <v>0.36040529579490388</v>
      </c>
    </row>
    <row r="286" spans="1:25" x14ac:dyDescent="0.3">
      <c r="A286" t="s">
        <v>670</v>
      </c>
      <c r="B286">
        <v>45304</v>
      </c>
      <c r="C286">
        <v>45327</v>
      </c>
      <c r="D286" t="s">
        <v>1479</v>
      </c>
      <c r="E286" t="s">
        <v>1390</v>
      </c>
      <c r="F286">
        <v>23</v>
      </c>
      <c r="G286">
        <v>0</v>
      </c>
      <c r="H286" t="s">
        <v>78</v>
      </c>
      <c r="I286" t="s">
        <v>79</v>
      </c>
      <c r="J286" t="s">
        <v>335</v>
      </c>
      <c r="K286" t="s">
        <v>27</v>
      </c>
      <c r="L286" t="s">
        <v>98</v>
      </c>
      <c r="M286" t="s">
        <v>56</v>
      </c>
      <c r="N286" t="s">
        <v>57</v>
      </c>
      <c r="O286" t="s">
        <v>671</v>
      </c>
      <c r="P286">
        <v>1017.93</v>
      </c>
      <c r="Q286">
        <v>1529.14</v>
      </c>
      <c r="R286">
        <v>0.155</v>
      </c>
      <c r="S286">
        <v>0</v>
      </c>
      <c r="T286">
        <v>12</v>
      </c>
      <c r="U286" t="s">
        <v>1485</v>
      </c>
      <c r="V286">
        <v>15505.479600000001</v>
      </c>
      <c r="W286">
        <v>12215.16</v>
      </c>
      <c r="X286">
        <v>3290.3196000000007</v>
      </c>
      <c r="Y286">
        <v>0.21220366508366503</v>
      </c>
    </row>
    <row r="287" spans="1:25" x14ac:dyDescent="0.3">
      <c r="A287" t="s">
        <v>672</v>
      </c>
      <c r="B287">
        <v>45101</v>
      </c>
      <c r="C287">
        <v>45128</v>
      </c>
      <c r="D287" t="s">
        <v>1490</v>
      </c>
      <c r="E287" t="s">
        <v>1383</v>
      </c>
      <c r="F287">
        <v>27</v>
      </c>
      <c r="G287">
        <v>0</v>
      </c>
      <c r="H287" t="s">
        <v>45</v>
      </c>
      <c r="I287" t="s">
        <v>46</v>
      </c>
      <c r="J287" t="s">
        <v>231</v>
      </c>
      <c r="K287" t="s">
        <v>48</v>
      </c>
      <c r="L287" t="s">
        <v>40</v>
      </c>
      <c r="M287" t="s">
        <v>29</v>
      </c>
      <c r="N287" t="s">
        <v>42</v>
      </c>
      <c r="O287" t="s">
        <v>673</v>
      </c>
      <c r="P287">
        <v>554.76</v>
      </c>
      <c r="Q287">
        <v>728.69</v>
      </c>
      <c r="R287">
        <v>0.22</v>
      </c>
      <c r="S287">
        <v>1</v>
      </c>
      <c r="T287">
        <v>7</v>
      </c>
      <c r="U287" t="s">
        <v>1480</v>
      </c>
      <c r="V287">
        <v>3978.6474000000003</v>
      </c>
      <c r="W287">
        <v>3883.3199999999997</v>
      </c>
      <c r="X287">
        <v>95.32740000000058</v>
      </c>
      <c r="Y287">
        <v>2.395975074343119E-2</v>
      </c>
    </row>
    <row r="288" spans="1:25" x14ac:dyDescent="0.3">
      <c r="A288" t="s">
        <v>674</v>
      </c>
      <c r="B288">
        <v>45751</v>
      </c>
      <c r="C288">
        <v>45760</v>
      </c>
      <c r="D288" t="s">
        <v>1487</v>
      </c>
      <c r="E288" t="s">
        <v>1405</v>
      </c>
      <c r="F288">
        <v>9</v>
      </c>
      <c r="G288">
        <v>0</v>
      </c>
      <c r="H288" t="s">
        <v>78</v>
      </c>
      <c r="I288" t="s">
        <v>79</v>
      </c>
      <c r="J288" t="s">
        <v>159</v>
      </c>
      <c r="K288" t="s">
        <v>48</v>
      </c>
      <c r="L288" t="s">
        <v>40</v>
      </c>
      <c r="M288" t="s">
        <v>84</v>
      </c>
      <c r="N288" t="s">
        <v>42</v>
      </c>
      <c r="O288" t="s">
        <v>675</v>
      </c>
      <c r="P288">
        <v>7.02</v>
      </c>
      <c r="Q288">
        <v>6.28</v>
      </c>
      <c r="R288">
        <v>0.13400000000000001</v>
      </c>
      <c r="S288">
        <v>0</v>
      </c>
      <c r="T288">
        <v>14</v>
      </c>
      <c r="U288" t="s">
        <v>1480</v>
      </c>
      <c r="V288">
        <v>76.138720000000006</v>
      </c>
      <c r="W288">
        <v>98.28</v>
      </c>
      <c r="X288">
        <v>-22.141279999999995</v>
      </c>
      <c r="Y288">
        <v>-0.29080184169106066</v>
      </c>
    </row>
    <row r="289" spans="1:25" x14ac:dyDescent="0.3">
      <c r="A289" t="s">
        <v>676</v>
      </c>
      <c r="B289">
        <v>45542</v>
      </c>
      <c r="C289">
        <v>45542</v>
      </c>
      <c r="D289" t="s">
        <v>1491</v>
      </c>
      <c r="E289" t="s">
        <v>1494</v>
      </c>
      <c r="F289">
        <v>0</v>
      </c>
      <c r="G289">
        <v>1</v>
      </c>
      <c r="H289" t="s">
        <v>45</v>
      </c>
      <c r="I289" t="s">
        <v>60</v>
      </c>
      <c r="J289" t="s">
        <v>220</v>
      </c>
      <c r="K289" t="s">
        <v>27</v>
      </c>
      <c r="L289" t="s">
        <v>55</v>
      </c>
      <c r="M289" t="s">
        <v>56</v>
      </c>
      <c r="N289" t="s">
        <v>35</v>
      </c>
      <c r="O289" t="s">
        <v>677</v>
      </c>
      <c r="P289">
        <v>1066.6500000000001</v>
      </c>
      <c r="Q289">
        <v>2569.77</v>
      </c>
      <c r="R289">
        <v>0.13400000000000001</v>
      </c>
      <c r="S289">
        <v>0</v>
      </c>
      <c r="T289">
        <v>9</v>
      </c>
      <c r="U289" t="s">
        <v>1474</v>
      </c>
      <c r="V289">
        <v>20028.787380000002</v>
      </c>
      <c r="W289">
        <v>9599.85</v>
      </c>
      <c r="X289">
        <v>10428.937380000001</v>
      </c>
      <c r="Y289">
        <v>0.52069739331368348</v>
      </c>
    </row>
    <row r="290" spans="1:25" x14ac:dyDescent="0.3">
      <c r="A290" t="s">
        <v>678</v>
      </c>
      <c r="B290">
        <v>45319</v>
      </c>
      <c r="C290">
        <v>45321</v>
      </c>
      <c r="D290" t="s">
        <v>1479</v>
      </c>
      <c r="E290" t="s">
        <v>1390</v>
      </c>
      <c r="F290">
        <v>2</v>
      </c>
      <c r="G290">
        <v>1</v>
      </c>
      <c r="H290" t="s">
        <v>16</v>
      </c>
      <c r="I290" t="s">
        <v>148</v>
      </c>
      <c r="J290" t="s">
        <v>258</v>
      </c>
      <c r="K290" t="s">
        <v>48</v>
      </c>
      <c r="L290" t="s">
        <v>98</v>
      </c>
      <c r="M290" t="s">
        <v>84</v>
      </c>
      <c r="N290" t="s">
        <v>81</v>
      </c>
      <c r="O290" t="s">
        <v>679</v>
      </c>
      <c r="P290">
        <v>798.45</v>
      </c>
      <c r="Q290">
        <v>1592.02</v>
      </c>
      <c r="R290">
        <v>6.6000000000000003E-2</v>
      </c>
      <c r="S290">
        <v>0</v>
      </c>
      <c r="T290">
        <v>18</v>
      </c>
      <c r="U290" t="s">
        <v>1485</v>
      </c>
      <c r="V290">
        <v>26765.040239999998</v>
      </c>
      <c r="W290">
        <v>14372.1</v>
      </c>
      <c r="X290">
        <v>12392.940239999998</v>
      </c>
      <c r="Y290">
        <v>0.46302714768494585</v>
      </c>
    </row>
    <row r="291" spans="1:25" x14ac:dyDescent="0.3">
      <c r="A291" t="s">
        <v>680</v>
      </c>
      <c r="B291">
        <v>45125</v>
      </c>
      <c r="C291">
        <v>45148</v>
      </c>
      <c r="D291" t="s">
        <v>1492</v>
      </c>
      <c r="E291" t="s">
        <v>1384</v>
      </c>
      <c r="F291">
        <v>23</v>
      </c>
      <c r="G291">
        <v>0</v>
      </c>
      <c r="H291" t="s">
        <v>16</v>
      </c>
      <c r="I291" t="s">
        <v>148</v>
      </c>
      <c r="J291" t="s">
        <v>149</v>
      </c>
      <c r="K291" t="s">
        <v>62</v>
      </c>
      <c r="L291" t="s">
        <v>20</v>
      </c>
      <c r="M291" t="s">
        <v>49</v>
      </c>
      <c r="N291" t="s">
        <v>22</v>
      </c>
      <c r="O291" t="s">
        <v>681</v>
      </c>
      <c r="P291">
        <v>1271.56</v>
      </c>
      <c r="Q291">
        <v>995.47</v>
      </c>
      <c r="R291">
        <v>0.192</v>
      </c>
      <c r="S291">
        <v>0</v>
      </c>
      <c r="T291">
        <v>13</v>
      </c>
      <c r="U291" t="s">
        <v>1485</v>
      </c>
      <c r="V291">
        <v>10456.416880000001</v>
      </c>
      <c r="W291">
        <v>16530.28</v>
      </c>
      <c r="X291">
        <v>-6073.8631199999982</v>
      </c>
      <c r="Y291">
        <v>-0.58087423155607754</v>
      </c>
    </row>
    <row r="292" spans="1:25" x14ac:dyDescent="0.3">
      <c r="A292" t="s">
        <v>682</v>
      </c>
      <c r="B292">
        <v>45897</v>
      </c>
      <c r="C292">
        <v>45904</v>
      </c>
      <c r="D292" t="s">
        <v>1488</v>
      </c>
      <c r="E292" t="s">
        <v>1409</v>
      </c>
      <c r="F292">
        <v>7</v>
      </c>
      <c r="G292">
        <v>1</v>
      </c>
      <c r="H292" t="s">
        <v>16</v>
      </c>
      <c r="I292" t="s">
        <v>25</v>
      </c>
      <c r="J292" t="s">
        <v>26</v>
      </c>
      <c r="K292" t="s">
        <v>62</v>
      </c>
      <c r="L292" t="s">
        <v>20</v>
      </c>
      <c r="M292" t="s">
        <v>75</v>
      </c>
      <c r="N292" t="s">
        <v>81</v>
      </c>
      <c r="O292" t="s">
        <v>683</v>
      </c>
      <c r="P292">
        <v>521.05999999999995</v>
      </c>
      <c r="Q292">
        <v>1240.31</v>
      </c>
      <c r="R292">
        <v>0.14599999999999999</v>
      </c>
      <c r="S292">
        <v>0</v>
      </c>
      <c r="T292">
        <v>18</v>
      </c>
      <c r="U292" t="s">
        <v>1485</v>
      </c>
      <c r="V292">
        <v>19066.045319999997</v>
      </c>
      <c r="W292">
        <v>9379.0799999999981</v>
      </c>
      <c r="X292">
        <v>9686.9653199999993</v>
      </c>
      <c r="Y292">
        <v>0.50807417885650974</v>
      </c>
    </row>
    <row r="293" spans="1:25" x14ac:dyDescent="0.3">
      <c r="A293" t="s">
        <v>684</v>
      </c>
      <c r="B293">
        <v>45746</v>
      </c>
      <c r="C293">
        <v>45754</v>
      </c>
      <c r="D293" t="s">
        <v>1483</v>
      </c>
      <c r="E293" t="s">
        <v>1404</v>
      </c>
      <c r="F293">
        <v>8</v>
      </c>
      <c r="G293">
        <v>0</v>
      </c>
      <c r="H293" t="s">
        <v>52</v>
      </c>
      <c r="I293" t="s">
        <v>73</v>
      </c>
      <c r="J293" t="s">
        <v>74</v>
      </c>
      <c r="K293" t="s">
        <v>39</v>
      </c>
      <c r="L293" t="s">
        <v>98</v>
      </c>
      <c r="M293" t="s">
        <v>49</v>
      </c>
      <c r="N293" t="s">
        <v>30</v>
      </c>
      <c r="O293" t="s">
        <v>685</v>
      </c>
      <c r="P293">
        <v>71.62</v>
      </c>
      <c r="Q293">
        <v>118.37</v>
      </c>
      <c r="R293">
        <v>0.156</v>
      </c>
      <c r="S293">
        <v>0</v>
      </c>
      <c r="T293">
        <v>11</v>
      </c>
      <c r="U293" t="s">
        <v>1480</v>
      </c>
      <c r="V293">
        <v>1098.9470800000001</v>
      </c>
      <c r="W293">
        <v>787.82</v>
      </c>
      <c r="X293">
        <v>311.12708000000009</v>
      </c>
      <c r="Y293">
        <v>0.28311379652603474</v>
      </c>
    </row>
    <row r="294" spans="1:25" x14ac:dyDescent="0.3">
      <c r="A294" t="s">
        <v>686</v>
      </c>
      <c r="B294">
        <v>45220</v>
      </c>
      <c r="C294">
        <v>45239</v>
      </c>
      <c r="D294" t="s">
        <v>1484</v>
      </c>
      <c r="E294" t="s">
        <v>1387</v>
      </c>
      <c r="F294">
        <v>19</v>
      </c>
      <c r="G294">
        <v>0</v>
      </c>
      <c r="H294" t="s">
        <v>78</v>
      </c>
      <c r="I294" t="s">
        <v>108</v>
      </c>
      <c r="J294" t="s">
        <v>152</v>
      </c>
      <c r="K294" t="s">
        <v>39</v>
      </c>
      <c r="L294" t="s">
        <v>98</v>
      </c>
      <c r="M294" t="s">
        <v>75</v>
      </c>
      <c r="N294" t="s">
        <v>81</v>
      </c>
      <c r="O294" t="s">
        <v>687</v>
      </c>
      <c r="P294">
        <v>1142.48</v>
      </c>
      <c r="Q294">
        <v>2105.5300000000002</v>
      </c>
      <c r="R294">
        <v>0.20699999999999999</v>
      </c>
      <c r="S294">
        <v>1</v>
      </c>
      <c r="T294">
        <v>14</v>
      </c>
      <c r="U294" t="s">
        <v>1474</v>
      </c>
      <c r="V294">
        <v>23375.594060000003</v>
      </c>
      <c r="W294">
        <v>15994.720000000001</v>
      </c>
      <c r="X294">
        <v>7380.8740600000019</v>
      </c>
      <c r="Y294">
        <v>0.31575129346680658</v>
      </c>
    </row>
    <row r="295" spans="1:25" x14ac:dyDescent="0.3">
      <c r="A295" t="s">
        <v>688</v>
      </c>
      <c r="B295">
        <v>45161</v>
      </c>
      <c r="C295">
        <v>45191</v>
      </c>
      <c r="D295" t="s">
        <v>1492</v>
      </c>
      <c r="E295" t="s">
        <v>1385</v>
      </c>
      <c r="F295">
        <v>30</v>
      </c>
      <c r="G295">
        <v>0</v>
      </c>
      <c r="H295" t="s">
        <v>78</v>
      </c>
      <c r="I295" t="s">
        <v>108</v>
      </c>
      <c r="J295" t="s">
        <v>152</v>
      </c>
      <c r="K295" t="s">
        <v>48</v>
      </c>
      <c r="L295" t="s">
        <v>55</v>
      </c>
      <c r="M295" t="s">
        <v>68</v>
      </c>
      <c r="N295" t="s">
        <v>81</v>
      </c>
      <c r="O295" t="s">
        <v>689</v>
      </c>
      <c r="P295">
        <v>209.81</v>
      </c>
      <c r="Q295">
        <v>523</v>
      </c>
      <c r="R295">
        <v>5.8999999999999997E-2</v>
      </c>
      <c r="S295">
        <v>0</v>
      </c>
      <c r="T295">
        <v>15</v>
      </c>
      <c r="U295" t="s">
        <v>1480</v>
      </c>
      <c r="V295">
        <v>7382.1450000000004</v>
      </c>
      <c r="W295">
        <v>3147.15</v>
      </c>
      <c r="X295">
        <v>4234.9950000000008</v>
      </c>
      <c r="Y295">
        <v>0.57368082041195356</v>
      </c>
    </row>
    <row r="296" spans="1:25" x14ac:dyDescent="0.3">
      <c r="A296" t="s">
        <v>690</v>
      </c>
      <c r="B296">
        <v>45758</v>
      </c>
      <c r="C296">
        <v>45781</v>
      </c>
      <c r="D296" t="s">
        <v>1487</v>
      </c>
      <c r="E296" t="s">
        <v>1405</v>
      </c>
      <c r="F296">
        <v>23</v>
      </c>
      <c r="G296">
        <v>0</v>
      </c>
      <c r="H296" t="s">
        <v>45</v>
      </c>
      <c r="I296" t="s">
        <v>46</v>
      </c>
      <c r="J296" t="s">
        <v>47</v>
      </c>
      <c r="K296" t="s">
        <v>62</v>
      </c>
      <c r="L296" t="s">
        <v>28</v>
      </c>
      <c r="M296" t="s">
        <v>110</v>
      </c>
      <c r="N296" t="s">
        <v>22</v>
      </c>
      <c r="O296" t="s">
        <v>691</v>
      </c>
      <c r="P296">
        <v>786.2</v>
      </c>
      <c r="Q296">
        <v>1075.3</v>
      </c>
      <c r="R296">
        <v>0.08</v>
      </c>
      <c r="S296">
        <v>0</v>
      </c>
      <c r="T296">
        <v>9</v>
      </c>
      <c r="U296" t="s">
        <v>1485</v>
      </c>
      <c r="V296">
        <v>8903.4839999999986</v>
      </c>
      <c r="W296">
        <v>7075.8</v>
      </c>
      <c r="X296">
        <v>1827.6839999999984</v>
      </c>
      <c r="Y296">
        <v>0.20527739478163815</v>
      </c>
    </row>
    <row r="297" spans="1:25" x14ac:dyDescent="0.3">
      <c r="A297" t="s">
        <v>692</v>
      </c>
      <c r="B297">
        <v>45809</v>
      </c>
      <c r="C297">
        <v>45835</v>
      </c>
      <c r="D297" t="s">
        <v>1487</v>
      </c>
      <c r="E297" t="s">
        <v>1407</v>
      </c>
      <c r="F297">
        <v>26</v>
      </c>
      <c r="G297">
        <v>0</v>
      </c>
      <c r="H297" t="s">
        <v>78</v>
      </c>
      <c r="I297" t="s">
        <v>79</v>
      </c>
      <c r="J297" t="s">
        <v>159</v>
      </c>
      <c r="K297" t="s">
        <v>48</v>
      </c>
      <c r="L297" t="s">
        <v>55</v>
      </c>
      <c r="M297" t="s">
        <v>63</v>
      </c>
      <c r="N297" t="s">
        <v>57</v>
      </c>
      <c r="O297" t="s">
        <v>693</v>
      </c>
      <c r="P297">
        <v>1362.31</v>
      </c>
      <c r="Q297">
        <v>3294.57</v>
      </c>
      <c r="R297">
        <v>0.113</v>
      </c>
      <c r="S297">
        <v>0</v>
      </c>
      <c r="T297">
        <v>7</v>
      </c>
      <c r="U297" t="s">
        <v>1474</v>
      </c>
      <c r="V297">
        <v>20455.985130000001</v>
      </c>
      <c r="W297">
        <v>9536.17</v>
      </c>
      <c r="X297">
        <v>10919.815130000001</v>
      </c>
      <c r="Y297">
        <v>0.5338200561157721</v>
      </c>
    </row>
    <row r="298" spans="1:25" x14ac:dyDescent="0.3">
      <c r="A298" t="s">
        <v>694</v>
      </c>
      <c r="B298">
        <v>45353</v>
      </c>
      <c r="C298">
        <v>45367</v>
      </c>
      <c r="D298" t="s">
        <v>1479</v>
      </c>
      <c r="E298" t="s">
        <v>1392</v>
      </c>
      <c r="F298">
        <v>14</v>
      </c>
      <c r="G298">
        <v>0</v>
      </c>
      <c r="H298" t="s">
        <v>52</v>
      </c>
      <c r="I298" t="s">
        <v>53</v>
      </c>
      <c r="J298" t="s">
        <v>179</v>
      </c>
      <c r="K298" t="s">
        <v>39</v>
      </c>
      <c r="L298" t="s">
        <v>98</v>
      </c>
      <c r="M298" t="s">
        <v>68</v>
      </c>
      <c r="N298" t="s">
        <v>30</v>
      </c>
      <c r="O298" t="s">
        <v>695</v>
      </c>
      <c r="P298">
        <v>248.24</v>
      </c>
      <c r="Q298">
        <v>464.05</v>
      </c>
      <c r="R298">
        <v>0.16900000000000001</v>
      </c>
      <c r="S298">
        <v>0</v>
      </c>
      <c r="T298">
        <v>11</v>
      </c>
      <c r="U298" t="s">
        <v>1480</v>
      </c>
      <c r="V298">
        <v>4241.88105</v>
      </c>
      <c r="W298">
        <v>2730.6400000000003</v>
      </c>
      <c r="X298">
        <v>1511.2410499999996</v>
      </c>
      <c r="Y298">
        <v>0.3562667203975462</v>
      </c>
    </row>
    <row r="299" spans="1:25" x14ac:dyDescent="0.3">
      <c r="A299" t="s">
        <v>696</v>
      </c>
      <c r="B299">
        <v>45097</v>
      </c>
      <c r="C299">
        <v>45115</v>
      </c>
      <c r="D299" t="s">
        <v>1490</v>
      </c>
      <c r="E299" t="s">
        <v>1383</v>
      </c>
      <c r="F299">
        <v>18</v>
      </c>
      <c r="G299">
        <v>0</v>
      </c>
      <c r="H299" t="s">
        <v>52</v>
      </c>
      <c r="I299" t="s">
        <v>122</v>
      </c>
      <c r="J299" t="s">
        <v>326</v>
      </c>
      <c r="K299" t="s">
        <v>39</v>
      </c>
      <c r="L299" t="s">
        <v>98</v>
      </c>
      <c r="M299" t="s">
        <v>84</v>
      </c>
      <c r="N299" t="s">
        <v>64</v>
      </c>
      <c r="O299" t="s">
        <v>697</v>
      </c>
      <c r="P299">
        <v>337</v>
      </c>
      <c r="Q299">
        <v>511.03</v>
      </c>
      <c r="R299">
        <v>0.108</v>
      </c>
      <c r="S299">
        <v>0</v>
      </c>
      <c r="T299">
        <v>7</v>
      </c>
      <c r="U299" t="s">
        <v>1480</v>
      </c>
      <c r="V299">
        <v>3190.8713200000002</v>
      </c>
      <c r="W299">
        <v>2359</v>
      </c>
      <c r="X299">
        <v>831.8713200000002</v>
      </c>
      <c r="Y299">
        <v>0.26070349963219458</v>
      </c>
    </row>
    <row r="300" spans="1:25" x14ac:dyDescent="0.3">
      <c r="A300" t="s">
        <v>698</v>
      </c>
      <c r="B300">
        <v>45377</v>
      </c>
      <c r="C300">
        <v>45387</v>
      </c>
      <c r="D300" t="s">
        <v>1479</v>
      </c>
      <c r="E300" t="s">
        <v>1392</v>
      </c>
      <c r="F300">
        <v>10</v>
      </c>
      <c r="G300">
        <v>0</v>
      </c>
      <c r="H300" t="s">
        <v>52</v>
      </c>
      <c r="I300" t="s">
        <v>122</v>
      </c>
      <c r="J300" t="s">
        <v>326</v>
      </c>
      <c r="K300" t="s">
        <v>48</v>
      </c>
      <c r="L300" t="s">
        <v>98</v>
      </c>
      <c r="M300" t="s">
        <v>29</v>
      </c>
      <c r="N300" t="s">
        <v>64</v>
      </c>
      <c r="O300" t="s">
        <v>699</v>
      </c>
      <c r="P300">
        <v>5.66</v>
      </c>
      <c r="Q300">
        <v>4.22</v>
      </c>
      <c r="R300">
        <v>0.11899999999999999</v>
      </c>
      <c r="S300">
        <v>0</v>
      </c>
      <c r="T300">
        <v>18</v>
      </c>
      <c r="U300" t="s">
        <v>1480</v>
      </c>
      <c r="V300">
        <v>66.920760000000001</v>
      </c>
      <c r="W300">
        <v>101.88</v>
      </c>
      <c r="X300">
        <v>-34.959239999999994</v>
      </c>
      <c r="Y300">
        <v>-0.52239753403876454</v>
      </c>
    </row>
    <row r="301" spans="1:25" x14ac:dyDescent="0.3">
      <c r="A301" t="s">
        <v>700</v>
      </c>
      <c r="B301">
        <v>45679</v>
      </c>
      <c r="C301">
        <v>45679</v>
      </c>
      <c r="D301" t="s">
        <v>1483</v>
      </c>
      <c r="E301" t="s">
        <v>1402</v>
      </c>
      <c r="F301">
        <v>0</v>
      </c>
      <c r="G301">
        <v>1</v>
      </c>
      <c r="H301" t="s">
        <v>78</v>
      </c>
      <c r="I301" t="s">
        <v>90</v>
      </c>
      <c r="J301" t="s">
        <v>138</v>
      </c>
      <c r="K301" t="s">
        <v>62</v>
      </c>
      <c r="L301" t="s">
        <v>28</v>
      </c>
      <c r="M301" t="s">
        <v>56</v>
      </c>
      <c r="N301" t="s">
        <v>81</v>
      </c>
      <c r="O301" t="s">
        <v>701</v>
      </c>
      <c r="P301">
        <v>591.72</v>
      </c>
      <c r="Q301">
        <v>577.24</v>
      </c>
      <c r="R301">
        <v>0</v>
      </c>
      <c r="S301">
        <v>0</v>
      </c>
      <c r="T301">
        <v>22</v>
      </c>
      <c r="U301" t="s">
        <v>1480</v>
      </c>
      <c r="V301">
        <v>12699.28</v>
      </c>
      <c r="W301">
        <v>13017.84</v>
      </c>
      <c r="X301">
        <v>-318.55999999999949</v>
      </c>
      <c r="Y301">
        <v>-2.5084886702238195E-2</v>
      </c>
    </row>
    <row r="302" spans="1:25" x14ac:dyDescent="0.3">
      <c r="A302" t="s">
        <v>702</v>
      </c>
      <c r="B302">
        <v>45787</v>
      </c>
      <c r="C302">
        <v>45804</v>
      </c>
      <c r="D302" t="s">
        <v>1487</v>
      </c>
      <c r="E302" t="s">
        <v>1406</v>
      </c>
      <c r="F302">
        <v>17</v>
      </c>
      <c r="G302">
        <v>0</v>
      </c>
      <c r="H302" t="s">
        <v>52</v>
      </c>
      <c r="I302" t="s">
        <v>53</v>
      </c>
      <c r="J302" t="s">
        <v>179</v>
      </c>
      <c r="K302" t="s">
        <v>27</v>
      </c>
      <c r="L302" t="s">
        <v>98</v>
      </c>
      <c r="M302" t="s">
        <v>21</v>
      </c>
      <c r="N302" t="s">
        <v>22</v>
      </c>
      <c r="O302" t="s">
        <v>703</v>
      </c>
      <c r="P302">
        <v>862.89</v>
      </c>
      <c r="Q302">
        <v>1426.03</v>
      </c>
      <c r="R302">
        <v>5.6000000000000001E-2</v>
      </c>
      <c r="S302">
        <v>0</v>
      </c>
      <c r="T302">
        <v>19</v>
      </c>
      <c r="U302" t="s">
        <v>1485</v>
      </c>
      <c r="V302">
        <v>25577.274079999999</v>
      </c>
      <c r="W302">
        <v>16394.91</v>
      </c>
      <c r="X302">
        <v>9182.3640799999994</v>
      </c>
      <c r="Y302">
        <v>0.35900479665188778</v>
      </c>
    </row>
    <row r="303" spans="1:25" x14ac:dyDescent="0.3">
      <c r="A303" t="s">
        <v>704</v>
      </c>
      <c r="B303">
        <v>45204</v>
      </c>
      <c r="C303">
        <v>45230</v>
      </c>
      <c r="D303" t="s">
        <v>1484</v>
      </c>
      <c r="E303" t="s">
        <v>1387</v>
      </c>
      <c r="F303">
        <v>26</v>
      </c>
      <c r="G303">
        <v>0</v>
      </c>
      <c r="H303" t="s">
        <v>45</v>
      </c>
      <c r="I303" t="s">
        <v>116</v>
      </c>
      <c r="J303" t="s">
        <v>162</v>
      </c>
      <c r="K303" t="s">
        <v>48</v>
      </c>
      <c r="L303" t="s">
        <v>28</v>
      </c>
      <c r="M303" t="s">
        <v>29</v>
      </c>
      <c r="N303" t="s">
        <v>30</v>
      </c>
      <c r="O303" t="s">
        <v>705</v>
      </c>
      <c r="P303">
        <v>649.91</v>
      </c>
      <c r="Q303">
        <v>1360.12</v>
      </c>
      <c r="R303">
        <v>0.19400000000000001</v>
      </c>
      <c r="S303">
        <v>0</v>
      </c>
      <c r="T303">
        <v>9</v>
      </c>
      <c r="U303" t="s">
        <v>1485</v>
      </c>
      <c r="V303">
        <v>9866.3104799999983</v>
      </c>
      <c r="W303">
        <v>5849.19</v>
      </c>
      <c r="X303">
        <v>4017.1204799999987</v>
      </c>
      <c r="Y303">
        <v>0.40715528749506769</v>
      </c>
    </row>
    <row r="304" spans="1:25" x14ac:dyDescent="0.3">
      <c r="A304" t="s">
        <v>706</v>
      </c>
      <c r="B304">
        <v>45125</v>
      </c>
      <c r="C304">
        <v>45129</v>
      </c>
      <c r="D304" t="s">
        <v>1492</v>
      </c>
      <c r="E304" t="s">
        <v>1384</v>
      </c>
      <c r="F304">
        <v>4</v>
      </c>
      <c r="G304">
        <v>1</v>
      </c>
      <c r="H304" t="s">
        <v>52</v>
      </c>
      <c r="I304" t="s">
        <v>73</v>
      </c>
      <c r="J304" t="s">
        <v>74</v>
      </c>
      <c r="K304" t="s">
        <v>48</v>
      </c>
      <c r="L304" t="s">
        <v>98</v>
      </c>
      <c r="M304" t="s">
        <v>84</v>
      </c>
      <c r="N304" t="s">
        <v>35</v>
      </c>
      <c r="O304" t="s">
        <v>707</v>
      </c>
      <c r="P304">
        <v>1269.55</v>
      </c>
      <c r="Q304">
        <v>2071.1</v>
      </c>
      <c r="R304">
        <v>0.129</v>
      </c>
      <c r="S304">
        <v>0</v>
      </c>
      <c r="T304">
        <v>22</v>
      </c>
      <c r="U304" t="s">
        <v>1474</v>
      </c>
      <c r="V304">
        <v>39686.4182</v>
      </c>
      <c r="W304">
        <v>27930.1</v>
      </c>
      <c r="X304">
        <v>11756.318200000002</v>
      </c>
      <c r="Y304">
        <v>0.29623026549672354</v>
      </c>
    </row>
    <row r="305" spans="1:25" x14ac:dyDescent="0.3">
      <c r="A305" t="s">
        <v>708</v>
      </c>
      <c r="B305">
        <v>45830</v>
      </c>
      <c r="C305">
        <v>45846</v>
      </c>
      <c r="D305" t="s">
        <v>1487</v>
      </c>
      <c r="E305" t="s">
        <v>1407</v>
      </c>
      <c r="F305">
        <v>16</v>
      </c>
      <c r="G305">
        <v>0</v>
      </c>
      <c r="H305" t="s">
        <v>78</v>
      </c>
      <c r="I305" t="s">
        <v>108</v>
      </c>
      <c r="J305" t="s">
        <v>152</v>
      </c>
      <c r="K305" t="s">
        <v>27</v>
      </c>
      <c r="L305" t="s">
        <v>98</v>
      </c>
      <c r="M305" t="s">
        <v>75</v>
      </c>
      <c r="N305" t="s">
        <v>42</v>
      </c>
      <c r="O305" t="s">
        <v>709</v>
      </c>
      <c r="P305">
        <v>892.73</v>
      </c>
      <c r="Q305">
        <v>979.84</v>
      </c>
      <c r="R305">
        <v>0.17399999999999999</v>
      </c>
      <c r="S305">
        <v>0</v>
      </c>
      <c r="T305">
        <v>10</v>
      </c>
      <c r="U305" t="s">
        <v>1485</v>
      </c>
      <c r="V305">
        <v>8093.4784</v>
      </c>
      <c r="W305">
        <v>8927.2999999999993</v>
      </c>
      <c r="X305">
        <v>-833.82159999999931</v>
      </c>
      <c r="Y305">
        <v>-0.10302388649112838</v>
      </c>
    </row>
    <row r="306" spans="1:25" x14ac:dyDescent="0.3">
      <c r="A306" t="s">
        <v>710</v>
      </c>
      <c r="B306">
        <v>45462</v>
      </c>
      <c r="C306">
        <v>45463</v>
      </c>
      <c r="D306" t="s">
        <v>1486</v>
      </c>
      <c r="E306" t="s">
        <v>1395</v>
      </c>
      <c r="F306">
        <v>1</v>
      </c>
      <c r="G306">
        <v>1</v>
      </c>
      <c r="H306" t="s">
        <v>16</v>
      </c>
      <c r="I306" t="s">
        <v>17</v>
      </c>
      <c r="J306" t="s">
        <v>18</v>
      </c>
      <c r="K306" t="s">
        <v>62</v>
      </c>
      <c r="L306" t="s">
        <v>98</v>
      </c>
      <c r="M306" t="s">
        <v>29</v>
      </c>
      <c r="N306" t="s">
        <v>57</v>
      </c>
      <c r="O306" t="s">
        <v>711</v>
      </c>
      <c r="P306">
        <v>231.63</v>
      </c>
      <c r="Q306">
        <v>537.39</v>
      </c>
      <c r="R306">
        <v>0.08</v>
      </c>
      <c r="S306">
        <v>0</v>
      </c>
      <c r="T306">
        <v>12</v>
      </c>
      <c r="U306" t="s">
        <v>1480</v>
      </c>
      <c r="V306">
        <v>5932.7856000000002</v>
      </c>
      <c r="W306">
        <v>2779.56</v>
      </c>
      <c r="X306">
        <v>3153.2256000000002</v>
      </c>
      <c r="Y306">
        <v>0.53149158129024587</v>
      </c>
    </row>
    <row r="307" spans="1:25" x14ac:dyDescent="0.3">
      <c r="A307" t="s">
        <v>712</v>
      </c>
      <c r="B307">
        <v>45756</v>
      </c>
      <c r="C307">
        <v>45759</v>
      </c>
      <c r="D307" t="s">
        <v>1487</v>
      </c>
      <c r="E307" t="s">
        <v>1405</v>
      </c>
      <c r="F307">
        <v>3</v>
      </c>
      <c r="G307">
        <v>1</v>
      </c>
      <c r="H307" t="s">
        <v>78</v>
      </c>
      <c r="I307" t="s">
        <v>90</v>
      </c>
      <c r="J307" t="s">
        <v>138</v>
      </c>
      <c r="K307" t="s">
        <v>62</v>
      </c>
      <c r="L307" t="s">
        <v>55</v>
      </c>
      <c r="M307" t="s">
        <v>92</v>
      </c>
      <c r="N307" t="s">
        <v>64</v>
      </c>
      <c r="O307" t="s">
        <v>713</v>
      </c>
      <c r="P307">
        <v>86.68</v>
      </c>
      <c r="Q307">
        <v>213.32</v>
      </c>
      <c r="R307">
        <v>3.7999999999999999E-2</v>
      </c>
      <c r="S307">
        <v>0</v>
      </c>
      <c r="T307">
        <v>8</v>
      </c>
      <c r="U307" t="s">
        <v>1480</v>
      </c>
      <c r="V307">
        <v>1641.7107199999998</v>
      </c>
      <c r="W307">
        <v>693.44</v>
      </c>
      <c r="X307">
        <v>948.27071999999976</v>
      </c>
      <c r="Y307">
        <v>0.57761133459614611</v>
      </c>
    </row>
    <row r="308" spans="1:25" x14ac:dyDescent="0.3">
      <c r="A308" t="s">
        <v>714</v>
      </c>
      <c r="B308">
        <v>45741</v>
      </c>
      <c r="C308">
        <v>45742</v>
      </c>
      <c r="D308" t="s">
        <v>1483</v>
      </c>
      <c r="E308" t="s">
        <v>1404</v>
      </c>
      <c r="F308">
        <v>1</v>
      </c>
      <c r="G308">
        <v>1</v>
      </c>
      <c r="H308" t="s">
        <v>16</v>
      </c>
      <c r="I308" t="s">
        <v>25</v>
      </c>
      <c r="J308" t="s">
        <v>38</v>
      </c>
      <c r="K308" t="s">
        <v>27</v>
      </c>
      <c r="L308" t="s">
        <v>55</v>
      </c>
      <c r="M308" t="s">
        <v>41</v>
      </c>
      <c r="N308" t="s">
        <v>81</v>
      </c>
      <c r="O308" t="s">
        <v>715</v>
      </c>
      <c r="P308">
        <v>1450.43</v>
      </c>
      <c r="Q308">
        <v>1994.67</v>
      </c>
      <c r="R308">
        <v>0.1</v>
      </c>
      <c r="S308">
        <v>0</v>
      </c>
      <c r="T308">
        <v>24</v>
      </c>
      <c r="U308" t="s">
        <v>1474</v>
      </c>
      <c r="V308">
        <v>43084.872000000003</v>
      </c>
      <c r="W308">
        <v>34810.32</v>
      </c>
      <c r="X308">
        <v>8274.5520000000033</v>
      </c>
      <c r="Y308">
        <v>0.19205237513529116</v>
      </c>
    </row>
    <row r="309" spans="1:25" x14ac:dyDescent="0.3">
      <c r="A309" t="s">
        <v>716</v>
      </c>
      <c r="B309">
        <v>45795</v>
      </c>
      <c r="C309">
        <v>45817</v>
      </c>
      <c r="D309" t="s">
        <v>1487</v>
      </c>
      <c r="E309" t="s">
        <v>1406</v>
      </c>
      <c r="F309">
        <v>22</v>
      </c>
      <c r="G309">
        <v>0</v>
      </c>
      <c r="H309" t="s">
        <v>52</v>
      </c>
      <c r="I309" t="s">
        <v>122</v>
      </c>
      <c r="J309" t="s">
        <v>387</v>
      </c>
      <c r="K309" t="s">
        <v>48</v>
      </c>
      <c r="L309" t="s">
        <v>20</v>
      </c>
      <c r="M309" t="s">
        <v>92</v>
      </c>
      <c r="N309" t="s">
        <v>35</v>
      </c>
      <c r="O309" t="s">
        <v>717</v>
      </c>
      <c r="P309">
        <v>382.96</v>
      </c>
      <c r="Q309">
        <v>552.84</v>
      </c>
      <c r="R309">
        <v>0.17599999999999999</v>
      </c>
      <c r="S309">
        <v>0</v>
      </c>
      <c r="T309">
        <v>8</v>
      </c>
      <c r="U309" t="s">
        <v>1480</v>
      </c>
      <c r="V309">
        <v>3644.3212800000006</v>
      </c>
      <c r="W309">
        <v>3063.68</v>
      </c>
      <c r="X309">
        <v>580.64128000000073</v>
      </c>
      <c r="Y309">
        <v>0.15932768693763483</v>
      </c>
    </row>
    <row r="310" spans="1:25" x14ac:dyDescent="0.3">
      <c r="A310" t="s">
        <v>718</v>
      </c>
      <c r="B310">
        <v>45679</v>
      </c>
      <c r="C310">
        <v>45692</v>
      </c>
      <c r="D310" t="s">
        <v>1483</v>
      </c>
      <c r="E310" t="s">
        <v>1402</v>
      </c>
      <c r="F310">
        <v>13</v>
      </c>
      <c r="G310">
        <v>0</v>
      </c>
      <c r="H310" t="s">
        <v>45</v>
      </c>
      <c r="I310" t="s">
        <v>46</v>
      </c>
      <c r="J310" t="s">
        <v>214</v>
      </c>
      <c r="K310" t="s">
        <v>62</v>
      </c>
      <c r="L310" t="s">
        <v>55</v>
      </c>
      <c r="M310" t="s">
        <v>49</v>
      </c>
      <c r="N310" t="s">
        <v>30</v>
      </c>
      <c r="O310" t="s">
        <v>719</v>
      </c>
      <c r="P310">
        <v>122.29</v>
      </c>
      <c r="Q310">
        <v>224.95</v>
      </c>
      <c r="R310">
        <v>0.153</v>
      </c>
      <c r="S310">
        <v>0</v>
      </c>
      <c r="T310">
        <v>28</v>
      </c>
      <c r="U310" t="s">
        <v>1480</v>
      </c>
      <c r="V310">
        <v>5334.9141999999993</v>
      </c>
      <c r="W310">
        <v>3424.1200000000003</v>
      </c>
      <c r="X310">
        <v>1910.7941999999989</v>
      </c>
      <c r="Y310">
        <v>0.3581677471026618</v>
      </c>
    </row>
    <row r="311" spans="1:25" x14ac:dyDescent="0.3">
      <c r="A311" t="s">
        <v>720</v>
      </c>
      <c r="B311">
        <v>44936</v>
      </c>
      <c r="C311">
        <v>44955</v>
      </c>
      <c r="D311" t="s">
        <v>1482</v>
      </c>
      <c r="E311" t="s">
        <v>1378</v>
      </c>
      <c r="F311">
        <v>19</v>
      </c>
      <c r="G311">
        <v>0</v>
      </c>
      <c r="H311" t="s">
        <v>78</v>
      </c>
      <c r="I311" t="s">
        <v>90</v>
      </c>
      <c r="J311" t="s">
        <v>138</v>
      </c>
      <c r="K311" t="s">
        <v>39</v>
      </c>
      <c r="L311" t="s">
        <v>98</v>
      </c>
      <c r="M311" t="s">
        <v>145</v>
      </c>
      <c r="N311" t="s">
        <v>57</v>
      </c>
      <c r="O311" t="s">
        <v>721</v>
      </c>
      <c r="P311">
        <v>401.66</v>
      </c>
      <c r="Q311">
        <v>772.09</v>
      </c>
      <c r="R311">
        <v>8.8999999999999996E-2</v>
      </c>
      <c r="S311">
        <v>0</v>
      </c>
      <c r="T311">
        <v>14</v>
      </c>
      <c r="U311" t="s">
        <v>1480</v>
      </c>
      <c r="V311">
        <v>9847.2358600000007</v>
      </c>
      <c r="W311">
        <v>5623.2400000000007</v>
      </c>
      <c r="X311">
        <v>4223.99586</v>
      </c>
      <c r="Y311">
        <v>0.42895244107619046</v>
      </c>
    </row>
    <row r="312" spans="1:25" x14ac:dyDescent="0.3">
      <c r="A312" t="s">
        <v>722</v>
      </c>
      <c r="B312">
        <v>45655</v>
      </c>
      <c r="C312">
        <v>45669</v>
      </c>
      <c r="D312" t="s">
        <v>1481</v>
      </c>
      <c r="E312" t="s">
        <v>1401</v>
      </c>
      <c r="F312">
        <v>14</v>
      </c>
      <c r="G312">
        <v>0</v>
      </c>
      <c r="H312" t="s">
        <v>78</v>
      </c>
      <c r="I312" t="s">
        <v>108</v>
      </c>
      <c r="J312" t="s">
        <v>228</v>
      </c>
      <c r="K312" t="s">
        <v>19</v>
      </c>
      <c r="L312" t="s">
        <v>98</v>
      </c>
      <c r="M312" t="s">
        <v>56</v>
      </c>
      <c r="N312" t="s">
        <v>64</v>
      </c>
      <c r="O312" t="s">
        <v>723</v>
      </c>
      <c r="P312">
        <v>1399.72</v>
      </c>
      <c r="Q312">
        <v>3149.21</v>
      </c>
      <c r="R312">
        <v>0.185</v>
      </c>
      <c r="S312">
        <v>0</v>
      </c>
      <c r="T312">
        <v>12</v>
      </c>
      <c r="U312" t="s">
        <v>1474</v>
      </c>
      <c r="V312">
        <v>30799.273800000003</v>
      </c>
      <c r="W312">
        <v>16796.64</v>
      </c>
      <c r="X312">
        <v>14002.633800000003</v>
      </c>
      <c r="Y312">
        <v>0.45464168703873797</v>
      </c>
    </row>
    <row r="313" spans="1:25" x14ac:dyDescent="0.3">
      <c r="A313" t="s">
        <v>724</v>
      </c>
      <c r="B313">
        <v>45435</v>
      </c>
      <c r="C313">
        <v>45449</v>
      </c>
      <c r="D313" t="s">
        <v>1486</v>
      </c>
      <c r="E313" t="s">
        <v>1394</v>
      </c>
      <c r="F313">
        <v>14</v>
      </c>
      <c r="G313">
        <v>0</v>
      </c>
      <c r="H313" t="s">
        <v>52</v>
      </c>
      <c r="I313" t="s">
        <v>73</v>
      </c>
      <c r="J313" t="s">
        <v>225</v>
      </c>
      <c r="K313" t="s">
        <v>39</v>
      </c>
      <c r="L313" t="s">
        <v>28</v>
      </c>
      <c r="M313" t="s">
        <v>34</v>
      </c>
      <c r="N313" t="s">
        <v>35</v>
      </c>
      <c r="O313" t="s">
        <v>725</v>
      </c>
      <c r="P313">
        <v>51.13</v>
      </c>
      <c r="Q313">
        <v>57.53</v>
      </c>
      <c r="R313">
        <v>4.4999999999999998E-2</v>
      </c>
      <c r="S313">
        <v>0</v>
      </c>
      <c r="T313">
        <v>16</v>
      </c>
      <c r="U313" t="s">
        <v>1480</v>
      </c>
      <c r="V313">
        <v>879.05840000000001</v>
      </c>
      <c r="W313">
        <v>818.08</v>
      </c>
      <c r="X313">
        <v>60.978399999999965</v>
      </c>
      <c r="Y313">
        <v>6.9367859973808302E-2</v>
      </c>
    </row>
    <row r="314" spans="1:25" x14ac:dyDescent="0.3">
      <c r="A314" t="s">
        <v>726</v>
      </c>
      <c r="B314">
        <v>45101</v>
      </c>
      <c r="C314">
        <v>45108</v>
      </c>
      <c r="D314" t="s">
        <v>1490</v>
      </c>
      <c r="E314" t="s">
        <v>1383</v>
      </c>
      <c r="F314">
        <v>7</v>
      </c>
      <c r="G314">
        <v>1</v>
      </c>
      <c r="H314" t="s">
        <v>52</v>
      </c>
      <c r="I314" t="s">
        <v>53</v>
      </c>
      <c r="J314" t="s">
        <v>54</v>
      </c>
      <c r="K314" t="s">
        <v>39</v>
      </c>
      <c r="L314" t="s">
        <v>20</v>
      </c>
      <c r="M314" t="s">
        <v>110</v>
      </c>
      <c r="N314" t="s">
        <v>81</v>
      </c>
      <c r="O314" t="s">
        <v>727</v>
      </c>
      <c r="P314">
        <v>471.42</v>
      </c>
      <c r="Q314">
        <v>824.81</v>
      </c>
      <c r="R314">
        <v>8.7999999999999995E-2</v>
      </c>
      <c r="S314">
        <v>0</v>
      </c>
      <c r="T314">
        <v>15</v>
      </c>
      <c r="U314" t="s">
        <v>1480</v>
      </c>
      <c r="V314">
        <v>11283.400799999999</v>
      </c>
      <c r="W314">
        <v>7071.3</v>
      </c>
      <c r="X314">
        <v>4212.1007999999993</v>
      </c>
      <c r="Y314">
        <v>0.37330064531608231</v>
      </c>
    </row>
    <row r="315" spans="1:25" x14ac:dyDescent="0.3">
      <c r="A315" t="s">
        <v>728</v>
      </c>
      <c r="B315">
        <v>45600</v>
      </c>
      <c r="C315">
        <v>45601</v>
      </c>
      <c r="D315" t="s">
        <v>1481</v>
      </c>
      <c r="E315" t="s">
        <v>1400</v>
      </c>
      <c r="F315">
        <v>1</v>
      </c>
      <c r="G315">
        <v>1</v>
      </c>
      <c r="H315" t="s">
        <v>78</v>
      </c>
      <c r="I315" t="s">
        <v>108</v>
      </c>
      <c r="J315" t="s">
        <v>152</v>
      </c>
      <c r="K315" t="s">
        <v>19</v>
      </c>
      <c r="L315" t="s">
        <v>20</v>
      </c>
      <c r="M315" t="s">
        <v>110</v>
      </c>
      <c r="N315" t="s">
        <v>30</v>
      </c>
      <c r="O315" t="s">
        <v>729</v>
      </c>
      <c r="P315">
        <v>840.68</v>
      </c>
      <c r="Q315">
        <v>1493.53</v>
      </c>
      <c r="R315">
        <v>0</v>
      </c>
      <c r="S315">
        <v>0</v>
      </c>
      <c r="T315">
        <v>27</v>
      </c>
      <c r="U315" t="s">
        <v>1485</v>
      </c>
      <c r="V315">
        <v>40325.31</v>
      </c>
      <c r="W315">
        <v>22698.359999999997</v>
      </c>
      <c r="X315">
        <v>17626.95</v>
      </c>
      <c r="Y315">
        <v>0.43711877230454027</v>
      </c>
    </row>
    <row r="316" spans="1:25" x14ac:dyDescent="0.3">
      <c r="A316" t="s">
        <v>730</v>
      </c>
      <c r="B316">
        <v>45451</v>
      </c>
      <c r="C316">
        <v>45467</v>
      </c>
      <c r="D316" t="s">
        <v>1486</v>
      </c>
      <c r="E316" t="s">
        <v>1395</v>
      </c>
      <c r="F316">
        <v>16</v>
      </c>
      <c r="G316">
        <v>0</v>
      </c>
      <c r="H316" t="s">
        <v>16</v>
      </c>
      <c r="I316" t="s">
        <v>148</v>
      </c>
      <c r="J316" t="s">
        <v>172</v>
      </c>
      <c r="K316" t="s">
        <v>27</v>
      </c>
      <c r="L316" t="s">
        <v>55</v>
      </c>
      <c r="M316" t="s">
        <v>92</v>
      </c>
      <c r="N316" t="s">
        <v>64</v>
      </c>
      <c r="O316" t="s">
        <v>731</v>
      </c>
      <c r="P316">
        <v>597.85</v>
      </c>
      <c r="Q316">
        <v>741.92</v>
      </c>
      <c r="R316">
        <v>3.1E-2</v>
      </c>
      <c r="S316">
        <v>0</v>
      </c>
      <c r="T316">
        <v>7</v>
      </c>
      <c r="U316" t="s">
        <v>1480</v>
      </c>
      <c r="V316">
        <v>5032.4433599999993</v>
      </c>
      <c r="W316">
        <v>4184.95</v>
      </c>
      <c r="X316">
        <v>847.49335999999948</v>
      </c>
      <c r="Y316">
        <v>0.16840594108544515</v>
      </c>
    </row>
    <row r="317" spans="1:25" x14ac:dyDescent="0.3">
      <c r="A317" t="s">
        <v>732</v>
      </c>
      <c r="B317">
        <v>45809</v>
      </c>
      <c r="C317">
        <v>45814</v>
      </c>
      <c r="D317" t="s">
        <v>1487</v>
      </c>
      <c r="E317" t="s">
        <v>1407</v>
      </c>
      <c r="F317">
        <v>5</v>
      </c>
      <c r="G317">
        <v>1</v>
      </c>
      <c r="H317" t="s">
        <v>78</v>
      </c>
      <c r="I317" t="s">
        <v>90</v>
      </c>
      <c r="J317" t="s">
        <v>217</v>
      </c>
      <c r="K317" t="s">
        <v>48</v>
      </c>
      <c r="L317" t="s">
        <v>55</v>
      </c>
      <c r="M317" t="s">
        <v>41</v>
      </c>
      <c r="N317" t="s">
        <v>22</v>
      </c>
      <c r="O317" t="s">
        <v>733</v>
      </c>
      <c r="P317">
        <v>379.45</v>
      </c>
      <c r="Q317">
        <v>742.23</v>
      </c>
      <c r="R317">
        <v>0.09</v>
      </c>
      <c r="S317">
        <v>0</v>
      </c>
      <c r="T317">
        <v>13</v>
      </c>
      <c r="U317" t="s">
        <v>1480</v>
      </c>
      <c r="V317">
        <v>8780.5809000000008</v>
      </c>
      <c r="W317">
        <v>4932.8499999999995</v>
      </c>
      <c r="X317">
        <v>3847.7309000000014</v>
      </c>
      <c r="Y317">
        <v>0.43820915083192286</v>
      </c>
    </row>
    <row r="318" spans="1:25" x14ac:dyDescent="0.3">
      <c r="A318" t="s">
        <v>734</v>
      </c>
      <c r="B318">
        <v>45052</v>
      </c>
      <c r="C318">
        <v>45060</v>
      </c>
      <c r="D318" t="s">
        <v>1490</v>
      </c>
      <c r="E318" t="s">
        <v>1382</v>
      </c>
      <c r="F318">
        <v>8</v>
      </c>
      <c r="G318">
        <v>0</v>
      </c>
      <c r="H318" t="s">
        <v>45</v>
      </c>
      <c r="I318" t="s">
        <v>46</v>
      </c>
      <c r="J318" t="s">
        <v>47</v>
      </c>
      <c r="K318" t="s">
        <v>105</v>
      </c>
      <c r="L318" t="s">
        <v>40</v>
      </c>
      <c r="M318" t="s">
        <v>56</v>
      </c>
      <c r="N318" t="s">
        <v>42</v>
      </c>
      <c r="O318" t="s">
        <v>735</v>
      </c>
      <c r="P318">
        <v>291.18</v>
      </c>
      <c r="Q318">
        <v>479.54</v>
      </c>
      <c r="R318">
        <v>0.14099999999999999</v>
      </c>
      <c r="S318">
        <v>0</v>
      </c>
      <c r="T318">
        <v>22</v>
      </c>
      <c r="U318" t="s">
        <v>1480</v>
      </c>
      <c r="V318">
        <v>9062.34692</v>
      </c>
      <c r="W318">
        <v>6405.96</v>
      </c>
      <c r="X318">
        <v>2656.3869199999999</v>
      </c>
      <c r="Y318">
        <v>0.29312350801066001</v>
      </c>
    </row>
    <row r="319" spans="1:25" x14ac:dyDescent="0.3">
      <c r="A319" t="s">
        <v>736</v>
      </c>
      <c r="B319">
        <v>45244</v>
      </c>
      <c r="C319">
        <v>45260</v>
      </c>
      <c r="D319" t="s">
        <v>1484</v>
      </c>
      <c r="E319" t="s">
        <v>1388</v>
      </c>
      <c r="F319">
        <v>16</v>
      </c>
      <c r="G319">
        <v>0</v>
      </c>
      <c r="H319" t="s">
        <v>52</v>
      </c>
      <c r="I319" t="s">
        <v>73</v>
      </c>
      <c r="J319" t="s">
        <v>74</v>
      </c>
      <c r="K319" t="s">
        <v>105</v>
      </c>
      <c r="L319" t="s">
        <v>98</v>
      </c>
      <c r="M319" t="s">
        <v>95</v>
      </c>
      <c r="N319" t="s">
        <v>35</v>
      </c>
      <c r="O319" t="s">
        <v>737</v>
      </c>
      <c r="P319">
        <v>1017.92</v>
      </c>
      <c r="Q319">
        <v>1175.25</v>
      </c>
      <c r="R319">
        <v>7.4999999999999997E-2</v>
      </c>
      <c r="S319">
        <v>0</v>
      </c>
      <c r="T319">
        <v>15</v>
      </c>
      <c r="U319" t="s">
        <v>1485</v>
      </c>
      <c r="V319">
        <v>16306.59375</v>
      </c>
      <c r="W319">
        <v>15268.8</v>
      </c>
      <c r="X319">
        <v>1037.7937500000007</v>
      </c>
      <c r="Y319">
        <v>6.3642583234159542E-2</v>
      </c>
    </row>
    <row r="320" spans="1:25" x14ac:dyDescent="0.3">
      <c r="A320" t="s">
        <v>738</v>
      </c>
      <c r="B320">
        <v>45748</v>
      </c>
      <c r="C320">
        <v>45774</v>
      </c>
      <c r="D320" t="s">
        <v>1487</v>
      </c>
      <c r="E320" t="s">
        <v>1405</v>
      </c>
      <c r="F320">
        <v>26</v>
      </c>
      <c r="G320">
        <v>0</v>
      </c>
      <c r="H320" t="s">
        <v>52</v>
      </c>
      <c r="I320" t="s">
        <v>122</v>
      </c>
      <c r="J320" t="s">
        <v>167</v>
      </c>
      <c r="K320" t="s">
        <v>19</v>
      </c>
      <c r="L320" t="s">
        <v>98</v>
      </c>
      <c r="M320" t="s">
        <v>34</v>
      </c>
      <c r="N320" t="s">
        <v>64</v>
      </c>
      <c r="O320" t="s">
        <v>739</v>
      </c>
      <c r="P320">
        <v>156.55000000000001</v>
      </c>
      <c r="Q320">
        <v>227.45</v>
      </c>
      <c r="R320">
        <v>1.4E-2</v>
      </c>
      <c r="S320">
        <v>0</v>
      </c>
      <c r="T320">
        <v>13</v>
      </c>
      <c r="U320" t="s">
        <v>1480</v>
      </c>
      <c r="V320">
        <v>2915.4540999999999</v>
      </c>
      <c r="W320">
        <v>2035.15</v>
      </c>
      <c r="X320">
        <v>880.30409999999983</v>
      </c>
      <c r="Y320">
        <v>0.3019440779396938</v>
      </c>
    </row>
    <row r="321" spans="1:25" x14ac:dyDescent="0.3">
      <c r="A321" t="s">
        <v>740</v>
      </c>
      <c r="B321">
        <v>45008</v>
      </c>
      <c r="C321">
        <v>45031</v>
      </c>
      <c r="D321" t="s">
        <v>1482</v>
      </c>
      <c r="E321" t="s">
        <v>1380</v>
      </c>
      <c r="F321">
        <v>23</v>
      </c>
      <c r="G321">
        <v>0</v>
      </c>
      <c r="H321" t="s">
        <v>16</v>
      </c>
      <c r="I321" t="s">
        <v>17</v>
      </c>
      <c r="J321" t="s">
        <v>113</v>
      </c>
      <c r="K321" t="s">
        <v>62</v>
      </c>
      <c r="L321" t="s">
        <v>20</v>
      </c>
      <c r="M321" t="s">
        <v>21</v>
      </c>
      <c r="N321" t="s">
        <v>81</v>
      </c>
      <c r="O321" t="s">
        <v>741</v>
      </c>
      <c r="P321">
        <v>875.36</v>
      </c>
      <c r="Q321">
        <v>1178.6199999999999</v>
      </c>
      <c r="R321">
        <v>0.151</v>
      </c>
      <c r="S321">
        <v>0</v>
      </c>
      <c r="T321">
        <v>53</v>
      </c>
      <c r="U321" t="s">
        <v>1485</v>
      </c>
      <c r="V321">
        <v>53034.364139999991</v>
      </c>
      <c r="W321">
        <v>46394.080000000002</v>
      </c>
      <c r="X321">
        <v>6640.2841399999888</v>
      </c>
      <c r="Y321">
        <v>0.12520719815685888</v>
      </c>
    </row>
    <row r="322" spans="1:25" x14ac:dyDescent="0.3">
      <c r="A322" t="s">
        <v>742</v>
      </c>
      <c r="B322">
        <v>45440</v>
      </c>
      <c r="C322">
        <v>45461</v>
      </c>
      <c r="D322" t="s">
        <v>1486</v>
      </c>
      <c r="E322" t="s">
        <v>1394</v>
      </c>
      <c r="F322">
        <v>21</v>
      </c>
      <c r="G322">
        <v>0</v>
      </c>
      <c r="H322" t="s">
        <v>78</v>
      </c>
      <c r="I322" t="s">
        <v>79</v>
      </c>
      <c r="J322" t="s">
        <v>335</v>
      </c>
      <c r="K322" t="s">
        <v>62</v>
      </c>
      <c r="L322" t="s">
        <v>28</v>
      </c>
      <c r="M322" t="s">
        <v>63</v>
      </c>
      <c r="N322" t="s">
        <v>42</v>
      </c>
      <c r="O322" t="s">
        <v>743</v>
      </c>
      <c r="P322">
        <v>986.85</v>
      </c>
      <c r="Q322">
        <v>2422.1</v>
      </c>
      <c r="R322">
        <v>7.5999999999999998E-2</v>
      </c>
      <c r="S322">
        <v>0</v>
      </c>
      <c r="T322">
        <v>10</v>
      </c>
      <c r="U322" t="s">
        <v>1474</v>
      </c>
      <c r="V322">
        <v>22380.204000000002</v>
      </c>
      <c r="W322">
        <v>9868.5</v>
      </c>
      <c r="X322">
        <v>12511.704000000002</v>
      </c>
      <c r="Y322">
        <v>0.55905227673527913</v>
      </c>
    </row>
    <row r="323" spans="1:25" x14ac:dyDescent="0.3">
      <c r="A323" t="s">
        <v>744</v>
      </c>
      <c r="B323">
        <v>45293</v>
      </c>
      <c r="C323">
        <v>45300</v>
      </c>
      <c r="D323" t="s">
        <v>1479</v>
      </c>
      <c r="E323" t="s">
        <v>1390</v>
      </c>
      <c r="F323">
        <v>7</v>
      </c>
      <c r="G323">
        <v>1</v>
      </c>
      <c r="H323" t="s">
        <v>52</v>
      </c>
      <c r="I323" t="s">
        <v>122</v>
      </c>
      <c r="J323" t="s">
        <v>123</v>
      </c>
      <c r="K323" t="s">
        <v>27</v>
      </c>
      <c r="L323" t="s">
        <v>40</v>
      </c>
      <c r="M323" t="s">
        <v>56</v>
      </c>
      <c r="N323" t="s">
        <v>35</v>
      </c>
      <c r="O323" t="s">
        <v>745</v>
      </c>
      <c r="P323">
        <v>404.77</v>
      </c>
      <c r="Q323">
        <v>433.88</v>
      </c>
      <c r="R323">
        <v>0.215</v>
      </c>
      <c r="S323">
        <v>1</v>
      </c>
      <c r="T323">
        <v>22</v>
      </c>
      <c r="U323" t="s">
        <v>1480</v>
      </c>
      <c r="V323">
        <v>7493.1076000000012</v>
      </c>
      <c r="W323">
        <v>8904.9399999999987</v>
      </c>
      <c r="X323">
        <v>-1411.8323999999975</v>
      </c>
      <c r="Y323">
        <v>-0.18841747314558746</v>
      </c>
    </row>
    <row r="324" spans="1:25" x14ac:dyDescent="0.3">
      <c r="A324" t="s">
        <v>746</v>
      </c>
      <c r="B324">
        <v>44985</v>
      </c>
      <c r="C324">
        <v>44992</v>
      </c>
      <c r="D324" t="s">
        <v>1482</v>
      </c>
      <c r="E324" t="s">
        <v>1379</v>
      </c>
      <c r="F324">
        <v>7</v>
      </c>
      <c r="G324">
        <v>1</v>
      </c>
      <c r="H324" t="s">
        <v>78</v>
      </c>
      <c r="I324" t="s">
        <v>90</v>
      </c>
      <c r="J324" t="s">
        <v>91</v>
      </c>
      <c r="K324" t="s">
        <v>19</v>
      </c>
      <c r="L324" t="s">
        <v>20</v>
      </c>
      <c r="M324" t="s">
        <v>95</v>
      </c>
      <c r="N324" t="s">
        <v>35</v>
      </c>
      <c r="O324" t="s">
        <v>747</v>
      </c>
      <c r="P324">
        <v>1299.81</v>
      </c>
      <c r="Q324">
        <v>3149.13</v>
      </c>
      <c r="R324">
        <v>0.10299999999999999</v>
      </c>
      <c r="S324">
        <v>0</v>
      </c>
      <c r="T324">
        <v>14</v>
      </c>
      <c r="U324" t="s">
        <v>1474</v>
      </c>
      <c r="V324">
        <v>39546.774539999999</v>
      </c>
      <c r="W324">
        <v>18197.34</v>
      </c>
      <c r="X324">
        <v>21349.434539999998</v>
      </c>
      <c r="Y324">
        <v>0.53985273864511729</v>
      </c>
    </row>
    <row r="325" spans="1:25" x14ac:dyDescent="0.3">
      <c r="A325" t="s">
        <v>748</v>
      </c>
      <c r="B325">
        <v>45340</v>
      </c>
      <c r="C325">
        <v>45362</v>
      </c>
      <c r="D325" t="s">
        <v>1479</v>
      </c>
      <c r="E325" t="s">
        <v>1391</v>
      </c>
      <c r="F325">
        <v>22</v>
      </c>
      <c r="G325">
        <v>0</v>
      </c>
      <c r="H325" t="s">
        <v>52</v>
      </c>
      <c r="I325" t="s">
        <v>73</v>
      </c>
      <c r="J325" t="s">
        <v>74</v>
      </c>
      <c r="K325" t="s">
        <v>48</v>
      </c>
      <c r="L325" t="s">
        <v>28</v>
      </c>
      <c r="M325" t="s">
        <v>75</v>
      </c>
      <c r="N325" t="s">
        <v>22</v>
      </c>
      <c r="O325" t="s">
        <v>749</v>
      </c>
      <c r="P325">
        <v>80.48</v>
      </c>
      <c r="Q325">
        <v>65.650000000000006</v>
      </c>
      <c r="R325">
        <v>0.17599999999999999</v>
      </c>
      <c r="S325">
        <v>0</v>
      </c>
      <c r="T325">
        <v>13</v>
      </c>
      <c r="U325" t="s">
        <v>1480</v>
      </c>
      <c r="V325">
        <v>703.2428000000001</v>
      </c>
      <c r="W325">
        <v>1046.24</v>
      </c>
      <c r="X325">
        <v>-342.99719999999991</v>
      </c>
      <c r="Y325">
        <v>-0.48773652570634191</v>
      </c>
    </row>
    <row r="326" spans="1:25" x14ac:dyDescent="0.3">
      <c r="A326" t="s">
        <v>750</v>
      </c>
      <c r="B326">
        <v>45544</v>
      </c>
      <c r="C326">
        <v>45573</v>
      </c>
      <c r="D326" t="s">
        <v>1491</v>
      </c>
      <c r="E326" t="s">
        <v>1494</v>
      </c>
      <c r="F326">
        <v>29</v>
      </c>
      <c r="G326">
        <v>0</v>
      </c>
      <c r="H326" t="s">
        <v>52</v>
      </c>
      <c r="I326" t="s">
        <v>73</v>
      </c>
      <c r="J326" t="s">
        <v>74</v>
      </c>
      <c r="K326" t="s">
        <v>27</v>
      </c>
      <c r="L326" t="s">
        <v>98</v>
      </c>
      <c r="M326" t="s">
        <v>29</v>
      </c>
      <c r="N326" t="s">
        <v>22</v>
      </c>
      <c r="O326" t="s">
        <v>751</v>
      </c>
      <c r="P326">
        <v>1010.33</v>
      </c>
      <c r="Q326">
        <v>2492.14</v>
      </c>
      <c r="R326">
        <v>5.0999999999999997E-2</v>
      </c>
      <c r="S326">
        <v>0</v>
      </c>
      <c r="T326">
        <v>11</v>
      </c>
      <c r="U326" t="s">
        <v>1474</v>
      </c>
      <c r="V326">
        <v>26015.449459999996</v>
      </c>
      <c r="W326">
        <v>11113.630000000001</v>
      </c>
      <c r="X326">
        <v>14901.819459999995</v>
      </c>
      <c r="Y326">
        <v>0.57280653493656752</v>
      </c>
    </row>
    <row r="327" spans="1:25" x14ac:dyDescent="0.3">
      <c r="A327" t="s">
        <v>752</v>
      </c>
      <c r="B327">
        <v>45053</v>
      </c>
      <c r="C327">
        <v>45075</v>
      </c>
      <c r="D327" t="s">
        <v>1490</v>
      </c>
      <c r="E327" t="s">
        <v>1382</v>
      </c>
      <c r="F327">
        <v>22</v>
      </c>
      <c r="G327">
        <v>0</v>
      </c>
      <c r="H327" t="s">
        <v>16</v>
      </c>
      <c r="I327" t="s">
        <v>148</v>
      </c>
      <c r="J327" t="s">
        <v>172</v>
      </c>
      <c r="K327" t="s">
        <v>27</v>
      </c>
      <c r="L327" t="s">
        <v>55</v>
      </c>
      <c r="M327" t="s">
        <v>95</v>
      </c>
      <c r="N327" t="s">
        <v>81</v>
      </c>
      <c r="O327" t="s">
        <v>753</v>
      </c>
      <c r="P327">
        <v>653.86</v>
      </c>
      <c r="Q327">
        <v>931.84</v>
      </c>
      <c r="R327">
        <v>0.121</v>
      </c>
      <c r="S327">
        <v>0</v>
      </c>
      <c r="T327">
        <v>12</v>
      </c>
      <c r="U327" t="s">
        <v>1485</v>
      </c>
      <c r="V327">
        <v>9829.0483199999999</v>
      </c>
      <c r="W327">
        <v>7846.32</v>
      </c>
      <c r="X327">
        <v>1982.7283200000002</v>
      </c>
      <c r="Y327">
        <v>0.20172129136506273</v>
      </c>
    </row>
    <row r="328" spans="1:25" x14ac:dyDescent="0.3">
      <c r="A328" t="s">
        <v>754</v>
      </c>
      <c r="B328">
        <v>45303</v>
      </c>
      <c r="C328">
        <v>45320</v>
      </c>
      <c r="D328" t="s">
        <v>1479</v>
      </c>
      <c r="E328" t="s">
        <v>1390</v>
      </c>
      <c r="F328">
        <v>17</v>
      </c>
      <c r="G328">
        <v>0</v>
      </c>
      <c r="H328" t="s">
        <v>45</v>
      </c>
      <c r="I328" t="s">
        <v>60</v>
      </c>
      <c r="J328" t="s">
        <v>281</v>
      </c>
      <c r="K328" t="s">
        <v>62</v>
      </c>
      <c r="L328" t="s">
        <v>98</v>
      </c>
      <c r="M328" t="s">
        <v>56</v>
      </c>
      <c r="N328" t="s">
        <v>22</v>
      </c>
      <c r="O328" t="s">
        <v>755</v>
      </c>
      <c r="P328">
        <v>310.02</v>
      </c>
      <c r="Q328">
        <v>619.51</v>
      </c>
      <c r="R328">
        <v>4.2000000000000003E-2</v>
      </c>
      <c r="S328">
        <v>0</v>
      </c>
      <c r="T328">
        <v>4</v>
      </c>
      <c r="U328" t="s">
        <v>1480</v>
      </c>
      <c r="V328">
        <v>2373.9623200000001</v>
      </c>
      <c r="W328">
        <v>1240.08</v>
      </c>
      <c r="X328">
        <v>1133.8823200000002</v>
      </c>
      <c r="Y328">
        <v>0.47763282106347843</v>
      </c>
    </row>
    <row r="329" spans="1:25" x14ac:dyDescent="0.3">
      <c r="A329" t="s">
        <v>756</v>
      </c>
      <c r="B329">
        <v>45087</v>
      </c>
      <c r="C329">
        <v>45095</v>
      </c>
      <c r="D329" t="s">
        <v>1490</v>
      </c>
      <c r="E329" t="s">
        <v>1383</v>
      </c>
      <c r="F329">
        <v>8</v>
      </c>
      <c r="G329">
        <v>0</v>
      </c>
      <c r="H329" t="s">
        <v>16</v>
      </c>
      <c r="I329" t="s">
        <v>17</v>
      </c>
      <c r="J329" t="s">
        <v>135</v>
      </c>
      <c r="K329" t="s">
        <v>105</v>
      </c>
      <c r="L329" t="s">
        <v>98</v>
      </c>
      <c r="M329" t="s">
        <v>92</v>
      </c>
      <c r="N329" t="s">
        <v>42</v>
      </c>
      <c r="O329" t="s">
        <v>757</v>
      </c>
      <c r="P329">
        <v>894.23</v>
      </c>
      <c r="Q329">
        <v>1421.55</v>
      </c>
      <c r="R329">
        <v>0.109</v>
      </c>
      <c r="S329">
        <v>0</v>
      </c>
      <c r="T329">
        <v>3</v>
      </c>
      <c r="U329" t="s">
        <v>1485</v>
      </c>
      <c r="V329">
        <v>3799.8031499999997</v>
      </c>
      <c r="W329">
        <v>2682.69</v>
      </c>
      <c r="X329">
        <v>1117.1131499999997</v>
      </c>
      <c r="Y329">
        <v>0.29399237431549574</v>
      </c>
    </row>
    <row r="330" spans="1:25" x14ac:dyDescent="0.3">
      <c r="A330" t="s">
        <v>758</v>
      </c>
      <c r="B330">
        <v>45796</v>
      </c>
      <c r="C330">
        <v>45803</v>
      </c>
      <c r="D330" t="s">
        <v>1487</v>
      </c>
      <c r="E330" t="s">
        <v>1406</v>
      </c>
      <c r="F330">
        <v>7</v>
      </c>
      <c r="G330">
        <v>1</v>
      </c>
      <c r="H330" t="s">
        <v>52</v>
      </c>
      <c r="I330" t="s">
        <v>73</v>
      </c>
      <c r="J330" t="s">
        <v>74</v>
      </c>
      <c r="K330" t="s">
        <v>62</v>
      </c>
      <c r="L330" t="s">
        <v>55</v>
      </c>
      <c r="M330" t="s">
        <v>49</v>
      </c>
      <c r="N330" t="s">
        <v>64</v>
      </c>
      <c r="O330" t="s">
        <v>759</v>
      </c>
      <c r="P330">
        <v>383.77</v>
      </c>
      <c r="Q330">
        <v>952.56</v>
      </c>
      <c r="R330">
        <v>0.3</v>
      </c>
      <c r="S330">
        <v>1</v>
      </c>
      <c r="T330">
        <v>10</v>
      </c>
      <c r="U330" t="s">
        <v>1485</v>
      </c>
      <c r="V330">
        <v>6667.9199999999983</v>
      </c>
      <c r="W330">
        <v>3837.7</v>
      </c>
      <c r="X330">
        <v>2830.2199999999984</v>
      </c>
      <c r="Y330">
        <v>0.42445320279787385</v>
      </c>
    </row>
    <row r="331" spans="1:25" x14ac:dyDescent="0.3">
      <c r="A331" t="s">
        <v>760</v>
      </c>
      <c r="B331">
        <v>45221</v>
      </c>
      <c r="C331">
        <v>45246</v>
      </c>
      <c r="D331" t="s">
        <v>1484</v>
      </c>
      <c r="E331" t="s">
        <v>1387</v>
      </c>
      <c r="F331">
        <v>25</v>
      </c>
      <c r="G331">
        <v>0</v>
      </c>
      <c r="H331" t="s">
        <v>52</v>
      </c>
      <c r="I331" t="s">
        <v>53</v>
      </c>
      <c r="J331" t="s">
        <v>54</v>
      </c>
      <c r="K331" t="s">
        <v>62</v>
      </c>
      <c r="L331" t="s">
        <v>40</v>
      </c>
      <c r="M331" t="s">
        <v>34</v>
      </c>
      <c r="N331" t="s">
        <v>57</v>
      </c>
      <c r="O331" t="s">
        <v>761</v>
      </c>
      <c r="P331">
        <v>1373.31</v>
      </c>
      <c r="Q331">
        <v>3154.14</v>
      </c>
      <c r="R331">
        <v>0.2</v>
      </c>
      <c r="S331">
        <v>0</v>
      </c>
      <c r="T331">
        <v>11</v>
      </c>
      <c r="U331" t="s">
        <v>1474</v>
      </c>
      <c r="V331">
        <v>27756.432000000001</v>
      </c>
      <c r="W331">
        <v>15106.41</v>
      </c>
      <c r="X331">
        <v>12650.022000000001</v>
      </c>
      <c r="Y331">
        <v>0.45575101295440279</v>
      </c>
    </row>
    <row r="332" spans="1:25" x14ac:dyDescent="0.3">
      <c r="A332" t="s">
        <v>762</v>
      </c>
      <c r="B332">
        <v>45668</v>
      </c>
      <c r="C332">
        <v>45680</v>
      </c>
      <c r="D332" t="s">
        <v>1483</v>
      </c>
      <c r="E332" t="s">
        <v>1402</v>
      </c>
      <c r="F332">
        <v>12</v>
      </c>
      <c r="G332">
        <v>0</v>
      </c>
      <c r="H332" t="s">
        <v>52</v>
      </c>
      <c r="I332" t="s">
        <v>122</v>
      </c>
      <c r="J332" t="s">
        <v>326</v>
      </c>
      <c r="K332" t="s">
        <v>48</v>
      </c>
      <c r="L332" t="s">
        <v>55</v>
      </c>
      <c r="M332" t="s">
        <v>92</v>
      </c>
      <c r="N332" t="s">
        <v>42</v>
      </c>
      <c r="O332" t="s">
        <v>763</v>
      </c>
      <c r="P332">
        <v>100.69</v>
      </c>
      <c r="Q332">
        <v>226.14</v>
      </c>
      <c r="R332">
        <v>6.5000000000000002E-2</v>
      </c>
      <c r="S332">
        <v>0</v>
      </c>
      <c r="T332">
        <v>12</v>
      </c>
      <c r="U332" t="s">
        <v>1480</v>
      </c>
      <c r="V332">
        <v>2537.2908000000002</v>
      </c>
      <c r="W332">
        <v>1208.28</v>
      </c>
      <c r="X332">
        <v>1329.0108000000002</v>
      </c>
      <c r="Y332">
        <v>0.52379128162999689</v>
      </c>
    </row>
    <row r="333" spans="1:25" x14ac:dyDescent="0.3">
      <c r="A333" t="s">
        <v>764</v>
      </c>
      <c r="B333">
        <v>45914</v>
      </c>
      <c r="C333">
        <v>45926</v>
      </c>
      <c r="D333" t="s">
        <v>1488</v>
      </c>
      <c r="E333" t="s">
        <v>1489</v>
      </c>
      <c r="F333">
        <v>12</v>
      </c>
      <c r="G333">
        <v>0</v>
      </c>
      <c r="H333" t="s">
        <v>78</v>
      </c>
      <c r="I333" t="s">
        <v>108</v>
      </c>
      <c r="J333" t="s">
        <v>152</v>
      </c>
      <c r="K333" t="s">
        <v>62</v>
      </c>
      <c r="L333" t="s">
        <v>98</v>
      </c>
      <c r="M333" t="s">
        <v>126</v>
      </c>
      <c r="N333" t="s">
        <v>35</v>
      </c>
      <c r="O333" t="s">
        <v>765</v>
      </c>
      <c r="P333">
        <v>425.15</v>
      </c>
      <c r="Q333">
        <v>885.92</v>
      </c>
      <c r="R333">
        <v>0.23899999999999999</v>
      </c>
      <c r="S333">
        <v>1</v>
      </c>
      <c r="T333">
        <v>13</v>
      </c>
      <c r="U333" t="s">
        <v>1480</v>
      </c>
      <c r="V333">
        <v>8764.4065599999994</v>
      </c>
      <c r="W333">
        <v>5526.95</v>
      </c>
      <c r="X333">
        <v>3237.4565599999996</v>
      </c>
      <c r="Y333">
        <v>0.3693868532725848</v>
      </c>
    </row>
    <row r="334" spans="1:25" x14ac:dyDescent="0.3">
      <c r="A334" t="s">
        <v>766</v>
      </c>
      <c r="B334">
        <v>45168</v>
      </c>
      <c r="C334">
        <v>45172</v>
      </c>
      <c r="D334" t="s">
        <v>1492</v>
      </c>
      <c r="E334" t="s">
        <v>1385</v>
      </c>
      <c r="F334">
        <v>4</v>
      </c>
      <c r="G334">
        <v>1</v>
      </c>
      <c r="H334" t="s">
        <v>45</v>
      </c>
      <c r="I334" t="s">
        <v>60</v>
      </c>
      <c r="J334" t="s">
        <v>141</v>
      </c>
      <c r="K334" t="s">
        <v>62</v>
      </c>
      <c r="L334" t="s">
        <v>40</v>
      </c>
      <c r="M334" t="s">
        <v>49</v>
      </c>
      <c r="N334" t="s">
        <v>81</v>
      </c>
      <c r="O334" t="s">
        <v>767</v>
      </c>
      <c r="P334">
        <v>1082.25</v>
      </c>
      <c r="Q334">
        <v>2433.34</v>
      </c>
      <c r="R334">
        <v>0.27</v>
      </c>
      <c r="S334">
        <v>1</v>
      </c>
      <c r="T334">
        <v>4</v>
      </c>
      <c r="U334" t="s">
        <v>1474</v>
      </c>
      <c r="V334">
        <v>7105.3528000000006</v>
      </c>
      <c r="W334">
        <v>4329</v>
      </c>
      <c r="X334">
        <v>2776.3528000000006</v>
      </c>
      <c r="Y334">
        <v>0.3907410199251472</v>
      </c>
    </row>
    <row r="335" spans="1:25" x14ac:dyDescent="0.3">
      <c r="A335" t="s">
        <v>768</v>
      </c>
      <c r="B335">
        <v>45245</v>
      </c>
      <c r="C335">
        <v>45266</v>
      </c>
      <c r="D335" t="s">
        <v>1484</v>
      </c>
      <c r="E335" t="s">
        <v>1388</v>
      </c>
      <c r="F335">
        <v>21</v>
      </c>
      <c r="G335">
        <v>0</v>
      </c>
      <c r="H335" t="s">
        <v>78</v>
      </c>
      <c r="I335" t="s">
        <v>108</v>
      </c>
      <c r="J335" t="s">
        <v>228</v>
      </c>
      <c r="K335" t="s">
        <v>27</v>
      </c>
      <c r="L335" t="s">
        <v>98</v>
      </c>
      <c r="M335" t="s">
        <v>92</v>
      </c>
      <c r="N335" t="s">
        <v>81</v>
      </c>
      <c r="O335" t="s">
        <v>769</v>
      </c>
      <c r="P335">
        <v>1184.99</v>
      </c>
      <c r="Q335">
        <v>1154.3399999999999</v>
      </c>
      <c r="R335">
        <v>2.8000000000000001E-2</v>
      </c>
      <c r="S335">
        <v>0</v>
      </c>
      <c r="T335">
        <v>5</v>
      </c>
      <c r="U335" t="s">
        <v>1485</v>
      </c>
      <c r="V335">
        <v>5610.0923999999995</v>
      </c>
      <c r="W335">
        <v>5924.95</v>
      </c>
      <c r="X335">
        <v>-314.85760000000028</v>
      </c>
      <c r="Y335">
        <v>-5.6123424990290764E-2</v>
      </c>
    </row>
    <row r="336" spans="1:25" x14ac:dyDescent="0.3">
      <c r="A336" t="s">
        <v>770</v>
      </c>
      <c r="B336">
        <v>45774</v>
      </c>
      <c r="C336">
        <v>45804</v>
      </c>
      <c r="D336" t="s">
        <v>1487</v>
      </c>
      <c r="E336" t="s">
        <v>1405</v>
      </c>
      <c r="F336">
        <v>30</v>
      </c>
      <c r="G336">
        <v>0</v>
      </c>
      <c r="H336" t="s">
        <v>45</v>
      </c>
      <c r="I336" t="s">
        <v>60</v>
      </c>
      <c r="J336" t="s">
        <v>141</v>
      </c>
      <c r="K336" t="s">
        <v>105</v>
      </c>
      <c r="L336" t="s">
        <v>40</v>
      </c>
      <c r="M336" t="s">
        <v>92</v>
      </c>
      <c r="N336" t="s">
        <v>42</v>
      </c>
      <c r="O336" t="s">
        <v>771</v>
      </c>
      <c r="P336">
        <v>481.32</v>
      </c>
      <c r="Q336">
        <v>1135.99</v>
      </c>
      <c r="R336">
        <v>0.14499999999999999</v>
      </c>
      <c r="S336">
        <v>0</v>
      </c>
      <c r="T336">
        <v>5</v>
      </c>
      <c r="U336" t="s">
        <v>1485</v>
      </c>
      <c r="V336">
        <v>4856.35725</v>
      </c>
      <c r="W336">
        <v>2406.6</v>
      </c>
      <c r="X336">
        <v>2449.7572500000001</v>
      </c>
      <c r="Y336">
        <v>0.50444337677175621</v>
      </c>
    </row>
    <row r="337" spans="1:25" x14ac:dyDescent="0.3">
      <c r="A337" t="s">
        <v>772</v>
      </c>
      <c r="B337">
        <v>45391</v>
      </c>
      <c r="C337">
        <v>45400</v>
      </c>
      <c r="D337" t="s">
        <v>1486</v>
      </c>
      <c r="E337" t="s">
        <v>1393</v>
      </c>
      <c r="F337">
        <v>9</v>
      </c>
      <c r="G337">
        <v>0</v>
      </c>
      <c r="H337" t="s">
        <v>78</v>
      </c>
      <c r="I337" t="s">
        <v>90</v>
      </c>
      <c r="J337" t="s">
        <v>138</v>
      </c>
      <c r="K337" t="s">
        <v>48</v>
      </c>
      <c r="L337" t="s">
        <v>28</v>
      </c>
      <c r="M337" t="s">
        <v>63</v>
      </c>
      <c r="N337" t="s">
        <v>30</v>
      </c>
      <c r="O337" t="s">
        <v>773</v>
      </c>
      <c r="P337">
        <v>1288.8499999999999</v>
      </c>
      <c r="Q337">
        <v>2751.84</v>
      </c>
      <c r="R337">
        <v>0.158</v>
      </c>
      <c r="S337">
        <v>0</v>
      </c>
      <c r="T337">
        <v>7</v>
      </c>
      <c r="U337" t="s">
        <v>1474</v>
      </c>
      <c r="V337">
        <v>16219.34496</v>
      </c>
      <c r="W337">
        <v>9021.9499999999989</v>
      </c>
      <c r="X337">
        <v>7197.3949600000014</v>
      </c>
      <c r="Y337">
        <v>0.44375373837538756</v>
      </c>
    </row>
    <row r="338" spans="1:25" x14ac:dyDescent="0.3">
      <c r="A338" t="s">
        <v>774</v>
      </c>
      <c r="B338">
        <v>45484</v>
      </c>
      <c r="C338">
        <v>45504</v>
      </c>
      <c r="D338" t="s">
        <v>1491</v>
      </c>
      <c r="E338" t="s">
        <v>1396</v>
      </c>
      <c r="F338">
        <v>20</v>
      </c>
      <c r="G338">
        <v>0</v>
      </c>
      <c r="H338" t="s">
        <v>45</v>
      </c>
      <c r="I338" t="s">
        <v>116</v>
      </c>
      <c r="J338" t="s">
        <v>117</v>
      </c>
      <c r="K338" t="s">
        <v>48</v>
      </c>
      <c r="L338" t="s">
        <v>28</v>
      </c>
      <c r="M338" t="s">
        <v>41</v>
      </c>
      <c r="N338" t="s">
        <v>42</v>
      </c>
      <c r="O338" t="s">
        <v>775</v>
      </c>
      <c r="P338">
        <v>647.26</v>
      </c>
      <c r="Q338">
        <v>1374.72</v>
      </c>
      <c r="R338">
        <v>6.6000000000000003E-2</v>
      </c>
      <c r="S338">
        <v>0</v>
      </c>
      <c r="T338">
        <v>22</v>
      </c>
      <c r="U338" t="s">
        <v>1485</v>
      </c>
      <c r="V338">
        <v>28247.74656</v>
      </c>
      <c r="W338">
        <v>14239.72</v>
      </c>
      <c r="X338">
        <v>14008.02656</v>
      </c>
      <c r="Y338">
        <v>0.49589890401508901</v>
      </c>
    </row>
    <row r="339" spans="1:25" x14ac:dyDescent="0.3">
      <c r="A339" t="s">
        <v>776</v>
      </c>
      <c r="B339">
        <v>45340</v>
      </c>
      <c r="C339">
        <v>45354</v>
      </c>
      <c r="D339" t="s">
        <v>1479</v>
      </c>
      <c r="E339" t="s">
        <v>1391</v>
      </c>
      <c r="F339">
        <v>14</v>
      </c>
      <c r="G339">
        <v>0</v>
      </c>
      <c r="H339" t="s">
        <v>52</v>
      </c>
      <c r="I339" t="s">
        <v>73</v>
      </c>
      <c r="J339" t="s">
        <v>87</v>
      </c>
      <c r="K339" t="s">
        <v>105</v>
      </c>
      <c r="L339" t="s">
        <v>55</v>
      </c>
      <c r="M339" t="s">
        <v>75</v>
      </c>
      <c r="N339" t="s">
        <v>30</v>
      </c>
      <c r="O339" t="s">
        <v>777</v>
      </c>
      <c r="P339">
        <v>624.23</v>
      </c>
      <c r="Q339">
        <v>1318.37</v>
      </c>
      <c r="R339">
        <v>0.21</v>
      </c>
      <c r="S339">
        <v>1</v>
      </c>
      <c r="T339">
        <v>37</v>
      </c>
      <c r="U339" t="s">
        <v>1485</v>
      </c>
      <c r="V339">
        <v>38535.955099999999</v>
      </c>
      <c r="W339">
        <v>23096.510000000002</v>
      </c>
      <c r="X339">
        <v>15439.445099999997</v>
      </c>
      <c r="Y339">
        <v>0.40065038118128793</v>
      </c>
    </row>
    <row r="340" spans="1:25" x14ac:dyDescent="0.3">
      <c r="A340" t="s">
        <v>778</v>
      </c>
      <c r="B340">
        <v>45132</v>
      </c>
      <c r="C340">
        <v>45148</v>
      </c>
      <c r="D340" t="s">
        <v>1492</v>
      </c>
      <c r="E340" t="s">
        <v>1384</v>
      </c>
      <c r="F340">
        <v>16</v>
      </c>
      <c r="G340">
        <v>0</v>
      </c>
      <c r="H340" t="s">
        <v>16</v>
      </c>
      <c r="I340" t="s">
        <v>25</v>
      </c>
      <c r="J340" t="s">
        <v>26</v>
      </c>
      <c r="K340" t="s">
        <v>19</v>
      </c>
      <c r="L340" t="s">
        <v>55</v>
      </c>
      <c r="M340" t="s">
        <v>34</v>
      </c>
      <c r="N340" t="s">
        <v>81</v>
      </c>
      <c r="O340" t="s">
        <v>779</v>
      </c>
      <c r="P340">
        <v>506.83</v>
      </c>
      <c r="Q340">
        <v>441.74</v>
      </c>
      <c r="R340">
        <v>0.24</v>
      </c>
      <c r="S340">
        <v>1</v>
      </c>
      <c r="T340">
        <v>9</v>
      </c>
      <c r="U340" t="s">
        <v>1480</v>
      </c>
      <c r="V340">
        <v>3021.5016000000001</v>
      </c>
      <c r="W340">
        <v>4561.47</v>
      </c>
      <c r="X340">
        <v>-1539.9684000000002</v>
      </c>
      <c r="Y340">
        <v>-0.50966989393618067</v>
      </c>
    </row>
    <row r="341" spans="1:25" x14ac:dyDescent="0.3">
      <c r="A341" t="s">
        <v>780</v>
      </c>
      <c r="B341">
        <v>45121</v>
      </c>
      <c r="C341">
        <v>45128</v>
      </c>
      <c r="D341" t="s">
        <v>1492</v>
      </c>
      <c r="E341" t="s">
        <v>1384</v>
      </c>
      <c r="F341">
        <v>7</v>
      </c>
      <c r="G341">
        <v>1</v>
      </c>
      <c r="H341" t="s">
        <v>16</v>
      </c>
      <c r="I341" t="s">
        <v>148</v>
      </c>
      <c r="J341" t="s">
        <v>172</v>
      </c>
      <c r="K341" t="s">
        <v>105</v>
      </c>
      <c r="L341" t="s">
        <v>40</v>
      </c>
      <c r="M341" t="s">
        <v>75</v>
      </c>
      <c r="N341" t="s">
        <v>64</v>
      </c>
      <c r="O341" t="s">
        <v>781</v>
      </c>
      <c r="P341">
        <v>620.74</v>
      </c>
      <c r="Q341">
        <v>1330.07</v>
      </c>
      <c r="R341">
        <v>0.29899999999999999</v>
      </c>
      <c r="S341">
        <v>1</v>
      </c>
      <c r="T341">
        <v>28</v>
      </c>
      <c r="U341" t="s">
        <v>1485</v>
      </c>
      <c r="V341">
        <v>26106.613960000002</v>
      </c>
      <c r="W341">
        <v>17380.72</v>
      </c>
      <c r="X341">
        <v>8725.8939600000012</v>
      </c>
      <c r="Y341">
        <v>0.33424073965967516</v>
      </c>
    </row>
    <row r="342" spans="1:25" x14ac:dyDescent="0.3">
      <c r="A342" t="s">
        <v>782</v>
      </c>
      <c r="B342">
        <v>45131</v>
      </c>
      <c r="C342">
        <v>45157</v>
      </c>
      <c r="D342" t="s">
        <v>1492</v>
      </c>
      <c r="E342" t="s">
        <v>1384</v>
      </c>
      <c r="F342">
        <v>26</v>
      </c>
      <c r="G342">
        <v>0</v>
      </c>
      <c r="H342" t="s">
        <v>16</v>
      </c>
      <c r="I342" t="s">
        <v>17</v>
      </c>
      <c r="J342" t="s">
        <v>33</v>
      </c>
      <c r="K342" t="s">
        <v>105</v>
      </c>
      <c r="L342" t="s">
        <v>55</v>
      </c>
      <c r="M342" t="s">
        <v>110</v>
      </c>
      <c r="N342" t="s">
        <v>81</v>
      </c>
      <c r="O342" t="s">
        <v>783</v>
      </c>
      <c r="P342">
        <v>661.45</v>
      </c>
      <c r="Q342">
        <v>1634.86</v>
      </c>
      <c r="R342">
        <v>0.3</v>
      </c>
      <c r="S342">
        <v>1</v>
      </c>
      <c r="T342">
        <v>24</v>
      </c>
      <c r="U342" t="s">
        <v>1485</v>
      </c>
      <c r="V342">
        <v>27465.647999999997</v>
      </c>
      <c r="W342">
        <v>15874.800000000001</v>
      </c>
      <c r="X342">
        <v>11590.847999999996</v>
      </c>
      <c r="Y342">
        <v>0.42201254454291404</v>
      </c>
    </row>
    <row r="343" spans="1:25" x14ac:dyDescent="0.3">
      <c r="A343" t="s">
        <v>784</v>
      </c>
      <c r="B343">
        <v>45029</v>
      </c>
      <c r="C343">
        <v>45036</v>
      </c>
      <c r="D343" t="s">
        <v>1490</v>
      </c>
      <c r="E343" t="s">
        <v>1381</v>
      </c>
      <c r="F343">
        <v>7</v>
      </c>
      <c r="G343">
        <v>1</v>
      </c>
      <c r="H343" t="s">
        <v>52</v>
      </c>
      <c r="I343" t="s">
        <v>122</v>
      </c>
      <c r="J343" t="s">
        <v>167</v>
      </c>
      <c r="K343" t="s">
        <v>27</v>
      </c>
      <c r="L343" t="s">
        <v>40</v>
      </c>
      <c r="M343" t="s">
        <v>41</v>
      </c>
      <c r="N343" t="s">
        <v>35</v>
      </c>
      <c r="O343" t="s">
        <v>785</v>
      </c>
      <c r="P343">
        <v>32.1</v>
      </c>
      <c r="Q343">
        <v>70.599999999999994</v>
      </c>
      <c r="R343">
        <v>0.28199999999999997</v>
      </c>
      <c r="S343">
        <v>1</v>
      </c>
      <c r="T343">
        <v>22</v>
      </c>
      <c r="U343" t="s">
        <v>1480</v>
      </c>
      <c r="V343">
        <v>1115.1975999999997</v>
      </c>
      <c r="W343">
        <v>706.2</v>
      </c>
      <c r="X343">
        <v>408.99759999999969</v>
      </c>
      <c r="Y343">
        <v>0.36674899587301818</v>
      </c>
    </row>
    <row r="344" spans="1:25" x14ac:dyDescent="0.3">
      <c r="A344" t="s">
        <v>786</v>
      </c>
      <c r="B344">
        <v>45594</v>
      </c>
      <c r="C344">
        <v>45600</v>
      </c>
      <c r="D344" t="s">
        <v>1481</v>
      </c>
      <c r="E344" t="s">
        <v>1399</v>
      </c>
      <c r="F344">
        <v>6</v>
      </c>
      <c r="G344">
        <v>1</v>
      </c>
      <c r="H344" t="s">
        <v>16</v>
      </c>
      <c r="I344" t="s">
        <v>17</v>
      </c>
      <c r="J344" t="s">
        <v>33</v>
      </c>
      <c r="K344" t="s">
        <v>19</v>
      </c>
      <c r="L344" t="s">
        <v>55</v>
      </c>
      <c r="M344" t="s">
        <v>110</v>
      </c>
      <c r="N344" t="s">
        <v>30</v>
      </c>
      <c r="O344" t="s">
        <v>787</v>
      </c>
      <c r="P344">
        <v>805.81</v>
      </c>
      <c r="Q344">
        <v>1823.04</v>
      </c>
      <c r="R344">
        <v>0</v>
      </c>
      <c r="S344">
        <v>0</v>
      </c>
      <c r="T344">
        <v>11</v>
      </c>
      <c r="U344" t="s">
        <v>1474</v>
      </c>
      <c r="V344">
        <v>20053.439999999999</v>
      </c>
      <c r="W344">
        <v>8863.91</v>
      </c>
      <c r="X344">
        <v>11189.529999999999</v>
      </c>
      <c r="Y344">
        <v>0.55798556257679477</v>
      </c>
    </row>
    <row r="345" spans="1:25" x14ac:dyDescent="0.3">
      <c r="A345" t="s">
        <v>788</v>
      </c>
      <c r="B345">
        <v>45339</v>
      </c>
      <c r="C345">
        <v>45355</v>
      </c>
      <c r="D345" t="s">
        <v>1479</v>
      </c>
      <c r="E345" t="s">
        <v>1391</v>
      </c>
      <c r="F345">
        <v>16</v>
      </c>
      <c r="G345">
        <v>0</v>
      </c>
      <c r="H345" t="s">
        <v>45</v>
      </c>
      <c r="I345" t="s">
        <v>60</v>
      </c>
      <c r="J345" t="s">
        <v>141</v>
      </c>
      <c r="K345" t="s">
        <v>62</v>
      </c>
      <c r="L345" t="s">
        <v>40</v>
      </c>
      <c r="M345" t="s">
        <v>84</v>
      </c>
      <c r="N345" t="s">
        <v>42</v>
      </c>
      <c r="O345" t="s">
        <v>789</v>
      </c>
      <c r="P345">
        <v>1231.8</v>
      </c>
      <c r="Q345">
        <v>2015.99</v>
      </c>
      <c r="R345">
        <v>0.26100000000000001</v>
      </c>
      <c r="S345">
        <v>1</v>
      </c>
      <c r="T345">
        <v>6</v>
      </c>
      <c r="U345" t="s">
        <v>1474</v>
      </c>
      <c r="V345">
        <v>8938.8996600000009</v>
      </c>
      <c r="W345">
        <v>7390.7999999999993</v>
      </c>
      <c r="X345">
        <v>1548.0996600000017</v>
      </c>
      <c r="Y345">
        <v>0.17318682599464391</v>
      </c>
    </row>
    <row r="346" spans="1:25" x14ac:dyDescent="0.3">
      <c r="A346" t="s">
        <v>790</v>
      </c>
      <c r="B346">
        <v>45486</v>
      </c>
      <c r="C346">
        <v>45493</v>
      </c>
      <c r="D346" t="s">
        <v>1491</v>
      </c>
      <c r="E346" t="s">
        <v>1396</v>
      </c>
      <c r="F346">
        <v>7</v>
      </c>
      <c r="G346">
        <v>1</v>
      </c>
      <c r="H346" t="s">
        <v>45</v>
      </c>
      <c r="I346" t="s">
        <v>46</v>
      </c>
      <c r="J346" t="s">
        <v>231</v>
      </c>
      <c r="K346" t="s">
        <v>62</v>
      </c>
      <c r="L346" t="s">
        <v>40</v>
      </c>
      <c r="M346" t="s">
        <v>84</v>
      </c>
      <c r="N346" t="s">
        <v>35</v>
      </c>
      <c r="O346" t="s">
        <v>791</v>
      </c>
      <c r="P346">
        <v>105.13</v>
      </c>
      <c r="Q346">
        <v>244.13</v>
      </c>
      <c r="R346">
        <v>7.0999999999999994E-2</v>
      </c>
      <c r="S346">
        <v>0</v>
      </c>
      <c r="T346">
        <v>14</v>
      </c>
      <c r="U346" t="s">
        <v>1480</v>
      </c>
      <c r="V346">
        <v>3175.1547799999998</v>
      </c>
      <c r="W346">
        <v>1471.82</v>
      </c>
      <c r="X346">
        <v>1703.3347799999999</v>
      </c>
      <c r="Y346">
        <v>0.53645724319618837</v>
      </c>
    </row>
    <row r="347" spans="1:25" x14ac:dyDescent="0.3">
      <c r="A347" t="s">
        <v>792</v>
      </c>
      <c r="B347">
        <v>45261</v>
      </c>
      <c r="C347">
        <v>45278</v>
      </c>
      <c r="D347" t="s">
        <v>1484</v>
      </c>
      <c r="E347" t="s">
        <v>1389</v>
      </c>
      <c r="F347">
        <v>17</v>
      </c>
      <c r="G347">
        <v>0</v>
      </c>
      <c r="H347" t="s">
        <v>45</v>
      </c>
      <c r="I347" t="s">
        <v>46</v>
      </c>
      <c r="J347" t="s">
        <v>231</v>
      </c>
      <c r="K347" t="s">
        <v>62</v>
      </c>
      <c r="L347" t="s">
        <v>98</v>
      </c>
      <c r="M347" t="s">
        <v>126</v>
      </c>
      <c r="N347" t="s">
        <v>57</v>
      </c>
      <c r="O347" t="s">
        <v>793</v>
      </c>
      <c r="P347">
        <v>1495.79</v>
      </c>
      <c r="Q347">
        <v>2783.12</v>
      </c>
      <c r="R347">
        <v>0.02</v>
      </c>
      <c r="S347">
        <v>0</v>
      </c>
      <c r="T347">
        <v>5</v>
      </c>
      <c r="U347" t="s">
        <v>1474</v>
      </c>
      <c r="V347">
        <v>13637.287999999999</v>
      </c>
      <c r="W347">
        <v>7478.95</v>
      </c>
      <c r="X347">
        <v>6158.3379999999988</v>
      </c>
      <c r="Y347">
        <v>0.45158084217331185</v>
      </c>
    </row>
    <row r="348" spans="1:25" x14ac:dyDescent="0.3">
      <c r="A348" t="s">
        <v>794</v>
      </c>
      <c r="B348">
        <v>45498</v>
      </c>
      <c r="C348">
        <v>45506</v>
      </c>
      <c r="D348" t="s">
        <v>1491</v>
      </c>
      <c r="E348" t="s">
        <v>1396</v>
      </c>
      <c r="F348">
        <v>8</v>
      </c>
      <c r="G348">
        <v>0</v>
      </c>
      <c r="H348" t="s">
        <v>52</v>
      </c>
      <c r="I348" t="s">
        <v>53</v>
      </c>
      <c r="J348" t="s">
        <v>144</v>
      </c>
      <c r="K348" t="s">
        <v>48</v>
      </c>
      <c r="L348" t="s">
        <v>98</v>
      </c>
      <c r="M348" t="s">
        <v>29</v>
      </c>
      <c r="N348" t="s">
        <v>81</v>
      </c>
      <c r="O348" t="s">
        <v>795</v>
      </c>
      <c r="P348">
        <v>986.81</v>
      </c>
      <c r="Q348">
        <v>2050.31</v>
      </c>
      <c r="R348">
        <v>0.10299999999999999</v>
      </c>
      <c r="S348">
        <v>0</v>
      </c>
      <c r="T348">
        <v>43</v>
      </c>
      <c r="U348" t="s">
        <v>1474</v>
      </c>
      <c r="V348">
        <v>79082.507010000001</v>
      </c>
      <c r="W348">
        <v>42432.829999999994</v>
      </c>
      <c r="X348">
        <v>36649.677010000007</v>
      </c>
      <c r="Y348">
        <v>0.46343595310358138</v>
      </c>
    </row>
    <row r="349" spans="1:25" x14ac:dyDescent="0.3">
      <c r="A349" t="s">
        <v>796</v>
      </c>
      <c r="B349">
        <v>45050</v>
      </c>
      <c r="C349">
        <v>45062</v>
      </c>
      <c r="D349" t="s">
        <v>1490</v>
      </c>
      <c r="E349" t="s">
        <v>1382</v>
      </c>
      <c r="F349">
        <v>12</v>
      </c>
      <c r="G349">
        <v>0</v>
      </c>
      <c r="H349" t="s">
        <v>16</v>
      </c>
      <c r="I349" t="s">
        <v>25</v>
      </c>
      <c r="J349" t="s">
        <v>67</v>
      </c>
      <c r="K349" t="s">
        <v>62</v>
      </c>
      <c r="L349" t="s">
        <v>40</v>
      </c>
      <c r="M349" t="s">
        <v>29</v>
      </c>
      <c r="N349" t="s">
        <v>42</v>
      </c>
      <c r="O349" t="s">
        <v>797</v>
      </c>
      <c r="P349">
        <v>77.739999999999995</v>
      </c>
      <c r="Q349">
        <v>147.12</v>
      </c>
      <c r="R349">
        <v>0</v>
      </c>
      <c r="S349">
        <v>0</v>
      </c>
      <c r="T349">
        <v>15</v>
      </c>
      <c r="U349" t="s">
        <v>1480</v>
      </c>
      <c r="V349">
        <v>2206.8000000000002</v>
      </c>
      <c r="W349">
        <v>1166.0999999999999</v>
      </c>
      <c r="X349">
        <v>1040.7000000000003</v>
      </c>
      <c r="Y349">
        <v>0.47158781946710177</v>
      </c>
    </row>
    <row r="350" spans="1:25" x14ac:dyDescent="0.3">
      <c r="A350" t="s">
        <v>798</v>
      </c>
      <c r="B350">
        <v>45281</v>
      </c>
      <c r="C350">
        <v>45297</v>
      </c>
      <c r="D350" t="s">
        <v>1484</v>
      </c>
      <c r="E350" t="s">
        <v>1389</v>
      </c>
      <c r="F350">
        <v>16</v>
      </c>
      <c r="G350">
        <v>0</v>
      </c>
      <c r="H350" t="s">
        <v>16</v>
      </c>
      <c r="I350" t="s">
        <v>25</v>
      </c>
      <c r="J350" t="s">
        <v>26</v>
      </c>
      <c r="K350" t="s">
        <v>19</v>
      </c>
      <c r="L350" t="s">
        <v>40</v>
      </c>
      <c r="M350" t="s">
        <v>95</v>
      </c>
      <c r="N350" t="s">
        <v>22</v>
      </c>
      <c r="O350" t="s">
        <v>799</v>
      </c>
      <c r="P350">
        <v>932.61</v>
      </c>
      <c r="Q350">
        <v>1982.98</v>
      </c>
      <c r="R350">
        <v>0.14399999999999999</v>
      </c>
      <c r="S350">
        <v>0</v>
      </c>
      <c r="T350">
        <v>16</v>
      </c>
      <c r="U350" t="s">
        <v>1474</v>
      </c>
      <c r="V350">
        <v>27158.894079999998</v>
      </c>
      <c r="W350">
        <v>14921.76</v>
      </c>
      <c r="X350">
        <v>12237.134079999998</v>
      </c>
      <c r="Y350">
        <v>0.45057556629345635</v>
      </c>
    </row>
    <row r="351" spans="1:25" x14ac:dyDescent="0.3">
      <c r="A351" t="s">
        <v>800</v>
      </c>
      <c r="B351">
        <v>45825</v>
      </c>
      <c r="C351">
        <v>45843</v>
      </c>
      <c r="D351" t="s">
        <v>1487</v>
      </c>
      <c r="E351" t="s">
        <v>1407</v>
      </c>
      <c r="F351">
        <v>18</v>
      </c>
      <c r="G351">
        <v>0</v>
      </c>
      <c r="H351" t="s">
        <v>45</v>
      </c>
      <c r="I351" t="s">
        <v>60</v>
      </c>
      <c r="J351" t="s">
        <v>141</v>
      </c>
      <c r="K351" t="s">
        <v>48</v>
      </c>
      <c r="L351" t="s">
        <v>40</v>
      </c>
      <c r="M351" t="s">
        <v>49</v>
      </c>
      <c r="N351" t="s">
        <v>57</v>
      </c>
      <c r="O351" t="s">
        <v>801</v>
      </c>
      <c r="P351">
        <v>982.93</v>
      </c>
      <c r="Q351">
        <v>2299.3000000000002</v>
      </c>
      <c r="R351">
        <v>0.113</v>
      </c>
      <c r="S351">
        <v>0</v>
      </c>
      <c r="T351">
        <v>6</v>
      </c>
      <c r="U351" t="s">
        <v>1474</v>
      </c>
      <c r="V351">
        <v>12236.874600000001</v>
      </c>
      <c r="W351">
        <v>5897.58</v>
      </c>
      <c r="X351">
        <v>6339.2946000000011</v>
      </c>
      <c r="Y351">
        <v>0.51804850562087157</v>
      </c>
    </row>
    <row r="352" spans="1:25" x14ac:dyDescent="0.3">
      <c r="A352" t="s">
        <v>802</v>
      </c>
      <c r="B352">
        <v>44980</v>
      </c>
      <c r="C352">
        <v>44993</v>
      </c>
      <c r="D352" t="s">
        <v>1482</v>
      </c>
      <c r="E352" t="s">
        <v>1379</v>
      </c>
      <c r="F352">
        <v>13</v>
      </c>
      <c r="G352">
        <v>0</v>
      </c>
      <c r="H352" t="s">
        <v>78</v>
      </c>
      <c r="I352" t="s">
        <v>108</v>
      </c>
      <c r="J352" t="s">
        <v>228</v>
      </c>
      <c r="K352" t="s">
        <v>62</v>
      </c>
      <c r="L352" t="s">
        <v>98</v>
      </c>
      <c r="M352" t="s">
        <v>21</v>
      </c>
      <c r="N352" t="s">
        <v>30</v>
      </c>
      <c r="O352" t="s">
        <v>803</v>
      </c>
      <c r="P352">
        <v>307.37</v>
      </c>
      <c r="Q352">
        <v>462.61</v>
      </c>
      <c r="R352">
        <v>0.188</v>
      </c>
      <c r="S352">
        <v>0</v>
      </c>
      <c r="T352">
        <v>11</v>
      </c>
      <c r="U352" t="s">
        <v>1480</v>
      </c>
      <c r="V352">
        <v>4132.0325200000007</v>
      </c>
      <c r="W352">
        <v>3381.07</v>
      </c>
      <c r="X352">
        <v>750.9625200000005</v>
      </c>
      <c r="Y352">
        <v>0.18174167709599739</v>
      </c>
    </row>
    <row r="353" spans="1:25" x14ac:dyDescent="0.3">
      <c r="A353" t="s">
        <v>804</v>
      </c>
      <c r="B353">
        <v>45262</v>
      </c>
      <c r="C353">
        <v>45276</v>
      </c>
      <c r="D353" t="s">
        <v>1484</v>
      </c>
      <c r="E353" t="s">
        <v>1389</v>
      </c>
      <c r="F353">
        <v>14</v>
      </c>
      <c r="G353">
        <v>0</v>
      </c>
      <c r="H353" t="s">
        <v>78</v>
      </c>
      <c r="I353" t="s">
        <v>79</v>
      </c>
      <c r="J353" t="s">
        <v>335</v>
      </c>
      <c r="K353" t="s">
        <v>27</v>
      </c>
      <c r="L353" t="s">
        <v>98</v>
      </c>
      <c r="M353" t="s">
        <v>126</v>
      </c>
      <c r="N353" t="s">
        <v>64</v>
      </c>
      <c r="O353" t="s">
        <v>805</v>
      </c>
      <c r="P353">
        <v>879.08</v>
      </c>
      <c r="Q353">
        <v>1093.3900000000001</v>
      </c>
      <c r="R353">
        <v>0.113</v>
      </c>
      <c r="S353">
        <v>0</v>
      </c>
      <c r="T353">
        <v>17</v>
      </c>
      <c r="U353" t="s">
        <v>1485</v>
      </c>
      <c r="V353">
        <v>16487.22781</v>
      </c>
      <c r="W353">
        <v>14944.36</v>
      </c>
      <c r="X353">
        <v>1542.8678099999997</v>
      </c>
      <c r="Y353">
        <v>9.3579577341935186E-2</v>
      </c>
    </row>
    <row r="354" spans="1:25" x14ac:dyDescent="0.3">
      <c r="A354" t="s">
        <v>806</v>
      </c>
      <c r="B354">
        <v>45121</v>
      </c>
      <c r="C354">
        <v>45121</v>
      </c>
      <c r="D354" t="s">
        <v>1492</v>
      </c>
      <c r="E354" t="s">
        <v>1384</v>
      </c>
      <c r="F354">
        <v>0</v>
      </c>
      <c r="G354">
        <v>1</v>
      </c>
      <c r="H354" t="s">
        <v>16</v>
      </c>
      <c r="I354" t="s">
        <v>25</v>
      </c>
      <c r="J354" t="s">
        <v>38</v>
      </c>
      <c r="K354" t="s">
        <v>27</v>
      </c>
      <c r="L354" t="s">
        <v>20</v>
      </c>
      <c r="M354" t="s">
        <v>34</v>
      </c>
      <c r="N354" t="s">
        <v>81</v>
      </c>
      <c r="O354" t="s">
        <v>807</v>
      </c>
      <c r="P354">
        <v>956.38</v>
      </c>
      <c r="Q354">
        <v>1454.22</v>
      </c>
      <c r="R354">
        <v>3.9E-2</v>
      </c>
      <c r="S354">
        <v>0</v>
      </c>
      <c r="T354">
        <v>19</v>
      </c>
      <c r="U354" t="s">
        <v>1485</v>
      </c>
      <c r="V354">
        <v>26552.60298</v>
      </c>
      <c r="W354">
        <v>18171.22</v>
      </c>
      <c r="X354">
        <v>8381.3829799999985</v>
      </c>
      <c r="Y354">
        <v>0.31565202802576603</v>
      </c>
    </row>
    <row r="355" spans="1:25" x14ac:dyDescent="0.3">
      <c r="A355" t="s">
        <v>808</v>
      </c>
      <c r="B355">
        <v>45512</v>
      </c>
      <c r="C355">
        <v>45524</v>
      </c>
      <c r="D355" t="s">
        <v>1491</v>
      </c>
      <c r="E355" t="s">
        <v>1397</v>
      </c>
      <c r="F355">
        <v>12</v>
      </c>
      <c r="G355">
        <v>0</v>
      </c>
      <c r="H355" t="s">
        <v>45</v>
      </c>
      <c r="I355" t="s">
        <v>46</v>
      </c>
      <c r="J355" t="s">
        <v>47</v>
      </c>
      <c r="K355" t="s">
        <v>62</v>
      </c>
      <c r="L355" t="s">
        <v>20</v>
      </c>
      <c r="M355" t="s">
        <v>92</v>
      </c>
      <c r="N355" t="s">
        <v>35</v>
      </c>
      <c r="O355" t="s">
        <v>809</v>
      </c>
      <c r="P355">
        <v>1233.3599999999999</v>
      </c>
      <c r="Q355">
        <v>2120.4</v>
      </c>
      <c r="R355">
        <v>0.17899999999999999</v>
      </c>
      <c r="S355">
        <v>0</v>
      </c>
      <c r="T355">
        <v>20</v>
      </c>
      <c r="U355" t="s">
        <v>1474</v>
      </c>
      <c r="V355">
        <v>34816.968000000001</v>
      </c>
      <c r="W355">
        <v>24667.199999999997</v>
      </c>
      <c r="X355">
        <v>10149.768000000004</v>
      </c>
      <c r="Y355">
        <v>0.29151785991244278</v>
      </c>
    </row>
    <row r="356" spans="1:25" x14ac:dyDescent="0.3">
      <c r="A356" t="s">
        <v>810</v>
      </c>
      <c r="B356">
        <v>45603</v>
      </c>
      <c r="C356">
        <v>45622</v>
      </c>
      <c r="D356" t="s">
        <v>1481</v>
      </c>
      <c r="E356" t="s">
        <v>1400</v>
      </c>
      <c r="F356">
        <v>19</v>
      </c>
      <c r="G356">
        <v>0</v>
      </c>
      <c r="H356" t="s">
        <v>52</v>
      </c>
      <c r="I356" t="s">
        <v>73</v>
      </c>
      <c r="J356" t="s">
        <v>225</v>
      </c>
      <c r="K356" t="s">
        <v>39</v>
      </c>
      <c r="L356" t="s">
        <v>55</v>
      </c>
      <c r="M356" t="s">
        <v>29</v>
      </c>
      <c r="N356" t="s">
        <v>30</v>
      </c>
      <c r="O356" t="s">
        <v>811</v>
      </c>
      <c r="P356">
        <v>55.35</v>
      </c>
      <c r="Q356">
        <v>128.68</v>
      </c>
      <c r="R356">
        <v>0.128</v>
      </c>
      <c r="S356">
        <v>0</v>
      </c>
      <c r="T356">
        <v>10</v>
      </c>
      <c r="U356" t="s">
        <v>1480</v>
      </c>
      <c r="V356">
        <v>1122.0896000000002</v>
      </c>
      <c r="W356">
        <v>553.5</v>
      </c>
      <c r="X356">
        <v>568.58960000000025</v>
      </c>
      <c r="Y356">
        <v>0.50672388372550647</v>
      </c>
    </row>
    <row r="357" spans="1:25" x14ac:dyDescent="0.3">
      <c r="A357" t="s">
        <v>812</v>
      </c>
      <c r="B357">
        <v>45292</v>
      </c>
      <c r="C357">
        <v>45318</v>
      </c>
      <c r="D357" t="s">
        <v>1479</v>
      </c>
      <c r="E357" t="s">
        <v>1390</v>
      </c>
      <c r="F357">
        <v>26</v>
      </c>
      <c r="G357">
        <v>0</v>
      </c>
      <c r="H357" t="s">
        <v>78</v>
      </c>
      <c r="I357" t="s">
        <v>108</v>
      </c>
      <c r="J357" t="s">
        <v>228</v>
      </c>
      <c r="K357" t="s">
        <v>27</v>
      </c>
      <c r="L357" t="s">
        <v>55</v>
      </c>
      <c r="M357" t="s">
        <v>145</v>
      </c>
      <c r="N357" t="s">
        <v>81</v>
      </c>
      <c r="O357" t="s">
        <v>813</v>
      </c>
      <c r="P357">
        <v>657.45</v>
      </c>
      <c r="Q357">
        <v>1325.96</v>
      </c>
      <c r="R357">
        <v>0.16700000000000001</v>
      </c>
      <c r="S357">
        <v>0</v>
      </c>
      <c r="T357">
        <v>21</v>
      </c>
      <c r="U357" t="s">
        <v>1485</v>
      </c>
      <c r="V357">
        <v>23195.01828</v>
      </c>
      <c r="W357">
        <v>13806.45</v>
      </c>
      <c r="X357">
        <v>9388.5682799999995</v>
      </c>
      <c r="Y357">
        <v>0.40476658249048808</v>
      </c>
    </row>
    <row r="358" spans="1:25" x14ac:dyDescent="0.3">
      <c r="A358" t="s">
        <v>814</v>
      </c>
      <c r="B358">
        <v>45883</v>
      </c>
      <c r="C358">
        <v>45911</v>
      </c>
      <c r="D358" t="s">
        <v>1488</v>
      </c>
      <c r="E358" t="s">
        <v>1409</v>
      </c>
      <c r="F358">
        <v>28</v>
      </c>
      <c r="G358">
        <v>0</v>
      </c>
      <c r="H358" t="s">
        <v>52</v>
      </c>
      <c r="I358" t="s">
        <v>73</v>
      </c>
      <c r="J358" t="s">
        <v>74</v>
      </c>
      <c r="K358" t="s">
        <v>39</v>
      </c>
      <c r="L358" t="s">
        <v>98</v>
      </c>
      <c r="M358" t="s">
        <v>84</v>
      </c>
      <c r="N358" t="s">
        <v>30</v>
      </c>
      <c r="O358" t="s">
        <v>815</v>
      </c>
      <c r="P358">
        <v>1203.02</v>
      </c>
      <c r="Q358">
        <v>2439.33</v>
      </c>
      <c r="R358">
        <v>0</v>
      </c>
      <c r="S358">
        <v>0</v>
      </c>
      <c r="T358">
        <v>18</v>
      </c>
      <c r="U358" t="s">
        <v>1474</v>
      </c>
      <c r="V358">
        <v>43907.94</v>
      </c>
      <c r="W358">
        <v>21654.36</v>
      </c>
      <c r="X358">
        <v>22253.58</v>
      </c>
      <c r="Y358">
        <v>0.50682359500354612</v>
      </c>
    </row>
    <row r="359" spans="1:25" x14ac:dyDescent="0.3">
      <c r="A359" t="s">
        <v>816</v>
      </c>
      <c r="B359">
        <v>45385</v>
      </c>
      <c r="C359">
        <v>45403</v>
      </c>
      <c r="D359" t="s">
        <v>1486</v>
      </c>
      <c r="E359" t="s">
        <v>1393</v>
      </c>
      <c r="F359">
        <v>18</v>
      </c>
      <c r="G359">
        <v>0</v>
      </c>
      <c r="H359" t="s">
        <v>52</v>
      </c>
      <c r="I359" t="s">
        <v>73</v>
      </c>
      <c r="J359" t="s">
        <v>87</v>
      </c>
      <c r="K359" t="s">
        <v>62</v>
      </c>
      <c r="L359" t="s">
        <v>55</v>
      </c>
      <c r="M359" t="s">
        <v>56</v>
      </c>
      <c r="N359" t="s">
        <v>35</v>
      </c>
      <c r="O359" t="s">
        <v>817</v>
      </c>
      <c r="P359">
        <v>1176.69</v>
      </c>
      <c r="Q359">
        <v>2201.54</v>
      </c>
      <c r="R359">
        <v>0.17</v>
      </c>
      <c r="S359">
        <v>0</v>
      </c>
      <c r="T359">
        <v>27</v>
      </c>
      <c r="U359" t="s">
        <v>1474</v>
      </c>
      <c r="V359">
        <v>49336.511399999996</v>
      </c>
      <c r="W359">
        <v>31770.63</v>
      </c>
      <c r="X359">
        <v>17565.881399999995</v>
      </c>
      <c r="Y359">
        <v>0.35604222717701106</v>
      </c>
    </row>
    <row r="360" spans="1:25" x14ac:dyDescent="0.3">
      <c r="A360" t="s">
        <v>818</v>
      </c>
      <c r="B360">
        <v>45621</v>
      </c>
      <c r="C360">
        <v>45633</v>
      </c>
      <c r="D360" t="s">
        <v>1481</v>
      </c>
      <c r="E360" t="s">
        <v>1400</v>
      </c>
      <c r="F360">
        <v>12</v>
      </c>
      <c r="G360">
        <v>0</v>
      </c>
      <c r="H360" t="s">
        <v>45</v>
      </c>
      <c r="I360" t="s">
        <v>116</v>
      </c>
      <c r="J360" t="s">
        <v>162</v>
      </c>
      <c r="K360" t="s">
        <v>19</v>
      </c>
      <c r="L360" t="s">
        <v>55</v>
      </c>
      <c r="M360" t="s">
        <v>75</v>
      </c>
      <c r="N360" t="s">
        <v>81</v>
      </c>
      <c r="O360" t="s">
        <v>819</v>
      </c>
      <c r="P360">
        <v>769.9</v>
      </c>
      <c r="Q360">
        <v>814.36</v>
      </c>
      <c r="R360">
        <v>0</v>
      </c>
      <c r="S360">
        <v>0</v>
      </c>
      <c r="T360">
        <v>5</v>
      </c>
      <c r="U360" t="s">
        <v>1480</v>
      </c>
      <c r="V360">
        <v>4071.8</v>
      </c>
      <c r="W360">
        <v>3849.5</v>
      </c>
      <c r="X360">
        <v>222.30000000000018</v>
      </c>
      <c r="Y360">
        <v>5.4595019401738831E-2</v>
      </c>
    </row>
    <row r="361" spans="1:25" x14ac:dyDescent="0.3">
      <c r="A361" t="s">
        <v>820</v>
      </c>
      <c r="B361">
        <v>45309</v>
      </c>
      <c r="C361">
        <v>45325</v>
      </c>
      <c r="D361" t="s">
        <v>1479</v>
      </c>
      <c r="E361" t="s">
        <v>1390</v>
      </c>
      <c r="F361">
        <v>16</v>
      </c>
      <c r="G361">
        <v>0</v>
      </c>
      <c r="H361" t="s">
        <v>16</v>
      </c>
      <c r="I361" t="s">
        <v>148</v>
      </c>
      <c r="J361" t="s">
        <v>258</v>
      </c>
      <c r="K361" t="s">
        <v>39</v>
      </c>
      <c r="L361" t="s">
        <v>55</v>
      </c>
      <c r="M361" t="s">
        <v>49</v>
      </c>
      <c r="N361" t="s">
        <v>30</v>
      </c>
      <c r="O361" t="s">
        <v>821</v>
      </c>
      <c r="P361">
        <v>666.23</v>
      </c>
      <c r="Q361">
        <v>1382.91</v>
      </c>
      <c r="R361">
        <v>0.17599999999999999</v>
      </c>
      <c r="S361">
        <v>0</v>
      </c>
      <c r="T361">
        <v>13</v>
      </c>
      <c r="U361" t="s">
        <v>1485</v>
      </c>
      <c r="V361">
        <v>14813.731920000002</v>
      </c>
      <c r="W361">
        <v>8660.99</v>
      </c>
      <c r="X361">
        <v>6152.7419200000022</v>
      </c>
      <c r="Y361">
        <v>0.41534043907553048</v>
      </c>
    </row>
    <row r="362" spans="1:25" x14ac:dyDescent="0.3">
      <c r="A362" t="s">
        <v>822</v>
      </c>
      <c r="B362">
        <v>45466</v>
      </c>
      <c r="C362">
        <v>45468</v>
      </c>
      <c r="D362" t="s">
        <v>1486</v>
      </c>
      <c r="E362" t="s">
        <v>1395</v>
      </c>
      <c r="F362">
        <v>2</v>
      </c>
      <c r="G362">
        <v>1</v>
      </c>
      <c r="H362" t="s">
        <v>78</v>
      </c>
      <c r="I362" t="s">
        <v>108</v>
      </c>
      <c r="J362" t="s">
        <v>109</v>
      </c>
      <c r="K362" t="s">
        <v>62</v>
      </c>
      <c r="L362" t="s">
        <v>40</v>
      </c>
      <c r="M362" t="s">
        <v>49</v>
      </c>
      <c r="N362" t="s">
        <v>81</v>
      </c>
      <c r="O362" t="s">
        <v>823</v>
      </c>
      <c r="P362">
        <v>951.44</v>
      </c>
      <c r="Q362">
        <v>1646.43</v>
      </c>
      <c r="R362">
        <v>0.11</v>
      </c>
      <c r="S362">
        <v>0</v>
      </c>
      <c r="T362">
        <v>24</v>
      </c>
      <c r="U362" t="s">
        <v>1474</v>
      </c>
      <c r="V362">
        <v>35167.7448</v>
      </c>
      <c r="W362">
        <v>22834.560000000001</v>
      </c>
      <c r="X362">
        <v>12333.184799999999</v>
      </c>
      <c r="Y362">
        <v>0.35069592520473475</v>
      </c>
    </row>
    <row r="363" spans="1:25" x14ac:dyDescent="0.3">
      <c r="A363" t="s">
        <v>824</v>
      </c>
      <c r="B363">
        <v>45833</v>
      </c>
      <c r="C363">
        <v>45848</v>
      </c>
      <c r="D363" t="s">
        <v>1487</v>
      </c>
      <c r="E363" t="s">
        <v>1407</v>
      </c>
      <c r="F363">
        <v>15</v>
      </c>
      <c r="G363">
        <v>0</v>
      </c>
      <c r="H363" t="s">
        <v>78</v>
      </c>
      <c r="I363" t="s">
        <v>108</v>
      </c>
      <c r="J363" t="s">
        <v>109</v>
      </c>
      <c r="K363" t="s">
        <v>39</v>
      </c>
      <c r="L363" t="s">
        <v>40</v>
      </c>
      <c r="M363" t="s">
        <v>145</v>
      </c>
      <c r="N363" t="s">
        <v>42</v>
      </c>
      <c r="O363" t="s">
        <v>825</v>
      </c>
      <c r="P363">
        <v>546.83000000000004</v>
      </c>
      <c r="Q363">
        <v>400.84</v>
      </c>
      <c r="R363">
        <v>7.8E-2</v>
      </c>
      <c r="S363">
        <v>0</v>
      </c>
      <c r="T363">
        <v>13</v>
      </c>
      <c r="U363" t="s">
        <v>1480</v>
      </c>
      <c r="V363">
        <v>4804.4682400000002</v>
      </c>
      <c r="W363">
        <v>7108.7900000000009</v>
      </c>
      <c r="X363">
        <v>-2304.3217600000007</v>
      </c>
      <c r="Y363">
        <v>-0.47962056254533608</v>
      </c>
    </row>
    <row r="364" spans="1:25" x14ac:dyDescent="0.3">
      <c r="A364" t="s">
        <v>826</v>
      </c>
      <c r="B364">
        <v>45108</v>
      </c>
      <c r="C364">
        <v>45115</v>
      </c>
      <c r="D364" t="s">
        <v>1492</v>
      </c>
      <c r="E364" t="s">
        <v>1384</v>
      </c>
      <c r="F364">
        <v>7</v>
      </c>
      <c r="G364">
        <v>1</v>
      </c>
      <c r="H364" t="s">
        <v>16</v>
      </c>
      <c r="I364" t="s">
        <v>25</v>
      </c>
      <c r="J364" t="s">
        <v>26</v>
      </c>
      <c r="K364" t="s">
        <v>19</v>
      </c>
      <c r="L364" t="s">
        <v>20</v>
      </c>
      <c r="M364" t="s">
        <v>75</v>
      </c>
      <c r="N364" t="s">
        <v>57</v>
      </c>
      <c r="O364" t="s">
        <v>827</v>
      </c>
      <c r="P364">
        <v>834.26</v>
      </c>
      <c r="Q364">
        <v>1780.56</v>
      </c>
      <c r="R364">
        <v>1.4E-2</v>
      </c>
      <c r="S364">
        <v>0</v>
      </c>
      <c r="T364">
        <v>47</v>
      </c>
      <c r="U364" t="s">
        <v>1474</v>
      </c>
      <c r="V364">
        <v>82514.711519999997</v>
      </c>
      <c r="W364">
        <v>39210.22</v>
      </c>
      <c r="X364">
        <v>43304.491519999996</v>
      </c>
      <c r="Y364">
        <v>0.5248093427497933</v>
      </c>
    </row>
    <row r="365" spans="1:25" x14ac:dyDescent="0.3">
      <c r="A365" t="s">
        <v>828</v>
      </c>
      <c r="B365">
        <v>45360</v>
      </c>
      <c r="C365">
        <v>45377</v>
      </c>
      <c r="D365" t="s">
        <v>1479</v>
      </c>
      <c r="E365" t="s">
        <v>1392</v>
      </c>
      <c r="F365">
        <v>17</v>
      </c>
      <c r="G365">
        <v>0</v>
      </c>
      <c r="H365" t="s">
        <v>45</v>
      </c>
      <c r="I365" t="s">
        <v>116</v>
      </c>
      <c r="J365" t="s">
        <v>117</v>
      </c>
      <c r="K365" t="s">
        <v>105</v>
      </c>
      <c r="L365" t="s">
        <v>28</v>
      </c>
      <c r="M365" t="s">
        <v>95</v>
      </c>
      <c r="N365" t="s">
        <v>64</v>
      </c>
      <c r="O365" t="s">
        <v>829</v>
      </c>
      <c r="P365">
        <v>1029.67</v>
      </c>
      <c r="Q365">
        <v>1118.43</v>
      </c>
      <c r="R365">
        <v>0.27200000000000002</v>
      </c>
      <c r="S365">
        <v>1</v>
      </c>
      <c r="T365">
        <v>9</v>
      </c>
      <c r="U365" t="s">
        <v>1485</v>
      </c>
      <c r="V365">
        <v>7327.9533600000004</v>
      </c>
      <c r="W365">
        <v>9267.0300000000007</v>
      </c>
      <c r="X365">
        <v>-1939.0766400000002</v>
      </c>
      <c r="Y365">
        <v>-0.26461367106736061</v>
      </c>
    </row>
    <row r="366" spans="1:25" x14ac:dyDescent="0.3">
      <c r="A366" t="s">
        <v>830</v>
      </c>
      <c r="B366">
        <v>45082</v>
      </c>
      <c r="C366">
        <v>45105</v>
      </c>
      <c r="D366" t="s">
        <v>1490</v>
      </c>
      <c r="E366" t="s">
        <v>1383</v>
      </c>
      <c r="F366">
        <v>23</v>
      </c>
      <c r="G366">
        <v>0</v>
      </c>
      <c r="H366" t="s">
        <v>78</v>
      </c>
      <c r="I366" t="s">
        <v>108</v>
      </c>
      <c r="J366" t="s">
        <v>109</v>
      </c>
      <c r="K366" t="s">
        <v>19</v>
      </c>
      <c r="L366" t="s">
        <v>98</v>
      </c>
      <c r="M366" t="s">
        <v>95</v>
      </c>
      <c r="N366" t="s">
        <v>30</v>
      </c>
      <c r="O366" t="s">
        <v>831</v>
      </c>
      <c r="P366">
        <v>605.82000000000005</v>
      </c>
      <c r="Q366">
        <v>771.12</v>
      </c>
      <c r="R366">
        <v>0.13200000000000001</v>
      </c>
      <c r="S366">
        <v>0</v>
      </c>
      <c r="T366">
        <v>19</v>
      </c>
      <c r="U366" t="s">
        <v>1480</v>
      </c>
      <c r="V366">
        <v>12717.311040000001</v>
      </c>
      <c r="W366">
        <v>11510.580000000002</v>
      </c>
      <c r="X366">
        <v>1206.7310399999988</v>
      </c>
      <c r="Y366">
        <v>9.4888851597986767E-2</v>
      </c>
    </row>
    <row r="367" spans="1:25" x14ac:dyDescent="0.3">
      <c r="A367" t="s">
        <v>832</v>
      </c>
      <c r="B367">
        <v>45737</v>
      </c>
      <c r="C367">
        <v>45756</v>
      </c>
      <c r="D367" t="s">
        <v>1483</v>
      </c>
      <c r="E367" t="s">
        <v>1404</v>
      </c>
      <c r="F367">
        <v>19</v>
      </c>
      <c r="G367">
        <v>0</v>
      </c>
      <c r="H367" t="s">
        <v>45</v>
      </c>
      <c r="I367" t="s">
        <v>46</v>
      </c>
      <c r="J367" t="s">
        <v>214</v>
      </c>
      <c r="K367" t="s">
        <v>62</v>
      </c>
      <c r="L367" t="s">
        <v>55</v>
      </c>
      <c r="M367" t="s">
        <v>63</v>
      </c>
      <c r="N367" t="s">
        <v>22</v>
      </c>
      <c r="O367" t="s">
        <v>833</v>
      </c>
      <c r="P367">
        <v>1055.45</v>
      </c>
      <c r="Q367">
        <v>1210.04</v>
      </c>
      <c r="R367">
        <v>8.9999999999999993E-3</v>
      </c>
      <c r="S367">
        <v>0</v>
      </c>
      <c r="T367">
        <v>18</v>
      </c>
      <c r="U367" t="s">
        <v>1485</v>
      </c>
      <c r="V367">
        <v>21584.693520000001</v>
      </c>
      <c r="W367">
        <v>18998.100000000002</v>
      </c>
      <c r="X367">
        <v>2586.5935199999985</v>
      </c>
      <c r="Y367">
        <v>0.1198346188053727</v>
      </c>
    </row>
    <row r="368" spans="1:25" x14ac:dyDescent="0.3">
      <c r="A368" t="s">
        <v>834</v>
      </c>
      <c r="B368">
        <v>45445</v>
      </c>
      <c r="C368">
        <v>45458</v>
      </c>
      <c r="D368" t="s">
        <v>1486</v>
      </c>
      <c r="E368" t="s">
        <v>1395</v>
      </c>
      <c r="F368">
        <v>13</v>
      </c>
      <c r="G368">
        <v>0</v>
      </c>
      <c r="H368" t="s">
        <v>16</v>
      </c>
      <c r="I368" t="s">
        <v>17</v>
      </c>
      <c r="J368" t="s">
        <v>113</v>
      </c>
      <c r="K368" t="s">
        <v>27</v>
      </c>
      <c r="L368" t="s">
        <v>28</v>
      </c>
      <c r="M368" t="s">
        <v>68</v>
      </c>
      <c r="N368" t="s">
        <v>42</v>
      </c>
      <c r="O368" t="s">
        <v>835</v>
      </c>
      <c r="P368">
        <v>1295.18</v>
      </c>
      <c r="Q368">
        <v>3024.03</v>
      </c>
      <c r="R368">
        <v>0.192</v>
      </c>
      <c r="S368">
        <v>0</v>
      </c>
      <c r="T368">
        <v>8</v>
      </c>
      <c r="U368" t="s">
        <v>1474</v>
      </c>
      <c r="V368">
        <v>19547.329920000004</v>
      </c>
      <c r="W368">
        <v>10361.44</v>
      </c>
      <c r="X368">
        <v>9185.8899200000033</v>
      </c>
      <c r="Y368">
        <v>0.46993067378483178</v>
      </c>
    </row>
    <row r="369" spans="1:25" x14ac:dyDescent="0.3">
      <c r="A369" t="s">
        <v>836</v>
      </c>
      <c r="B369">
        <v>45731</v>
      </c>
      <c r="C369">
        <v>45745</v>
      </c>
      <c r="D369" t="s">
        <v>1483</v>
      </c>
      <c r="E369" t="s">
        <v>1404</v>
      </c>
      <c r="F369">
        <v>14</v>
      </c>
      <c r="G369">
        <v>0</v>
      </c>
      <c r="H369" t="s">
        <v>45</v>
      </c>
      <c r="I369" t="s">
        <v>60</v>
      </c>
      <c r="J369" t="s">
        <v>220</v>
      </c>
      <c r="K369" t="s">
        <v>105</v>
      </c>
      <c r="L369" t="s">
        <v>98</v>
      </c>
      <c r="M369" t="s">
        <v>21</v>
      </c>
      <c r="N369" t="s">
        <v>22</v>
      </c>
      <c r="O369" t="s">
        <v>837</v>
      </c>
      <c r="P369">
        <v>935.83</v>
      </c>
      <c r="Q369">
        <v>2303.46</v>
      </c>
      <c r="R369">
        <v>0.105</v>
      </c>
      <c r="S369">
        <v>0</v>
      </c>
      <c r="T369">
        <v>9</v>
      </c>
      <c r="U369" t="s">
        <v>1474</v>
      </c>
      <c r="V369">
        <v>18554.370299999999</v>
      </c>
      <c r="W369">
        <v>8422.4700000000012</v>
      </c>
      <c r="X369">
        <v>10131.900299999998</v>
      </c>
      <c r="Y369">
        <v>0.54606543559174292</v>
      </c>
    </row>
    <row r="370" spans="1:25" x14ac:dyDescent="0.3">
      <c r="A370" t="s">
        <v>838</v>
      </c>
      <c r="B370">
        <v>45194</v>
      </c>
      <c r="C370">
        <v>45208</v>
      </c>
      <c r="D370" t="s">
        <v>1492</v>
      </c>
      <c r="E370" t="s">
        <v>1493</v>
      </c>
      <c r="F370">
        <v>14</v>
      </c>
      <c r="G370">
        <v>0</v>
      </c>
      <c r="H370" t="s">
        <v>52</v>
      </c>
      <c r="I370" t="s">
        <v>122</v>
      </c>
      <c r="J370" t="s">
        <v>387</v>
      </c>
      <c r="K370" t="s">
        <v>62</v>
      </c>
      <c r="L370" t="s">
        <v>40</v>
      </c>
      <c r="M370" t="s">
        <v>29</v>
      </c>
      <c r="N370" t="s">
        <v>57</v>
      </c>
      <c r="O370" t="s">
        <v>839</v>
      </c>
      <c r="P370">
        <v>1279.56</v>
      </c>
      <c r="Q370">
        <v>3083.8</v>
      </c>
      <c r="R370">
        <v>0.106</v>
      </c>
      <c r="S370">
        <v>0</v>
      </c>
      <c r="T370">
        <v>5</v>
      </c>
      <c r="U370" t="s">
        <v>1474</v>
      </c>
      <c r="V370">
        <v>13784.586000000001</v>
      </c>
      <c r="W370">
        <v>6397.7999999999993</v>
      </c>
      <c r="X370">
        <v>7386.7860000000019</v>
      </c>
      <c r="Y370">
        <v>0.53587289455047848</v>
      </c>
    </row>
    <row r="371" spans="1:25" x14ac:dyDescent="0.3">
      <c r="A371" t="s">
        <v>840</v>
      </c>
      <c r="B371">
        <v>45832</v>
      </c>
      <c r="C371">
        <v>45861</v>
      </c>
      <c r="D371" t="s">
        <v>1487</v>
      </c>
      <c r="E371" t="s">
        <v>1407</v>
      </c>
      <c r="F371">
        <v>29</v>
      </c>
      <c r="G371">
        <v>0</v>
      </c>
      <c r="H371" t="s">
        <v>52</v>
      </c>
      <c r="I371" t="s">
        <v>53</v>
      </c>
      <c r="J371" t="s">
        <v>179</v>
      </c>
      <c r="K371" t="s">
        <v>39</v>
      </c>
      <c r="L371" t="s">
        <v>40</v>
      </c>
      <c r="M371" t="s">
        <v>34</v>
      </c>
      <c r="N371" t="s">
        <v>30</v>
      </c>
      <c r="O371" t="s">
        <v>841</v>
      </c>
      <c r="P371">
        <v>255.4</v>
      </c>
      <c r="Q371">
        <v>322.70999999999998</v>
      </c>
      <c r="R371">
        <v>0.115</v>
      </c>
      <c r="S371">
        <v>0</v>
      </c>
      <c r="T371">
        <v>16</v>
      </c>
      <c r="U371" t="s">
        <v>1480</v>
      </c>
      <c r="V371">
        <v>4569.5735999999997</v>
      </c>
      <c r="W371">
        <v>4086.4</v>
      </c>
      <c r="X371">
        <v>483.17359999999962</v>
      </c>
      <c r="Y371">
        <v>0.10573713048412212</v>
      </c>
    </row>
    <row r="372" spans="1:25" x14ac:dyDescent="0.3">
      <c r="A372" t="s">
        <v>842</v>
      </c>
      <c r="B372">
        <v>45286</v>
      </c>
      <c r="C372">
        <v>45294</v>
      </c>
      <c r="D372" t="s">
        <v>1484</v>
      </c>
      <c r="E372" t="s">
        <v>1389</v>
      </c>
      <c r="F372">
        <v>8</v>
      </c>
      <c r="G372">
        <v>0</v>
      </c>
      <c r="H372" t="s">
        <v>78</v>
      </c>
      <c r="I372" t="s">
        <v>90</v>
      </c>
      <c r="J372" t="s">
        <v>138</v>
      </c>
      <c r="K372" t="s">
        <v>62</v>
      </c>
      <c r="L372" t="s">
        <v>20</v>
      </c>
      <c r="M372" t="s">
        <v>110</v>
      </c>
      <c r="N372" t="s">
        <v>57</v>
      </c>
      <c r="O372" t="s">
        <v>843</v>
      </c>
      <c r="P372">
        <v>492.75</v>
      </c>
      <c r="Q372">
        <v>731.29</v>
      </c>
      <c r="R372">
        <v>5.8000000000000003E-2</v>
      </c>
      <c r="S372">
        <v>0</v>
      </c>
      <c r="T372">
        <v>6</v>
      </c>
      <c r="U372" t="s">
        <v>1480</v>
      </c>
      <c r="V372">
        <v>4133.25108</v>
      </c>
      <c r="W372">
        <v>2956.5</v>
      </c>
      <c r="X372">
        <v>1176.75108</v>
      </c>
      <c r="Y372">
        <v>0.28470350753528384</v>
      </c>
    </row>
    <row r="373" spans="1:25" x14ac:dyDescent="0.3">
      <c r="A373" t="s">
        <v>844</v>
      </c>
      <c r="B373">
        <v>44962</v>
      </c>
      <c r="C373">
        <v>44985</v>
      </c>
      <c r="D373" t="s">
        <v>1482</v>
      </c>
      <c r="E373" t="s">
        <v>1379</v>
      </c>
      <c r="F373">
        <v>23</v>
      </c>
      <c r="G373">
        <v>0</v>
      </c>
      <c r="H373" t="s">
        <v>52</v>
      </c>
      <c r="I373" t="s">
        <v>122</v>
      </c>
      <c r="J373" t="s">
        <v>326</v>
      </c>
      <c r="K373" t="s">
        <v>39</v>
      </c>
      <c r="L373" t="s">
        <v>55</v>
      </c>
      <c r="M373" t="s">
        <v>49</v>
      </c>
      <c r="N373" t="s">
        <v>42</v>
      </c>
      <c r="O373" t="s">
        <v>845</v>
      </c>
      <c r="P373">
        <v>1214.49</v>
      </c>
      <c r="Q373">
        <v>1533.95</v>
      </c>
      <c r="R373">
        <v>0</v>
      </c>
      <c r="S373">
        <v>0</v>
      </c>
      <c r="T373">
        <v>11</v>
      </c>
      <c r="U373" t="s">
        <v>1485</v>
      </c>
      <c r="V373">
        <v>16873.45</v>
      </c>
      <c r="W373">
        <v>13359.39</v>
      </c>
      <c r="X373">
        <v>3514.0600000000013</v>
      </c>
      <c r="Y373">
        <v>0.20825972163369086</v>
      </c>
    </row>
    <row r="374" spans="1:25" x14ac:dyDescent="0.3">
      <c r="A374" t="s">
        <v>846</v>
      </c>
      <c r="B374">
        <v>45022</v>
      </c>
      <c r="C374">
        <v>45024</v>
      </c>
      <c r="D374" t="s">
        <v>1490</v>
      </c>
      <c r="E374" t="s">
        <v>1381</v>
      </c>
      <c r="F374">
        <v>2</v>
      </c>
      <c r="G374">
        <v>1</v>
      </c>
      <c r="H374" t="s">
        <v>16</v>
      </c>
      <c r="I374" t="s">
        <v>25</v>
      </c>
      <c r="J374" t="s">
        <v>67</v>
      </c>
      <c r="K374" t="s">
        <v>62</v>
      </c>
      <c r="L374" t="s">
        <v>40</v>
      </c>
      <c r="M374" t="s">
        <v>95</v>
      </c>
      <c r="N374" t="s">
        <v>64</v>
      </c>
      <c r="O374" t="s">
        <v>847</v>
      </c>
      <c r="P374">
        <v>720.35</v>
      </c>
      <c r="Q374">
        <v>1571.66</v>
      </c>
      <c r="R374">
        <v>0.107</v>
      </c>
      <c r="S374">
        <v>0</v>
      </c>
      <c r="T374">
        <v>23</v>
      </c>
      <c r="U374" t="s">
        <v>1485</v>
      </c>
      <c r="V374">
        <v>32280.32474</v>
      </c>
      <c r="W374">
        <v>16568.05</v>
      </c>
      <c r="X374">
        <v>15712.274740000001</v>
      </c>
      <c r="Y374">
        <v>0.4867446305622265</v>
      </c>
    </row>
    <row r="375" spans="1:25" x14ac:dyDescent="0.3">
      <c r="A375" t="s">
        <v>848</v>
      </c>
      <c r="B375">
        <v>45751</v>
      </c>
      <c r="C375">
        <v>45757</v>
      </c>
      <c r="D375" t="s">
        <v>1487</v>
      </c>
      <c r="E375" t="s">
        <v>1405</v>
      </c>
      <c r="F375">
        <v>6</v>
      </c>
      <c r="G375">
        <v>1</v>
      </c>
      <c r="H375" t="s">
        <v>78</v>
      </c>
      <c r="I375" t="s">
        <v>108</v>
      </c>
      <c r="J375" t="s">
        <v>109</v>
      </c>
      <c r="K375" t="s">
        <v>39</v>
      </c>
      <c r="L375" t="s">
        <v>98</v>
      </c>
      <c r="M375" t="s">
        <v>126</v>
      </c>
      <c r="N375" t="s">
        <v>30</v>
      </c>
      <c r="O375" t="s">
        <v>849</v>
      </c>
      <c r="P375">
        <v>290.14</v>
      </c>
      <c r="Q375">
        <v>250.73</v>
      </c>
      <c r="R375">
        <v>3.4000000000000002E-2</v>
      </c>
      <c r="S375">
        <v>0</v>
      </c>
      <c r="T375">
        <v>17</v>
      </c>
      <c r="U375" t="s">
        <v>1480</v>
      </c>
      <c r="V375">
        <v>4117.4880599999997</v>
      </c>
      <c r="W375">
        <v>4932.38</v>
      </c>
      <c r="X375">
        <v>-814.89194000000043</v>
      </c>
      <c r="Y375">
        <v>-0.19790997038131072</v>
      </c>
    </row>
    <row r="376" spans="1:25" x14ac:dyDescent="0.3">
      <c r="A376" t="s">
        <v>850</v>
      </c>
      <c r="B376">
        <v>45429</v>
      </c>
      <c r="C376">
        <v>45439</v>
      </c>
      <c r="D376" t="s">
        <v>1486</v>
      </c>
      <c r="E376" t="s">
        <v>1394</v>
      </c>
      <c r="F376">
        <v>10</v>
      </c>
      <c r="G376">
        <v>0</v>
      </c>
      <c r="H376" t="s">
        <v>52</v>
      </c>
      <c r="I376" t="s">
        <v>122</v>
      </c>
      <c r="J376" t="s">
        <v>326</v>
      </c>
      <c r="K376" t="s">
        <v>39</v>
      </c>
      <c r="L376" t="s">
        <v>28</v>
      </c>
      <c r="M376" t="s">
        <v>21</v>
      </c>
      <c r="N376" t="s">
        <v>42</v>
      </c>
      <c r="O376" t="s">
        <v>851</v>
      </c>
      <c r="P376">
        <v>1484.23</v>
      </c>
      <c r="Q376">
        <v>3472.81</v>
      </c>
      <c r="R376">
        <v>0.25600000000000001</v>
      </c>
      <c r="S376">
        <v>1</v>
      </c>
      <c r="T376">
        <v>12</v>
      </c>
      <c r="U376" t="s">
        <v>1474</v>
      </c>
      <c r="V376">
        <v>31005.24768</v>
      </c>
      <c r="W376">
        <v>17810.760000000002</v>
      </c>
      <c r="X376">
        <v>13194.487679999998</v>
      </c>
      <c r="Y376">
        <v>0.42555659661803413</v>
      </c>
    </row>
    <row r="377" spans="1:25" x14ac:dyDescent="0.3">
      <c r="A377" t="s">
        <v>852</v>
      </c>
      <c r="B377">
        <v>45354</v>
      </c>
      <c r="C377">
        <v>45370</v>
      </c>
      <c r="D377" t="s">
        <v>1479</v>
      </c>
      <c r="E377" t="s">
        <v>1392</v>
      </c>
      <c r="F377">
        <v>16</v>
      </c>
      <c r="G377">
        <v>0</v>
      </c>
      <c r="H377" t="s">
        <v>45</v>
      </c>
      <c r="I377" t="s">
        <v>116</v>
      </c>
      <c r="J377" t="s">
        <v>338</v>
      </c>
      <c r="K377" t="s">
        <v>48</v>
      </c>
      <c r="L377" t="s">
        <v>55</v>
      </c>
      <c r="M377" t="s">
        <v>41</v>
      </c>
      <c r="N377" t="s">
        <v>42</v>
      </c>
      <c r="O377" t="s">
        <v>853</v>
      </c>
      <c r="P377">
        <v>988.83</v>
      </c>
      <c r="Q377">
        <v>1206.04</v>
      </c>
      <c r="R377">
        <v>6.3E-2</v>
      </c>
      <c r="S377">
        <v>0</v>
      </c>
      <c r="T377">
        <v>34</v>
      </c>
      <c r="U377" t="s">
        <v>1485</v>
      </c>
      <c r="V377">
        <v>38422.022320000004</v>
      </c>
      <c r="W377">
        <v>33620.22</v>
      </c>
      <c r="X377">
        <v>4801.8023200000025</v>
      </c>
      <c r="Y377">
        <v>0.12497526236406606</v>
      </c>
    </row>
    <row r="378" spans="1:25" x14ac:dyDescent="0.3">
      <c r="A378" t="s">
        <v>854</v>
      </c>
      <c r="B378">
        <v>45835</v>
      </c>
      <c r="C378">
        <v>45849</v>
      </c>
      <c r="D378" t="s">
        <v>1487</v>
      </c>
      <c r="E378" t="s">
        <v>1407</v>
      </c>
      <c r="F378">
        <v>14</v>
      </c>
      <c r="G378">
        <v>0</v>
      </c>
      <c r="H378" t="s">
        <v>45</v>
      </c>
      <c r="I378" t="s">
        <v>116</v>
      </c>
      <c r="J378" t="s">
        <v>162</v>
      </c>
      <c r="K378" t="s">
        <v>62</v>
      </c>
      <c r="L378" t="s">
        <v>40</v>
      </c>
      <c r="M378" t="s">
        <v>49</v>
      </c>
      <c r="N378" t="s">
        <v>35</v>
      </c>
      <c r="O378" t="s">
        <v>855</v>
      </c>
      <c r="P378">
        <v>1227.7</v>
      </c>
      <c r="Q378">
        <v>2197.23</v>
      </c>
      <c r="R378">
        <v>9.9000000000000005E-2</v>
      </c>
      <c r="S378">
        <v>0</v>
      </c>
      <c r="T378">
        <v>22</v>
      </c>
      <c r="U378" t="s">
        <v>1474</v>
      </c>
      <c r="V378">
        <v>43553.493060000001</v>
      </c>
      <c r="W378">
        <v>27009.4</v>
      </c>
      <c r="X378">
        <v>16544.093059999999</v>
      </c>
      <c r="Y378">
        <v>0.37985685871873898</v>
      </c>
    </row>
    <row r="379" spans="1:25" x14ac:dyDescent="0.3">
      <c r="A379" t="s">
        <v>856</v>
      </c>
      <c r="B379">
        <v>44998</v>
      </c>
      <c r="C379">
        <v>45020</v>
      </c>
      <c r="D379" t="s">
        <v>1482</v>
      </c>
      <c r="E379" t="s">
        <v>1380</v>
      </c>
      <c r="F379">
        <v>22</v>
      </c>
      <c r="G379">
        <v>0</v>
      </c>
      <c r="H379" t="s">
        <v>16</v>
      </c>
      <c r="I379" t="s">
        <v>148</v>
      </c>
      <c r="J379" t="s">
        <v>172</v>
      </c>
      <c r="K379" t="s">
        <v>62</v>
      </c>
      <c r="L379" t="s">
        <v>20</v>
      </c>
      <c r="M379" t="s">
        <v>75</v>
      </c>
      <c r="N379" t="s">
        <v>22</v>
      </c>
      <c r="O379" t="s">
        <v>857</v>
      </c>
      <c r="P379">
        <v>1113.7</v>
      </c>
      <c r="Q379">
        <v>1620.6</v>
      </c>
      <c r="R379">
        <v>0.13900000000000001</v>
      </c>
      <c r="S379">
        <v>0</v>
      </c>
      <c r="T379">
        <v>11</v>
      </c>
      <c r="U379" t="s">
        <v>1485</v>
      </c>
      <c r="V379">
        <v>15348.702599999999</v>
      </c>
      <c r="W379">
        <v>12250.7</v>
      </c>
      <c r="X379">
        <v>3098.002599999998</v>
      </c>
      <c r="Y379">
        <v>0.20184133348182787</v>
      </c>
    </row>
    <row r="380" spans="1:25" x14ac:dyDescent="0.3">
      <c r="A380" t="s">
        <v>858</v>
      </c>
      <c r="B380">
        <v>45664</v>
      </c>
      <c r="C380">
        <v>45677</v>
      </c>
      <c r="D380" t="s">
        <v>1483</v>
      </c>
      <c r="E380" t="s">
        <v>1402</v>
      </c>
      <c r="F380">
        <v>13</v>
      </c>
      <c r="G380">
        <v>0</v>
      </c>
      <c r="H380" t="s">
        <v>16</v>
      </c>
      <c r="I380" t="s">
        <v>148</v>
      </c>
      <c r="J380" t="s">
        <v>258</v>
      </c>
      <c r="K380" t="s">
        <v>19</v>
      </c>
      <c r="L380" t="s">
        <v>98</v>
      </c>
      <c r="M380" t="s">
        <v>95</v>
      </c>
      <c r="N380" t="s">
        <v>35</v>
      </c>
      <c r="O380" t="s">
        <v>859</v>
      </c>
      <c r="P380">
        <v>432.13</v>
      </c>
      <c r="Q380">
        <v>1034.6600000000001</v>
      </c>
      <c r="R380">
        <v>9.1999999999999998E-2</v>
      </c>
      <c r="S380">
        <v>0</v>
      </c>
      <c r="T380">
        <v>7</v>
      </c>
      <c r="U380" t="s">
        <v>1485</v>
      </c>
      <c r="V380">
        <v>6576.298960000001</v>
      </c>
      <c r="W380">
        <v>3024.91</v>
      </c>
      <c r="X380">
        <v>3551.3889600000011</v>
      </c>
      <c r="Y380">
        <v>0.54002851476204794</v>
      </c>
    </row>
    <row r="381" spans="1:25" x14ac:dyDescent="0.3">
      <c r="A381" t="s">
        <v>860</v>
      </c>
      <c r="B381">
        <v>45694</v>
      </c>
      <c r="C381">
        <v>45703</v>
      </c>
      <c r="D381" t="s">
        <v>1483</v>
      </c>
      <c r="E381" t="s">
        <v>1403</v>
      </c>
      <c r="F381">
        <v>9</v>
      </c>
      <c r="G381">
        <v>0</v>
      </c>
      <c r="H381" t="s">
        <v>52</v>
      </c>
      <c r="I381" t="s">
        <v>73</v>
      </c>
      <c r="J381" t="s">
        <v>74</v>
      </c>
      <c r="K381" t="s">
        <v>39</v>
      </c>
      <c r="L381" t="s">
        <v>55</v>
      </c>
      <c r="M381" t="s">
        <v>84</v>
      </c>
      <c r="N381" t="s">
        <v>35</v>
      </c>
      <c r="O381" t="s">
        <v>861</v>
      </c>
      <c r="P381">
        <v>837.39</v>
      </c>
      <c r="Q381">
        <v>1905.42</v>
      </c>
      <c r="R381">
        <v>3.2000000000000001E-2</v>
      </c>
      <c r="S381">
        <v>0</v>
      </c>
      <c r="T381">
        <v>18</v>
      </c>
      <c r="U381" t="s">
        <v>1474</v>
      </c>
      <c r="V381">
        <v>33200.038079999998</v>
      </c>
      <c r="W381">
        <v>15073.02</v>
      </c>
      <c r="X381">
        <v>18127.018079999998</v>
      </c>
      <c r="Y381">
        <v>0.54599389423350919</v>
      </c>
    </row>
    <row r="382" spans="1:25" x14ac:dyDescent="0.3">
      <c r="A382" t="s">
        <v>862</v>
      </c>
      <c r="B382">
        <v>45688</v>
      </c>
      <c r="C382">
        <v>45705</v>
      </c>
      <c r="D382" t="s">
        <v>1483</v>
      </c>
      <c r="E382" t="s">
        <v>1402</v>
      </c>
      <c r="F382">
        <v>17</v>
      </c>
      <c r="G382">
        <v>0</v>
      </c>
      <c r="H382" t="s">
        <v>78</v>
      </c>
      <c r="I382" t="s">
        <v>108</v>
      </c>
      <c r="J382" t="s">
        <v>152</v>
      </c>
      <c r="K382" t="s">
        <v>105</v>
      </c>
      <c r="L382" t="s">
        <v>20</v>
      </c>
      <c r="M382" t="s">
        <v>92</v>
      </c>
      <c r="N382" t="s">
        <v>22</v>
      </c>
      <c r="O382" t="s">
        <v>254</v>
      </c>
      <c r="P382">
        <v>378.26</v>
      </c>
      <c r="Q382">
        <v>541.55999999999995</v>
      </c>
      <c r="R382">
        <v>0.16300000000000001</v>
      </c>
      <c r="S382">
        <v>0</v>
      </c>
      <c r="T382">
        <v>25</v>
      </c>
      <c r="U382" t="s">
        <v>1480</v>
      </c>
      <c r="V382">
        <v>11332.142999999998</v>
      </c>
      <c r="W382">
        <v>9456.5</v>
      </c>
      <c r="X382">
        <v>1875.6429999999982</v>
      </c>
      <c r="Y382">
        <v>0.16551529573885526</v>
      </c>
    </row>
    <row r="383" spans="1:25" x14ac:dyDescent="0.3">
      <c r="A383" t="s">
        <v>863</v>
      </c>
      <c r="B383">
        <v>45876</v>
      </c>
      <c r="C383">
        <v>45906</v>
      </c>
      <c r="D383" t="s">
        <v>1488</v>
      </c>
      <c r="E383" t="s">
        <v>1409</v>
      </c>
      <c r="F383">
        <v>30</v>
      </c>
      <c r="G383">
        <v>0</v>
      </c>
      <c r="H383" t="s">
        <v>52</v>
      </c>
      <c r="I383" t="s">
        <v>53</v>
      </c>
      <c r="J383" t="s">
        <v>144</v>
      </c>
      <c r="K383" t="s">
        <v>27</v>
      </c>
      <c r="L383" t="s">
        <v>98</v>
      </c>
      <c r="M383" t="s">
        <v>110</v>
      </c>
      <c r="N383" t="s">
        <v>35</v>
      </c>
      <c r="O383" t="s">
        <v>864</v>
      </c>
      <c r="P383">
        <v>833.73</v>
      </c>
      <c r="Q383">
        <v>1116.5999999999999</v>
      </c>
      <c r="R383">
        <v>0.17599999999999999</v>
      </c>
      <c r="S383">
        <v>0</v>
      </c>
      <c r="T383">
        <v>14</v>
      </c>
      <c r="U383" t="s">
        <v>1485</v>
      </c>
      <c r="V383">
        <v>12881.097599999999</v>
      </c>
      <c r="W383">
        <v>11672.220000000001</v>
      </c>
      <c r="X383">
        <v>1208.877599999998</v>
      </c>
      <c r="Y383">
        <v>9.3848958958279924E-2</v>
      </c>
    </row>
    <row r="384" spans="1:25" x14ac:dyDescent="0.3">
      <c r="A384" t="s">
        <v>865</v>
      </c>
      <c r="B384">
        <v>45861</v>
      </c>
      <c r="C384">
        <v>45886</v>
      </c>
      <c r="D384" t="s">
        <v>1488</v>
      </c>
      <c r="E384" t="s">
        <v>1408</v>
      </c>
      <c r="F384">
        <v>25</v>
      </c>
      <c r="G384">
        <v>0</v>
      </c>
      <c r="H384" t="s">
        <v>78</v>
      </c>
      <c r="I384" t="s">
        <v>108</v>
      </c>
      <c r="J384" t="s">
        <v>109</v>
      </c>
      <c r="K384" t="s">
        <v>27</v>
      </c>
      <c r="L384" t="s">
        <v>28</v>
      </c>
      <c r="M384" t="s">
        <v>34</v>
      </c>
      <c r="N384" t="s">
        <v>30</v>
      </c>
      <c r="O384" t="s">
        <v>866</v>
      </c>
      <c r="P384">
        <v>1142.06</v>
      </c>
      <c r="Q384">
        <v>1455</v>
      </c>
      <c r="R384">
        <v>7.8E-2</v>
      </c>
      <c r="S384">
        <v>0</v>
      </c>
      <c r="T384">
        <v>28</v>
      </c>
      <c r="U384" t="s">
        <v>1485</v>
      </c>
      <c r="V384">
        <v>37562.28</v>
      </c>
      <c r="W384">
        <v>31977.68</v>
      </c>
      <c r="X384">
        <v>5584.5999999999985</v>
      </c>
      <c r="Y384">
        <v>0.1486757459877302</v>
      </c>
    </row>
    <row r="385" spans="1:25" x14ac:dyDescent="0.3">
      <c r="A385" t="s">
        <v>867</v>
      </c>
      <c r="B385">
        <v>45097</v>
      </c>
      <c r="C385">
        <v>45115</v>
      </c>
      <c r="D385" t="s">
        <v>1490</v>
      </c>
      <c r="E385" t="s">
        <v>1383</v>
      </c>
      <c r="F385">
        <v>18</v>
      </c>
      <c r="G385">
        <v>0</v>
      </c>
      <c r="H385" t="s">
        <v>52</v>
      </c>
      <c r="I385" t="s">
        <v>122</v>
      </c>
      <c r="J385" t="s">
        <v>387</v>
      </c>
      <c r="K385" t="s">
        <v>48</v>
      </c>
      <c r="L385" t="s">
        <v>40</v>
      </c>
      <c r="M385" t="s">
        <v>68</v>
      </c>
      <c r="N385" t="s">
        <v>35</v>
      </c>
      <c r="O385" t="s">
        <v>868</v>
      </c>
      <c r="P385">
        <v>1145.53</v>
      </c>
      <c r="Q385">
        <v>1278.3</v>
      </c>
      <c r="R385">
        <v>0.09</v>
      </c>
      <c r="S385">
        <v>0</v>
      </c>
      <c r="T385">
        <v>41</v>
      </c>
      <c r="U385" t="s">
        <v>1485</v>
      </c>
      <c r="V385">
        <v>47693.373</v>
      </c>
      <c r="W385">
        <v>46966.729999999996</v>
      </c>
      <c r="X385">
        <v>726.64300000000367</v>
      </c>
      <c r="Y385">
        <v>1.5235722581416158E-2</v>
      </c>
    </row>
    <row r="386" spans="1:25" x14ac:dyDescent="0.3">
      <c r="A386" t="s">
        <v>869</v>
      </c>
      <c r="B386">
        <v>45491</v>
      </c>
      <c r="C386">
        <v>45511</v>
      </c>
      <c r="D386" t="s">
        <v>1491</v>
      </c>
      <c r="E386" t="s">
        <v>1396</v>
      </c>
      <c r="F386">
        <v>20</v>
      </c>
      <c r="G386">
        <v>0</v>
      </c>
      <c r="H386" t="s">
        <v>78</v>
      </c>
      <c r="I386" t="s">
        <v>90</v>
      </c>
      <c r="J386" t="s">
        <v>91</v>
      </c>
      <c r="K386" t="s">
        <v>19</v>
      </c>
      <c r="L386" t="s">
        <v>20</v>
      </c>
      <c r="M386" t="s">
        <v>84</v>
      </c>
      <c r="N386" t="s">
        <v>64</v>
      </c>
      <c r="O386" t="s">
        <v>870</v>
      </c>
      <c r="P386">
        <v>941.35</v>
      </c>
      <c r="Q386">
        <v>899.83</v>
      </c>
      <c r="R386">
        <v>5.8000000000000003E-2</v>
      </c>
      <c r="S386">
        <v>0</v>
      </c>
      <c r="T386">
        <v>18</v>
      </c>
      <c r="U386" t="s">
        <v>1485</v>
      </c>
      <c r="V386">
        <v>15257.51748</v>
      </c>
      <c r="W386">
        <v>16944.3</v>
      </c>
      <c r="X386">
        <v>-1686.7825199999988</v>
      </c>
      <c r="Y386">
        <v>-0.11055419220139073</v>
      </c>
    </row>
    <row r="387" spans="1:25" x14ac:dyDescent="0.3">
      <c r="A387" t="s">
        <v>871</v>
      </c>
      <c r="B387">
        <v>45066</v>
      </c>
      <c r="C387">
        <v>45096</v>
      </c>
      <c r="D387" t="s">
        <v>1490</v>
      </c>
      <c r="E387" t="s">
        <v>1382</v>
      </c>
      <c r="F387">
        <v>30</v>
      </c>
      <c r="G387">
        <v>0</v>
      </c>
      <c r="H387" t="s">
        <v>45</v>
      </c>
      <c r="I387" t="s">
        <v>60</v>
      </c>
      <c r="J387" t="s">
        <v>141</v>
      </c>
      <c r="K387" t="s">
        <v>39</v>
      </c>
      <c r="L387" t="s">
        <v>40</v>
      </c>
      <c r="M387" t="s">
        <v>92</v>
      </c>
      <c r="N387" t="s">
        <v>57</v>
      </c>
      <c r="O387" t="s">
        <v>872</v>
      </c>
      <c r="P387">
        <v>1161.2</v>
      </c>
      <c r="Q387">
        <v>878.73</v>
      </c>
      <c r="R387">
        <v>0.19</v>
      </c>
      <c r="S387">
        <v>0</v>
      </c>
      <c r="T387">
        <v>31</v>
      </c>
      <c r="U387" t="s">
        <v>1485</v>
      </c>
      <c r="V387">
        <v>22064.910300000003</v>
      </c>
      <c r="W387">
        <v>35997.200000000004</v>
      </c>
      <c r="X387">
        <v>-13932.289700000001</v>
      </c>
      <c r="Y387">
        <v>-0.63142290227212028</v>
      </c>
    </row>
    <row r="388" spans="1:25" x14ac:dyDescent="0.3">
      <c r="A388" t="s">
        <v>873</v>
      </c>
      <c r="B388">
        <v>45789</v>
      </c>
      <c r="C388">
        <v>45803</v>
      </c>
      <c r="D388" t="s">
        <v>1487</v>
      </c>
      <c r="E388" t="s">
        <v>1406</v>
      </c>
      <c r="F388">
        <v>14</v>
      </c>
      <c r="G388">
        <v>0</v>
      </c>
      <c r="H388" t="s">
        <v>45</v>
      </c>
      <c r="I388" t="s">
        <v>60</v>
      </c>
      <c r="J388" t="s">
        <v>281</v>
      </c>
      <c r="K388" t="s">
        <v>19</v>
      </c>
      <c r="L388" t="s">
        <v>40</v>
      </c>
      <c r="M388" t="s">
        <v>41</v>
      </c>
      <c r="N388" t="s">
        <v>30</v>
      </c>
      <c r="O388" t="s">
        <v>874</v>
      </c>
      <c r="P388">
        <v>320.12</v>
      </c>
      <c r="Q388">
        <v>594.41999999999996</v>
      </c>
      <c r="R388">
        <v>0.104</v>
      </c>
      <c r="S388">
        <v>0</v>
      </c>
      <c r="T388">
        <v>18</v>
      </c>
      <c r="U388" t="s">
        <v>1480</v>
      </c>
      <c r="V388">
        <v>9586.8057599999993</v>
      </c>
      <c r="W388">
        <v>5762.16</v>
      </c>
      <c r="X388">
        <v>3824.6457599999994</v>
      </c>
      <c r="Y388">
        <v>0.39894891538931104</v>
      </c>
    </row>
    <row r="389" spans="1:25" x14ac:dyDescent="0.3">
      <c r="A389" t="s">
        <v>875</v>
      </c>
      <c r="B389">
        <v>45419</v>
      </c>
      <c r="C389">
        <v>45424</v>
      </c>
      <c r="D389" t="s">
        <v>1486</v>
      </c>
      <c r="E389" t="s">
        <v>1394</v>
      </c>
      <c r="F389">
        <v>5</v>
      </c>
      <c r="G389">
        <v>1</v>
      </c>
      <c r="H389" t="s">
        <v>16</v>
      </c>
      <c r="I389" t="s">
        <v>25</v>
      </c>
      <c r="J389" t="s">
        <v>67</v>
      </c>
      <c r="K389" t="s">
        <v>39</v>
      </c>
      <c r="L389" t="s">
        <v>55</v>
      </c>
      <c r="M389" t="s">
        <v>49</v>
      </c>
      <c r="N389" t="s">
        <v>57</v>
      </c>
      <c r="O389" t="s">
        <v>876</v>
      </c>
      <c r="P389">
        <v>1163.99</v>
      </c>
      <c r="Q389">
        <v>1617.85</v>
      </c>
      <c r="R389">
        <v>0.127</v>
      </c>
      <c r="S389">
        <v>0</v>
      </c>
      <c r="T389">
        <v>14</v>
      </c>
      <c r="U389" t="s">
        <v>1485</v>
      </c>
      <c r="V389">
        <v>19773.362699999998</v>
      </c>
      <c r="W389">
        <v>16295.86</v>
      </c>
      <c r="X389">
        <v>3477.5026999999973</v>
      </c>
      <c r="Y389">
        <v>0.17586804797749436</v>
      </c>
    </row>
    <row r="390" spans="1:25" x14ac:dyDescent="0.3">
      <c r="A390" t="s">
        <v>877</v>
      </c>
      <c r="B390">
        <v>45199</v>
      </c>
      <c r="C390">
        <v>45202</v>
      </c>
      <c r="D390" t="s">
        <v>1492</v>
      </c>
      <c r="E390" t="s">
        <v>1493</v>
      </c>
      <c r="F390">
        <v>3</v>
      </c>
      <c r="G390">
        <v>1</v>
      </c>
      <c r="H390" t="s">
        <v>45</v>
      </c>
      <c r="I390" t="s">
        <v>116</v>
      </c>
      <c r="J390" t="s">
        <v>338</v>
      </c>
      <c r="K390" t="s">
        <v>39</v>
      </c>
      <c r="L390" t="s">
        <v>20</v>
      </c>
      <c r="M390" t="s">
        <v>29</v>
      </c>
      <c r="N390" t="s">
        <v>57</v>
      </c>
      <c r="O390" t="s">
        <v>878</v>
      </c>
      <c r="P390">
        <v>1019.36</v>
      </c>
      <c r="Q390">
        <v>972.91</v>
      </c>
      <c r="R390">
        <v>0.14699999999999999</v>
      </c>
      <c r="S390">
        <v>0</v>
      </c>
      <c r="T390">
        <v>17</v>
      </c>
      <c r="U390" t="s">
        <v>1485</v>
      </c>
      <c r="V390">
        <v>14108.16791</v>
      </c>
      <c r="W390">
        <v>17329.12</v>
      </c>
      <c r="X390">
        <v>-3220.9520899999989</v>
      </c>
      <c r="Y390">
        <v>-0.22830406545678819</v>
      </c>
    </row>
    <row r="391" spans="1:25" x14ac:dyDescent="0.3">
      <c r="A391" t="s">
        <v>879</v>
      </c>
      <c r="B391">
        <v>45225</v>
      </c>
      <c r="C391">
        <v>45235</v>
      </c>
      <c r="D391" t="s">
        <v>1484</v>
      </c>
      <c r="E391" t="s">
        <v>1387</v>
      </c>
      <c r="F391">
        <v>10</v>
      </c>
      <c r="G391">
        <v>0</v>
      </c>
      <c r="H391" t="s">
        <v>16</v>
      </c>
      <c r="I391" t="s">
        <v>148</v>
      </c>
      <c r="J391" t="s">
        <v>258</v>
      </c>
      <c r="K391" t="s">
        <v>39</v>
      </c>
      <c r="L391" t="s">
        <v>28</v>
      </c>
      <c r="M391" t="s">
        <v>34</v>
      </c>
      <c r="N391" t="s">
        <v>57</v>
      </c>
      <c r="O391" t="s">
        <v>880</v>
      </c>
      <c r="P391">
        <v>20.38</v>
      </c>
      <c r="Q391">
        <v>42.56</v>
      </c>
      <c r="R391">
        <v>7.1999999999999995E-2</v>
      </c>
      <c r="S391">
        <v>0</v>
      </c>
      <c r="T391">
        <v>11</v>
      </c>
      <c r="U391" t="s">
        <v>1480</v>
      </c>
      <c r="V391">
        <v>434.45248000000004</v>
      </c>
      <c r="W391">
        <v>224.17999999999998</v>
      </c>
      <c r="X391">
        <v>210.27248000000006</v>
      </c>
      <c r="Y391">
        <v>0.48399419885921713</v>
      </c>
    </row>
    <row r="392" spans="1:25" x14ac:dyDescent="0.3">
      <c r="A392" t="s">
        <v>881</v>
      </c>
      <c r="B392">
        <v>45823</v>
      </c>
      <c r="C392">
        <v>45838</v>
      </c>
      <c r="D392" t="s">
        <v>1487</v>
      </c>
      <c r="E392" t="s">
        <v>1407</v>
      </c>
      <c r="F392">
        <v>15</v>
      </c>
      <c r="G392">
        <v>0</v>
      </c>
      <c r="H392" t="s">
        <v>16</v>
      </c>
      <c r="I392" t="s">
        <v>148</v>
      </c>
      <c r="J392" t="s">
        <v>149</v>
      </c>
      <c r="K392" t="s">
        <v>62</v>
      </c>
      <c r="L392" t="s">
        <v>98</v>
      </c>
      <c r="M392" t="s">
        <v>21</v>
      </c>
      <c r="N392" t="s">
        <v>64</v>
      </c>
      <c r="O392" t="s">
        <v>882</v>
      </c>
      <c r="P392">
        <v>1487.59</v>
      </c>
      <c r="Q392">
        <v>1480.83</v>
      </c>
      <c r="R392">
        <v>8.9999999999999993E-3</v>
      </c>
      <c r="S392">
        <v>0</v>
      </c>
      <c r="T392">
        <v>11</v>
      </c>
      <c r="U392" t="s">
        <v>1485</v>
      </c>
      <c r="V392">
        <v>16142.527829999999</v>
      </c>
      <c r="W392">
        <v>16363.49</v>
      </c>
      <c r="X392">
        <v>-220.9621700000007</v>
      </c>
      <c r="Y392">
        <v>-1.3688201273492908E-2</v>
      </c>
    </row>
    <row r="393" spans="1:25" x14ac:dyDescent="0.3">
      <c r="A393" t="s">
        <v>883</v>
      </c>
      <c r="B393">
        <v>45514</v>
      </c>
      <c r="C393">
        <v>45542</v>
      </c>
      <c r="D393" t="s">
        <v>1491</v>
      </c>
      <c r="E393" t="s">
        <v>1397</v>
      </c>
      <c r="F393">
        <v>28</v>
      </c>
      <c r="G393">
        <v>0</v>
      </c>
      <c r="H393" t="s">
        <v>78</v>
      </c>
      <c r="I393" t="s">
        <v>90</v>
      </c>
      <c r="J393" t="s">
        <v>91</v>
      </c>
      <c r="K393" t="s">
        <v>39</v>
      </c>
      <c r="L393" t="s">
        <v>98</v>
      </c>
      <c r="M393" t="s">
        <v>84</v>
      </c>
      <c r="N393" t="s">
        <v>30</v>
      </c>
      <c r="O393" t="s">
        <v>884</v>
      </c>
      <c r="P393">
        <v>229.96</v>
      </c>
      <c r="Q393">
        <v>564.26</v>
      </c>
      <c r="R393">
        <v>0.105</v>
      </c>
      <c r="S393">
        <v>0</v>
      </c>
      <c r="T393">
        <v>5</v>
      </c>
      <c r="U393" t="s">
        <v>1480</v>
      </c>
      <c r="V393">
        <v>2525.0635000000002</v>
      </c>
      <c r="W393">
        <v>1149.8</v>
      </c>
      <c r="X393">
        <v>1375.2635000000002</v>
      </c>
      <c r="Y393">
        <v>0.54464511486542821</v>
      </c>
    </row>
    <row r="394" spans="1:25" x14ac:dyDescent="0.3">
      <c r="A394" t="s">
        <v>885</v>
      </c>
      <c r="B394">
        <v>45208</v>
      </c>
      <c r="C394">
        <v>45225</v>
      </c>
      <c r="D394" t="s">
        <v>1484</v>
      </c>
      <c r="E394" t="s">
        <v>1387</v>
      </c>
      <c r="F394">
        <v>17</v>
      </c>
      <c r="G394">
        <v>0</v>
      </c>
      <c r="H394" t="s">
        <v>45</v>
      </c>
      <c r="I394" t="s">
        <v>116</v>
      </c>
      <c r="J394" t="s">
        <v>162</v>
      </c>
      <c r="K394" t="s">
        <v>48</v>
      </c>
      <c r="L394" t="s">
        <v>40</v>
      </c>
      <c r="M394" t="s">
        <v>21</v>
      </c>
      <c r="N394" t="s">
        <v>22</v>
      </c>
      <c r="O394" t="s">
        <v>886</v>
      </c>
      <c r="P394">
        <v>1132.03</v>
      </c>
      <c r="Q394">
        <v>2137.21</v>
      </c>
      <c r="R394">
        <v>0.3</v>
      </c>
      <c r="S394">
        <v>1</v>
      </c>
      <c r="T394">
        <v>35</v>
      </c>
      <c r="U394" t="s">
        <v>1474</v>
      </c>
      <c r="V394">
        <v>52361.645000000004</v>
      </c>
      <c r="W394">
        <v>39621.049999999996</v>
      </c>
      <c r="X394">
        <v>12740.595000000008</v>
      </c>
      <c r="Y394">
        <v>0.24331922727026639</v>
      </c>
    </row>
    <row r="395" spans="1:25" x14ac:dyDescent="0.3">
      <c r="A395" t="s">
        <v>887</v>
      </c>
      <c r="B395">
        <v>45360</v>
      </c>
      <c r="C395">
        <v>45377</v>
      </c>
      <c r="D395" t="s">
        <v>1479</v>
      </c>
      <c r="E395" t="s">
        <v>1392</v>
      </c>
      <c r="F395">
        <v>17</v>
      </c>
      <c r="G395">
        <v>0</v>
      </c>
      <c r="H395" t="s">
        <v>52</v>
      </c>
      <c r="I395" t="s">
        <v>122</v>
      </c>
      <c r="J395" t="s">
        <v>167</v>
      </c>
      <c r="K395" t="s">
        <v>27</v>
      </c>
      <c r="L395" t="s">
        <v>98</v>
      </c>
      <c r="M395" t="s">
        <v>34</v>
      </c>
      <c r="N395" t="s">
        <v>42</v>
      </c>
      <c r="O395" t="s">
        <v>888</v>
      </c>
      <c r="P395">
        <v>1137.4100000000001</v>
      </c>
      <c r="Q395">
        <v>1680.93</v>
      </c>
      <c r="R395">
        <v>0.254</v>
      </c>
      <c r="S395">
        <v>1</v>
      </c>
      <c r="T395">
        <v>9</v>
      </c>
      <c r="U395" t="s">
        <v>1474</v>
      </c>
      <c r="V395">
        <v>11285.764020000001</v>
      </c>
      <c r="W395">
        <v>10236.69</v>
      </c>
      <c r="X395">
        <v>1049.07402</v>
      </c>
      <c r="Y395">
        <v>9.2955516183121464E-2</v>
      </c>
    </row>
    <row r="396" spans="1:25" x14ac:dyDescent="0.3">
      <c r="A396" t="s">
        <v>889</v>
      </c>
      <c r="B396">
        <v>45075</v>
      </c>
      <c r="C396">
        <v>45097</v>
      </c>
      <c r="D396" t="s">
        <v>1490</v>
      </c>
      <c r="E396" t="s">
        <v>1382</v>
      </c>
      <c r="F396">
        <v>22</v>
      </c>
      <c r="G396">
        <v>0</v>
      </c>
      <c r="H396" t="s">
        <v>78</v>
      </c>
      <c r="I396" t="s">
        <v>108</v>
      </c>
      <c r="J396" t="s">
        <v>152</v>
      </c>
      <c r="K396" t="s">
        <v>62</v>
      </c>
      <c r="L396" t="s">
        <v>98</v>
      </c>
      <c r="M396" t="s">
        <v>95</v>
      </c>
      <c r="N396" t="s">
        <v>22</v>
      </c>
      <c r="O396" t="s">
        <v>890</v>
      </c>
      <c r="P396">
        <v>1295.3900000000001</v>
      </c>
      <c r="Q396">
        <v>2905.06</v>
      </c>
      <c r="R396">
        <v>0.14799999999999999</v>
      </c>
      <c r="S396">
        <v>0</v>
      </c>
      <c r="T396">
        <v>8</v>
      </c>
      <c r="U396" t="s">
        <v>1474</v>
      </c>
      <c r="V396">
        <v>19800.88896</v>
      </c>
      <c r="W396">
        <v>10363.120000000001</v>
      </c>
      <c r="X396">
        <v>9437.7689599999994</v>
      </c>
      <c r="Y396">
        <v>0.47663359857556614</v>
      </c>
    </row>
    <row r="397" spans="1:25" x14ac:dyDescent="0.3">
      <c r="A397" t="s">
        <v>891</v>
      </c>
      <c r="B397">
        <v>45804</v>
      </c>
      <c r="C397">
        <v>45816</v>
      </c>
      <c r="D397" t="s">
        <v>1487</v>
      </c>
      <c r="E397" t="s">
        <v>1406</v>
      </c>
      <c r="F397">
        <v>12</v>
      </c>
      <c r="G397">
        <v>0</v>
      </c>
      <c r="H397" t="s">
        <v>45</v>
      </c>
      <c r="I397" t="s">
        <v>46</v>
      </c>
      <c r="J397" t="s">
        <v>47</v>
      </c>
      <c r="K397" t="s">
        <v>19</v>
      </c>
      <c r="L397" t="s">
        <v>20</v>
      </c>
      <c r="M397" t="s">
        <v>92</v>
      </c>
      <c r="N397" t="s">
        <v>81</v>
      </c>
      <c r="O397" t="s">
        <v>892</v>
      </c>
      <c r="P397">
        <v>653.6</v>
      </c>
      <c r="Q397">
        <v>842.09</v>
      </c>
      <c r="R397">
        <v>9.8000000000000004E-2</v>
      </c>
      <c r="S397">
        <v>0</v>
      </c>
      <c r="T397">
        <v>19</v>
      </c>
      <c r="U397" t="s">
        <v>1480</v>
      </c>
      <c r="V397">
        <v>14431.738420000001</v>
      </c>
      <c r="W397">
        <v>12418.4</v>
      </c>
      <c r="X397">
        <v>2013.3384200000019</v>
      </c>
      <c r="Y397">
        <v>0.13950768517324622</v>
      </c>
    </row>
    <row r="398" spans="1:25" x14ac:dyDescent="0.3">
      <c r="A398" t="s">
        <v>893</v>
      </c>
      <c r="B398">
        <v>45890</v>
      </c>
      <c r="C398">
        <v>45914</v>
      </c>
      <c r="D398" t="s">
        <v>1488</v>
      </c>
      <c r="E398" t="s">
        <v>1409</v>
      </c>
      <c r="F398">
        <v>24</v>
      </c>
      <c r="G398">
        <v>0</v>
      </c>
      <c r="H398" t="s">
        <v>78</v>
      </c>
      <c r="I398" t="s">
        <v>79</v>
      </c>
      <c r="J398" t="s">
        <v>80</v>
      </c>
      <c r="K398" t="s">
        <v>39</v>
      </c>
      <c r="L398" t="s">
        <v>28</v>
      </c>
      <c r="M398" t="s">
        <v>75</v>
      </c>
      <c r="N398" t="s">
        <v>64</v>
      </c>
      <c r="O398" t="s">
        <v>894</v>
      </c>
      <c r="P398">
        <v>1397.67</v>
      </c>
      <c r="Q398">
        <v>3131.37</v>
      </c>
      <c r="R398">
        <v>0.10299999999999999</v>
      </c>
      <c r="S398">
        <v>0</v>
      </c>
      <c r="T398">
        <v>20</v>
      </c>
      <c r="U398" t="s">
        <v>1474</v>
      </c>
      <c r="V398">
        <v>56176.777799999996</v>
      </c>
      <c r="W398">
        <v>27953.4</v>
      </c>
      <c r="X398">
        <v>28223.377799999995</v>
      </c>
      <c r="Y398">
        <v>0.50240293062874808</v>
      </c>
    </row>
    <row r="399" spans="1:25" x14ac:dyDescent="0.3">
      <c r="A399" t="s">
        <v>895</v>
      </c>
      <c r="B399">
        <v>45638</v>
      </c>
      <c r="C399">
        <v>45646</v>
      </c>
      <c r="D399" t="s">
        <v>1481</v>
      </c>
      <c r="E399" t="s">
        <v>1401</v>
      </c>
      <c r="F399">
        <v>8</v>
      </c>
      <c r="G399">
        <v>0</v>
      </c>
      <c r="H399" t="s">
        <v>45</v>
      </c>
      <c r="I399" t="s">
        <v>46</v>
      </c>
      <c r="J399" t="s">
        <v>214</v>
      </c>
      <c r="K399" t="s">
        <v>19</v>
      </c>
      <c r="L399" t="s">
        <v>20</v>
      </c>
      <c r="M399" t="s">
        <v>56</v>
      </c>
      <c r="N399" t="s">
        <v>57</v>
      </c>
      <c r="O399" t="s">
        <v>896</v>
      </c>
      <c r="P399">
        <v>1202.47</v>
      </c>
      <c r="Q399">
        <v>1444.72</v>
      </c>
      <c r="R399">
        <v>0.24099999999999999</v>
      </c>
      <c r="S399">
        <v>1</v>
      </c>
      <c r="T399">
        <v>17</v>
      </c>
      <c r="U399" t="s">
        <v>1485</v>
      </c>
      <c r="V399">
        <v>18641.222160000001</v>
      </c>
      <c r="W399">
        <v>20441.990000000002</v>
      </c>
      <c r="X399">
        <v>-1800.7678400000004</v>
      </c>
      <c r="Y399">
        <v>-9.6601382921343834E-2</v>
      </c>
    </row>
    <row r="400" spans="1:25" x14ac:dyDescent="0.3">
      <c r="A400" t="s">
        <v>897</v>
      </c>
      <c r="B400">
        <v>45914</v>
      </c>
      <c r="C400">
        <v>45923</v>
      </c>
      <c r="D400" t="s">
        <v>1488</v>
      </c>
      <c r="E400" t="s">
        <v>1489</v>
      </c>
      <c r="F400">
        <v>9</v>
      </c>
      <c r="G400">
        <v>0</v>
      </c>
      <c r="H400" t="s">
        <v>16</v>
      </c>
      <c r="I400" t="s">
        <v>148</v>
      </c>
      <c r="J400" t="s">
        <v>172</v>
      </c>
      <c r="K400" t="s">
        <v>39</v>
      </c>
      <c r="L400" t="s">
        <v>28</v>
      </c>
      <c r="M400" t="s">
        <v>145</v>
      </c>
      <c r="N400" t="s">
        <v>22</v>
      </c>
      <c r="O400" t="s">
        <v>898</v>
      </c>
      <c r="P400">
        <v>1310.3</v>
      </c>
      <c r="Q400">
        <v>2875.8</v>
      </c>
      <c r="R400">
        <v>8.3000000000000004E-2</v>
      </c>
      <c r="S400">
        <v>0</v>
      </c>
      <c r="T400">
        <v>5</v>
      </c>
      <c r="U400" t="s">
        <v>1474</v>
      </c>
      <c r="V400">
        <v>13185.543</v>
      </c>
      <c r="W400">
        <v>6551.5</v>
      </c>
      <c r="X400">
        <v>6634.0429999999997</v>
      </c>
      <c r="Y400">
        <v>0.50313005691157353</v>
      </c>
    </row>
    <row r="401" spans="1:25" x14ac:dyDescent="0.3">
      <c r="A401" t="s">
        <v>899</v>
      </c>
      <c r="B401">
        <v>45541</v>
      </c>
      <c r="C401">
        <v>45569</v>
      </c>
      <c r="D401" t="s">
        <v>1491</v>
      </c>
      <c r="E401" t="s">
        <v>1494</v>
      </c>
      <c r="F401">
        <v>28</v>
      </c>
      <c r="G401">
        <v>0</v>
      </c>
      <c r="H401" t="s">
        <v>16</v>
      </c>
      <c r="I401" t="s">
        <v>148</v>
      </c>
      <c r="J401" t="s">
        <v>258</v>
      </c>
      <c r="K401" t="s">
        <v>19</v>
      </c>
      <c r="L401" t="s">
        <v>40</v>
      </c>
      <c r="M401" t="s">
        <v>145</v>
      </c>
      <c r="N401" t="s">
        <v>64</v>
      </c>
      <c r="O401" t="s">
        <v>900</v>
      </c>
      <c r="P401">
        <v>1174.17</v>
      </c>
      <c r="Q401">
        <v>1641.61</v>
      </c>
      <c r="R401">
        <v>0.122</v>
      </c>
      <c r="S401">
        <v>0</v>
      </c>
      <c r="T401">
        <v>9</v>
      </c>
      <c r="U401" t="s">
        <v>1474</v>
      </c>
      <c r="V401">
        <v>12972.00222</v>
      </c>
      <c r="W401">
        <v>10567.53</v>
      </c>
      <c r="X401">
        <v>2404.4722199999997</v>
      </c>
      <c r="Y401">
        <v>0.18535860380079394</v>
      </c>
    </row>
    <row r="402" spans="1:25" x14ac:dyDescent="0.3">
      <c r="A402" t="s">
        <v>901</v>
      </c>
      <c r="B402">
        <v>45759</v>
      </c>
      <c r="C402">
        <v>45777</v>
      </c>
      <c r="D402" t="s">
        <v>1487</v>
      </c>
      <c r="E402" t="s">
        <v>1405</v>
      </c>
      <c r="F402">
        <v>18</v>
      </c>
      <c r="G402">
        <v>0</v>
      </c>
      <c r="H402" t="s">
        <v>16</v>
      </c>
      <c r="I402" t="s">
        <v>17</v>
      </c>
      <c r="J402" t="s">
        <v>18</v>
      </c>
      <c r="K402" t="s">
        <v>19</v>
      </c>
      <c r="L402" t="s">
        <v>40</v>
      </c>
      <c r="M402" t="s">
        <v>84</v>
      </c>
      <c r="N402" t="s">
        <v>35</v>
      </c>
      <c r="O402" t="s">
        <v>902</v>
      </c>
      <c r="P402">
        <v>1119.04</v>
      </c>
      <c r="Q402">
        <v>1299.02</v>
      </c>
      <c r="R402">
        <v>2.5000000000000001E-2</v>
      </c>
      <c r="S402">
        <v>0</v>
      </c>
      <c r="T402">
        <v>14</v>
      </c>
      <c r="U402" t="s">
        <v>1485</v>
      </c>
      <c r="V402">
        <v>17731.623</v>
      </c>
      <c r="W402">
        <v>15666.56</v>
      </c>
      <c r="X402">
        <v>2065.0630000000001</v>
      </c>
      <c r="Y402">
        <v>0.11646215352085933</v>
      </c>
    </row>
    <row r="403" spans="1:25" x14ac:dyDescent="0.3">
      <c r="A403" t="s">
        <v>903</v>
      </c>
      <c r="B403">
        <v>45516</v>
      </c>
      <c r="C403">
        <v>45519</v>
      </c>
      <c r="D403" t="s">
        <v>1491</v>
      </c>
      <c r="E403" t="s">
        <v>1397</v>
      </c>
      <c r="F403">
        <v>3</v>
      </c>
      <c r="G403">
        <v>1</v>
      </c>
      <c r="H403" t="s">
        <v>52</v>
      </c>
      <c r="I403" t="s">
        <v>122</v>
      </c>
      <c r="J403" t="s">
        <v>123</v>
      </c>
      <c r="K403" t="s">
        <v>19</v>
      </c>
      <c r="L403" t="s">
        <v>40</v>
      </c>
      <c r="M403" t="s">
        <v>145</v>
      </c>
      <c r="N403" t="s">
        <v>30</v>
      </c>
      <c r="O403" t="s">
        <v>904</v>
      </c>
      <c r="P403">
        <v>850.7</v>
      </c>
      <c r="Q403">
        <v>1118.56</v>
      </c>
      <c r="R403">
        <v>0.18</v>
      </c>
      <c r="S403">
        <v>0</v>
      </c>
      <c r="T403">
        <v>19</v>
      </c>
      <c r="U403" t="s">
        <v>1485</v>
      </c>
      <c r="V403">
        <v>17427.164800000002</v>
      </c>
      <c r="W403">
        <v>16163.300000000001</v>
      </c>
      <c r="X403">
        <v>1263.8648000000012</v>
      </c>
      <c r="Y403">
        <v>7.2522685962090688E-2</v>
      </c>
    </row>
    <row r="404" spans="1:25" x14ac:dyDescent="0.3">
      <c r="A404" t="s">
        <v>905</v>
      </c>
      <c r="B404">
        <v>45601</v>
      </c>
      <c r="C404">
        <v>45604</v>
      </c>
      <c r="D404" t="s">
        <v>1481</v>
      </c>
      <c r="E404" t="s">
        <v>1400</v>
      </c>
      <c r="F404">
        <v>3</v>
      </c>
      <c r="G404">
        <v>1</v>
      </c>
      <c r="H404" t="s">
        <v>52</v>
      </c>
      <c r="I404" t="s">
        <v>53</v>
      </c>
      <c r="J404" t="s">
        <v>54</v>
      </c>
      <c r="K404" t="s">
        <v>27</v>
      </c>
      <c r="L404" t="s">
        <v>40</v>
      </c>
      <c r="M404" t="s">
        <v>68</v>
      </c>
      <c r="N404" t="s">
        <v>22</v>
      </c>
      <c r="O404" t="s">
        <v>906</v>
      </c>
      <c r="P404">
        <v>1020.4</v>
      </c>
      <c r="Q404">
        <v>1184.71</v>
      </c>
      <c r="R404">
        <v>0.106</v>
      </c>
      <c r="S404">
        <v>0</v>
      </c>
      <c r="T404">
        <v>16</v>
      </c>
      <c r="U404" t="s">
        <v>1485</v>
      </c>
      <c r="V404">
        <v>16946.091840000001</v>
      </c>
      <c r="W404">
        <v>16326.4</v>
      </c>
      <c r="X404">
        <v>619.69184000000132</v>
      </c>
      <c r="Y404">
        <v>3.6568422138328345E-2</v>
      </c>
    </row>
    <row r="405" spans="1:25" x14ac:dyDescent="0.3">
      <c r="A405" t="s">
        <v>907</v>
      </c>
      <c r="B405">
        <v>45497</v>
      </c>
      <c r="C405">
        <v>45512</v>
      </c>
      <c r="D405" t="s">
        <v>1491</v>
      </c>
      <c r="E405" t="s">
        <v>1396</v>
      </c>
      <c r="F405">
        <v>15</v>
      </c>
      <c r="G405">
        <v>0</v>
      </c>
      <c r="H405" t="s">
        <v>78</v>
      </c>
      <c r="I405" t="s">
        <v>90</v>
      </c>
      <c r="J405" t="s">
        <v>91</v>
      </c>
      <c r="K405" t="s">
        <v>105</v>
      </c>
      <c r="L405" t="s">
        <v>40</v>
      </c>
      <c r="M405" t="s">
        <v>92</v>
      </c>
      <c r="N405" t="s">
        <v>57</v>
      </c>
      <c r="O405" t="s">
        <v>908</v>
      </c>
      <c r="P405">
        <v>501.5</v>
      </c>
      <c r="Q405">
        <v>1201.47</v>
      </c>
      <c r="R405">
        <v>0.126</v>
      </c>
      <c r="S405">
        <v>0</v>
      </c>
      <c r="T405">
        <v>5</v>
      </c>
      <c r="U405" t="s">
        <v>1485</v>
      </c>
      <c r="V405">
        <v>5250.4239000000007</v>
      </c>
      <c r="W405">
        <v>2507.5</v>
      </c>
      <c r="X405">
        <v>2742.9239000000007</v>
      </c>
      <c r="Y405">
        <v>0.52241951359394057</v>
      </c>
    </row>
    <row r="406" spans="1:25" x14ac:dyDescent="0.3">
      <c r="A406" t="s">
        <v>909</v>
      </c>
      <c r="B406">
        <v>45677</v>
      </c>
      <c r="C406">
        <v>45691</v>
      </c>
      <c r="D406" t="s">
        <v>1483</v>
      </c>
      <c r="E406" t="s">
        <v>1402</v>
      </c>
      <c r="F406">
        <v>14</v>
      </c>
      <c r="G406">
        <v>0</v>
      </c>
      <c r="H406" t="s">
        <v>52</v>
      </c>
      <c r="I406" t="s">
        <v>73</v>
      </c>
      <c r="J406" t="s">
        <v>87</v>
      </c>
      <c r="K406" t="s">
        <v>105</v>
      </c>
      <c r="L406" t="s">
        <v>40</v>
      </c>
      <c r="M406" t="s">
        <v>84</v>
      </c>
      <c r="N406" t="s">
        <v>22</v>
      </c>
      <c r="O406" t="s">
        <v>910</v>
      </c>
      <c r="P406">
        <v>974.11</v>
      </c>
      <c r="Q406">
        <v>880.99</v>
      </c>
      <c r="R406">
        <v>0.111</v>
      </c>
      <c r="S406">
        <v>0</v>
      </c>
      <c r="T406">
        <v>10</v>
      </c>
      <c r="U406" t="s">
        <v>1485</v>
      </c>
      <c r="V406">
        <v>7832.0010999999995</v>
      </c>
      <c r="W406">
        <v>9741.1</v>
      </c>
      <c r="X406">
        <v>-1909.0989000000009</v>
      </c>
      <c r="Y406">
        <v>-0.2437562093805121</v>
      </c>
    </row>
    <row r="407" spans="1:25" x14ac:dyDescent="0.3">
      <c r="A407" t="s">
        <v>911</v>
      </c>
      <c r="B407">
        <v>44991</v>
      </c>
      <c r="C407">
        <v>45020</v>
      </c>
      <c r="D407" t="s">
        <v>1482</v>
      </c>
      <c r="E407" t="s">
        <v>1380</v>
      </c>
      <c r="F407">
        <v>29</v>
      </c>
      <c r="G407">
        <v>0</v>
      </c>
      <c r="H407" t="s">
        <v>45</v>
      </c>
      <c r="I407" t="s">
        <v>116</v>
      </c>
      <c r="J407" t="s">
        <v>338</v>
      </c>
      <c r="K407" t="s">
        <v>62</v>
      </c>
      <c r="L407" t="s">
        <v>98</v>
      </c>
      <c r="M407" t="s">
        <v>21</v>
      </c>
      <c r="N407" t="s">
        <v>64</v>
      </c>
      <c r="O407" t="s">
        <v>912</v>
      </c>
      <c r="P407">
        <v>1126.29</v>
      </c>
      <c r="Q407">
        <v>2050.87</v>
      </c>
      <c r="R407">
        <v>6.4000000000000001E-2</v>
      </c>
      <c r="S407">
        <v>0</v>
      </c>
      <c r="T407">
        <v>7</v>
      </c>
      <c r="U407" t="s">
        <v>1474</v>
      </c>
      <c r="V407">
        <v>13437.300239999999</v>
      </c>
      <c r="W407">
        <v>7884.03</v>
      </c>
      <c r="X407">
        <v>5553.2702399999989</v>
      </c>
      <c r="Y407">
        <v>0.41327276616690373</v>
      </c>
    </row>
    <row r="408" spans="1:25" x14ac:dyDescent="0.3">
      <c r="A408" t="s">
        <v>913</v>
      </c>
      <c r="B408">
        <v>45646</v>
      </c>
      <c r="C408">
        <v>45671</v>
      </c>
      <c r="D408" t="s">
        <v>1481</v>
      </c>
      <c r="E408" t="s">
        <v>1401</v>
      </c>
      <c r="F408">
        <v>25</v>
      </c>
      <c r="G408">
        <v>0</v>
      </c>
      <c r="H408" t="s">
        <v>45</v>
      </c>
      <c r="I408" t="s">
        <v>60</v>
      </c>
      <c r="J408" t="s">
        <v>141</v>
      </c>
      <c r="K408" t="s">
        <v>62</v>
      </c>
      <c r="L408" t="s">
        <v>20</v>
      </c>
      <c r="M408" t="s">
        <v>110</v>
      </c>
      <c r="N408" t="s">
        <v>30</v>
      </c>
      <c r="O408" t="s">
        <v>914</v>
      </c>
      <c r="P408">
        <v>1361.34</v>
      </c>
      <c r="Q408">
        <v>1737.9</v>
      </c>
      <c r="R408">
        <v>7.6999999999999999E-2</v>
      </c>
      <c r="S408">
        <v>0</v>
      </c>
      <c r="T408">
        <v>14</v>
      </c>
      <c r="U408" t="s">
        <v>1474</v>
      </c>
      <c r="V408">
        <v>22457.143800000002</v>
      </c>
      <c r="W408">
        <v>19058.759999999998</v>
      </c>
      <c r="X408">
        <v>3398.3838000000032</v>
      </c>
      <c r="Y408">
        <v>0.15132751654731813</v>
      </c>
    </row>
    <row r="409" spans="1:25" x14ac:dyDescent="0.3">
      <c r="A409" t="s">
        <v>915</v>
      </c>
      <c r="B409">
        <v>45709</v>
      </c>
      <c r="C409">
        <v>45737</v>
      </c>
      <c r="D409" t="s">
        <v>1483</v>
      </c>
      <c r="E409" t="s">
        <v>1403</v>
      </c>
      <c r="F409">
        <v>28</v>
      </c>
      <c r="G409">
        <v>0</v>
      </c>
      <c r="H409" t="s">
        <v>16</v>
      </c>
      <c r="I409" t="s">
        <v>25</v>
      </c>
      <c r="J409" t="s">
        <v>67</v>
      </c>
      <c r="K409" t="s">
        <v>105</v>
      </c>
      <c r="L409" t="s">
        <v>40</v>
      </c>
      <c r="M409" t="s">
        <v>34</v>
      </c>
      <c r="N409" t="s">
        <v>42</v>
      </c>
      <c r="O409" t="s">
        <v>916</v>
      </c>
      <c r="P409">
        <v>1437.39</v>
      </c>
      <c r="Q409">
        <v>1388.31</v>
      </c>
      <c r="R409">
        <v>0.13800000000000001</v>
      </c>
      <c r="S409">
        <v>0</v>
      </c>
      <c r="T409">
        <v>18</v>
      </c>
      <c r="U409" t="s">
        <v>1485</v>
      </c>
      <c r="V409">
        <v>21541.017959999997</v>
      </c>
      <c r="W409">
        <v>25873.02</v>
      </c>
      <c r="X409">
        <v>-4332.002040000003</v>
      </c>
      <c r="Y409">
        <v>-0.20110479681341872</v>
      </c>
    </row>
    <row r="410" spans="1:25" x14ac:dyDescent="0.3">
      <c r="A410" t="s">
        <v>917</v>
      </c>
      <c r="B410">
        <v>45724</v>
      </c>
      <c r="C410">
        <v>45731</v>
      </c>
      <c r="D410" t="s">
        <v>1483</v>
      </c>
      <c r="E410" t="s">
        <v>1404</v>
      </c>
      <c r="F410">
        <v>7</v>
      </c>
      <c r="G410">
        <v>1</v>
      </c>
      <c r="H410" t="s">
        <v>45</v>
      </c>
      <c r="I410" t="s">
        <v>60</v>
      </c>
      <c r="J410" t="s">
        <v>61</v>
      </c>
      <c r="K410" t="s">
        <v>19</v>
      </c>
      <c r="L410" t="s">
        <v>55</v>
      </c>
      <c r="M410" t="s">
        <v>95</v>
      </c>
      <c r="N410" t="s">
        <v>57</v>
      </c>
      <c r="O410" t="s">
        <v>918</v>
      </c>
      <c r="P410">
        <v>475.66</v>
      </c>
      <c r="Q410">
        <v>529.14</v>
      </c>
      <c r="R410">
        <v>0.19600000000000001</v>
      </c>
      <c r="S410">
        <v>0</v>
      </c>
      <c r="T410">
        <v>11</v>
      </c>
      <c r="U410" t="s">
        <v>1480</v>
      </c>
      <c r="V410">
        <v>4679.7141600000004</v>
      </c>
      <c r="W410">
        <v>5232.26</v>
      </c>
      <c r="X410">
        <v>-552.54583999999977</v>
      </c>
      <c r="Y410">
        <v>-0.11807256193613323</v>
      </c>
    </row>
    <row r="411" spans="1:25" x14ac:dyDescent="0.3">
      <c r="A411" t="s">
        <v>919</v>
      </c>
      <c r="B411">
        <v>45276</v>
      </c>
      <c r="C411">
        <v>45279</v>
      </c>
      <c r="D411" t="s">
        <v>1484</v>
      </c>
      <c r="E411" t="s">
        <v>1389</v>
      </c>
      <c r="F411">
        <v>3</v>
      </c>
      <c r="G411">
        <v>1</v>
      </c>
      <c r="H411" t="s">
        <v>45</v>
      </c>
      <c r="I411" t="s">
        <v>116</v>
      </c>
      <c r="J411" t="s">
        <v>338</v>
      </c>
      <c r="K411" t="s">
        <v>27</v>
      </c>
      <c r="L411" t="s">
        <v>20</v>
      </c>
      <c r="M411" t="s">
        <v>75</v>
      </c>
      <c r="N411" t="s">
        <v>81</v>
      </c>
      <c r="O411" t="s">
        <v>920</v>
      </c>
      <c r="P411">
        <v>1415.05</v>
      </c>
      <c r="Q411">
        <v>1972.38</v>
      </c>
      <c r="R411">
        <v>0</v>
      </c>
      <c r="S411">
        <v>0</v>
      </c>
      <c r="T411">
        <v>12</v>
      </c>
      <c r="U411" t="s">
        <v>1474</v>
      </c>
      <c r="V411">
        <v>23668.560000000001</v>
      </c>
      <c r="W411">
        <v>16980.599999999999</v>
      </c>
      <c r="X411">
        <v>6687.9600000000028</v>
      </c>
      <c r="Y411">
        <v>0.28256725377462771</v>
      </c>
    </row>
    <row r="412" spans="1:25" x14ac:dyDescent="0.3">
      <c r="A412" t="s">
        <v>921</v>
      </c>
      <c r="B412">
        <v>45534</v>
      </c>
      <c r="C412">
        <v>45540</v>
      </c>
      <c r="D412" t="s">
        <v>1491</v>
      </c>
      <c r="E412" t="s">
        <v>1397</v>
      </c>
      <c r="F412">
        <v>6</v>
      </c>
      <c r="G412">
        <v>1</v>
      </c>
      <c r="H412" t="s">
        <v>45</v>
      </c>
      <c r="I412" t="s">
        <v>46</v>
      </c>
      <c r="J412" t="s">
        <v>231</v>
      </c>
      <c r="K412" t="s">
        <v>27</v>
      </c>
      <c r="L412" t="s">
        <v>28</v>
      </c>
      <c r="M412" t="s">
        <v>126</v>
      </c>
      <c r="N412" t="s">
        <v>57</v>
      </c>
      <c r="O412" t="s">
        <v>922</v>
      </c>
      <c r="P412">
        <v>466.16</v>
      </c>
      <c r="Q412">
        <v>876.81</v>
      </c>
      <c r="R412">
        <v>0.24099999999999999</v>
      </c>
      <c r="S412">
        <v>1</v>
      </c>
      <c r="T412">
        <v>8</v>
      </c>
      <c r="U412" t="s">
        <v>1485</v>
      </c>
      <c r="V412">
        <v>5323.9903199999999</v>
      </c>
      <c r="W412">
        <v>3729.28</v>
      </c>
      <c r="X412">
        <v>1594.7103199999997</v>
      </c>
      <c r="Y412">
        <v>0.29953291124691594</v>
      </c>
    </row>
    <row r="413" spans="1:25" x14ac:dyDescent="0.3">
      <c r="A413" t="s">
        <v>923</v>
      </c>
      <c r="B413">
        <v>45430</v>
      </c>
      <c r="C413">
        <v>45433</v>
      </c>
      <c r="D413" t="s">
        <v>1486</v>
      </c>
      <c r="E413" t="s">
        <v>1394</v>
      </c>
      <c r="F413">
        <v>3</v>
      </c>
      <c r="G413">
        <v>1</v>
      </c>
      <c r="H413" t="s">
        <v>78</v>
      </c>
      <c r="I413" t="s">
        <v>90</v>
      </c>
      <c r="J413" t="s">
        <v>91</v>
      </c>
      <c r="K413" t="s">
        <v>39</v>
      </c>
      <c r="L413" t="s">
        <v>40</v>
      </c>
      <c r="M413" t="s">
        <v>145</v>
      </c>
      <c r="N413" t="s">
        <v>30</v>
      </c>
      <c r="O413" t="s">
        <v>924</v>
      </c>
      <c r="P413">
        <v>663.66</v>
      </c>
      <c r="Q413">
        <v>824.26</v>
      </c>
      <c r="R413">
        <v>0.23899999999999999</v>
      </c>
      <c r="S413">
        <v>1</v>
      </c>
      <c r="T413">
        <v>11</v>
      </c>
      <c r="U413" t="s">
        <v>1480</v>
      </c>
      <c r="V413">
        <v>6899.8804600000003</v>
      </c>
      <c r="W413">
        <v>7300.2599999999993</v>
      </c>
      <c r="X413">
        <v>-400.379539999999</v>
      </c>
      <c r="Y413">
        <v>-5.8027025587048933E-2</v>
      </c>
    </row>
    <row r="414" spans="1:25" x14ac:dyDescent="0.3">
      <c r="A414" t="s">
        <v>925</v>
      </c>
      <c r="B414">
        <v>45002</v>
      </c>
      <c r="C414">
        <v>45022</v>
      </c>
      <c r="D414" t="s">
        <v>1482</v>
      </c>
      <c r="E414" t="s">
        <v>1380</v>
      </c>
      <c r="F414">
        <v>20</v>
      </c>
      <c r="G414">
        <v>0</v>
      </c>
      <c r="H414" t="s">
        <v>78</v>
      </c>
      <c r="I414" t="s">
        <v>79</v>
      </c>
      <c r="J414" t="s">
        <v>159</v>
      </c>
      <c r="K414" t="s">
        <v>48</v>
      </c>
      <c r="L414" t="s">
        <v>20</v>
      </c>
      <c r="M414" t="s">
        <v>68</v>
      </c>
      <c r="N414" t="s">
        <v>42</v>
      </c>
      <c r="O414" t="s">
        <v>926</v>
      </c>
      <c r="P414">
        <v>692.18</v>
      </c>
      <c r="Q414">
        <v>1159.3499999999999</v>
      </c>
      <c r="R414">
        <v>0.112</v>
      </c>
      <c r="S414">
        <v>0</v>
      </c>
      <c r="T414">
        <v>2</v>
      </c>
      <c r="U414" t="s">
        <v>1485</v>
      </c>
      <c r="V414">
        <v>2059.0056</v>
      </c>
      <c r="W414">
        <v>1384.36</v>
      </c>
      <c r="X414">
        <v>674.64560000000006</v>
      </c>
      <c r="Y414">
        <v>0.32765602968734037</v>
      </c>
    </row>
    <row r="415" spans="1:25" x14ac:dyDescent="0.3">
      <c r="A415" t="s">
        <v>927</v>
      </c>
      <c r="B415">
        <v>45163</v>
      </c>
      <c r="C415">
        <v>45185</v>
      </c>
      <c r="D415" t="s">
        <v>1492</v>
      </c>
      <c r="E415" t="s">
        <v>1385</v>
      </c>
      <c r="F415">
        <v>22</v>
      </c>
      <c r="G415">
        <v>0</v>
      </c>
      <c r="H415" t="s">
        <v>16</v>
      </c>
      <c r="I415" t="s">
        <v>25</v>
      </c>
      <c r="J415" t="s">
        <v>67</v>
      </c>
      <c r="K415" t="s">
        <v>19</v>
      </c>
      <c r="L415" t="s">
        <v>40</v>
      </c>
      <c r="M415" t="s">
        <v>49</v>
      </c>
      <c r="N415" t="s">
        <v>42</v>
      </c>
      <c r="O415" t="s">
        <v>928</v>
      </c>
      <c r="P415">
        <v>1196.83</v>
      </c>
      <c r="Q415">
        <v>2513.5100000000002</v>
      </c>
      <c r="R415">
        <v>8.3000000000000004E-2</v>
      </c>
      <c r="S415">
        <v>0</v>
      </c>
      <c r="T415">
        <v>7</v>
      </c>
      <c r="U415" t="s">
        <v>1474</v>
      </c>
      <c r="V415">
        <v>16134.22069</v>
      </c>
      <c r="W415">
        <v>8377.81</v>
      </c>
      <c r="X415">
        <v>7756.4106900000006</v>
      </c>
      <c r="Y415">
        <v>0.48074281609445374</v>
      </c>
    </row>
    <row r="416" spans="1:25" x14ac:dyDescent="0.3">
      <c r="A416" t="s">
        <v>929</v>
      </c>
      <c r="B416">
        <v>45449</v>
      </c>
      <c r="C416">
        <v>45467</v>
      </c>
      <c r="D416" t="s">
        <v>1486</v>
      </c>
      <c r="E416" t="s">
        <v>1395</v>
      </c>
      <c r="F416">
        <v>18</v>
      </c>
      <c r="G416">
        <v>0</v>
      </c>
      <c r="H416" t="s">
        <v>45</v>
      </c>
      <c r="I416" t="s">
        <v>60</v>
      </c>
      <c r="J416" t="s">
        <v>61</v>
      </c>
      <c r="K416" t="s">
        <v>62</v>
      </c>
      <c r="L416" t="s">
        <v>98</v>
      </c>
      <c r="M416" t="s">
        <v>92</v>
      </c>
      <c r="N416" t="s">
        <v>35</v>
      </c>
      <c r="O416" t="s">
        <v>930</v>
      </c>
      <c r="P416">
        <v>1253.25</v>
      </c>
      <c r="Q416">
        <v>3087.13</v>
      </c>
      <c r="R416">
        <v>7.1999999999999995E-2</v>
      </c>
      <c r="S416">
        <v>0</v>
      </c>
      <c r="T416">
        <v>11</v>
      </c>
      <c r="U416" t="s">
        <v>1474</v>
      </c>
      <c r="V416">
        <v>31513.423040000001</v>
      </c>
      <c r="W416">
        <v>13785.75</v>
      </c>
      <c r="X416">
        <v>17727.673040000001</v>
      </c>
      <c r="Y416">
        <v>0.562543555408064</v>
      </c>
    </row>
    <row r="417" spans="1:25" x14ac:dyDescent="0.3">
      <c r="A417" t="s">
        <v>931</v>
      </c>
      <c r="B417">
        <v>45167</v>
      </c>
      <c r="C417">
        <v>45182</v>
      </c>
      <c r="D417" t="s">
        <v>1492</v>
      </c>
      <c r="E417" t="s">
        <v>1385</v>
      </c>
      <c r="F417">
        <v>15</v>
      </c>
      <c r="G417">
        <v>0</v>
      </c>
      <c r="H417" t="s">
        <v>52</v>
      </c>
      <c r="I417" t="s">
        <v>53</v>
      </c>
      <c r="J417" t="s">
        <v>179</v>
      </c>
      <c r="K417" t="s">
        <v>62</v>
      </c>
      <c r="L417" t="s">
        <v>40</v>
      </c>
      <c r="M417" t="s">
        <v>68</v>
      </c>
      <c r="N417" t="s">
        <v>30</v>
      </c>
      <c r="O417" t="s">
        <v>932</v>
      </c>
      <c r="P417">
        <v>1287.6400000000001</v>
      </c>
      <c r="Q417">
        <v>2717.15</v>
      </c>
      <c r="R417">
        <v>3.2000000000000001E-2</v>
      </c>
      <c r="S417">
        <v>0</v>
      </c>
      <c r="T417">
        <v>7</v>
      </c>
      <c r="U417" t="s">
        <v>1474</v>
      </c>
      <c r="V417">
        <v>18411.4084</v>
      </c>
      <c r="W417">
        <v>9013.4800000000014</v>
      </c>
      <c r="X417">
        <v>9397.9283999999989</v>
      </c>
      <c r="Y417">
        <v>0.51044049405802105</v>
      </c>
    </row>
    <row r="418" spans="1:25" x14ac:dyDescent="0.3">
      <c r="A418" t="s">
        <v>933</v>
      </c>
      <c r="B418">
        <v>45626</v>
      </c>
      <c r="C418">
        <v>45636</v>
      </c>
      <c r="D418" t="s">
        <v>1481</v>
      </c>
      <c r="E418" t="s">
        <v>1400</v>
      </c>
      <c r="F418">
        <v>10</v>
      </c>
      <c r="G418">
        <v>0</v>
      </c>
      <c r="H418" t="s">
        <v>45</v>
      </c>
      <c r="I418" t="s">
        <v>60</v>
      </c>
      <c r="J418" t="s">
        <v>281</v>
      </c>
      <c r="K418" t="s">
        <v>62</v>
      </c>
      <c r="L418" t="s">
        <v>20</v>
      </c>
      <c r="M418" t="s">
        <v>84</v>
      </c>
      <c r="N418" t="s">
        <v>81</v>
      </c>
      <c r="O418" t="s">
        <v>934</v>
      </c>
      <c r="P418">
        <v>851.49</v>
      </c>
      <c r="Q418">
        <v>901.79</v>
      </c>
      <c r="R418">
        <v>0.245</v>
      </c>
      <c r="S418">
        <v>1</v>
      </c>
      <c r="T418">
        <v>16</v>
      </c>
      <c r="U418" t="s">
        <v>1485</v>
      </c>
      <c r="V418">
        <v>10893.6232</v>
      </c>
      <c r="W418">
        <v>13623.84</v>
      </c>
      <c r="X418">
        <v>-2730.2168000000001</v>
      </c>
      <c r="Y418">
        <v>-0.25062522816100341</v>
      </c>
    </row>
    <row r="419" spans="1:25" x14ac:dyDescent="0.3">
      <c r="A419" t="s">
        <v>935</v>
      </c>
      <c r="B419">
        <v>45813</v>
      </c>
      <c r="C419">
        <v>45822</v>
      </c>
      <c r="D419" t="s">
        <v>1487</v>
      </c>
      <c r="E419" t="s">
        <v>1407</v>
      </c>
      <c r="F419">
        <v>9</v>
      </c>
      <c r="G419">
        <v>0</v>
      </c>
      <c r="H419" t="s">
        <v>45</v>
      </c>
      <c r="I419" t="s">
        <v>60</v>
      </c>
      <c r="J419" t="s">
        <v>141</v>
      </c>
      <c r="K419" t="s">
        <v>39</v>
      </c>
      <c r="L419" t="s">
        <v>20</v>
      </c>
      <c r="M419" t="s">
        <v>75</v>
      </c>
      <c r="N419" t="s">
        <v>81</v>
      </c>
      <c r="O419" t="s">
        <v>936</v>
      </c>
      <c r="P419">
        <v>618.69000000000005</v>
      </c>
      <c r="Q419">
        <v>796.15</v>
      </c>
      <c r="R419">
        <v>0.09</v>
      </c>
      <c r="S419">
        <v>0</v>
      </c>
      <c r="T419">
        <v>11</v>
      </c>
      <c r="U419" t="s">
        <v>1480</v>
      </c>
      <c r="V419">
        <v>7969.4615000000003</v>
      </c>
      <c r="W419">
        <v>6805.59</v>
      </c>
      <c r="X419">
        <v>1163.8715000000002</v>
      </c>
      <c r="Y419">
        <v>0.14604142325049191</v>
      </c>
    </row>
    <row r="420" spans="1:25" x14ac:dyDescent="0.3">
      <c r="A420" t="s">
        <v>937</v>
      </c>
      <c r="B420">
        <v>45730</v>
      </c>
      <c r="C420">
        <v>45755</v>
      </c>
      <c r="D420" t="s">
        <v>1483</v>
      </c>
      <c r="E420" t="s">
        <v>1404</v>
      </c>
      <c r="F420">
        <v>25</v>
      </c>
      <c r="G420">
        <v>0</v>
      </c>
      <c r="H420" t="s">
        <v>45</v>
      </c>
      <c r="I420" t="s">
        <v>116</v>
      </c>
      <c r="J420" t="s">
        <v>162</v>
      </c>
      <c r="K420" t="s">
        <v>19</v>
      </c>
      <c r="L420" t="s">
        <v>55</v>
      </c>
      <c r="M420" t="s">
        <v>145</v>
      </c>
      <c r="N420" t="s">
        <v>30</v>
      </c>
      <c r="O420" t="s">
        <v>938</v>
      </c>
      <c r="P420">
        <v>80.59</v>
      </c>
      <c r="Q420">
        <v>157.82</v>
      </c>
      <c r="R420">
        <v>0.217</v>
      </c>
      <c r="S420">
        <v>1</v>
      </c>
      <c r="T420">
        <v>6</v>
      </c>
      <c r="U420" t="s">
        <v>1480</v>
      </c>
      <c r="V420">
        <v>741.43835999999999</v>
      </c>
      <c r="W420">
        <v>483.54</v>
      </c>
      <c r="X420">
        <v>257.89835999999997</v>
      </c>
      <c r="Y420">
        <v>0.34783519967863541</v>
      </c>
    </row>
    <row r="421" spans="1:25" x14ac:dyDescent="0.3">
      <c r="A421" t="s">
        <v>939</v>
      </c>
      <c r="B421">
        <v>45307</v>
      </c>
      <c r="C421">
        <v>45333</v>
      </c>
      <c r="D421" t="s">
        <v>1479</v>
      </c>
      <c r="E421" t="s">
        <v>1390</v>
      </c>
      <c r="F421">
        <v>26</v>
      </c>
      <c r="G421">
        <v>0</v>
      </c>
      <c r="H421" t="s">
        <v>78</v>
      </c>
      <c r="I421" t="s">
        <v>79</v>
      </c>
      <c r="J421" t="s">
        <v>335</v>
      </c>
      <c r="K421" t="s">
        <v>39</v>
      </c>
      <c r="L421" t="s">
        <v>55</v>
      </c>
      <c r="M421" t="s">
        <v>63</v>
      </c>
      <c r="N421" t="s">
        <v>64</v>
      </c>
      <c r="O421" t="s">
        <v>940</v>
      </c>
      <c r="P421">
        <v>504.93</v>
      </c>
      <c r="Q421">
        <v>819.06</v>
      </c>
      <c r="R421">
        <v>0.22600000000000001</v>
      </c>
      <c r="S421">
        <v>1</v>
      </c>
      <c r="T421">
        <v>15</v>
      </c>
      <c r="U421" t="s">
        <v>1480</v>
      </c>
      <c r="V421">
        <v>9509.2865999999995</v>
      </c>
      <c r="W421">
        <v>7573.95</v>
      </c>
      <c r="X421">
        <v>1935.3365999999996</v>
      </c>
      <c r="Y421">
        <v>0.20352069312959814</v>
      </c>
    </row>
    <row r="422" spans="1:25" x14ac:dyDescent="0.3">
      <c r="A422" t="s">
        <v>941</v>
      </c>
      <c r="B422">
        <v>45211</v>
      </c>
      <c r="C422">
        <v>45228</v>
      </c>
      <c r="D422" t="s">
        <v>1484</v>
      </c>
      <c r="E422" t="s">
        <v>1387</v>
      </c>
      <c r="F422">
        <v>17</v>
      </c>
      <c r="G422">
        <v>0</v>
      </c>
      <c r="H422" t="s">
        <v>45</v>
      </c>
      <c r="I422" t="s">
        <v>46</v>
      </c>
      <c r="J422" t="s">
        <v>231</v>
      </c>
      <c r="K422" t="s">
        <v>39</v>
      </c>
      <c r="L422" t="s">
        <v>98</v>
      </c>
      <c r="M422" t="s">
        <v>92</v>
      </c>
      <c r="N422" t="s">
        <v>42</v>
      </c>
      <c r="O422" t="s">
        <v>942</v>
      </c>
      <c r="P422">
        <v>1102.19</v>
      </c>
      <c r="Q422">
        <v>1711.16</v>
      </c>
      <c r="R422">
        <v>0.151</v>
      </c>
      <c r="S422">
        <v>0</v>
      </c>
      <c r="T422">
        <v>10</v>
      </c>
      <c r="U422" t="s">
        <v>1474</v>
      </c>
      <c r="V422">
        <v>14527.748400000002</v>
      </c>
      <c r="W422">
        <v>11021.900000000001</v>
      </c>
      <c r="X422">
        <v>3505.8484000000008</v>
      </c>
      <c r="Y422">
        <v>0.24132083675127525</v>
      </c>
    </row>
    <row r="423" spans="1:25" x14ac:dyDescent="0.3">
      <c r="A423" t="s">
        <v>943</v>
      </c>
      <c r="B423">
        <v>45713</v>
      </c>
      <c r="C423">
        <v>45733</v>
      </c>
      <c r="D423" t="s">
        <v>1483</v>
      </c>
      <c r="E423" t="s">
        <v>1403</v>
      </c>
      <c r="F423">
        <v>20</v>
      </c>
      <c r="G423">
        <v>0</v>
      </c>
      <c r="H423" t="s">
        <v>52</v>
      </c>
      <c r="I423" t="s">
        <v>122</v>
      </c>
      <c r="J423" t="s">
        <v>167</v>
      </c>
      <c r="K423" t="s">
        <v>39</v>
      </c>
      <c r="L423" t="s">
        <v>40</v>
      </c>
      <c r="M423" t="s">
        <v>92</v>
      </c>
      <c r="N423" t="s">
        <v>42</v>
      </c>
      <c r="O423" t="s">
        <v>944</v>
      </c>
      <c r="P423">
        <v>1205.26</v>
      </c>
      <c r="Q423">
        <v>1696.35</v>
      </c>
      <c r="R423">
        <v>1.9E-2</v>
      </c>
      <c r="S423">
        <v>0</v>
      </c>
      <c r="T423">
        <v>6</v>
      </c>
      <c r="U423" t="s">
        <v>1474</v>
      </c>
      <c r="V423">
        <v>9984.7160999999978</v>
      </c>
      <c r="W423">
        <v>7231.5599999999995</v>
      </c>
      <c r="X423">
        <v>2753.1560999999983</v>
      </c>
      <c r="Y423">
        <v>0.27573704374028213</v>
      </c>
    </row>
    <row r="424" spans="1:25" x14ac:dyDescent="0.3">
      <c r="A424" t="s">
        <v>945</v>
      </c>
      <c r="B424">
        <v>45841</v>
      </c>
      <c r="C424">
        <v>45844</v>
      </c>
      <c r="D424" t="s">
        <v>1488</v>
      </c>
      <c r="E424" t="s">
        <v>1408</v>
      </c>
      <c r="F424">
        <v>3</v>
      </c>
      <c r="G424">
        <v>1</v>
      </c>
      <c r="H424" t="s">
        <v>16</v>
      </c>
      <c r="I424" t="s">
        <v>25</v>
      </c>
      <c r="J424" t="s">
        <v>38</v>
      </c>
      <c r="K424" t="s">
        <v>48</v>
      </c>
      <c r="L424" t="s">
        <v>28</v>
      </c>
      <c r="M424" t="s">
        <v>110</v>
      </c>
      <c r="N424" t="s">
        <v>57</v>
      </c>
      <c r="O424" t="s">
        <v>946</v>
      </c>
      <c r="P424">
        <v>1313.3</v>
      </c>
      <c r="Q424">
        <v>2884.34</v>
      </c>
      <c r="R424">
        <v>0.157</v>
      </c>
      <c r="S424">
        <v>0</v>
      </c>
      <c r="T424">
        <v>42</v>
      </c>
      <c r="U424" t="s">
        <v>1474</v>
      </c>
      <c r="V424">
        <v>102122.94203999999</v>
      </c>
      <c r="W424">
        <v>55158.6</v>
      </c>
      <c r="X424">
        <v>46964.342039999996</v>
      </c>
      <c r="Y424">
        <v>0.45988042551305253</v>
      </c>
    </row>
    <row r="425" spans="1:25" x14ac:dyDescent="0.3">
      <c r="A425" t="s">
        <v>947</v>
      </c>
      <c r="B425">
        <v>45915</v>
      </c>
      <c r="C425">
        <v>45925</v>
      </c>
      <c r="D425" t="s">
        <v>1488</v>
      </c>
      <c r="E425" t="s">
        <v>1489</v>
      </c>
      <c r="F425">
        <v>10</v>
      </c>
      <c r="G425">
        <v>0</v>
      </c>
      <c r="H425" t="s">
        <v>45</v>
      </c>
      <c r="I425" t="s">
        <v>60</v>
      </c>
      <c r="J425" t="s">
        <v>141</v>
      </c>
      <c r="K425" t="s">
        <v>48</v>
      </c>
      <c r="L425" t="s">
        <v>20</v>
      </c>
      <c r="M425" t="s">
        <v>75</v>
      </c>
      <c r="N425" t="s">
        <v>42</v>
      </c>
      <c r="O425" t="s">
        <v>948</v>
      </c>
      <c r="P425">
        <v>1488.91</v>
      </c>
      <c r="Q425">
        <v>1483.74</v>
      </c>
      <c r="R425">
        <v>0.16800000000000001</v>
      </c>
      <c r="S425">
        <v>0</v>
      </c>
      <c r="T425">
        <v>24</v>
      </c>
      <c r="U425" t="s">
        <v>1485</v>
      </c>
      <c r="V425">
        <v>29627.320319999999</v>
      </c>
      <c r="W425">
        <v>35733.840000000004</v>
      </c>
      <c r="X425">
        <v>-6106.5196800000049</v>
      </c>
      <c r="Y425">
        <v>-0.20611110333450519</v>
      </c>
    </row>
    <row r="426" spans="1:25" x14ac:dyDescent="0.3">
      <c r="A426" t="s">
        <v>949</v>
      </c>
      <c r="B426">
        <v>45341</v>
      </c>
      <c r="C426">
        <v>45357</v>
      </c>
      <c r="D426" t="s">
        <v>1479</v>
      </c>
      <c r="E426" t="s">
        <v>1391</v>
      </c>
      <c r="F426">
        <v>16</v>
      </c>
      <c r="G426">
        <v>0</v>
      </c>
      <c r="H426" t="s">
        <v>45</v>
      </c>
      <c r="I426" t="s">
        <v>116</v>
      </c>
      <c r="J426" t="s">
        <v>338</v>
      </c>
      <c r="K426" t="s">
        <v>27</v>
      </c>
      <c r="L426" t="s">
        <v>40</v>
      </c>
      <c r="M426" t="s">
        <v>68</v>
      </c>
      <c r="N426" t="s">
        <v>30</v>
      </c>
      <c r="O426" t="s">
        <v>950</v>
      </c>
      <c r="P426">
        <v>1477.84</v>
      </c>
      <c r="Q426">
        <v>3197.47</v>
      </c>
      <c r="R426">
        <v>0.24299999999999999</v>
      </c>
      <c r="S426">
        <v>1</v>
      </c>
      <c r="T426">
        <v>24</v>
      </c>
      <c r="U426" t="s">
        <v>1474</v>
      </c>
      <c r="V426">
        <v>58091.634960000003</v>
      </c>
      <c r="W426">
        <v>35468.159999999996</v>
      </c>
      <c r="X426">
        <v>22623.474960000007</v>
      </c>
      <c r="Y426">
        <v>0.38944462443823091</v>
      </c>
    </row>
    <row r="427" spans="1:25" x14ac:dyDescent="0.3">
      <c r="A427" t="s">
        <v>951</v>
      </c>
      <c r="B427">
        <v>45349</v>
      </c>
      <c r="C427">
        <v>45377</v>
      </c>
      <c r="D427" t="s">
        <v>1479</v>
      </c>
      <c r="E427" t="s">
        <v>1391</v>
      </c>
      <c r="F427">
        <v>28</v>
      </c>
      <c r="G427">
        <v>0</v>
      </c>
      <c r="H427" t="s">
        <v>45</v>
      </c>
      <c r="I427" t="s">
        <v>60</v>
      </c>
      <c r="J427" t="s">
        <v>220</v>
      </c>
      <c r="K427" t="s">
        <v>27</v>
      </c>
      <c r="L427" t="s">
        <v>40</v>
      </c>
      <c r="M427" t="s">
        <v>41</v>
      </c>
      <c r="N427" t="s">
        <v>57</v>
      </c>
      <c r="O427" t="s">
        <v>952</v>
      </c>
      <c r="P427">
        <v>1035.19</v>
      </c>
      <c r="Q427">
        <v>2322.6999999999998</v>
      </c>
      <c r="R427">
        <v>0.17299999999999999</v>
      </c>
      <c r="S427">
        <v>0</v>
      </c>
      <c r="T427">
        <v>8</v>
      </c>
      <c r="U427" t="s">
        <v>1474</v>
      </c>
      <c r="V427">
        <v>15366.983199999999</v>
      </c>
      <c r="W427">
        <v>8281.52</v>
      </c>
      <c r="X427">
        <v>7085.4631999999983</v>
      </c>
      <c r="Y427">
        <v>0.46108355217047409</v>
      </c>
    </row>
    <row r="428" spans="1:25" x14ac:dyDescent="0.3">
      <c r="A428" t="s">
        <v>953</v>
      </c>
      <c r="B428">
        <v>45897</v>
      </c>
      <c r="C428">
        <v>45905</v>
      </c>
      <c r="D428" t="s">
        <v>1488</v>
      </c>
      <c r="E428" t="s">
        <v>1409</v>
      </c>
      <c r="F428">
        <v>8</v>
      </c>
      <c r="G428">
        <v>0</v>
      </c>
      <c r="H428" t="s">
        <v>16</v>
      </c>
      <c r="I428" t="s">
        <v>25</v>
      </c>
      <c r="J428" t="s">
        <v>26</v>
      </c>
      <c r="K428" t="s">
        <v>62</v>
      </c>
      <c r="L428" t="s">
        <v>40</v>
      </c>
      <c r="M428" t="s">
        <v>63</v>
      </c>
      <c r="N428" t="s">
        <v>57</v>
      </c>
      <c r="O428" t="s">
        <v>954</v>
      </c>
      <c r="P428">
        <v>1271.0999999999999</v>
      </c>
      <c r="Q428">
        <v>1932.42</v>
      </c>
      <c r="R428">
        <v>0.25</v>
      </c>
      <c r="S428">
        <v>1</v>
      </c>
      <c r="T428">
        <v>21</v>
      </c>
      <c r="U428" t="s">
        <v>1474</v>
      </c>
      <c r="V428">
        <v>30435.614999999998</v>
      </c>
      <c r="W428">
        <v>26693.1</v>
      </c>
      <c r="X428">
        <v>3742.5149999999994</v>
      </c>
      <c r="Y428">
        <v>0.12296498690760807</v>
      </c>
    </row>
    <row r="429" spans="1:25" x14ac:dyDescent="0.3">
      <c r="A429" t="s">
        <v>955</v>
      </c>
      <c r="B429">
        <v>45522</v>
      </c>
      <c r="C429">
        <v>45547</v>
      </c>
      <c r="D429" t="s">
        <v>1491</v>
      </c>
      <c r="E429" t="s">
        <v>1397</v>
      </c>
      <c r="F429">
        <v>25</v>
      </c>
      <c r="G429">
        <v>0</v>
      </c>
      <c r="H429" t="s">
        <v>45</v>
      </c>
      <c r="I429" t="s">
        <v>60</v>
      </c>
      <c r="J429" t="s">
        <v>220</v>
      </c>
      <c r="K429" t="s">
        <v>48</v>
      </c>
      <c r="L429" t="s">
        <v>40</v>
      </c>
      <c r="M429" t="s">
        <v>21</v>
      </c>
      <c r="N429" t="s">
        <v>42</v>
      </c>
      <c r="O429" t="s">
        <v>956</v>
      </c>
      <c r="P429">
        <v>1154.03</v>
      </c>
      <c r="Q429">
        <v>1590.36</v>
      </c>
      <c r="R429">
        <v>0.3</v>
      </c>
      <c r="S429">
        <v>1</v>
      </c>
      <c r="T429">
        <v>18</v>
      </c>
      <c r="U429" t="s">
        <v>1485</v>
      </c>
      <c r="V429">
        <v>20038.536</v>
      </c>
      <c r="W429">
        <v>20772.54</v>
      </c>
      <c r="X429">
        <v>-734.00400000000081</v>
      </c>
      <c r="Y429">
        <v>-3.6629622044245191E-2</v>
      </c>
    </row>
    <row r="430" spans="1:25" x14ac:dyDescent="0.3">
      <c r="A430" t="s">
        <v>957</v>
      </c>
      <c r="B430">
        <v>45347</v>
      </c>
      <c r="C430">
        <v>45360</v>
      </c>
      <c r="D430" t="s">
        <v>1479</v>
      </c>
      <c r="E430" t="s">
        <v>1391</v>
      </c>
      <c r="F430">
        <v>13</v>
      </c>
      <c r="G430">
        <v>0</v>
      </c>
      <c r="H430" t="s">
        <v>78</v>
      </c>
      <c r="I430" t="s">
        <v>90</v>
      </c>
      <c r="J430" t="s">
        <v>91</v>
      </c>
      <c r="K430" t="s">
        <v>62</v>
      </c>
      <c r="L430" t="s">
        <v>55</v>
      </c>
      <c r="M430" t="s">
        <v>63</v>
      </c>
      <c r="N430" t="s">
        <v>64</v>
      </c>
      <c r="O430" t="s">
        <v>958</v>
      </c>
      <c r="P430">
        <v>322.44</v>
      </c>
      <c r="Q430">
        <v>395.61</v>
      </c>
      <c r="R430">
        <v>0</v>
      </c>
      <c r="S430">
        <v>0</v>
      </c>
      <c r="T430">
        <v>34</v>
      </c>
      <c r="U430" t="s">
        <v>1480</v>
      </c>
      <c r="V430">
        <v>13450.74</v>
      </c>
      <c r="W430">
        <v>10962.96</v>
      </c>
      <c r="X430">
        <v>2487.7800000000007</v>
      </c>
      <c r="Y430">
        <v>0.18495487980586947</v>
      </c>
    </row>
    <row r="431" spans="1:25" x14ac:dyDescent="0.3">
      <c r="A431" t="s">
        <v>959</v>
      </c>
      <c r="B431">
        <v>45784</v>
      </c>
      <c r="C431">
        <v>45790</v>
      </c>
      <c r="D431" t="s">
        <v>1487</v>
      </c>
      <c r="E431" t="s">
        <v>1406</v>
      </c>
      <c r="F431">
        <v>6</v>
      </c>
      <c r="G431">
        <v>1</v>
      </c>
      <c r="H431" t="s">
        <v>45</v>
      </c>
      <c r="I431" t="s">
        <v>60</v>
      </c>
      <c r="J431" t="s">
        <v>61</v>
      </c>
      <c r="K431" t="s">
        <v>105</v>
      </c>
      <c r="L431" t="s">
        <v>98</v>
      </c>
      <c r="M431" t="s">
        <v>29</v>
      </c>
      <c r="N431" t="s">
        <v>42</v>
      </c>
      <c r="O431" t="s">
        <v>960</v>
      </c>
      <c r="P431">
        <v>935.98</v>
      </c>
      <c r="Q431">
        <v>2077.69</v>
      </c>
      <c r="R431">
        <v>0.17499999999999999</v>
      </c>
      <c r="S431">
        <v>0</v>
      </c>
      <c r="T431">
        <v>24</v>
      </c>
      <c r="U431" t="s">
        <v>1474</v>
      </c>
      <c r="V431">
        <v>41138.261999999995</v>
      </c>
      <c r="W431">
        <v>22463.52</v>
      </c>
      <c r="X431">
        <v>18674.741999999995</v>
      </c>
      <c r="Y431">
        <v>0.45395067978321491</v>
      </c>
    </row>
    <row r="432" spans="1:25" x14ac:dyDescent="0.3">
      <c r="A432" t="s">
        <v>961</v>
      </c>
      <c r="B432">
        <v>45597</v>
      </c>
      <c r="C432">
        <v>45608</v>
      </c>
      <c r="D432" t="s">
        <v>1481</v>
      </c>
      <c r="E432" t="s">
        <v>1400</v>
      </c>
      <c r="F432">
        <v>11</v>
      </c>
      <c r="G432">
        <v>0</v>
      </c>
      <c r="H432" t="s">
        <v>78</v>
      </c>
      <c r="I432" t="s">
        <v>79</v>
      </c>
      <c r="J432" t="s">
        <v>335</v>
      </c>
      <c r="K432" t="s">
        <v>48</v>
      </c>
      <c r="L432" t="s">
        <v>28</v>
      </c>
      <c r="M432" t="s">
        <v>56</v>
      </c>
      <c r="N432" t="s">
        <v>30</v>
      </c>
      <c r="O432" t="s">
        <v>962</v>
      </c>
      <c r="P432">
        <v>599.84</v>
      </c>
      <c r="Q432">
        <v>1330.85</v>
      </c>
      <c r="R432">
        <v>0.115</v>
      </c>
      <c r="S432">
        <v>0</v>
      </c>
      <c r="T432">
        <v>11</v>
      </c>
      <c r="U432" t="s">
        <v>1485</v>
      </c>
      <c r="V432">
        <v>12955.824749999998</v>
      </c>
      <c r="W432">
        <v>6598.2400000000007</v>
      </c>
      <c r="X432">
        <v>6357.5847499999973</v>
      </c>
      <c r="Y432">
        <v>0.49071246892252063</v>
      </c>
    </row>
    <row r="433" spans="1:25" x14ac:dyDescent="0.3">
      <c r="A433" t="s">
        <v>963</v>
      </c>
      <c r="B433">
        <v>45654</v>
      </c>
      <c r="C433">
        <v>45665</v>
      </c>
      <c r="D433" t="s">
        <v>1481</v>
      </c>
      <c r="E433" t="s">
        <v>1401</v>
      </c>
      <c r="F433">
        <v>11</v>
      </c>
      <c r="G433">
        <v>0</v>
      </c>
      <c r="H433" t="s">
        <v>45</v>
      </c>
      <c r="I433" t="s">
        <v>116</v>
      </c>
      <c r="J433" t="s">
        <v>117</v>
      </c>
      <c r="K433" t="s">
        <v>105</v>
      </c>
      <c r="L433" t="s">
        <v>28</v>
      </c>
      <c r="M433" t="s">
        <v>95</v>
      </c>
      <c r="N433" t="s">
        <v>57</v>
      </c>
      <c r="O433" t="s">
        <v>964</v>
      </c>
      <c r="P433">
        <v>1201.31</v>
      </c>
      <c r="Q433">
        <v>2764.65</v>
      </c>
      <c r="R433">
        <v>0</v>
      </c>
      <c r="S433">
        <v>0</v>
      </c>
      <c r="T433">
        <v>21</v>
      </c>
      <c r="U433" t="s">
        <v>1474</v>
      </c>
      <c r="V433">
        <v>58057.65</v>
      </c>
      <c r="W433">
        <v>25227.51</v>
      </c>
      <c r="X433">
        <v>32830.14</v>
      </c>
      <c r="Y433">
        <v>0.56547483406579491</v>
      </c>
    </row>
    <row r="434" spans="1:25" x14ac:dyDescent="0.3">
      <c r="A434" t="s">
        <v>965</v>
      </c>
      <c r="B434">
        <v>45220</v>
      </c>
      <c r="C434">
        <v>45220</v>
      </c>
      <c r="D434" t="s">
        <v>1484</v>
      </c>
      <c r="E434" t="s">
        <v>1387</v>
      </c>
      <c r="F434">
        <v>0</v>
      </c>
      <c r="G434">
        <v>1</v>
      </c>
      <c r="H434" t="s">
        <v>78</v>
      </c>
      <c r="I434" t="s">
        <v>108</v>
      </c>
      <c r="J434" t="s">
        <v>228</v>
      </c>
      <c r="K434" t="s">
        <v>105</v>
      </c>
      <c r="L434" t="s">
        <v>55</v>
      </c>
      <c r="M434" t="s">
        <v>29</v>
      </c>
      <c r="N434" t="s">
        <v>64</v>
      </c>
      <c r="O434" t="s">
        <v>966</v>
      </c>
      <c r="P434">
        <v>384.19</v>
      </c>
      <c r="Q434">
        <v>278.35000000000002</v>
      </c>
      <c r="R434">
        <v>5.6000000000000001E-2</v>
      </c>
      <c r="S434">
        <v>0</v>
      </c>
      <c r="T434">
        <v>10</v>
      </c>
      <c r="U434" t="s">
        <v>1480</v>
      </c>
      <c r="V434">
        <v>2627.6239999999998</v>
      </c>
      <c r="W434">
        <v>3841.9</v>
      </c>
      <c r="X434">
        <v>-1214.2760000000003</v>
      </c>
      <c r="Y434">
        <v>-0.46211938998882657</v>
      </c>
    </row>
    <row r="435" spans="1:25" x14ac:dyDescent="0.3">
      <c r="A435" t="s">
        <v>967</v>
      </c>
      <c r="B435">
        <v>45636</v>
      </c>
      <c r="C435">
        <v>45645</v>
      </c>
      <c r="D435" t="s">
        <v>1481</v>
      </c>
      <c r="E435" t="s">
        <v>1401</v>
      </c>
      <c r="F435">
        <v>9</v>
      </c>
      <c r="G435">
        <v>0</v>
      </c>
      <c r="H435" t="s">
        <v>16</v>
      </c>
      <c r="I435" t="s">
        <v>25</v>
      </c>
      <c r="J435" t="s">
        <v>38</v>
      </c>
      <c r="K435" t="s">
        <v>19</v>
      </c>
      <c r="L435" t="s">
        <v>20</v>
      </c>
      <c r="M435" t="s">
        <v>68</v>
      </c>
      <c r="N435" t="s">
        <v>64</v>
      </c>
      <c r="O435" t="s">
        <v>968</v>
      </c>
      <c r="P435">
        <v>488.68</v>
      </c>
      <c r="Q435">
        <v>984.36</v>
      </c>
      <c r="R435">
        <v>5.8999999999999997E-2</v>
      </c>
      <c r="S435">
        <v>0</v>
      </c>
      <c r="T435">
        <v>14</v>
      </c>
      <c r="U435" t="s">
        <v>1485</v>
      </c>
      <c r="V435">
        <v>12967.958640000001</v>
      </c>
      <c r="W435">
        <v>6841.52</v>
      </c>
      <c r="X435">
        <v>6126.4386400000003</v>
      </c>
      <c r="Y435">
        <v>0.47242891576649876</v>
      </c>
    </row>
    <row r="436" spans="1:25" x14ac:dyDescent="0.3">
      <c r="A436" t="s">
        <v>969</v>
      </c>
      <c r="B436">
        <v>45542</v>
      </c>
      <c r="C436">
        <v>45553</v>
      </c>
      <c r="D436" t="s">
        <v>1491</v>
      </c>
      <c r="E436" t="s">
        <v>1494</v>
      </c>
      <c r="F436">
        <v>11</v>
      </c>
      <c r="G436">
        <v>0</v>
      </c>
      <c r="H436" t="s">
        <v>45</v>
      </c>
      <c r="I436" t="s">
        <v>116</v>
      </c>
      <c r="J436" t="s">
        <v>338</v>
      </c>
      <c r="K436" t="s">
        <v>48</v>
      </c>
      <c r="L436" t="s">
        <v>55</v>
      </c>
      <c r="M436" t="s">
        <v>68</v>
      </c>
      <c r="N436" t="s">
        <v>35</v>
      </c>
      <c r="O436" t="s">
        <v>970</v>
      </c>
      <c r="P436">
        <v>181.74</v>
      </c>
      <c r="Q436">
        <v>190.84</v>
      </c>
      <c r="R436">
        <v>0.214</v>
      </c>
      <c r="S436">
        <v>1</v>
      </c>
      <c r="T436">
        <v>13</v>
      </c>
      <c r="U436" t="s">
        <v>1480</v>
      </c>
      <c r="V436">
        <v>1950.0031200000001</v>
      </c>
      <c r="W436">
        <v>2362.62</v>
      </c>
      <c r="X436">
        <v>-412.61687999999981</v>
      </c>
      <c r="Y436">
        <v>-0.21159806144310159</v>
      </c>
    </row>
    <row r="437" spans="1:25" x14ac:dyDescent="0.3">
      <c r="A437" t="s">
        <v>971</v>
      </c>
      <c r="B437">
        <v>45217</v>
      </c>
      <c r="C437">
        <v>45219</v>
      </c>
      <c r="D437" t="s">
        <v>1484</v>
      </c>
      <c r="E437" t="s">
        <v>1387</v>
      </c>
      <c r="F437">
        <v>2</v>
      </c>
      <c r="G437">
        <v>1</v>
      </c>
      <c r="H437" t="s">
        <v>16</v>
      </c>
      <c r="I437" t="s">
        <v>17</v>
      </c>
      <c r="J437" t="s">
        <v>18</v>
      </c>
      <c r="K437" t="s">
        <v>48</v>
      </c>
      <c r="L437" t="s">
        <v>20</v>
      </c>
      <c r="M437" t="s">
        <v>29</v>
      </c>
      <c r="N437" t="s">
        <v>42</v>
      </c>
      <c r="O437" t="s">
        <v>972</v>
      </c>
      <c r="P437">
        <v>774.12</v>
      </c>
      <c r="Q437">
        <v>908.3</v>
      </c>
      <c r="R437">
        <v>0</v>
      </c>
      <c r="S437">
        <v>0</v>
      </c>
      <c r="T437">
        <v>30</v>
      </c>
      <c r="U437" t="s">
        <v>1485</v>
      </c>
      <c r="V437">
        <v>27249</v>
      </c>
      <c r="W437">
        <v>23223.599999999999</v>
      </c>
      <c r="X437">
        <v>4025.4000000000015</v>
      </c>
      <c r="Y437">
        <v>0.14772652207420461</v>
      </c>
    </row>
    <row r="438" spans="1:25" x14ac:dyDescent="0.3">
      <c r="A438" t="s">
        <v>973</v>
      </c>
      <c r="B438">
        <v>45650</v>
      </c>
      <c r="C438">
        <v>45670</v>
      </c>
      <c r="D438" t="s">
        <v>1481</v>
      </c>
      <c r="E438" t="s">
        <v>1401</v>
      </c>
      <c r="F438">
        <v>20</v>
      </c>
      <c r="G438">
        <v>0</v>
      </c>
      <c r="H438" t="s">
        <v>45</v>
      </c>
      <c r="I438" t="s">
        <v>60</v>
      </c>
      <c r="J438" t="s">
        <v>61</v>
      </c>
      <c r="K438" t="s">
        <v>19</v>
      </c>
      <c r="L438" t="s">
        <v>40</v>
      </c>
      <c r="M438" t="s">
        <v>145</v>
      </c>
      <c r="N438" t="s">
        <v>35</v>
      </c>
      <c r="O438" t="s">
        <v>974</v>
      </c>
      <c r="P438">
        <v>126.15</v>
      </c>
      <c r="Q438">
        <v>284.23</v>
      </c>
      <c r="R438">
        <v>0.113</v>
      </c>
      <c r="S438">
        <v>0</v>
      </c>
      <c r="T438">
        <v>22</v>
      </c>
      <c r="U438" t="s">
        <v>1480</v>
      </c>
      <c r="V438">
        <v>5546.4642200000008</v>
      </c>
      <c r="W438">
        <v>2775.3</v>
      </c>
      <c r="X438">
        <v>2771.1642200000006</v>
      </c>
      <c r="Y438">
        <v>0.49962716968541088</v>
      </c>
    </row>
    <row r="439" spans="1:25" x14ac:dyDescent="0.3">
      <c r="A439" t="s">
        <v>975</v>
      </c>
      <c r="B439">
        <v>45037</v>
      </c>
      <c r="C439">
        <v>45044</v>
      </c>
      <c r="D439" t="s">
        <v>1490</v>
      </c>
      <c r="E439" t="s">
        <v>1381</v>
      </c>
      <c r="F439">
        <v>7</v>
      </c>
      <c r="G439">
        <v>1</v>
      </c>
      <c r="H439" t="s">
        <v>45</v>
      </c>
      <c r="I439" t="s">
        <v>46</v>
      </c>
      <c r="J439" t="s">
        <v>231</v>
      </c>
      <c r="K439" t="s">
        <v>62</v>
      </c>
      <c r="L439" t="s">
        <v>98</v>
      </c>
      <c r="M439" t="s">
        <v>110</v>
      </c>
      <c r="N439" t="s">
        <v>22</v>
      </c>
      <c r="O439" t="s">
        <v>976</v>
      </c>
      <c r="P439">
        <v>607.04</v>
      </c>
      <c r="Q439">
        <v>1229.3399999999999</v>
      </c>
      <c r="R439">
        <v>0.14699999999999999</v>
      </c>
      <c r="S439">
        <v>0</v>
      </c>
      <c r="T439">
        <v>7</v>
      </c>
      <c r="U439" t="s">
        <v>1485</v>
      </c>
      <c r="V439">
        <v>7340.3891399999993</v>
      </c>
      <c r="W439">
        <v>4249.28</v>
      </c>
      <c r="X439">
        <v>3091.1091399999996</v>
      </c>
      <c r="Y439">
        <v>0.42110970972310058</v>
      </c>
    </row>
    <row r="440" spans="1:25" x14ac:dyDescent="0.3">
      <c r="A440" t="s">
        <v>977</v>
      </c>
      <c r="B440">
        <v>45290</v>
      </c>
      <c r="C440">
        <v>45299</v>
      </c>
      <c r="D440" t="s">
        <v>1484</v>
      </c>
      <c r="E440" t="s">
        <v>1389</v>
      </c>
      <c r="F440">
        <v>9</v>
      </c>
      <c r="G440">
        <v>0</v>
      </c>
      <c r="H440" t="s">
        <v>78</v>
      </c>
      <c r="I440" t="s">
        <v>90</v>
      </c>
      <c r="J440" t="s">
        <v>91</v>
      </c>
      <c r="K440" t="s">
        <v>48</v>
      </c>
      <c r="L440" t="s">
        <v>40</v>
      </c>
      <c r="M440" t="s">
        <v>49</v>
      </c>
      <c r="N440" t="s">
        <v>81</v>
      </c>
      <c r="O440" t="s">
        <v>978</v>
      </c>
      <c r="P440">
        <v>861.1</v>
      </c>
      <c r="Q440">
        <v>1224.72</v>
      </c>
      <c r="R440">
        <v>0.17399999999999999</v>
      </c>
      <c r="S440">
        <v>0</v>
      </c>
      <c r="T440">
        <v>24</v>
      </c>
      <c r="U440" t="s">
        <v>1485</v>
      </c>
      <c r="V440">
        <v>24278.849280000002</v>
      </c>
      <c r="W440">
        <v>20666.400000000001</v>
      </c>
      <c r="X440">
        <v>3612.4492800000007</v>
      </c>
      <c r="Y440">
        <v>0.14878997098827909</v>
      </c>
    </row>
    <row r="441" spans="1:25" x14ac:dyDescent="0.3">
      <c r="A441" t="s">
        <v>979</v>
      </c>
      <c r="B441">
        <v>44978</v>
      </c>
      <c r="C441">
        <v>44997</v>
      </c>
      <c r="D441" t="s">
        <v>1482</v>
      </c>
      <c r="E441" t="s">
        <v>1379</v>
      </c>
      <c r="F441">
        <v>19</v>
      </c>
      <c r="G441">
        <v>0</v>
      </c>
      <c r="H441" t="s">
        <v>16</v>
      </c>
      <c r="I441" t="s">
        <v>17</v>
      </c>
      <c r="J441" t="s">
        <v>135</v>
      </c>
      <c r="K441" t="s">
        <v>19</v>
      </c>
      <c r="L441" t="s">
        <v>28</v>
      </c>
      <c r="M441" t="s">
        <v>84</v>
      </c>
      <c r="N441" t="s">
        <v>35</v>
      </c>
      <c r="O441" t="s">
        <v>980</v>
      </c>
      <c r="P441">
        <v>352.65</v>
      </c>
      <c r="Q441">
        <v>485.86</v>
      </c>
      <c r="R441">
        <v>4.1000000000000002E-2</v>
      </c>
      <c r="S441">
        <v>0</v>
      </c>
      <c r="T441">
        <v>6</v>
      </c>
      <c r="U441" t="s">
        <v>1480</v>
      </c>
      <c r="V441">
        <v>2795.6384399999997</v>
      </c>
      <c r="W441">
        <v>2115.8999999999996</v>
      </c>
      <c r="X441">
        <v>679.73844000000008</v>
      </c>
      <c r="Y441">
        <v>0.24314247159943908</v>
      </c>
    </row>
    <row r="442" spans="1:25" x14ac:dyDescent="0.3">
      <c r="A442" t="s">
        <v>981</v>
      </c>
      <c r="B442">
        <v>45063</v>
      </c>
      <c r="C442">
        <v>45080</v>
      </c>
      <c r="D442" t="s">
        <v>1490</v>
      </c>
      <c r="E442" t="s">
        <v>1382</v>
      </c>
      <c r="F442">
        <v>17</v>
      </c>
      <c r="G442">
        <v>0</v>
      </c>
      <c r="H442" t="s">
        <v>45</v>
      </c>
      <c r="I442" t="s">
        <v>116</v>
      </c>
      <c r="J442" t="s">
        <v>338</v>
      </c>
      <c r="K442" t="s">
        <v>39</v>
      </c>
      <c r="L442" t="s">
        <v>55</v>
      </c>
      <c r="M442" t="s">
        <v>110</v>
      </c>
      <c r="N442" t="s">
        <v>30</v>
      </c>
      <c r="O442" t="s">
        <v>982</v>
      </c>
      <c r="P442">
        <v>979.59</v>
      </c>
      <c r="Q442">
        <v>2210.94</v>
      </c>
      <c r="R442">
        <v>0.15</v>
      </c>
      <c r="S442">
        <v>0</v>
      </c>
      <c r="T442">
        <v>11</v>
      </c>
      <c r="U442" t="s">
        <v>1474</v>
      </c>
      <c r="V442">
        <v>20672.289000000001</v>
      </c>
      <c r="W442">
        <v>10775.49</v>
      </c>
      <c r="X442">
        <v>9896.7990000000009</v>
      </c>
      <c r="Y442">
        <v>0.47874712858358359</v>
      </c>
    </row>
    <row r="443" spans="1:25" x14ac:dyDescent="0.3">
      <c r="A443" t="s">
        <v>983</v>
      </c>
      <c r="B443">
        <v>45374</v>
      </c>
      <c r="C443">
        <v>45377</v>
      </c>
      <c r="D443" t="s">
        <v>1479</v>
      </c>
      <c r="E443" t="s">
        <v>1392</v>
      </c>
      <c r="F443">
        <v>3</v>
      </c>
      <c r="G443">
        <v>1</v>
      </c>
      <c r="H443" t="s">
        <v>45</v>
      </c>
      <c r="I443" t="s">
        <v>60</v>
      </c>
      <c r="J443" t="s">
        <v>61</v>
      </c>
      <c r="K443" t="s">
        <v>27</v>
      </c>
      <c r="L443" t="s">
        <v>98</v>
      </c>
      <c r="M443" t="s">
        <v>41</v>
      </c>
      <c r="N443" t="s">
        <v>42</v>
      </c>
      <c r="O443" t="s">
        <v>984</v>
      </c>
      <c r="P443">
        <v>382.21</v>
      </c>
      <c r="Q443">
        <v>571.89</v>
      </c>
      <c r="R443">
        <v>0.14799999999999999</v>
      </c>
      <c r="S443">
        <v>0</v>
      </c>
      <c r="T443">
        <v>26</v>
      </c>
      <c r="U443" t="s">
        <v>1480</v>
      </c>
      <c r="V443">
        <v>12668.50728</v>
      </c>
      <c r="W443">
        <v>9937.4599999999991</v>
      </c>
      <c r="X443">
        <v>2731.0472800000007</v>
      </c>
      <c r="Y443">
        <v>0.2155776698578809</v>
      </c>
    </row>
    <row r="444" spans="1:25" x14ac:dyDescent="0.3">
      <c r="A444" t="s">
        <v>985</v>
      </c>
      <c r="B444">
        <v>45189</v>
      </c>
      <c r="C444">
        <v>45197</v>
      </c>
      <c r="D444" t="s">
        <v>1492</v>
      </c>
      <c r="E444" t="s">
        <v>1493</v>
      </c>
      <c r="F444">
        <v>8</v>
      </c>
      <c r="G444">
        <v>0</v>
      </c>
      <c r="H444" t="s">
        <v>45</v>
      </c>
      <c r="I444" t="s">
        <v>60</v>
      </c>
      <c r="J444" t="s">
        <v>141</v>
      </c>
      <c r="K444" t="s">
        <v>19</v>
      </c>
      <c r="L444" t="s">
        <v>40</v>
      </c>
      <c r="M444" t="s">
        <v>56</v>
      </c>
      <c r="N444" t="s">
        <v>81</v>
      </c>
      <c r="O444" t="s">
        <v>986</v>
      </c>
      <c r="P444">
        <v>1362.06</v>
      </c>
      <c r="Q444">
        <v>3398.37</v>
      </c>
      <c r="R444">
        <v>0.157</v>
      </c>
      <c r="S444">
        <v>0</v>
      </c>
      <c r="T444">
        <v>11</v>
      </c>
      <c r="U444" t="s">
        <v>1474</v>
      </c>
      <c r="V444">
        <v>31513.085009999999</v>
      </c>
      <c r="W444">
        <v>14982.66</v>
      </c>
      <c r="X444">
        <v>16530.425009999999</v>
      </c>
      <c r="Y444">
        <v>0.52455749745714919</v>
      </c>
    </row>
    <row r="445" spans="1:25" x14ac:dyDescent="0.3">
      <c r="A445" t="s">
        <v>987</v>
      </c>
      <c r="B445">
        <v>45526</v>
      </c>
      <c r="C445">
        <v>45539</v>
      </c>
      <c r="D445" t="s">
        <v>1491</v>
      </c>
      <c r="E445" t="s">
        <v>1397</v>
      </c>
      <c r="F445">
        <v>13</v>
      </c>
      <c r="G445">
        <v>0</v>
      </c>
      <c r="H445" t="s">
        <v>78</v>
      </c>
      <c r="I445" t="s">
        <v>79</v>
      </c>
      <c r="J445" t="s">
        <v>335</v>
      </c>
      <c r="K445" t="s">
        <v>39</v>
      </c>
      <c r="L445" t="s">
        <v>20</v>
      </c>
      <c r="M445" t="s">
        <v>49</v>
      </c>
      <c r="N445" t="s">
        <v>30</v>
      </c>
      <c r="O445" t="s">
        <v>988</v>
      </c>
      <c r="P445">
        <v>90.04</v>
      </c>
      <c r="Q445">
        <v>194.62</v>
      </c>
      <c r="R445">
        <v>4.2999999999999997E-2</v>
      </c>
      <c r="S445">
        <v>0</v>
      </c>
      <c r="T445">
        <v>32</v>
      </c>
      <c r="U445" t="s">
        <v>1480</v>
      </c>
      <c r="V445">
        <v>5960.04288</v>
      </c>
      <c r="W445">
        <v>2881.28</v>
      </c>
      <c r="X445">
        <v>3078.7628799999998</v>
      </c>
      <c r="Y445">
        <v>0.51656723650954672</v>
      </c>
    </row>
    <row r="446" spans="1:25" x14ac:dyDescent="0.3">
      <c r="A446" t="s">
        <v>989</v>
      </c>
      <c r="B446">
        <v>45560</v>
      </c>
      <c r="C446">
        <v>45568</v>
      </c>
      <c r="D446" t="s">
        <v>1491</v>
      </c>
      <c r="E446" t="s">
        <v>1494</v>
      </c>
      <c r="F446">
        <v>8</v>
      </c>
      <c r="G446">
        <v>0</v>
      </c>
      <c r="H446" t="s">
        <v>52</v>
      </c>
      <c r="I446" t="s">
        <v>53</v>
      </c>
      <c r="J446" t="s">
        <v>54</v>
      </c>
      <c r="K446" t="s">
        <v>48</v>
      </c>
      <c r="L446" t="s">
        <v>28</v>
      </c>
      <c r="M446" t="s">
        <v>63</v>
      </c>
      <c r="N446" t="s">
        <v>30</v>
      </c>
      <c r="O446" t="s">
        <v>990</v>
      </c>
      <c r="P446">
        <v>558.19000000000005</v>
      </c>
      <c r="Q446">
        <v>1031.6400000000001</v>
      </c>
      <c r="R446">
        <v>0</v>
      </c>
      <c r="S446">
        <v>0</v>
      </c>
      <c r="T446">
        <v>21</v>
      </c>
      <c r="U446" t="s">
        <v>1485</v>
      </c>
      <c r="V446">
        <v>21664.440000000002</v>
      </c>
      <c r="W446">
        <v>11721.990000000002</v>
      </c>
      <c r="X446">
        <v>9942.4500000000007</v>
      </c>
      <c r="Y446">
        <v>0.45892947152107322</v>
      </c>
    </row>
    <row r="447" spans="1:25" x14ac:dyDescent="0.3">
      <c r="A447" t="s">
        <v>991</v>
      </c>
      <c r="B447">
        <v>45090</v>
      </c>
      <c r="C447">
        <v>45101</v>
      </c>
      <c r="D447" t="s">
        <v>1490</v>
      </c>
      <c r="E447" t="s">
        <v>1383</v>
      </c>
      <c r="F447">
        <v>11</v>
      </c>
      <c r="G447">
        <v>0</v>
      </c>
      <c r="H447" t="s">
        <v>52</v>
      </c>
      <c r="I447" t="s">
        <v>53</v>
      </c>
      <c r="J447" t="s">
        <v>54</v>
      </c>
      <c r="K447" t="s">
        <v>19</v>
      </c>
      <c r="L447" t="s">
        <v>28</v>
      </c>
      <c r="M447" t="s">
        <v>21</v>
      </c>
      <c r="N447" t="s">
        <v>30</v>
      </c>
      <c r="O447" t="s">
        <v>992</v>
      </c>
      <c r="P447">
        <v>247.07</v>
      </c>
      <c r="Q447">
        <v>495.19</v>
      </c>
      <c r="R447">
        <v>2.8000000000000001E-2</v>
      </c>
      <c r="S447">
        <v>0</v>
      </c>
      <c r="T447">
        <v>4</v>
      </c>
      <c r="U447" t="s">
        <v>1480</v>
      </c>
      <c r="V447">
        <v>1925.29872</v>
      </c>
      <c r="W447">
        <v>988.28</v>
      </c>
      <c r="X447">
        <v>937.01872000000003</v>
      </c>
      <c r="Y447">
        <v>0.48668744764968214</v>
      </c>
    </row>
    <row r="448" spans="1:25" x14ac:dyDescent="0.3">
      <c r="A448" t="s">
        <v>993</v>
      </c>
      <c r="B448">
        <v>45284</v>
      </c>
      <c r="C448">
        <v>45304</v>
      </c>
      <c r="D448" t="s">
        <v>1484</v>
      </c>
      <c r="E448" t="s">
        <v>1389</v>
      </c>
      <c r="F448">
        <v>20</v>
      </c>
      <c r="G448">
        <v>0</v>
      </c>
      <c r="H448" t="s">
        <v>45</v>
      </c>
      <c r="I448" t="s">
        <v>46</v>
      </c>
      <c r="J448" t="s">
        <v>231</v>
      </c>
      <c r="K448" t="s">
        <v>27</v>
      </c>
      <c r="L448" t="s">
        <v>98</v>
      </c>
      <c r="M448" t="s">
        <v>56</v>
      </c>
      <c r="N448" t="s">
        <v>57</v>
      </c>
      <c r="O448" t="s">
        <v>994</v>
      </c>
      <c r="P448">
        <v>625.37</v>
      </c>
      <c r="Q448">
        <v>1319.04</v>
      </c>
      <c r="R448">
        <v>7.3999999999999996E-2</v>
      </c>
      <c r="S448">
        <v>0</v>
      </c>
      <c r="T448">
        <v>8</v>
      </c>
      <c r="U448" t="s">
        <v>1485</v>
      </c>
      <c r="V448">
        <v>9771.4483199999995</v>
      </c>
      <c r="W448">
        <v>5002.96</v>
      </c>
      <c r="X448">
        <v>4768.4883199999995</v>
      </c>
      <c r="Y448">
        <v>0.48800220436513547</v>
      </c>
    </row>
    <row r="449" spans="1:25" x14ac:dyDescent="0.3">
      <c r="A449" t="s">
        <v>995</v>
      </c>
      <c r="B449">
        <v>45746</v>
      </c>
      <c r="C449">
        <v>45776</v>
      </c>
      <c r="D449" t="s">
        <v>1483</v>
      </c>
      <c r="E449" t="s">
        <v>1404</v>
      </c>
      <c r="F449">
        <v>30</v>
      </c>
      <c r="G449">
        <v>0</v>
      </c>
      <c r="H449" t="s">
        <v>16</v>
      </c>
      <c r="I449" t="s">
        <v>148</v>
      </c>
      <c r="J449" t="s">
        <v>172</v>
      </c>
      <c r="K449" t="s">
        <v>48</v>
      </c>
      <c r="L449" t="s">
        <v>40</v>
      </c>
      <c r="M449" t="s">
        <v>29</v>
      </c>
      <c r="N449" t="s">
        <v>64</v>
      </c>
      <c r="O449" t="s">
        <v>996</v>
      </c>
      <c r="P449">
        <v>194.6</v>
      </c>
      <c r="Q449">
        <v>314.87</v>
      </c>
      <c r="R449">
        <v>0.29299999999999998</v>
      </c>
      <c r="S449">
        <v>1</v>
      </c>
      <c r="T449">
        <v>25</v>
      </c>
      <c r="U449" t="s">
        <v>1480</v>
      </c>
      <c r="V449">
        <v>5565.3272500000003</v>
      </c>
      <c r="W449">
        <v>4865</v>
      </c>
      <c r="X449">
        <v>700.32725000000028</v>
      </c>
      <c r="Y449">
        <v>0.1258375686712763</v>
      </c>
    </row>
    <row r="450" spans="1:25" x14ac:dyDescent="0.3">
      <c r="A450" t="s">
        <v>997</v>
      </c>
      <c r="B450">
        <v>45446</v>
      </c>
      <c r="C450">
        <v>45467</v>
      </c>
      <c r="D450" t="s">
        <v>1486</v>
      </c>
      <c r="E450" t="s">
        <v>1395</v>
      </c>
      <c r="F450">
        <v>21</v>
      </c>
      <c r="G450">
        <v>0</v>
      </c>
      <c r="H450" t="s">
        <v>52</v>
      </c>
      <c r="I450" t="s">
        <v>53</v>
      </c>
      <c r="J450" t="s">
        <v>54</v>
      </c>
      <c r="K450" t="s">
        <v>62</v>
      </c>
      <c r="L450" t="s">
        <v>98</v>
      </c>
      <c r="M450" t="s">
        <v>41</v>
      </c>
      <c r="N450" t="s">
        <v>64</v>
      </c>
      <c r="O450" t="s">
        <v>998</v>
      </c>
      <c r="P450">
        <v>1205.5</v>
      </c>
      <c r="Q450">
        <v>2210.17</v>
      </c>
      <c r="R450">
        <v>0.104</v>
      </c>
      <c r="S450">
        <v>0</v>
      </c>
      <c r="T450">
        <v>23</v>
      </c>
      <c r="U450" t="s">
        <v>1474</v>
      </c>
      <c r="V450">
        <v>45547.183360000003</v>
      </c>
      <c r="W450">
        <v>27726.5</v>
      </c>
      <c r="X450">
        <v>17820.683360000003</v>
      </c>
      <c r="Y450">
        <v>0.39125763758314652</v>
      </c>
    </row>
    <row r="451" spans="1:25" x14ac:dyDescent="0.3">
      <c r="A451" t="s">
        <v>999</v>
      </c>
      <c r="B451">
        <v>45454</v>
      </c>
      <c r="C451">
        <v>45482</v>
      </c>
      <c r="D451" t="s">
        <v>1486</v>
      </c>
      <c r="E451" t="s">
        <v>1395</v>
      </c>
      <c r="F451">
        <v>28</v>
      </c>
      <c r="G451">
        <v>0</v>
      </c>
      <c r="H451" t="s">
        <v>16</v>
      </c>
      <c r="I451" t="s">
        <v>25</v>
      </c>
      <c r="J451" t="s">
        <v>26</v>
      </c>
      <c r="K451" t="s">
        <v>19</v>
      </c>
      <c r="L451" t="s">
        <v>40</v>
      </c>
      <c r="M451" t="s">
        <v>34</v>
      </c>
      <c r="N451" t="s">
        <v>42</v>
      </c>
      <c r="O451" t="s">
        <v>1000</v>
      </c>
      <c r="P451">
        <v>895.54</v>
      </c>
      <c r="Q451">
        <v>1045</v>
      </c>
      <c r="R451">
        <v>0.216</v>
      </c>
      <c r="S451">
        <v>1</v>
      </c>
      <c r="T451">
        <v>15</v>
      </c>
      <c r="U451" t="s">
        <v>1485</v>
      </c>
      <c r="V451">
        <v>12289.2</v>
      </c>
      <c r="W451">
        <v>13433.099999999999</v>
      </c>
      <c r="X451">
        <v>-1143.8999999999978</v>
      </c>
      <c r="Y451">
        <v>-9.3081730299775234E-2</v>
      </c>
    </row>
    <row r="452" spans="1:25" x14ac:dyDescent="0.3">
      <c r="A452" t="s">
        <v>1001</v>
      </c>
      <c r="B452">
        <v>45129</v>
      </c>
      <c r="C452">
        <v>45136</v>
      </c>
      <c r="D452" t="s">
        <v>1492</v>
      </c>
      <c r="E452" t="s">
        <v>1384</v>
      </c>
      <c r="F452">
        <v>7</v>
      </c>
      <c r="G452">
        <v>1</v>
      </c>
      <c r="H452" t="s">
        <v>45</v>
      </c>
      <c r="I452" t="s">
        <v>60</v>
      </c>
      <c r="J452" t="s">
        <v>141</v>
      </c>
      <c r="K452" t="s">
        <v>62</v>
      </c>
      <c r="L452" t="s">
        <v>55</v>
      </c>
      <c r="M452" t="s">
        <v>63</v>
      </c>
      <c r="N452" t="s">
        <v>30</v>
      </c>
      <c r="O452" t="s">
        <v>1002</v>
      </c>
      <c r="P452">
        <v>946.99</v>
      </c>
      <c r="Q452">
        <v>2132.19</v>
      </c>
      <c r="R452">
        <v>0.16500000000000001</v>
      </c>
      <c r="S452">
        <v>0</v>
      </c>
      <c r="T452">
        <v>7</v>
      </c>
      <c r="U452" t="s">
        <v>1474</v>
      </c>
      <c r="V452">
        <v>12462.65055</v>
      </c>
      <c r="W452">
        <v>6628.93</v>
      </c>
      <c r="X452">
        <v>5833.72055</v>
      </c>
      <c r="Y452">
        <v>0.46809629513362228</v>
      </c>
    </row>
    <row r="453" spans="1:25" x14ac:dyDescent="0.3">
      <c r="A453" t="s">
        <v>1003</v>
      </c>
      <c r="B453">
        <v>44945</v>
      </c>
      <c r="C453">
        <v>44960</v>
      </c>
      <c r="D453" t="s">
        <v>1482</v>
      </c>
      <c r="E453" t="s">
        <v>1378</v>
      </c>
      <c r="F453">
        <v>15</v>
      </c>
      <c r="G453">
        <v>0</v>
      </c>
      <c r="H453" t="s">
        <v>78</v>
      </c>
      <c r="I453" t="s">
        <v>108</v>
      </c>
      <c r="J453" t="s">
        <v>152</v>
      </c>
      <c r="K453" t="s">
        <v>105</v>
      </c>
      <c r="L453" t="s">
        <v>55</v>
      </c>
      <c r="M453" t="s">
        <v>41</v>
      </c>
      <c r="N453" t="s">
        <v>81</v>
      </c>
      <c r="O453" t="s">
        <v>1004</v>
      </c>
      <c r="P453">
        <v>873.06</v>
      </c>
      <c r="Q453">
        <v>2101.5500000000002</v>
      </c>
      <c r="R453">
        <v>6.6000000000000003E-2</v>
      </c>
      <c r="S453">
        <v>0</v>
      </c>
      <c r="T453">
        <v>10</v>
      </c>
      <c r="U453" t="s">
        <v>1474</v>
      </c>
      <c r="V453">
        <v>19628.476999999999</v>
      </c>
      <c r="W453">
        <v>8730.5999999999985</v>
      </c>
      <c r="X453">
        <v>10897.877</v>
      </c>
      <c r="Y453">
        <v>0.55520746719167269</v>
      </c>
    </row>
    <row r="454" spans="1:25" x14ac:dyDescent="0.3">
      <c r="A454" t="s">
        <v>1005</v>
      </c>
      <c r="B454">
        <v>45413</v>
      </c>
      <c r="C454">
        <v>45428</v>
      </c>
      <c r="D454" t="s">
        <v>1486</v>
      </c>
      <c r="E454" t="s">
        <v>1394</v>
      </c>
      <c r="F454">
        <v>15</v>
      </c>
      <c r="G454">
        <v>0</v>
      </c>
      <c r="H454" t="s">
        <v>45</v>
      </c>
      <c r="I454" t="s">
        <v>60</v>
      </c>
      <c r="J454" t="s">
        <v>61</v>
      </c>
      <c r="K454" t="s">
        <v>62</v>
      </c>
      <c r="L454" t="s">
        <v>20</v>
      </c>
      <c r="M454" t="s">
        <v>49</v>
      </c>
      <c r="N454" t="s">
        <v>22</v>
      </c>
      <c r="O454" t="s">
        <v>1006</v>
      </c>
      <c r="P454">
        <v>901.19</v>
      </c>
      <c r="Q454">
        <v>2125.44</v>
      </c>
      <c r="R454">
        <v>7.0999999999999994E-2</v>
      </c>
      <c r="S454">
        <v>0</v>
      </c>
      <c r="T454">
        <v>12</v>
      </c>
      <c r="U454" t="s">
        <v>1474</v>
      </c>
      <c r="V454">
        <v>23694.405119999999</v>
      </c>
      <c r="W454">
        <v>10814.28</v>
      </c>
      <c r="X454">
        <v>12880.125119999999</v>
      </c>
      <c r="Y454">
        <v>0.54359352154100415</v>
      </c>
    </row>
    <row r="455" spans="1:25" x14ac:dyDescent="0.3">
      <c r="A455" t="s">
        <v>1007</v>
      </c>
      <c r="B455">
        <v>45817</v>
      </c>
      <c r="C455">
        <v>45832</v>
      </c>
      <c r="D455" t="s">
        <v>1487</v>
      </c>
      <c r="E455" t="s">
        <v>1407</v>
      </c>
      <c r="F455">
        <v>15</v>
      </c>
      <c r="G455">
        <v>0</v>
      </c>
      <c r="H455" t="s">
        <v>45</v>
      </c>
      <c r="I455" t="s">
        <v>46</v>
      </c>
      <c r="J455" t="s">
        <v>231</v>
      </c>
      <c r="K455" t="s">
        <v>19</v>
      </c>
      <c r="L455" t="s">
        <v>98</v>
      </c>
      <c r="M455" t="s">
        <v>56</v>
      </c>
      <c r="N455" t="s">
        <v>42</v>
      </c>
      <c r="O455" t="s">
        <v>1008</v>
      </c>
      <c r="P455">
        <v>400.39</v>
      </c>
      <c r="Q455">
        <v>712.75</v>
      </c>
      <c r="R455">
        <v>0.115</v>
      </c>
      <c r="S455">
        <v>0</v>
      </c>
      <c r="T455">
        <v>19</v>
      </c>
      <c r="U455" t="s">
        <v>1480</v>
      </c>
      <c r="V455">
        <v>11984.891250000001</v>
      </c>
      <c r="W455">
        <v>7607.41</v>
      </c>
      <c r="X455">
        <v>4377.4812500000007</v>
      </c>
      <c r="Y455">
        <v>0.36524997671547504</v>
      </c>
    </row>
    <row r="456" spans="1:25" x14ac:dyDescent="0.3">
      <c r="A456" t="s">
        <v>1009</v>
      </c>
      <c r="B456">
        <v>45070</v>
      </c>
      <c r="C456">
        <v>45098</v>
      </c>
      <c r="D456" t="s">
        <v>1490</v>
      </c>
      <c r="E456" t="s">
        <v>1382</v>
      </c>
      <c r="F456">
        <v>28</v>
      </c>
      <c r="G456">
        <v>0</v>
      </c>
      <c r="H456" t="s">
        <v>52</v>
      </c>
      <c r="I456" t="s">
        <v>122</v>
      </c>
      <c r="J456" t="s">
        <v>326</v>
      </c>
      <c r="K456" t="s">
        <v>62</v>
      </c>
      <c r="L456" t="s">
        <v>40</v>
      </c>
      <c r="M456" t="s">
        <v>41</v>
      </c>
      <c r="N456" t="s">
        <v>64</v>
      </c>
      <c r="O456" t="s">
        <v>1010</v>
      </c>
      <c r="P456">
        <v>813.97</v>
      </c>
      <c r="Q456">
        <v>1568.83</v>
      </c>
      <c r="R456">
        <v>1.7000000000000001E-2</v>
      </c>
      <c r="S456">
        <v>0</v>
      </c>
      <c r="T456">
        <v>15</v>
      </c>
      <c r="U456" t="s">
        <v>1485</v>
      </c>
      <c r="V456">
        <v>23132.398349999996</v>
      </c>
      <c r="W456">
        <v>12209.550000000001</v>
      </c>
      <c r="X456">
        <v>10922.848349999995</v>
      </c>
      <c r="Y456">
        <v>0.4721883215364911</v>
      </c>
    </row>
    <row r="457" spans="1:25" x14ac:dyDescent="0.3">
      <c r="A457" t="s">
        <v>1011</v>
      </c>
      <c r="B457">
        <v>45653</v>
      </c>
      <c r="C457">
        <v>45655</v>
      </c>
      <c r="D457" t="s">
        <v>1481</v>
      </c>
      <c r="E457" t="s">
        <v>1401</v>
      </c>
      <c r="F457">
        <v>2</v>
      </c>
      <c r="G457">
        <v>1</v>
      </c>
      <c r="H457" t="s">
        <v>52</v>
      </c>
      <c r="I457" t="s">
        <v>53</v>
      </c>
      <c r="J457" t="s">
        <v>179</v>
      </c>
      <c r="K457" t="s">
        <v>105</v>
      </c>
      <c r="L457" t="s">
        <v>40</v>
      </c>
      <c r="M457" t="s">
        <v>21</v>
      </c>
      <c r="N457" t="s">
        <v>81</v>
      </c>
      <c r="O457" t="s">
        <v>1012</v>
      </c>
      <c r="P457">
        <v>1146.72</v>
      </c>
      <c r="Q457">
        <v>2074.34</v>
      </c>
      <c r="R457">
        <v>0.111</v>
      </c>
      <c r="S457">
        <v>0</v>
      </c>
      <c r="T457">
        <v>8</v>
      </c>
      <c r="U457" t="s">
        <v>1474</v>
      </c>
      <c r="V457">
        <v>14752.706080000002</v>
      </c>
      <c r="W457">
        <v>9173.76</v>
      </c>
      <c r="X457">
        <v>5578.9460800000015</v>
      </c>
      <c r="Y457">
        <v>0.37816425337472737</v>
      </c>
    </row>
    <row r="458" spans="1:25" x14ac:dyDescent="0.3">
      <c r="A458" t="s">
        <v>1013</v>
      </c>
      <c r="B458">
        <v>45265</v>
      </c>
      <c r="C458">
        <v>45272</v>
      </c>
      <c r="D458" t="s">
        <v>1484</v>
      </c>
      <c r="E458" t="s">
        <v>1389</v>
      </c>
      <c r="F458">
        <v>7</v>
      </c>
      <c r="G458">
        <v>1</v>
      </c>
      <c r="H458" t="s">
        <v>52</v>
      </c>
      <c r="I458" t="s">
        <v>73</v>
      </c>
      <c r="J458" t="s">
        <v>87</v>
      </c>
      <c r="K458" t="s">
        <v>19</v>
      </c>
      <c r="L458" t="s">
        <v>98</v>
      </c>
      <c r="M458" t="s">
        <v>84</v>
      </c>
      <c r="N458" t="s">
        <v>42</v>
      </c>
      <c r="O458" t="s">
        <v>1014</v>
      </c>
      <c r="P458">
        <v>307.43</v>
      </c>
      <c r="Q458">
        <v>495.19</v>
      </c>
      <c r="R458">
        <v>0</v>
      </c>
      <c r="S458">
        <v>0</v>
      </c>
      <c r="T458">
        <v>42</v>
      </c>
      <c r="U458" t="s">
        <v>1480</v>
      </c>
      <c r="V458">
        <v>20797.98</v>
      </c>
      <c r="W458">
        <v>12912.06</v>
      </c>
      <c r="X458">
        <v>7885.92</v>
      </c>
      <c r="Y458">
        <v>0.37916759223732305</v>
      </c>
    </row>
    <row r="459" spans="1:25" x14ac:dyDescent="0.3">
      <c r="A459" t="s">
        <v>1015</v>
      </c>
      <c r="B459">
        <v>45048</v>
      </c>
      <c r="C459">
        <v>45065</v>
      </c>
      <c r="D459" t="s">
        <v>1490</v>
      </c>
      <c r="E459" t="s">
        <v>1382</v>
      </c>
      <c r="F459">
        <v>17</v>
      </c>
      <c r="G459">
        <v>0</v>
      </c>
      <c r="H459" t="s">
        <v>45</v>
      </c>
      <c r="I459" t="s">
        <v>116</v>
      </c>
      <c r="J459" t="s">
        <v>162</v>
      </c>
      <c r="K459" t="s">
        <v>39</v>
      </c>
      <c r="L459" t="s">
        <v>98</v>
      </c>
      <c r="M459" t="s">
        <v>29</v>
      </c>
      <c r="N459" t="s">
        <v>64</v>
      </c>
      <c r="O459" t="s">
        <v>1016</v>
      </c>
      <c r="P459">
        <v>714.28</v>
      </c>
      <c r="Q459">
        <v>757.59</v>
      </c>
      <c r="R459">
        <v>0.13600000000000001</v>
      </c>
      <c r="S459">
        <v>0</v>
      </c>
      <c r="T459">
        <v>12</v>
      </c>
      <c r="U459" t="s">
        <v>1480</v>
      </c>
      <c r="V459">
        <v>7854.6931199999999</v>
      </c>
      <c r="W459">
        <v>8571.36</v>
      </c>
      <c r="X459">
        <v>-716.66688000000067</v>
      </c>
      <c r="Y459">
        <v>-9.1240595787910383E-2</v>
      </c>
    </row>
    <row r="460" spans="1:25" x14ac:dyDescent="0.3">
      <c r="A460" t="s">
        <v>1017</v>
      </c>
      <c r="B460">
        <v>45260</v>
      </c>
      <c r="C460">
        <v>45270</v>
      </c>
      <c r="D460" t="s">
        <v>1484</v>
      </c>
      <c r="E460" t="s">
        <v>1388</v>
      </c>
      <c r="F460">
        <v>10</v>
      </c>
      <c r="G460">
        <v>0</v>
      </c>
      <c r="H460" t="s">
        <v>78</v>
      </c>
      <c r="I460" t="s">
        <v>79</v>
      </c>
      <c r="J460" t="s">
        <v>159</v>
      </c>
      <c r="K460" t="s">
        <v>62</v>
      </c>
      <c r="L460" t="s">
        <v>98</v>
      </c>
      <c r="M460" t="s">
        <v>84</v>
      </c>
      <c r="N460" t="s">
        <v>57</v>
      </c>
      <c r="O460" t="s">
        <v>1018</v>
      </c>
      <c r="P460">
        <v>174.74</v>
      </c>
      <c r="Q460">
        <v>415.96</v>
      </c>
      <c r="R460">
        <v>0.125</v>
      </c>
      <c r="S460">
        <v>0</v>
      </c>
      <c r="T460">
        <v>21</v>
      </c>
      <c r="U460" t="s">
        <v>1480</v>
      </c>
      <c r="V460">
        <v>7643.2649999999994</v>
      </c>
      <c r="W460">
        <v>3669.54</v>
      </c>
      <c r="X460">
        <v>3973.7249999999995</v>
      </c>
      <c r="Y460">
        <v>0.51989889137691803</v>
      </c>
    </row>
    <row r="461" spans="1:25" x14ac:dyDescent="0.3">
      <c r="A461" t="s">
        <v>1019</v>
      </c>
      <c r="B461">
        <v>45417</v>
      </c>
      <c r="C461">
        <v>45430</v>
      </c>
      <c r="D461" t="s">
        <v>1486</v>
      </c>
      <c r="E461" t="s">
        <v>1394</v>
      </c>
      <c r="F461">
        <v>13</v>
      </c>
      <c r="G461">
        <v>0</v>
      </c>
      <c r="H461" t="s">
        <v>78</v>
      </c>
      <c r="I461" t="s">
        <v>90</v>
      </c>
      <c r="J461" t="s">
        <v>91</v>
      </c>
      <c r="K461" t="s">
        <v>19</v>
      </c>
      <c r="L461" t="s">
        <v>40</v>
      </c>
      <c r="M461" t="s">
        <v>75</v>
      </c>
      <c r="N461" t="s">
        <v>22</v>
      </c>
      <c r="O461" t="s">
        <v>1020</v>
      </c>
      <c r="P461">
        <v>1264.04</v>
      </c>
      <c r="Q461">
        <v>1870.89</v>
      </c>
      <c r="R461">
        <v>0</v>
      </c>
      <c r="S461">
        <v>0</v>
      </c>
      <c r="T461">
        <v>13</v>
      </c>
      <c r="U461" t="s">
        <v>1474</v>
      </c>
      <c r="V461">
        <v>24321.57</v>
      </c>
      <c r="W461">
        <v>16432.52</v>
      </c>
      <c r="X461">
        <v>7889.0499999999993</v>
      </c>
      <c r="Y461">
        <v>0.32436433996653996</v>
      </c>
    </row>
    <row r="462" spans="1:25" x14ac:dyDescent="0.3">
      <c r="A462" t="s">
        <v>1021</v>
      </c>
      <c r="B462">
        <v>45116</v>
      </c>
      <c r="C462">
        <v>45126</v>
      </c>
      <c r="D462" t="s">
        <v>1492</v>
      </c>
      <c r="E462" t="s">
        <v>1384</v>
      </c>
      <c r="F462">
        <v>10</v>
      </c>
      <c r="G462">
        <v>0</v>
      </c>
      <c r="H462" t="s">
        <v>45</v>
      </c>
      <c r="I462" t="s">
        <v>46</v>
      </c>
      <c r="J462" t="s">
        <v>214</v>
      </c>
      <c r="K462" t="s">
        <v>105</v>
      </c>
      <c r="L462" t="s">
        <v>55</v>
      </c>
      <c r="M462" t="s">
        <v>126</v>
      </c>
      <c r="N462" t="s">
        <v>22</v>
      </c>
      <c r="O462" t="s">
        <v>1022</v>
      </c>
      <c r="P462">
        <v>141.26</v>
      </c>
      <c r="Q462">
        <v>206.88</v>
      </c>
      <c r="R462">
        <v>0.107</v>
      </c>
      <c r="S462">
        <v>0</v>
      </c>
      <c r="T462">
        <v>9</v>
      </c>
      <c r="U462" t="s">
        <v>1480</v>
      </c>
      <c r="V462">
        <v>1662.6945600000001</v>
      </c>
      <c r="W462">
        <v>1271.3399999999999</v>
      </c>
      <c r="X462">
        <v>391.35456000000022</v>
      </c>
      <c r="Y462">
        <v>0.23537369365062469</v>
      </c>
    </row>
    <row r="463" spans="1:25" x14ac:dyDescent="0.3">
      <c r="A463" t="s">
        <v>1023</v>
      </c>
      <c r="B463">
        <v>45063</v>
      </c>
      <c r="C463">
        <v>45092</v>
      </c>
      <c r="D463" t="s">
        <v>1490</v>
      </c>
      <c r="E463" t="s">
        <v>1382</v>
      </c>
      <c r="F463">
        <v>29</v>
      </c>
      <c r="G463">
        <v>0</v>
      </c>
      <c r="H463" t="s">
        <v>16</v>
      </c>
      <c r="I463" t="s">
        <v>148</v>
      </c>
      <c r="J463" t="s">
        <v>172</v>
      </c>
      <c r="K463" t="s">
        <v>105</v>
      </c>
      <c r="L463" t="s">
        <v>20</v>
      </c>
      <c r="M463" t="s">
        <v>95</v>
      </c>
      <c r="N463" t="s">
        <v>81</v>
      </c>
      <c r="O463" t="s">
        <v>1024</v>
      </c>
      <c r="P463">
        <v>40.89</v>
      </c>
      <c r="Q463">
        <v>62.82</v>
      </c>
      <c r="R463">
        <v>0.129</v>
      </c>
      <c r="S463">
        <v>0</v>
      </c>
      <c r="T463">
        <v>17</v>
      </c>
      <c r="U463" t="s">
        <v>1480</v>
      </c>
      <c r="V463">
        <v>930.17574000000002</v>
      </c>
      <c r="W463">
        <v>695.13</v>
      </c>
      <c r="X463">
        <v>235.04574000000002</v>
      </c>
      <c r="Y463">
        <v>0.25268960465470752</v>
      </c>
    </row>
    <row r="464" spans="1:25" x14ac:dyDescent="0.3">
      <c r="A464" t="s">
        <v>1025</v>
      </c>
      <c r="B464">
        <v>45358</v>
      </c>
      <c r="C464">
        <v>45385</v>
      </c>
      <c r="D464" t="s">
        <v>1479</v>
      </c>
      <c r="E464" t="s">
        <v>1392</v>
      </c>
      <c r="F464">
        <v>27</v>
      </c>
      <c r="G464">
        <v>0</v>
      </c>
      <c r="H464" t="s">
        <v>78</v>
      </c>
      <c r="I464" t="s">
        <v>79</v>
      </c>
      <c r="J464" t="s">
        <v>335</v>
      </c>
      <c r="K464" t="s">
        <v>19</v>
      </c>
      <c r="L464" t="s">
        <v>98</v>
      </c>
      <c r="M464" t="s">
        <v>110</v>
      </c>
      <c r="N464" t="s">
        <v>30</v>
      </c>
      <c r="O464" t="s">
        <v>1026</v>
      </c>
      <c r="P464">
        <v>738.16</v>
      </c>
      <c r="Q464">
        <v>956.49</v>
      </c>
      <c r="R464">
        <v>0.152</v>
      </c>
      <c r="S464">
        <v>0</v>
      </c>
      <c r="T464">
        <v>5</v>
      </c>
      <c r="U464" t="s">
        <v>1485</v>
      </c>
      <c r="V464">
        <v>4055.5175999999997</v>
      </c>
      <c r="W464">
        <v>3690.7999999999997</v>
      </c>
      <c r="X464">
        <v>364.71759999999995</v>
      </c>
      <c r="Y464">
        <v>8.9931208780847108E-2</v>
      </c>
    </row>
    <row r="465" spans="1:25" x14ac:dyDescent="0.3">
      <c r="A465" t="s">
        <v>1027</v>
      </c>
      <c r="B465">
        <v>45757</v>
      </c>
      <c r="C465">
        <v>45766</v>
      </c>
      <c r="D465" t="s">
        <v>1487</v>
      </c>
      <c r="E465" t="s">
        <v>1405</v>
      </c>
      <c r="F465">
        <v>9</v>
      </c>
      <c r="G465">
        <v>0</v>
      </c>
      <c r="H465" t="s">
        <v>16</v>
      </c>
      <c r="I465" t="s">
        <v>148</v>
      </c>
      <c r="J465" t="s">
        <v>172</v>
      </c>
      <c r="K465" t="s">
        <v>105</v>
      </c>
      <c r="L465" t="s">
        <v>55</v>
      </c>
      <c r="M465" t="s">
        <v>41</v>
      </c>
      <c r="N465" t="s">
        <v>35</v>
      </c>
      <c r="O465" t="s">
        <v>1028</v>
      </c>
      <c r="P465">
        <v>113.74</v>
      </c>
      <c r="Q465">
        <v>165.7</v>
      </c>
      <c r="R465">
        <v>0.124</v>
      </c>
      <c r="S465">
        <v>0</v>
      </c>
      <c r="T465">
        <v>13</v>
      </c>
      <c r="U465" t="s">
        <v>1480</v>
      </c>
      <c r="V465">
        <v>1886.9915999999998</v>
      </c>
      <c r="W465">
        <v>1478.62</v>
      </c>
      <c r="X465">
        <v>408.37159999999994</v>
      </c>
      <c r="Y465">
        <v>0.21641410592394794</v>
      </c>
    </row>
    <row r="466" spans="1:25" x14ac:dyDescent="0.3">
      <c r="A466" t="s">
        <v>1029</v>
      </c>
      <c r="B466">
        <v>45865</v>
      </c>
      <c r="C466">
        <v>45884</v>
      </c>
      <c r="D466" t="s">
        <v>1488</v>
      </c>
      <c r="E466" t="s">
        <v>1408</v>
      </c>
      <c r="F466">
        <v>19</v>
      </c>
      <c r="G466">
        <v>0</v>
      </c>
      <c r="H466" t="s">
        <v>45</v>
      </c>
      <c r="I466" t="s">
        <v>46</v>
      </c>
      <c r="J466" t="s">
        <v>214</v>
      </c>
      <c r="K466" t="s">
        <v>62</v>
      </c>
      <c r="L466" t="s">
        <v>40</v>
      </c>
      <c r="M466" t="s">
        <v>29</v>
      </c>
      <c r="N466" t="s">
        <v>22</v>
      </c>
      <c r="O466" t="s">
        <v>1030</v>
      </c>
      <c r="P466">
        <v>275.43</v>
      </c>
      <c r="Q466">
        <v>608.36</v>
      </c>
      <c r="R466">
        <v>0.25700000000000001</v>
      </c>
      <c r="S466">
        <v>1</v>
      </c>
      <c r="T466">
        <v>4</v>
      </c>
      <c r="U466" t="s">
        <v>1480</v>
      </c>
      <c r="V466">
        <v>1808.04592</v>
      </c>
      <c r="W466">
        <v>1101.72</v>
      </c>
      <c r="X466">
        <v>706.32592</v>
      </c>
      <c r="Y466">
        <v>0.39065706915231446</v>
      </c>
    </row>
    <row r="467" spans="1:25" x14ac:dyDescent="0.3">
      <c r="A467" t="s">
        <v>1031</v>
      </c>
      <c r="B467">
        <v>45618</v>
      </c>
      <c r="C467">
        <v>45641</v>
      </c>
      <c r="D467" t="s">
        <v>1481</v>
      </c>
      <c r="E467" t="s">
        <v>1400</v>
      </c>
      <c r="F467">
        <v>23</v>
      </c>
      <c r="G467">
        <v>0</v>
      </c>
      <c r="H467" t="s">
        <v>16</v>
      </c>
      <c r="I467" t="s">
        <v>17</v>
      </c>
      <c r="J467" t="s">
        <v>113</v>
      </c>
      <c r="K467" t="s">
        <v>39</v>
      </c>
      <c r="L467" t="s">
        <v>55</v>
      </c>
      <c r="M467" t="s">
        <v>21</v>
      </c>
      <c r="N467" t="s">
        <v>22</v>
      </c>
      <c r="O467" t="s">
        <v>1032</v>
      </c>
      <c r="P467">
        <v>1335.76</v>
      </c>
      <c r="Q467">
        <v>2665.91</v>
      </c>
      <c r="R467">
        <v>0.21099999999999999</v>
      </c>
      <c r="S467">
        <v>1</v>
      </c>
      <c r="T467">
        <v>40</v>
      </c>
      <c r="U467" t="s">
        <v>1474</v>
      </c>
      <c r="V467">
        <v>84136.119600000005</v>
      </c>
      <c r="W467">
        <v>53430.400000000001</v>
      </c>
      <c r="X467">
        <v>30705.719600000004</v>
      </c>
      <c r="Y467">
        <v>0.36495288522909253</v>
      </c>
    </row>
    <row r="468" spans="1:25" x14ac:dyDescent="0.3">
      <c r="A468" t="s">
        <v>1033</v>
      </c>
      <c r="B468">
        <v>45466</v>
      </c>
      <c r="C468">
        <v>45471</v>
      </c>
      <c r="D468" t="s">
        <v>1486</v>
      </c>
      <c r="E468" t="s">
        <v>1395</v>
      </c>
      <c r="F468">
        <v>5</v>
      </c>
      <c r="G468">
        <v>1</v>
      </c>
      <c r="H468" t="s">
        <v>16</v>
      </c>
      <c r="I468" t="s">
        <v>25</v>
      </c>
      <c r="J468" t="s">
        <v>26</v>
      </c>
      <c r="K468" t="s">
        <v>39</v>
      </c>
      <c r="L468" t="s">
        <v>98</v>
      </c>
      <c r="M468" t="s">
        <v>110</v>
      </c>
      <c r="N468" t="s">
        <v>81</v>
      </c>
      <c r="O468" t="s">
        <v>1034</v>
      </c>
      <c r="P468">
        <v>242.31</v>
      </c>
      <c r="Q468">
        <v>587.95000000000005</v>
      </c>
      <c r="R468">
        <v>0.22900000000000001</v>
      </c>
      <c r="S468">
        <v>1</v>
      </c>
      <c r="T468">
        <v>6</v>
      </c>
      <c r="U468" t="s">
        <v>1480</v>
      </c>
      <c r="V468">
        <v>2719.8567000000003</v>
      </c>
      <c r="W468">
        <v>1453.8600000000001</v>
      </c>
      <c r="X468">
        <v>1265.9967000000001</v>
      </c>
      <c r="Y468">
        <v>0.46546448568411714</v>
      </c>
    </row>
    <row r="469" spans="1:25" x14ac:dyDescent="0.3">
      <c r="A469" t="s">
        <v>1035</v>
      </c>
      <c r="B469">
        <v>45278</v>
      </c>
      <c r="C469">
        <v>45305</v>
      </c>
      <c r="D469" t="s">
        <v>1484</v>
      </c>
      <c r="E469" t="s">
        <v>1389</v>
      </c>
      <c r="F469">
        <v>27</v>
      </c>
      <c r="G469">
        <v>0</v>
      </c>
      <c r="H469" t="s">
        <v>45</v>
      </c>
      <c r="I469" t="s">
        <v>60</v>
      </c>
      <c r="J469" t="s">
        <v>220</v>
      </c>
      <c r="K469" t="s">
        <v>48</v>
      </c>
      <c r="L469" t="s">
        <v>55</v>
      </c>
      <c r="M469" t="s">
        <v>145</v>
      </c>
      <c r="N469" t="s">
        <v>35</v>
      </c>
      <c r="O469" t="s">
        <v>1036</v>
      </c>
      <c r="P469">
        <v>1408.3</v>
      </c>
      <c r="Q469">
        <v>2193.13</v>
      </c>
      <c r="R469">
        <v>7.0999999999999994E-2</v>
      </c>
      <c r="S469">
        <v>0</v>
      </c>
      <c r="T469">
        <v>7</v>
      </c>
      <c r="U469" t="s">
        <v>1474</v>
      </c>
      <c r="V469">
        <v>14261.92439</v>
      </c>
      <c r="W469">
        <v>9858.1</v>
      </c>
      <c r="X469">
        <v>4403.8243899999998</v>
      </c>
      <c r="Y469">
        <v>0.30878191957656281</v>
      </c>
    </row>
    <row r="470" spans="1:25" x14ac:dyDescent="0.3">
      <c r="A470" t="s">
        <v>1037</v>
      </c>
      <c r="B470">
        <v>45809</v>
      </c>
      <c r="C470">
        <v>45813</v>
      </c>
      <c r="D470" t="s">
        <v>1487</v>
      </c>
      <c r="E470" t="s">
        <v>1407</v>
      </c>
      <c r="F470">
        <v>4</v>
      </c>
      <c r="G470">
        <v>1</v>
      </c>
      <c r="H470" t="s">
        <v>78</v>
      </c>
      <c r="I470" t="s">
        <v>79</v>
      </c>
      <c r="J470" t="s">
        <v>159</v>
      </c>
      <c r="K470" t="s">
        <v>105</v>
      </c>
      <c r="L470" t="s">
        <v>98</v>
      </c>
      <c r="M470" t="s">
        <v>110</v>
      </c>
      <c r="N470" t="s">
        <v>22</v>
      </c>
      <c r="O470" t="s">
        <v>1038</v>
      </c>
      <c r="P470">
        <v>1171.42</v>
      </c>
      <c r="Q470">
        <v>2187.8000000000002</v>
      </c>
      <c r="R470">
        <v>0.23</v>
      </c>
      <c r="S470">
        <v>1</v>
      </c>
      <c r="T470">
        <v>15</v>
      </c>
      <c r="U470" t="s">
        <v>1474</v>
      </c>
      <c r="V470">
        <v>25269.09</v>
      </c>
      <c r="W470">
        <v>17571.300000000003</v>
      </c>
      <c r="X470">
        <v>7697.7899999999972</v>
      </c>
      <c r="Y470">
        <v>0.30463265594447592</v>
      </c>
    </row>
    <row r="471" spans="1:25" x14ac:dyDescent="0.3">
      <c r="A471" t="s">
        <v>1039</v>
      </c>
      <c r="B471">
        <v>45739</v>
      </c>
      <c r="C471">
        <v>45749</v>
      </c>
      <c r="D471" t="s">
        <v>1483</v>
      </c>
      <c r="E471" t="s">
        <v>1404</v>
      </c>
      <c r="F471">
        <v>10</v>
      </c>
      <c r="G471">
        <v>0</v>
      </c>
      <c r="H471" t="s">
        <v>78</v>
      </c>
      <c r="I471" t="s">
        <v>79</v>
      </c>
      <c r="J471" t="s">
        <v>80</v>
      </c>
      <c r="K471" t="s">
        <v>105</v>
      </c>
      <c r="L471" t="s">
        <v>28</v>
      </c>
      <c r="M471" t="s">
        <v>63</v>
      </c>
      <c r="N471" t="s">
        <v>30</v>
      </c>
      <c r="O471" t="s">
        <v>1040</v>
      </c>
      <c r="P471">
        <v>663.61</v>
      </c>
      <c r="Q471">
        <v>1002.11</v>
      </c>
      <c r="R471">
        <v>4.5999999999999999E-2</v>
      </c>
      <c r="S471">
        <v>0</v>
      </c>
      <c r="T471">
        <v>17</v>
      </c>
      <c r="U471" t="s">
        <v>1485</v>
      </c>
      <c r="V471">
        <v>16252.219979999998</v>
      </c>
      <c r="W471">
        <v>11281.37</v>
      </c>
      <c r="X471">
        <v>4970.8499799999972</v>
      </c>
      <c r="Y471">
        <v>0.30585667595670812</v>
      </c>
    </row>
    <row r="472" spans="1:25" x14ac:dyDescent="0.3">
      <c r="A472" t="s">
        <v>1041</v>
      </c>
      <c r="B472">
        <v>45060</v>
      </c>
      <c r="C472">
        <v>45068</v>
      </c>
      <c r="D472" t="s">
        <v>1490</v>
      </c>
      <c r="E472" t="s">
        <v>1382</v>
      </c>
      <c r="F472">
        <v>8</v>
      </c>
      <c r="G472">
        <v>0</v>
      </c>
      <c r="H472" t="s">
        <v>16</v>
      </c>
      <c r="I472" t="s">
        <v>17</v>
      </c>
      <c r="J472" t="s">
        <v>113</v>
      </c>
      <c r="K472" t="s">
        <v>62</v>
      </c>
      <c r="L472" t="s">
        <v>55</v>
      </c>
      <c r="M472" t="s">
        <v>84</v>
      </c>
      <c r="N472" t="s">
        <v>30</v>
      </c>
      <c r="O472" t="s">
        <v>1042</v>
      </c>
      <c r="P472">
        <v>432.01</v>
      </c>
      <c r="Q472">
        <v>913.78</v>
      </c>
      <c r="R472">
        <v>4.9000000000000002E-2</v>
      </c>
      <c r="S472">
        <v>0</v>
      </c>
      <c r="T472">
        <v>12</v>
      </c>
      <c r="U472" t="s">
        <v>1485</v>
      </c>
      <c r="V472">
        <v>10428.057360000001</v>
      </c>
      <c r="W472">
        <v>5184.12</v>
      </c>
      <c r="X472">
        <v>5243.9373600000008</v>
      </c>
      <c r="Y472">
        <v>0.50286809699711899</v>
      </c>
    </row>
    <row r="473" spans="1:25" x14ac:dyDescent="0.3">
      <c r="A473" t="s">
        <v>1043</v>
      </c>
      <c r="B473">
        <v>45167</v>
      </c>
      <c r="C473">
        <v>45188</v>
      </c>
      <c r="D473" t="s">
        <v>1492</v>
      </c>
      <c r="E473" t="s">
        <v>1385</v>
      </c>
      <c r="F473">
        <v>21</v>
      </c>
      <c r="G473">
        <v>0</v>
      </c>
      <c r="H473" t="s">
        <v>78</v>
      </c>
      <c r="I473" t="s">
        <v>90</v>
      </c>
      <c r="J473" t="s">
        <v>138</v>
      </c>
      <c r="K473" t="s">
        <v>62</v>
      </c>
      <c r="L473" t="s">
        <v>98</v>
      </c>
      <c r="M473" t="s">
        <v>56</v>
      </c>
      <c r="N473" t="s">
        <v>30</v>
      </c>
      <c r="O473" t="s">
        <v>1044</v>
      </c>
      <c r="P473">
        <v>784.46</v>
      </c>
      <c r="Q473">
        <v>1843.51</v>
      </c>
      <c r="R473">
        <v>0.13800000000000001</v>
      </c>
      <c r="S473">
        <v>0</v>
      </c>
      <c r="T473">
        <v>23</v>
      </c>
      <c r="U473" t="s">
        <v>1474</v>
      </c>
      <c r="V473">
        <v>36549.429260000004</v>
      </c>
      <c r="W473">
        <v>18042.580000000002</v>
      </c>
      <c r="X473">
        <v>18506.849260000003</v>
      </c>
      <c r="Y473">
        <v>0.50635125184441798</v>
      </c>
    </row>
    <row r="474" spans="1:25" x14ac:dyDescent="0.3">
      <c r="A474" t="s">
        <v>1045</v>
      </c>
      <c r="B474">
        <v>45841</v>
      </c>
      <c r="C474">
        <v>45861</v>
      </c>
      <c r="D474" t="s">
        <v>1488</v>
      </c>
      <c r="E474" t="s">
        <v>1408</v>
      </c>
      <c r="F474">
        <v>20</v>
      </c>
      <c r="G474">
        <v>0</v>
      </c>
      <c r="H474" t="s">
        <v>45</v>
      </c>
      <c r="I474" t="s">
        <v>116</v>
      </c>
      <c r="J474" t="s">
        <v>338</v>
      </c>
      <c r="K474" t="s">
        <v>62</v>
      </c>
      <c r="L474" t="s">
        <v>28</v>
      </c>
      <c r="M474" t="s">
        <v>110</v>
      </c>
      <c r="N474" t="s">
        <v>22</v>
      </c>
      <c r="O474" t="s">
        <v>1046</v>
      </c>
      <c r="P474">
        <v>647.36</v>
      </c>
      <c r="Q474">
        <v>1383.6</v>
      </c>
      <c r="R474">
        <v>7.3999999999999996E-2</v>
      </c>
      <c r="S474">
        <v>0</v>
      </c>
      <c r="T474">
        <v>12</v>
      </c>
      <c r="U474" t="s">
        <v>1485</v>
      </c>
      <c r="V474">
        <v>15374.563199999999</v>
      </c>
      <c r="W474">
        <v>7768.32</v>
      </c>
      <c r="X474">
        <v>7606.243199999999</v>
      </c>
      <c r="Y474">
        <v>0.49472906000997802</v>
      </c>
    </row>
    <row r="475" spans="1:25" x14ac:dyDescent="0.3">
      <c r="A475" t="s">
        <v>1047</v>
      </c>
      <c r="B475">
        <v>45328</v>
      </c>
      <c r="C475">
        <v>45350</v>
      </c>
      <c r="D475" t="s">
        <v>1479</v>
      </c>
      <c r="E475" t="s">
        <v>1391</v>
      </c>
      <c r="F475">
        <v>22</v>
      </c>
      <c r="G475">
        <v>0</v>
      </c>
      <c r="H475" t="s">
        <v>16</v>
      </c>
      <c r="I475" t="s">
        <v>17</v>
      </c>
      <c r="J475" t="s">
        <v>18</v>
      </c>
      <c r="K475" t="s">
        <v>39</v>
      </c>
      <c r="L475" t="s">
        <v>28</v>
      </c>
      <c r="M475" t="s">
        <v>95</v>
      </c>
      <c r="N475" t="s">
        <v>64</v>
      </c>
      <c r="O475" t="s">
        <v>1048</v>
      </c>
      <c r="P475">
        <v>834.93</v>
      </c>
      <c r="Q475">
        <v>1588.53</v>
      </c>
      <c r="R475">
        <v>0.126</v>
      </c>
      <c r="S475">
        <v>0</v>
      </c>
      <c r="T475">
        <v>6</v>
      </c>
      <c r="U475" t="s">
        <v>1485</v>
      </c>
      <c r="V475">
        <v>8330.2513199999994</v>
      </c>
      <c r="W475">
        <v>5009.58</v>
      </c>
      <c r="X475">
        <v>3320.6713199999995</v>
      </c>
      <c r="Y475">
        <v>0.39862798761274343</v>
      </c>
    </row>
    <row r="476" spans="1:25" x14ac:dyDescent="0.3">
      <c r="A476" t="s">
        <v>1049</v>
      </c>
      <c r="B476">
        <v>45882</v>
      </c>
      <c r="C476">
        <v>45903</v>
      </c>
      <c r="D476" t="s">
        <v>1488</v>
      </c>
      <c r="E476" t="s">
        <v>1409</v>
      </c>
      <c r="F476">
        <v>21</v>
      </c>
      <c r="G476">
        <v>0</v>
      </c>
      <c r="H476" t="s">
        <v>78</v>
      </c>
      <c r="I476" t="s">
        <v>90</v>
      </c>
      <c r="J476" t="s">
        <v>217</v>
      </c>
      <c r="K476" t="s">
        <v>27</v>
      </c>
      <c r="L476" t="s">
        <v>20</v>
      </c>
      <c r="M476" t="s">
        <v>34</v>
      </c>
      <c r="N476" t="s">
        <v>42</v>
      </c>
      <c r="O476" t="s">
        <v>1050</v>
      </c>
      <c r="P476">
        <v>603.47</v>
      </c>
      <c r="Q476">
        <v>1344.05</v>
      </c>
      <c r="R476">
        <v>0.20499999999999999</v>
      </c>
      <c r="S476">
        <v>1</v>
      </c>
      <c r="T476">
        <v>18</v>
      </c>
      <c r="U476" t="s">
        <v>1485</v>
      </c>
      <c r="V476">
        <v>19233.355499999998</v>
      </c>
      <c r="W476">
        <v>10862.460000000001</v>
      </c>
      <c r="X476">
        <v>8370.8954999999969</v>
      </c>
      <c r="Y476">
        <v>0.43522803392262976</v>
      </c>
    </row>
    <row r="477" spans="1:25" x14ac:dyDescent="0.3">
      <c r="A477" t="s">
        <v>1051</v>
      </c>
      <c r="B477">
        <v>45069</v>
      </c>
      <c r="C477">
        <v>45071</v>
      </c>
      <c r="D477" t="s">
        <v>1490</v>
      </c>
      <c r="E477" t="s">
        <v>1382</v>
      </c>
      <c r="F477">
        <v>2</v>
      </c>
      <c r="G477">
        <v>1</v>
      </c>
      <c r="H477" t="s">
        <v>52</v>
      </c>
      <c r="I477" t="s">
        <v>73</v>
      </c>
      <c r="J477" t="s">
        <v>225</v>
      </c>
      <c r="K477" t="s">
        <v>105</v>
      </c>
      <c r="L477" t="s">
        <v>20</v>
      </c>
      <c r="M477" t="s">
        <v>110</v>
      </c>
      <c r="N477" t="s">
        <v>30</v>
      </c>
      <c r="O477" t="s">
        <v>1052</v>
      </c>
      <c r="P477">
        <v>690.49</v>
      </c>
      <c r="Q477">
        <v>1290.29</v>
      </c>
      <c r="R477">
        <v>4.2000000000000003E-2</v>
      </c>
      <c r="S477">
        <v>0</v>
      </c>
      <c r="T477">
        <v>22</v>
      </c>
      <c r="U477" t="s">
        <v>1485</v>
      </c>
      <c r="V477">
        <v>27194.152039999997</v>
      </c>
      <c r="W477">
        <v>15190.78</v>
      </c>
      <c r="X477">
        <v>12003.372039999997</v>
      </c>
      <c r="Y477">
        <v>0.44139534199647718</v>
      </c>
    </row>
    <row r="478" spans="1:25" x14ac:dyDescent="0.3">
      <c r="A478" t="s">
        <v>1053</v>
      </c>
      <c r="B478">
        <v>45422</v>
      </c>
      <c r="C478">
        <v>45428</v>
      </c>
      <c r="D478" t="s">
        <v>1486</v>
      </c>
      <c r="E478" t="s">
        <v>1394</v>
      </c>
      <c r="F478">
        <v>6</v>
      </c>
      <c r="G478">
        <v>1</v>
      </c>
      <c r="H478" t="s">
        <v>78</v>
      </c>
      <c r="I478" t="s">
        <v>108</v>
      </c>
      <c r="J478" t="s">
        <v>109</v>
      </c>
      <c r="K478" t="s">
        <v>39</v>
      </c>
      <c r="L478" t="s">
        <v>98</v>
      </c>
      <c r="M478" t="s">
        <v>41</v>
      </c>
      <c r="N478" t="s">
        <v>57</v>
      </c>
      <c r="O478" t="s">
        <v>1054</v>
      </c>
      <c r="P478">
        <v>210.76</v>
      </c>
      <c r="Q478">
        <v>221.58</v>
      </c>
      <c r="R478">
        <v>8.8999999999999996E-2</v>
      </c>
      <c r="S478">
        <v>0</v>
      </c>
      <c r="T478">
        <v>5</v>
      </c>
      <c r="U478" t="s">
        <v>1480</v>
      </c>
      <c r="V478">
        <v>1009.2969000000002</v>
      </c>
      <c r="W478">
        <v>1053.8</v>
      </c>
      <c r="X478">
        <v>-44.50309999999979</v>
      </c>
      <c r="Y478">
        <v>-4.4093170205912434E-2</v>
      </c>
    </row>
    <row r="479" spans="1:25" x14ac:dyDescent="0.3">
      <c r="A479" t="s">
        <v>1055</v>
      </c>
      <c r="B479">
        <v>44999</v>
      </c>
      <c r="C479">
        <v>45003</v>
      </c>
      <c r="D479" t="s">
        <v>1482</v>
      </c>
      <c r="E479" t="s">
        <v>1380</v>
      </c>
      <c r="F479">
        <v>4</v>
      </c>
      <c r="G479">
        <v>1</v>
      </c>
      <c r="H479" t="s">
        <v>78</v>
      </c>
      <c r="I479" t="s">
        <v>79</v>
      </c>
      <c r="J479" t="s">
        <v>335</v>
      </c>
      <c r="K479" t="s">
        <v>105</v>
      </c>
      <c r="L479" t="s">
        <v>98</v>
      </c>
      <c r="M479" t="s">
        <v>75</v>
      </c>
      <c r="N479" t="s">
        <v>22</v>
      </c>
      <c r="O479" t="s">
        <v>1056</v>
      </c>
      <c r="P479">
        <v>472.33</v>
      </c>
      <c r="Q479">
        <v>360.34</v>
      </c>
      <c r="R479">
        <v>0.16500000000000001</v>
      </c>
      <c r="S479">
        <v>0</v>
      </c>
      <c r="T479">
        <v>14</v>
      </c>
      <c r="U479" t="s">
        <v>1480</v>
      </c>
      <c r="V479">
        <v>4212.3745999999992</v>
      </c>
      <c r="W479">
        <v>6612.62</v>
      </c>
      <c r="X479">
        <v>-2400.2454000000007</v>
      </c>
      <c r="Y479">
        <v>-0.56980815523861561</v>
      </c>
    </row>
    <row r="480" spans="1:25" x14ac:dyDescent="0.3">
      <c r="A480" t="s">
        <v>1057</v>
      </c>
      <c r="B480">
        <v>45123</v>
      </c>
      <c r="C480">
        <v>45151</v>
      </c>
      <c r="D480" t="s">
        <v>1492</v>
      </c>
      <c r="E480" t="s">
        <v>1384</v>
      </c>
      <c r="F480">
        <v>28</v>
      </c>
      <c r="G480">
        <v>0</v>
      </c>
      <c r="H480" t="s">
        <v>78</v>
      </c>
      <c r="I480" t="s">
        <v>108</v>
      </c>
      <c r="J480" t="s">
        <v>228</v>
      </c>
      <c r="K480" t="s">
        <v>39</v>
      </c>
      <c r="L480" t="s">
        <v>28</v>
      </c>
      <c r="M480" t="s">
        <v>29</v>
      </c>
      <c r="N480" t="s">
        <v>57</v>
      </c>
      <c r="O480" t="s">
        <v>1058</v>
      </c>
      <c r="P480">
        <v>1039.03</v>
      </c>
      <c r="Q480">
        <v>2545.81</v>
      </c>
      <c r="R480">
        <v>0.216</v>
      </c>
      <c r="S480">
        <v>1</v>
      </c>
      <c r="T480">
        <v>21</v>
      </c>
      <c r="U480" t="s">
        <v>1474</v>
      </c>
      <c r="V480">
        <v>41914.215840000004</v>
      </c>
      <c r="W480">
        <v>21819.63</v>
      </c>
      <c r="X480">
        <v>20094.585840000003</v>
      </c>
      <c r="Y480">
        <v>0.47942172929364774</v>
      </c>
    </row>
    <row r="481" spans="1:25" x14ac:dyDescent="0.3">
      <c r="A481" t="s">
        <v>1059</v>
      </c>
      <c r="B481">
        <v>45032</v>
      </c>
      <c r="C481">
        <v>45035</v>
      </c>
      <c r="D481" t="s">
        <v>1490</v>
      </c>
      <c r="E481" t="s">
        <v>1381</v>
      </c>
      <c r="F481">
        <v>3</v>
      </c>
      <c r="G481">
        <v>1</v>
      </c>
      <c r="H481" t="s">
        <v>78</v>
      </c>
      <c r="I481" t="s">
        <v>79</v>
      </c>
      <c r="J481" t="s">
        <v>159</v>
      </c>
      <c r="K481" t="s">
        <v>19</v>
      </c>
      <c r="L481" t="s">
        <v>98</v>
      </c>
      <c r="M481" t="s">
        <v>56</v>
      </c>
      <c r="N481" t="s">
        <v>81</v>
      </c>
      <c r="O481" t="s">
        <v>1060</v>
      </c>
      <c r="P481">
        <v>553.61</v>
      </c>
      <c r="Q481">
        <v>699.47</v>
      </c>
      <c r="R481">
        <v>0.02</v>
      </c>
      <c r="S481">
        <v>0</v>
      </c>
      <c r="T481">
        <v>33</v>
      </c>
      <c r="U481" t="s">
        <v>1480</v>
      </c>
      <c r="V481">
        <v>22620.859800000002</v>
      </c>
      <c r="W481">
        <v>18269.13</v>
      </c>
      <c r="X481">
        <v>4351.729800000001</v>
      </c>
      <c r="Y481">
        <v>0.19237685209472014</v>
      </c>
    </row>
    <row r="482" spans="1:25" x14ac:dyDescent="0.3">
      <c r="A482" t="s">
        <v>1061</v>
      </c>
      <c r="B482">
        <v>45293</v>
      </c>
      <c r="C482">
        <v>45306</v>
      </c>
      <c r="D482" t="s">
        <v>1479</v>
      </c>
      <c r="E482" t="s">
        <v>1390</v>
      </c>
      <c r="F482">
        <v>13</v>
      </c>
      <c r="G482">
        <v>0</v>
      </c>
      <c r="H482" t="s">
        <v>45</v>
      </c>
      <c r="I482" t="s">
        <v>46</v>
      </c>
      <c r="J482" t="s">
        <v>231</v>
      </c>
      <c r="K482" t="s">
        <v>62</v>
      </c>
      <c r="L482" t="s">
        <v>40</v>
      </c>
      <c r="M482" t="s">
        <v>41</v>
      </c>
      <c r="N482" t="s">
        <v>35</v>
      </c>
      <c r="O482" t="s">
        <v>1062</v>
      </c>
      <c r="P482">
        <v>1219.06</v>
      </c>
      <c r="Q482">
        <v>2738.69</v>
      </c>
      <c r="R482">
        <v>7.5999999999999998E-2</v>
      </c>
      <c r="S482">
        <v>0</v>
      </c>
      <c r="T482">
        <v>16</v>
      </c>
      <c r="U482" t="s">
        <v>1474</v>
      </c>
      <c r="V482">
        <v>40488.792960000006</v>
      </c>
      <c r="W482">
        <v>19504.96</v>
      </c>
      <c r="X482">
        <v>20983.832960000007</v>
      </c>
      <c r="Y482">
        <v>0.51826274447673737</v>
      </c>
    </row>
    <row r="483" spans="1:25" x14ac:dyDescent="0.3">
      <c r="A483" t="s">
        <v>1063</v>
      </c>
      <c r="B483">
        <v>45538</v>
      </c>
      <c r="C483">
        <v>45542</v>
      </c>
      <c r="D483" t="s">
        <v>1491</v>
      </c>
      <c r="E483" t="s">
        <v>1494</v>
      </c>
      <c r="F483">
        <v>4</v>
      </c>
      <c r="G483">
        <v>1</v>
      </c>
      <c r="H483" t="s">
        <v>45</v>
      </c>
      <c r="I483" t="s">
        <v>46</v>
      </c>
      <c r="J483" t="s">
        <v>214</v>
      </c>
      <c r="K483" t="s">
        <v>62</v>
      </c>
      <c r="L483" t="s">
        <v>55</v>
      </c>
      <c r="M483" t="s">
        <v>126</v>
      </c>
      <c r="N483" t="s">
        <v>30</v>
      </c>
      <c r="O483" t="s">
        <v>1064</v>
      </c>
      <c r="P483">
        <v>43.23</v>
      </c>
      <c r="Q483">
        <v>94.78</v>
      </c>
      <c r="R483">
        <v>9.0999999999999998E-2</v>
      </c>
      <c r="S483">
        <v>0</v>
      </c>
      <c r="T483">
        <v>55</v>
      </c>
      <c r="U483" t="s">
        <v>1480</v>
      </c>
      <c r="V483">
        <v>4738.5261</v>
      </c>
      <c r="W483">
        <v>2377.6499999999996</v>
      </c>
      <c r="X483">
        <v>2360.8761000000004</v>
      </c>
      <c r="Y483">
        <v>0.49823005090127082</v>
      </c>
    </row>
    <row r="484" spans="1:25" x14ac:dyDescent="0.3">
      <c r="A484" t="s">
        <v>1065</v>
      </c>
      <c r="B484">
        <v>45899</v>
      </c>
      <c r="C484">
        <v>45903</v>
      </c>
      <c r="D484" t="s">
        <v>1488</v>
      </c>
      <c r="E484" t="s">
        <v>1409</v>
      </c>
      <c r="F484">
        <v>4</v>
      </c>
      <c r="G484">
        <v>1</v>
      </c>
      <c r="H484" t="s">
        <v>78</v>
      </c>
      <c r="I484" t="s">
        <v>90</v>
      </c>
      <c r="J484" t="s">
        <v>91</v>
      </c>
      <c r="K484" t="s">
        <v>62</v>
      </c>
      <c r="L484" t="s">
        <v>40</v>
      </c>
      <c r="M484" t="s">
        <v>29</v>
      </c>
      <c r="N484" t="s">
        <v>57</v>
      </c>
      <c r="O484" t="s">
        <v>1066</v>
      </c>
      <c r="P484">
        <v>1286.56</v>
      </c>
      <c r="Q484">
        <v>2777.35</v>
      </c>
      <c r="R484">
        <v>0.13200000000000001</v>
      </c>
      <c r="S484">
        <v>0</v>
      </c>
      <c r="T484">
        <v>15</v>
      </c>
      <c r="U484" t="s">
        <v>1474</v>
      </c>
      <c r="V484">
        <v>36161.097000000002</v>
      </c>
      <c r="W484">
        <v>19298.399999999998</v>
      </c>
      <c r="X484">
        <v>16862.697000000004</v>
      </c>
      <c r="Y484">
        <v>0.46632150014696744</v>
      </c>
    </row>
    <row r="485" spans="1:25" x14ac:dyDescent="0.3">
      <c r="A485" t="s">
        <v>1067</v>
      </c>
      <c r="B485">
        <v>45775</v>
      </c>
      <c r="C485">
        <v>45796</v>
      </c>
      <c r="D485" t="s">
        <v>1487</v>
      </c>
      <c r="E485" t="s">
        <v>1405</v>
      </c>
      <c r="F485">
        <v>21</v>
      </c>
      <c r="G485">
        <v>0</v>
      </c>
      <c r="H485" t="s">
        <v>78</v>
      </c>
      <c r="I485" t="s">
        <v>79</v>
      </c>
      <c r="J485" t="s">
        <v>80</v>
      </c>
      <c r="K485" t="s">
        <v>19</v>
      </c>
      <c r="L485" t="s">
        <v>55</v>
      </c>
      <c r="M485" t="s">
        <v>56</v>
      </c>
      <c r="N485" t="s">
        <v>42</v>
      </c>
      <c r="O485" t="s">
        <v>1068</v>
      </c>
      <c r="P485">
        <v>350.76</v>
      </c>
      <c r="Q485">
        <v>492.18</v>
      </c>
      <c r="R485">
        <v>5.2999999999999999E-2</v>
      </c>
      <c r="S485">
        <v>0</v>
      </c>
      <c r="T485">
        <v>11</v>
      </c>
      <c r="U485" t="s">
        <v>1480</v>
      </c>
      <c r="V485">
        <v>5127.0390600000001</v>
      </c>
      <c r="W485">
        <v>3858.3599999999997</v>
      </c>
      <c r="X485">
        <v>1268.6790600000004</v>
      </c>
      <c r="Y485">
        <v>0.24744868239798437</v>
      </c>
    </row>
    <row r="486" spans="1:25" x14ac:dyDescent="0.3">
      <c r="A486" t="s">
        <v>1069</v>
      </c>
      <c r="B486">
        <v>45148</v>
      </c>
      <c r="C486">
        <v>45153</v>
      </c>
      <c r="D486" t="s">
        <v>1492</v>
      </c>
      <c r="E486" t="s">
        <v>1385</v>
      </c>
      <c r="F486">
        <v>5</v>
      </c>
      <c r="G486">
        <v>1</v>
      </c>
      <c r="H486" t="s">
        <v>52</v>
      </c>
      <c r="I486" t="s">
        <v>73</v>
      </c>
      <c r="J486" t="s">
        <v>74</v>
      </c>
      <c r="K486" t="s">
        <v>27</v>
      </c>
      <c r="L486" t="s">
        <v>98</v>
      </c>
      <c r="M486" t="s">
        <v>41</v>
      </c>
      <c r="N486" t="s">
        <v>35</v>
      </c>
      <c r="O486" t="s">
        <v>1070</v>
      </c>
      <c r="P486">
        <v>1307.52</v>
      </c>
      <c r="Q486">
        <v>1921.65</v>
      </c>
      <c r="R486">
        <v>0.123</v>
      </c>
      <c r="S486">
        <v>0</v>
      </c>
      <c r="T486">
        <v>13</v>
      </c>
      <c r="U486" t="s">
        <v>1474</v>
      </c>
      <c r="V486">
        <v>21908.731650000002</v>
      </c>
      <c r="W486">
        <v>16997.759999999998</v>
      </c>
      <c r="X486">
        <v>4910.9716500000031</v>
      </c>
      <c r="Y486">
        <v>0.22415590863289445</v>
      </c>
    </row>
    <row r="487" spans="1:25" x14ac:dyDescent="0.3">
      <c r="A487" t="s">
        <v>1071</v>
      </c>
      <c r="B487">
        <v>45634</v>
      </c>
      <c r="C487">
        <v>45634</v>
      </c>
      <c r="D487" t="s">
        <v>1481</v>
      </c>
      <c r="E487" t="s">
        <v>1401</v>
      </c>
      <c r="F487">
        <v>0</v>
      </c>
      <c r="G487">
        <v>1</v>
      </c>
      <c r="H487" t="s">
        <v>78</v>
      </c>
      <c r="I487" t="s">
        <v>90</v>
      </c>
      <c r="J487" t="s">
        <v>138</v>
      </c>
      <c r="K487" t="s">
        <v>105</v>
      </c>
      <c r="L487" t="s">
        <v>20</v>
      </c>
      <c r="M487" t="s">
        <v>92</v>
      </c>
      <c r="N487" t="s">
        <v>22</v>
      </c>
      <c r="O487" t="s">
        <v>1072</v>
      </c>
      <c r="P487">
        <v>257.44</v>
      </c>
      <c r="Q487">
        <v>290.33</v>
      </c>
      <c r="R487">
        <v>9.1999999999999998E-2</v>
      </c>
      <c r="S487">
        <v>0</v>
      </c>
      <c r="T487">
        <v>23</v>
      </c>
      <c r="U487" t="s">
        <v>1480</v>
      </c>
      <c r="V487">
        <v>6063.2517199999993</v>
      </c>
      <c r="W487">
        <v>5921.12</v>
      </c>
      <c r="X487">
        <v>142.1317199999994</v>
      </c>
      <c r="Y487">
        <v>2.3441500792581216E-2</v>
      </c>
    </row>
    <row r="488" spans="1:25" x14ac:dyDescent="0.3">
      <c r="A488" t="s">
        <v>1073</v>
      </c>
      <c r="B488">
        <v>45224</v>
      </c>
      <c r="C488">
        <v>45254</v>
      </c>
      <c r="D488" t="s">
        <v>1484</v>
      </c>
      <c r="E488" t="s">
        <v>1387</v>
      </c>
      <c r="F488">
        <v>30</v>
      </c>
      <c r="G488">
        <v>0</v>
      </c>
      <c r="H488" t="s">
        <v>78</v>
      </c>
      <c r="I488" t="s">
        <v>90</v>
      </c>
      <c r="J488" t="s">
        <v>217</v>
      </c>
      <c r="K488" t="s">
        <v>105</v>
      </c>
      <c r="L488" t="s">
        <v>55</v>
      </c>
      <c r="M488" t="s">
        <v>21</v>
      </c>
      <c r="N488" t="s">
        <v>42</v>
      </c>
      <c r="O488" t="s">
        <v>1074</v>
      </c>
      <c r="P488">
        <v>287.85000000000002</v>
      </c>
      <c r="Q488">
        <v>602.91999999999996</v>
      </c>
      <c r="R488">
        <v>0.222</v>
      </c>
      <c r="S488">
        <v>1</v>
      </c>
      <c r="T488">
        <v>11</v>
      </c>
      <c r="U488" t="s">
        <v>1480</v>
      </c>
      <c r="V488">
        <v>5159.7893599999998</v>
      </c>
      <c r="W488">
        <v>3166.3500000000004</v>
      </c>
      <c r="X488">
        <v>1993.4393599999994</v>
      </c>
      <c r="Y488">
        <v>0.38634122847216373</v>
      </c>
    </row>
    <row r="489" spans="1:25" x14ac:dyDescent="0.3">
      <c r="A489" t="s">
        <v>1075</v>
      </c>
      <c r="B489">
        <v>45613</v>
      </c>
      <c r="C489">
        <v>45624</v>
      </c>
      <c r="D489" t="s">
        <v>1481</v>
      </c>
      <c r="E489" t="s">
        <v>1400</v>
      </c>
      <c r="F489">
        <v>11</v>
      </c>
      <c r="G489">
        <v>0</v>
      </c>
      <c r="H489" t="s">
        <v>52</v>
      </c>
      <c r="I489" t="s">
        <v>53</v>
      </c>
      <c r="J489" t="s">
        <v>179</v>
      </c>
      <c r="K489" t="s">
        <v>48</v>
      </c>
      <c r="L489" t="s">
        <v>55</v>
      </c>
      <c r="M489" t="s">
        <v>75</v>
      </c>
      <c r="N489" t="s">
        <v>30</v>
      </c>
      <c r="O489" t="s">
        <v>1076</v>
      </c>
      <c r="P489">
        <v>1008.16</v>
      </c>
      <c r="Q489">
        <v>2077.5</v>
      </c>
      <c r="R489">
        <v>7.3999999999999996E-2</v>
      </c>
      <c r="S489">
        <v>0</v>
      </c>
      <c r="T489">
        <v>15</v>
      </c>
      <c r="U489" t="s">
        <v>1474</v>
      </c>
      <c r="V489">
        <v>28856.475000000002</v>
      </c>
      <c r="W489">
        <v>15122.4</v>
      </c>
      <c r="X489">
        <v>13734.075000000003</v>
      </c>
      <c r="Y489">
        <v>0.47594430712691005</v>
      </c>
    </row>
    <row r="490" spans="1:25" x14ac:dyDescent="0.3">
      <c r="A490" t="s">
        <v>1077</v>
      </c>
      <c r="B490">
        <v>45424</v>
      </c>
      <c r="C490">
        <v>45436</v>
      </c>
      <c r="D490" t="s">
        <v>1486</v>
      </c>
      <c r="E490" t="s">
        <v>1394</v>
      </c>
      <c r="F490">
        <v>12</v>
      </c>
      <c r="G490">
        <v>0</v>
      </c>
      <c r="H490" t="s">
        <v>78</v>
      </c>
      <c r="I490" t="s">
        <v>108</v>
      </c>
      <c r="J490" t="s">
        <v>228</v>
      </c>
      <c r="K490" t="s">
        <v>27</v>
      </c>
      <c r="L490" t="s">
        <v>40</v>
      </c>
      <c r="M490" t="s">
        <v>95</v>
      </c>
      <c r="N490" t="s">
        <v>30</v>
      </c>
      <c r="O490" t="s">
        <v>1078</v>
      </c>
      <c r="P490">
        <v>111.02</v>
      </c>
      <c r="Q490">
        <v>172.88</v>
      </c>
      <c r="R490">
        <v>0.19700000000000001</v>
      </c>
      <c r="S490">
        <v>0</v>
      </c>
      <c r="T490">
        <v>29</v>
      </c>
      <c r="U490" t="s">
        <v>1480</v>
      </c>
      <c r="V490">
        <v>4025.8565599999993</v>
      </c>
      <c r="W490">
        <v>3219.58</v>
      </c>
      <c r="X490">
        <v>806.27655999999934</v>
      </c>
      <c r="Y490">
        <v>0.20027453735212053</v>
      </c>
    </row>
    <row r="491" spans="1:25" x14ac:dyDescent="0.3">
      <c r="A491" t="s">
        <v>1079</v>
      </c>
      <c r="B491">
        <v>45792</v>
      </c>
      <c r="C491">
        <v>45813</v>
      </c>
      <c r="D491" t="s">
        <v>1487</v>
      </c>
      <c r="E491" t="s">
        <v>1406</v>
      </c>
      <c r="F491">
        <v>21</v>
      </c>
      <c r="G491">
        <v>0</v>
      </c>
      <c r="H491" t="s">
        <v>45</v>
      </c>
      <c r="I491" t="s">
        <v>46</v>
      </c>
      <c r="J491" t="s">
        <v>47</v>
      </c>
      <c r="K491" t="s">
        <v>105</v>
      </c>
      <c r="L491" t="s">
        <v>98</v>
      </c>
      <c r="M491" t="s">
        <v>92</v>
      </c>
      <c r="N491" t="s">
        <v>42</v>
      </c>
      <c r="O491" t="s">
        <v>1080</v>
      </c>
      <c r="P491">
        <v>1466.5</v>
      </c>
      <c r="Q491">
        <v>2778.74</v>
      </c>
      <c r="R491">
        <v>0.13500000000000001</v>
      </c>
      <c r="S491">
        <v>0</v>
      </c>
      <c r="T491">
        <v>4</v>
      </c>
      <c r="U491" t="s">
        <v>1474</v>
      </c>
      <c r="V491">
        <v>9614.4403999999995</v>
      </c>
      <c r="W491">
        <v>5866</v>
      </c>
      <c r="X491">
        <v>3748.4403999999995</v>
      </c>
      <c r="Y491">
        <v>0.38987608680792279</v>
      </c>
    </row>
    <row r="492" spans="1:25" x14ac:dyDescent="0.3">
      <c r="A492" t="s">
        <v>1081</v>
      </c>
      <c r="B492">
        <v>45403</v>
      </c>
      <c r="C492">
        <v>45431</v>
      </c>
      <c r="D492" t="s">
        <v>1486</v>
      </c>
      <c r="E492" t="s">
        <v>1393</v>
      </c>
      <c r="F492">
        <v>28</v>
      </c>
      <c r="G492">
        <v>0</v>
      </c>
      <c r="H492" t="s">
        <v>16</v>
      </c>
      <c r="I492" t="s">
        <v>25</v>
      </c>
      <c r="J492" t="s">
        <v>38</v>
      </c>
      <c r="K492" t="s">
        <v>19</v>
      </c>
      <c r="L492" t="s">
        <v>55</v>
      </c>
      <c r="M492" t="s">
        <v>75</v>
      </c>
      <c r="N492" t="s">
        <v>81</v>
      </c>
      <c r="O492" t="s">
        <v>1082</v>
      </c>
      <c r="P492">
        <v>187.22</v>
      </c>
      <c r="Q492">
        <v>309.47000000000003</v>
      </c>
      <c r="R492">
        <v>0</v>
      </c>
      <c r="S492">
        <v>0</v>
      </c>
      <c r="T492">
        <v>5</v>
      </c>
      <c r="U492" t="s">
        <v>1480</v>
      </c>
      <c r="V492">
        <v>1547.3500000000001</v>
      </c>
      <c r="W492">
        <v>936.1</v>
      </c>
      <c r="X492">
        <v>611.25000000000011</v>
      </c>
      <c r="Y492">
        <v>0.39503021294471197</v>
      </c>
    </row>
    <row r="493" spans="1:25" x14ac:dyDescent="0.3">
      <c r="A493" t="s">
        <v>1083</v>
      </c>
      <c r="B493">
        <v>45523</v>
      </c>
      <c r="C493">
        <v>45542</v>
      </c>
      <c r="D493" t="s">
        <v>1491</v>
      </c>
      <c r="E493" t="s">
        <v>1397</v>
      </c>
      <c r="F493">
        <v>19</v>
      </c>
      <c r="G493">
        <v>0</v>
      </c>
      <c r="H493" t="s">
        <v>78</v>
      </c>
      <c r="I493" t="s">
        <v>90</v>
      </c>
      <c r="J493" t="s">
        <v>138</v>
      </c>
      <c r="K493" t="s">
        <v>19</v>
      </c>
      <c r="L493" t="s">
        <v>98</v>
      </c>
      <c r="M493" t="s">
        <v>29</v>
      </c>
      <c r="N493" t="s">
        <v>22</v>
      </c>
      <c r="O493" t="s">
        <v>1084</v>
      </c>
      <c r="P493">
        <v>297.58999999999997</v>
      </c>
      <c r="Q493">
        <v>666.41</v>
      </c>
      <c r="R493">
        <v>0</v>
      </c>
      <c r="S493">
        <v>0</v>
      </c>
      <c r="T493">
        <v>10</v>
      </c>
      <c r="U493" t="s">
        <v>1480</v>
      </c>
      <c r="V493">
        <v>6664.0999999999995</v>
      </c>
      <c r="W493">
        <v>2975.8999999999996</v>
      </c>
      <c r="X493">
        <v>3688.2</v>
      </c>
      <c r="Y493">
        <v>0.55344307558409989</v>
      </c>
    </row>
    <row r="494" spans="1:25" x14ac:dyDescent="0.3">
      <c r="A494" t="s">
        <v>1085</v>
      </c>
      <c r="B494">
        <v>45861</v>
      </c>
      <c r="C494">
        <v>45888</v>
      </c>
      <c r="D494" t="s">
        <v>1488</v>
      </c>
      <c r="E494" t="s">
        <v>1408</v>
      </c>
      <c r="F494">
        <v>27</v>
      </c>
      <c r="G494">
        <v>0</v>
      </c>
      <c r="H494" t="s">
        <v>45</v>
      </c>
      <c r="I494" t="s">
        <v>46</v>
      </c>
      <c r="J494" t="s">
        <v>231</v>
      </c>
      <c r="K494" t="s">
        <v>48</v>
      </c>
      <c r="L494" t="s">
        <v>40</v>
      </c>
      <c r="M494" t="s">
        <v>56</v>
      </c>
      <c r="N494" t="s">
        <v>81</v>
      </c>
      <c r="O494" t="s">
        <v>1086</v>
      </c>
      <c r="P494">
        <v>896.09</v>
      </c>
      <c r="Q494">
        <v>744.27</v>
      </c>
      <c r="R494">
        <v>8.3000000000000004E-2</v>
      </c>
      <c r="S494">
        <v>0</v>
      </c>
      <c r="T494">
        <v>11</v>
      </c>
      <c r="U494" t="s">
        <v>1480</v>
      </c>
      <c r="V494">
        <v>7507.4514899999995</v>
      </c>
      <c r="W494">
        <v>9856.99</v>
      </c>
      <c r="X494">
        <v>-2349.5385100000003</v>
      </c>
      <c r="Y494">
        <v>-0.31296086469950679</v>
      </c>
    </row>
    <row r="495" spans="1:25" x14ac:dyDescent="0.3">
      <c r="A495" t="s">
        <v>1087</v>
      </c>
      <c r="B495">
        <v>45352</v>
      </c>
      <c r="C495">
        <v>45359</v>
      </c>
      <c r="D495" t="s">
        <v>1479</v>
      </c>
      <c r="E495" t="s">
        <v>1392</v>
      </c>
      <c r="F495">
        <v>7</v>
      </c>
      <c r="G495">
        <v>1</v>
      </c>
      <c r="H495" t="s">
        <v>52</v>
      </c>
      <c r="I495" t="s">
        <v>73</v>
      </c>
      <c r="J495" t="s">
        <v>74</v>
      </c>
      <c r="K495" t="s">
        <v>39</v>
      </c>
      <c r="L495" t="s">
        <v>98</v>
      </c>
      <c r="M495" t="s">
        <v>34</v>
      </c>
      <c r="N495" t="s">
        <v>42</v>
      </c>
      <c r="O495" t="s">
        <v>1088</v>
      </c>
      <c r="P495">
        <v>5.34</v>
      </c>
      <c r="Q495">
        <v>12.69</v>
      </c>
      <c r="R495">
        <v>0.13200000000000001</v>
      </c>
      <c r="S495">
        <v>0</v>
      </c>
      <c r="T495">
        <v>10</v>
      </c>
      <c r="U495" t="s">
        <v>1480</v>
      </c>
      <c r="V495">
        <v>110.14919999999999</v>
      </c>
      <c r="W495">
        <v>53.4</v>
      </c>
      <c r="X495">
        <v>56.749199999999995</v>
      </c>
      <c r="Y495">
        <v>0.51520301554618642</v>
      </c>
    </row>
    <row r="496" spans="1:25" x14ac:dyDescent="0.3">
      <c r="A496" t="s">
        <v>1089</v>
      </c>
      <c r="B496">
        <v>45439</v>
      </c>
      <c r="C496">
        <v>45460</v>
      </c>
      <c r="D496" t="s">
        <v>1486</v>
      </c>
      <c r="E496" t="s">
        <v>1394</v>
      </c>
      <c r="F496">
        <v>21</v>
      </c>
      <c r="G496">
        <v>0</v>
      </c>
      <c r="H496" t="s">
        <v>45</v>
      </c>
      <c r="I496" t="s">
        <v>60</v>
      </c>
      <c r="J496" t="s">
        <v>141</v>
      </c>
      <c r="K496" t="s">
        <v>62</v>
      </c>
      <c r="L496" t="s">
        <v>28</v>
      </c>
      <c r="M496" t="s">
        <v>92</v>
      </c>
      <c r="N496" t="s">
        <v>81</v>
      </c>
      <c r="O496" t="s">
        <v>1090</v>
      </c>
      <c r="P496">
        <v>465.02</v>
      </c>
      <c r="Q496">
        <v>651.55999999999995</v>
      </c>
      <c r="R496">
        <v>4.2000000000000003E-2</v>
      </c>
      <c r="S496">
        <v>0</v>
      </c>
      <c r="T496">
        <v>19</v>
      </c>
      <c r="U496" t="s">
        <v>1480</v>
      </c>
      <c r="V496">
        <v>11859.695119999998</v>
      </c>
      <c r="W496">
        <v>8835.3799999999992</v>
      </c>
      <c r="X496">
        <v>3024.3151199999993</v>
      </c>
      <c r="Y496">
        <v>0.25500783025187918</v>
      </c>
    </row>
    <row r="497" spans="1:25" x14ac:dyDescent="0.3">
      <c r="A497" t="s">
        <v>1091</v>
      </c>
      <c r="B497">
        <v>45508</v>
      </c>
      <c r="C497">
        <v>45521</v>
      </c>
      <c r="D497" t="s">
        <v>1491</v>
      </c>
      <c r="E497" t="s">
        <v>1397</v>
      </c>
      <c r="F497">
        <v>13</v>
      </c>
      <c r="G497">
        <v>0</v>
      </c>
      <c r="H497" t="s">
        <v>52</v>
      </c>
      <c r="I497" t="s">
        <v>122</v>
      </c>
      <c r="J497" t="s">
        <v>326</v>
      </c>
      <c r="K497" t="s">
        <v>48</v>
      </c>
      <c r="L497" t="s">
        <v>20</v>
      </c>
      <c r="M497" t="s">
        <v>145</v>
      </c>
      <c r="N497" t="s">
        <v>64</v>
      </c>
      <c r="O497" t="s">
        <v>1092</v>
      </c>
      <c r="P497">
        <v>352.79</v>
      </c>
      <c r="Q497">
        <v>754.22</v>
      </c>
      <c r="R497">
        <v>0.113</v>
      </c>
      <c r="S497">
        <v>0</v>
      </c>
      <c r="T497">
        <v>7</v>
      </c>
      <c r="U497" t="s">
        <v>1480</v>
      </c>
      <c r="V497">
        <v>4682.9519799999998</v>
      </c>
      <c r="W497">
        <v>2469.5300000000002</v>
      </c>
      <c r="X497">
        <v>2213.4219799999996</v>
      </c>
      <c r="Y497">
        <v>0.47265528014233443</v>
      </c>
    </row>
    <row r="498" spans="1:25" x14ac:dyDescent="0.3">
      <c r="A498" t="s">
        <v>1093</v>
      </c>
      <c r="B498">
        <v>45097</v>
      </c>
      <c r="C498">
        <v>45111</v>
      </c>
      <c r="D498" t="s">
        <v>1490</v>
      </c>
      <c r="E498" t="s">
        <v>1383</v>
      </c>
      <c r="F498">
        <v>14</v>
      </c>
      <c r="G498">
        <v>0</v>
      </c>
      <c r="H498" t="s">
        <v>52</v>
      </c>
      <c r="I498" t="s">
        <v>73</v>
      </c>
      <c r="J498" t="s">
        <v>87</v>
      </c>
      <c r="K498" t="s">
        <v>39</v>
      </c>
      <c r="L498" t="s">
        <v>98</v>
      </c>
      <c r="M498" t="s">
        <v>21</v>
      </c>
      <c r="N498" t="s">
        <v>35</v>
      </c>
      <c r="O498" t="s">
        <v>1094</v>
      </c>
      <c r="P498">
        <v>1292.8599999999999</v>
      </c>
      <c r="Q498">
        <v>2981.01</v>
      </c>
      <c r="R498">
        <v>0.14199999999999999</v>
      </c>
      <c r="S498">
        <v>0</v>
      </c>
      <c r="T498">
        <v>12</v>
      </c>
      <c r="U498" t="s">
        <v>1474</v>
      </c>
      <c r="V498">
        <v>30692.47896</v>
      </c>
      <c r="W498">
        <v>15514.32</v>
      </c>
      <c r="X498">
        <v>15178.158960000001</v>
      </c>
      <c r="Y498">
        <v>0.49452372288927687</v>
      </c>
    </row>
    <row r="499" spans="1:25" x14ac:dyDescent="0.3">
      <c r="A499" t="s">
        <v>1095</v>
      </c>
      <c r="B499">
        <v>45544</v>
      </c>
      <c r="C499">
        <v>45548</v>
      </c>
      <c r="D499" t="s">
        <v>1491</v>
      </c>
      <c r="E499" t="s">
        <v>1494</v>
      </c>
      <c r="F499">
        <v>4</v>
      </c>
      <c r="G499">
        <v>1</v>
      </c>
      <c r="H499" t="s">
        <v>78</v>
      </c>
      <c r="I499" t="s">
        <v>108</v>
      </c>
      <c r="J499" t="s">
        <v>152</v>
      </c>
      <c r="K499" t="s">
        <v>48</v>
      </c>
      <c r="L499" t="s">
        <v>40</v>
      </c>
      <c r="M499" t="s">
        <v>84</v>
      </c>
      <c r="N499" t="s">
        <v>35</v>
      </c>
      <c r="O499" t="s">
        <v>1096</v>
      </c>
      <c r="P499">
        <v>1133.08</v>
      </c>
      <c r="Q499">
        <v>976.17</v>
      </c>
      <c r="R499">
        <v>4.2000000000000003E-2</v>
      </c>
      <c r="S499">
        <v>0</v>
      </c>
      <c r="T499">
        <v>27</v>
      </c>
      <c r="U499" t="s">
        <v>1485</v>
      </c>
      <c r="V499">
        <v>25249.613219999999</v>
      </c>
      <c r="W499">
        <v>30593.159999999996</v>
      </c>
      <c r="X499">
        <v>-5343.5467799999969</v>
      </c>
      <c r="Y499">
        <v>-0.21162885678452373</v>
      </c>
    </row>
    <row r="500" spans="1:25" x14ac:dyDescent="0.3">
      <c r="A500" t="s">
        <v>1097</v>
      </c>
      <c r="B500">
        <v>45224</v>
      </c>
      <c r="C500">
        <v>45227</v>
      </c>
      <c r="D500" t="s">
        <v>1484</v>
      </c>
      <c r="E500" t="s">
        <v>1387</v>
      </c>
      <c r="F500">
        <v>3</v>
      </c>
      <c r="G500">
        <v>1</v>
      </c>
      <c r="H500" t="s">
        <v>52</v>
      </c>
      <c r="I500" t="s">
        <v>73</v>
      </c>
      <c r="J500" t="s">
        <v>87</v>
      </c>
      <c r="K500" t="s">
        <v>19</v>
      </c>
      <c r="L500" t="s">
        <v>55</v>
      </c>
      <c r="M500" t="s">
        <v>49</v>
      </c>
      <c r="N500" t="s">
        <v>81</v>
      </c>
      <c r="O500" t="s">
        <v>1098</v>
      </c>
      <c r="P500">
        <v>509.31</v>
      </c>
      <c r="Q500">
        <v>1145.9000000000001</v>
      </c>
      <c r="R500">
        <v>5.7000000000000002E-2</v>
      </c>
      <c r="S500">
        <v>0</v>
      </c>
      <c r="T500">
        <v>8</v>
      </c>
      <c r="U500" t="s">
        <v>1485</v>
      </c>
      <c r="V500">
        <v>8644.6696000000011</v>
      </c>
      <c r="W500">
        <v>4074.48</v>
      </c>
      <c r="X500">
        <v>4570.1896000000015</v>
      </c>
      <c r="Y500">
        <v>0.52867140231709964</v>
      </c>
    </row>
    <row r="501" spans="1:25" x14ac:dyDescent="0.3">
      <c r="A501" t="s">
        <v>1099</v>
      </c>
      <c r="B501">
        <v>45908</v>
      </c>
      <c r="C501">
        <v>45935</v>
      </c>
      <c r="D501" t="s">
        <v>1488</v>
      </c>
      <c r="E501" t="s">
        <v>1489</v>
      </c>
      <c r="F501">
        <v>27</v>
      </c>
      <c r="G501">
        <v>0</v>
      </c>
      <c r="H501" t="s">
        <v>52</v>
      </c>
      <c r="I501" t="s">
        <v>73</v>
      </c>
      <c r="J501" t="s">
        <v>225</v>
      </c>
      <c r="K501" t="s">
        <v>27</v>
      </c>
      <c r="L501" t="s">
        <v>28</v>
      </c>
      <c r="M501" t="s">
        <v>21</v>
      </c>
      <c r="N501" t="s">
        <v>64</v>
      </c>
      <c r="O501" t="s">
        <v>1100</v>
      </c>
      <c r="P501">
        <v>660.78</v>
      </c>
      <c r="Q501">
        <v>1630.39</v>
      </c>
      <c r="R501">
        <v>0.218</v>
      </c>
      <c r="S501">
        <v>1</v>
      </c>
      <c r="T501">
        <v>13</v>
      </c>
      <c r="U501" t="s">
        <v>1485</v>
      </c>
      <c r="V501">
        <v>16574.544740000001</v>
      </c>
      <c r="W501">
        <v>8590.14</v>
      </c>
      <c r="X501">
        <v>7984.4047400000018</v>
      </c>
      <c r="Y501">
        <v>0.48172694123724097</v>
      </c>
    </row>
    <row r="502" spans="1:25" x14ac:dyDescent="0.3">
      <c r="A502" t="s">
        <v>1101</v>
      </c>
      <c r="B502">
        <v>45048</v>
      </c>
      <c r="C502">
        <v>45062</v>
      </c>
      <c r="D502" t="s">
        <v>1490</v>
      </c>
      <c r="E502" t="s">
        <v>1382</v>
      </c>
      <c r="F502">
        <v>14</v>
      </c>
      <c r="G502">
        <v>0</v>
      </c>
      <c r="H502" t="s">
        <v>45</v>
      </c>
      <c r="I502" t="s">
        <v>60</v>
      </c>
      <c r="J502" t="s">
        <v>61</v>
      </c>
      <c r="K502" t="s">
        <v>39</v>
      </c>
      <c r="L502" t="s">
        <v>20</v>
      </c>
      <c r="M502" t="s">
        <v>49</v>
      </c>
      <c r="N502" t="s">
        <v>64</v>
      </c>
      <c r="O502" t="s">
        <v>1102</v>
      </c>
      <c r="P502">
        <v>475.37</v>
      </c>
      <c r="Q502">
        <v>963.73</v>
      </c>
      <c r="R502">
        <v>4.1000000000000002E-2</v>
      </c>
      <c r="S502">
        <v>0</v>
      </c>
      <c r="T502">
        <v>22</v>
      </c>
      <c r="U502" t="s">
        <v>1485</v>
      </c>
      <c r="V502">
        <v>20332.775539999999</v>
      </c>
      <c r="W502">
        <v>10458.14</v>
      </c>
      <c r="X502">
        <v>9874.6355399999993</v>
      </c>
      <c r="Y502">
        <v>0.48565113604750881</v>
      </c>
    </row>
    <row r="503" spans="1:25" x14ac:dyDescent="0.3">
      <c r="A503" t="s">
        <v>1103</v>
      </c>
      <c r="B503">
        <v>45408</v>
      </c>
      <c r="C503">
        <v>45415</v>
      </c>
      <c r="D503" t="s">
        <v>1486</v>
      </c>
      <c r="E503" t="s">
        <v>1393</v>
      </c>
      <c r="F503">
        <v>7</v>
      </c>
      <c r="G503">
        <v>1</v>
      </c>
      <c r="H503" t="s">
        <v>78</v>
      </c>
      <c r="I503" t="s">
        <v>108</v>
      </c>
      <c r="J503" t="s">
        <v>152</v>
      </c>
      <c r="K503" t="s">
        <v>39</v>
      </c>
      <c r="L503" t="s">
        <v>55</v>
      </c>
      <c r="M503" t="s">
        <v>126</v>
      </c>
      <c r="N503" t="s">
        <v>42</v>
      </c>
      <c r="O503" t="s">
        <v>1104</v>
      </c>
      <c r="P503">
        <v>1232.77</v>
      </c>
      <c r="Q503">
        <v>891.73</v>
      </c>
      <c r="R503">
        <v>0.16700000000000001</v>
      </c>
      <c r="S503">
        <v>0</v>
      </c>
      <c r="T503">
        <v>10</v>
      </c>
      <c r="U503" t="s">
        <v>1480</v>
      </c>
      <c r="V503">
        <v>7428.1108999999988</v>
      </c>
      <c r="W503">
        <v>12327.7</v>
      </c>
      <c r="X503">
        <v>-4899.589100000002</v>
      </c>
      <c r="Y503">
        <v>-0.65960096260813805</v>
      </c>
    </row>
    <row r="504" spans="1:25" x14ac:dyDescent="0.3">
      <c r="A504" t="s">
        <v>1105</v>
      </c>
      <c r="B504">
        <v>44980</v>
      </c>
      <c r="C504">
        <v>45003</v>
      </c>
      <c r="D504" t="s">
        <v>1482</v>
      </c>
      <c r="E504" t="s">
        <v>1379</v>
      </c>
      <c r="F504">
        <v>23</v>
      </c>
      <c r="G504">
        <v>0</v>
      </c>
      <c r="H504" t="s">
        <v>45</v>
      </c>
      <c r="I504" t="s">
        <v>116</v>
      </c>
      <c r="J504" t="s">
        <v>338</v>
      </c>
      <c r="K504" t="s">
        <v>27</v>
      </c>
      <c r="L504" t="s">
        <v>55</v>
      </c>
      <c r="M504" t="s">
        <v>95</v>
      </c>
      <c r="N504" t="s">
        <v>30</v>
      </c>
      <c r="O504" t="s">
        <v>1106</v>
      </c>
      <c r="P504">
        <v>770.11</v>
      </c>
      <c r="Q504">
        <v>1667.82</v>
      </c>
      <c r="R504">
        <v>6.9000000000000006E-2</v>
      </c>
      <c r="S504">
        <v>0</v>
      </c>
      <c r="T504">
        <v>7</v>
      </c>
      <c r="U504" t="s">
        <v>1474</v>
      </c>
      <c r="V504">
        <v>10869.182940000001</v>
      </c>
      <c r="W504">
        <v>5390.77</v>
      </c>
      <c r="X504">
        <v>5478.4129400000002</v>
      </c>
      <c r="Y504">
        <v>0.50403171703355287</v>
      </c>
    </row>
    <row r="505" spans="1:25" x14ac:dyDescent="0.3">
      <c r="A505" t="s">
        <v>1107</v>
      </c>
      <c r="B505">
        <v>45740</v>
      </c>
      <c r="C505">
        <v>45741</v>
      </c>
      <c r="D505" t="s">
        <v>1483</v>
      </c>
      <c r="E505" t="s">
        <v>1404</v>
      </c>
      <c r="F505">
        <v>1</v>
      </c>
      <c r="G505">
        <v>1</v>
      </c>
      <c r="H505" t="s">
        <v>45</v>
      </c>
      <c r="I505" t="s">
        <v>116</v>
      </c>
      <c r="J505" t="s">
        <v>338</v>
      </c>
      <c r="K505" t="s">
        <v>39</v>
      </c>
      <c r="L505" t="s">
        <v>28</v>
      </c>
      <c r="M505" t="s">
        <v>41</v>
      </c>
      <c r="N505" t="s">
        <v>35</v>
      </c>
      <c r="O505" t="s">
        <v>1108</v>
      </c>
      <c r="P505">
        <v>1133.03</v>
      </c>
      <c r="Q505">
        <v>1921.51</v>
      </c>
      <c r="R505">
        <v>0.10100000000000001</v>
      </c>
      <c r="S505">
        <v>0</v>
      </c>
      <c r="T505">
        <v>5</v>
      </c>
      <c r="U505" t="s">
        <v>1474</v>
      </c>
      <c r="V505">
        <v>8637.1874499999994</v>
      </c>
      <c r="W505">
        <v>5665.15</v>
      </c>
      <c r="X505">
        <v>2972.0374499999998</v>
      </c>
      <c r="Y505">
        <v>0.3440978289755654</v>
      </c>
    </row>
    <row r="506" spans="1:25" x14ac:dyDescent="0.3">
      <c r="A506" t="s">
        <v>1109</v>
      </c>
      <c r="B506">
        <v>45726</v>
      </c>
      <c r="C506">
        <v>45743</v>
      </c>
      <c r="D506" t="s">
        <v>1483</v>
      </c>
      <c r="E506" t="s">
        <v>1404</v>
      </c>
      <c r="F506">
        <v>17</v>
      </c>
      <c r="G506">
        <v>0</v>
      </c>
      <c r="H506" t="s">
        <v>52</v>
      </c>
      <c r="I506" t="s">
        <v>73</v>
      </c>
      <c r="J506" t="s">
        <v>225</v>
      </c>
      <c r="K506" t="s">
        <v>105</v>
      </c>
      <c r="L506" t="s">
        <v>98</v>
      </c>
      <c r="M506" t="s">
        <v>84</v>
      </c>
      <c r="N506" t="s">
        <v>35</v>
      </c>
      <c r="O506" t="s">
        <v>1110</v>
      </c>
      <c r="P506">
        <v>996.73</v>
      </c>
      <c r="Q506">
        <v>1217.43</v>
      </c>
      <c r="R506">
        <v>7.0000000000000007E-2</v>
      </c>
      <c r="S506">
        <v>0</v>
      </c>
      <c r="T506">
        <v>9</v>
      </c>
      <c r="U506" t="s">
        <v>1485</v>
      </c>
      <c r="V506">
        <v>10189.8891</v>
      </c>
      <c r="W506">
        <v>8970.57</v>
      </c>
      <c r="X506">
        <v>1219.3191000000006</v>
      </c>
      <c r="Y506">
        <v>0.11965970267527255</v>
      </c>
    </row>
    <row r="507" spans="1:25" x14ac:dyDescent="0.3">
      <c r="A507" t="s">
        <v>1111</v>
      </c>
      <c r="B507">
        <v>45387</v>
      </c>
      <c r="C507">
        <v>45391</v>
      </c>
      <c r="D507" t="s">
        <v>1486</v>
      </c>
      <c r="E507" t="s">
        <v>1393</v>
      </c>
      <c r="F507">
        <v>4</v>
      </c>
      <c r="G507">
        <v>1</v>
      </c>
      <c r="H507" t="s">
        <v>16</v>
      </c>
      <c r="I507" t="s">
        <v>25</v>
      </c>
      <c r="J507" t="s">
        <v>38</v>
      </c>
      <c r="K507" t="s">
        <v>39</v>
      </c>
      <c r="L507" t="s">
        <v>98</v>
      </c>
      <c r="M507" t="s">
        <v>95</v>
      </c>
      <c r="N507" t="s">
        <v>22</v>
      </c>
      <c r="O507" t="s">
        <v>1112</v>
      </c>
      <c r="P507">
        <v>395.07</v>
      </c>
      <c r="Q507">
        <v>970.27</v>
      </c>
      <c r="R507">
        <v>0.123</v>
      </c>
      <c r="S507">
        <v>0</v>
      </c>
      <c r="T507">
        <v>38</v>
      </c>
      <c r="U507" t="s">
        <v>1485</v>
      </c>
      <c r="V507">
        <v>32335.21802</v>
      </c>
      <c r="W507">
        <v>15012.66</v>
      </c>
      <c r="X507">
        <v>17322.55802</v>
      </c>
      <c r="Y507">
        <v>0.53571799049833657</v>
      </c>
    </row>
    <row r="508" spans="1:25" x14ac:dyDescent="0.3">
      <c r="A508" t="s">
        <v>1113</v>
      </c>
      <c r="B508">
        <v>45774</v>
      </c>
      <c r="C508">
        <v>45794</v>
      </c>
      <c r="D508" t="s">
        <v>1487</v>
      </c>
      <c r="E508" t="s">
        <v>1405</v>
      </c>
      <c r="F508">
        <v>20</v>
      </c>
      <c r="G508">
        <v>0</v>
      </c>
      <c r="H508" t="s">
        <v>52</v>
      </c>
      <c r="I508" t="s">
        <v>122</v>
      </c>
      <c r="J508" t="s">
        <v>326</v>
      </c>
      <c r="K508" t="s">
        <v>19</v>
      </c>
      <c r="L508" t="s">
        <v>98</v>
      </c>
      <c r="M508" t="s">
        <v>126</v>
      </c>
      <c r="N508" t="s">
        <v>42</v>
      </c>
      <c r="O508" t="s">
        <v>1114</v>
      </c>
      <c r="P508">
        <v>932.26</v>
      </c>
      <c r="Q508">
        <v>1624.67</v>
      </c>
      <c r="R508">
        <v>0.23499999999999999</v>
      </c>
      <c r="S508">
        <v>1</v>
      </c>
      <c r="T508">
        <v>28</v>
      </c>
      <c r="U508" t="s">
        <v>1485</v>
      </c>
      <c r="V508">
        <v>34800.431400000001</v>
      </c>
      <c r="W508">
        <v>26103.279999999999</v>
      </c>
      <c r="X508">
        <v>8697.1514000000025</v>
      </c>
      <c r="Y508">
        <v>0.24991504559337163</v>
      </c>
    </row>
    <row r="509" spans="1:25" x14ac:dyDescent="0.3">
      <c r="A509" t="s">
        <v>1115</v>
      </c>
      <c r="B509">
        <v>45589</v>
      </c>
      <c r="C509">
        <v>45593</v>
      </c>
      <c r="D509" t="s">
        <v>1481</v>
      </c>
      <c r="E509" t="s">
        <v>1399</v>
      </c>
      <c r="F509">
        <v>4</v>
      </c>
      <c r="G509">
        <v>1</v>
      </c>
      <c r="H509" t="s">
        <v>45</v>
      </c>
      <c r="I509" t="s">
        <v>116</v>
      </c>
      <c r="J509" t="s">
        <v>162</v>
      </c>
      <c r="K509" t="s">
        <v>62</v>
      </c>
      <c r="L509" t="s">
        <v>55</v>
      </c>
      <c r="M509" t="s">
        <v>34</v>
      </c>
      <c r="N509" t="s">
        <v>35</v>
      </c>
      <c r="O509" t="s">
        <v>1116</v>
      </c>
      <c r="P509">
        <v>1331.77</v>
      </c>
      <c r="Q509">
        <v>2606.11</v>
      </c>
      <c r="R509">
        <v>0.02</v>
      </c>
      <c r="S509">
        <v>0</v>
      </c>
      <c r="T509">
        <v>6</v>
      </c>
      <c r="U509" t="s">
        <v>1474</v>
      </c>
      <c r="V509">
        <v>15323.926799999999</v>
      </c>
      <c r="W509">
        <v>7990.62</v>
      </c>
      <c r="X509">
        <v>7333.3067999999994</v>
      </c>
      <c r="Y509">
        <v>0.47855271665745619</v>
      </c>
    </row>
    <row r="510" spans="1:25" x14ac:dyDescent="0.3">
      <c r="A510" t="s">
        <v>1117</v>
      </c>
      <c r="B510">
        <v>45029</v>
      </c>
      <c r="C510">
        <v>45036</v>
      </c>
      <c r="D510" t="s">
        <v>1490</v>
      </c>
      <c r="E510" t="s">
        <v>1381</v>
      </c>
      <c r="F510">
        <v>7</v>
      </c>
      <c r="G510">
        <v>1</v>
      </c>
      <c r="H510" t="s">
        <v>78</v>
      </c>
      <c r="I510" t="s">
        <v>90</v>
      </c>
      <c r="J510" t="s">
        <v>138</v>
      </c>
      <c r="K510" t="s">
        <v>62</v>
      </c>
      <c r="L510" t="s">
        <v>28</v>
      </c>
      <c r="M510" t="s">
        <v>75</v>
      </c>
      <c r="N510" t="s">
        <v>57</v>
      </c>
      <c r="O510" t="s">
        <v>1118</v>
      </c>
      <c r="P510">
        <v>227.02</v>
      </c>
      <c r="Q510">
        <v>434.72</v>
      </c>
      <c r="R510">
        <v>9.8000000000000004E-2</v>
      </c>
      <c r="S510">
        <v>0</v>
      </c>
      <c r="T510">
        <v>10</v>
      </c>
      <c r="U510" t="s">
        <v>1480</v>
      </c>
      <c r="V510">
        <v>3921.1744000000008</v>
      </c>
      <c r="W510">
        <v>2270.2000000000003</v>
      </c>
      <c r="X510">
        <v>1650.9744000000005</v>
      </c>
      <c r="Y510">
        <v>0.42104079838938052</v>
      </c>
    </row>
    <row r="511" spans="1:25" x14ac:dyDescent="0.3">
      <c r="A511" t="s">
        <v>1119</v>
      </c>
      <c r="B511">
        <v>45608</v>
      </c>
      <c r="C511">
        <v>45617</v>
      </c>
      <c r="D511" t="s">
        <v>1481</v>
      </c>
      <c r="E511" t="s">
        <v>1400</v>
      </c>
      <c r="F511">
        <v>9</v>
      </c>
      <c r="G511">
        <v>0</v>
      </c>
      <c r="H511" t="s">
        <v>45</v>
      </c>
      <c r="I511" t="s">
        <v>60</v>
      </c>
      <c r="J511" t="s">
        <v>220</v>
      </c>
      <c r="K511" t="s">
        <v>19</v>
      </c>
      <c r="L511" t="s">
        <v>98</v>
      </c>
      <c r="M511" t="s">
        <v>92</v>
      </c>
      <c r="N511" t="s">
        <v>57</v>
      </c>
      <c r="O511" t="s">
        <v>1120</v>
      </c>
      <c r="P511">
        <v>903.41</v>
      </c>
      <c r="Q511">
        <v>1860.41</v>
      </c>
      <c r="R511">
        <v>0.108</v>
      </c>
      <c r="S511">
        <v>0</v>
      </c>
      <c r="T511">
        <v>5</v>
      </c>
      <c r="U511" t="s">
        <v>1474</v>
      </c>
      <c r="V511">
        <v>8297.4286000000011</v>
      </c>
      <c r="W511">
        <v>4517.05</v>
      </c>
      <c r="X511">
        <v>3780.3786000000009</v>
      </c>
      <c r="Y511">
        <v>0.455608451996803</v>
      </c>
    </row>
    <row r="512" spans="1:25" x14ac:dyDescent="0.3">
      <c r="A512" t="s">
        <v>1121</v>
      </c>
      <c r="B512">
        <v>45056</v>
      </c>
      <c r="C512">
        <v>45060</v>
      </c>
      <c r="D512" t="s">
        <v>1490</v>
      </c>
      <c r="E512" t="s">
        <v>1382</v>
      </c>
      <c r="F512">
        <v>4</v>
      </c>
      <c r="G512">
        <v>1</v>
      </c>
      <c r="H512" t="s">
        <v>45</v>
      </c>
      <c r="I512" t="s">
        <v>60</v>
      </c>
      <c r="J512" t="s">
        <v>141</v>
      </c>
      <c r="K512" t="s">
        <v>39</v>
      </c>
      <c r="L512" t="s">
        <v>55</v>
      </c>
      <c r="M512" t="s">
        <v>21</v>
      </c>
      <c r="N512" t="s">
        <v>64</v>
      </c>
      <c r="O512" t="s">
        <v>1122</v>
      </c>
      <c r="P512">
        <v>622.6</v>
      </c>
      <c r="Q512">
        <v>833.69</v>
      </c>
      <c r="R512">
        <v>0.20899999999999999</v>
      </c>
      <c r="S512">
        <v>1</v>
      </c>
      <c r="T512">
        <v>14</v>
      </c>
      <c r="U512" t="s">
        <v>1480</v>
      </c>
      <c r="V512">
        <v>9232.2830599999998</v>
      </c>
      <c r="W512">
        <v>8716.4</v>
      </c>
      <c r="X512">
        <v>515.88306000000011</v>
      </c>
      <c r="Y512">
        <v>5.5878167582959715E-2</v>
      </c>
    </row>
    <row r="513" spans="1:25" x14ac:dyDescent="0.3">
      <c r="A513" t="s">
        <v>1123</v>
      </c>
      <c r="B513">
        <v>45353</v>
      </c>
      <c r="C513">
        <v>45374</v>
      </c>
      <c r="D513" t="s">
        <v>1479</v>
      </c>
      <c r="E513" t="s">
        <v>1392</v>
      </c>
      <c r="F513">
        <v>21</v>
      </c>
      <c r="G513">
        <v>0</v>
      </c>
      <c r="H513" t="s">
        <v>52</v>
      </c>
      <c r="I513" t="s">
        <v>122</v>
      </c>
      <c r="J513" t="s">
        <v>123</v>
      </c>
      <c r="K513" t="s">
        <v>62</v>
      </c>
      <c r="L513" t="s">
        <v>28</v>
      </c>
      <c r="M513" t="s">
        <v>84</v>
      </c>
      <c r="N513" t="s">
        <v>22</v>
      </c>
      <c r="O513" t="s">
        <v>1124</v>
      </c>
      <c r="P513">
        <v>225.01</v>
      </c>
      <c r="Q513">
        <v>333.48</v>
      </c>
      <c r="R513">
        <v>0.11899999999999999</v>
      </c>
      <c r="S513">
        <v>0</v>
      </c>
      <c r="T513">
        <v>12</v>
      </c>
      <c r="U513" t="s">
        <v>1480</v>
      </c>
      <c r="V513">
        <v>3525.5505600000001</v>
      </c>
      <c r="W513">
        <v>2700.12</v>
      </c>
      <c r="X513">
        <v>825.43056000000024</v>
      </c>
      <c r="Y513">
        <v>0.23412813004729685</v>
      </c>
    </row>
    <row r="514" spans="1:25" x14ac:dyDescent="0.3">
      <c r="A514" t="s">
        <v>1125</v>
      </c>
      <c r="B514">
        <v>45575</v>
      </c>
      <c r="C514">
        <v>45576</v>
      </c>
      <c r="D514" t="s">
        <v>1481</v>
      </c>
      <c r="E514" t="s">
        <v>1399</v>
      </c>
      <c r="F514">
        <v>1</v>
      </c>
      <c r="G514">
        <v>1</v>
      </c>
      <c r="H514" t="s">
        <v>78</v>
      </c>
      <c r="I514" t="s">
        <v>108</v>
      </c>
      <c r="J514" t="s">
        <v>228</v>
      </c>
      <c r="K514" t="s">
        <v>39</v>
      </c>
      <c r="L514" t="s">
        <v>55</v>
      </c>
      <c r="M514" t="s">
        <v>49</v>
      </c>
      <c r="N514" t="s">
        <v>22</v>
      </c>
      <c r="O514" t="s">
        <v>1126</v>
      </c>
      <c r="P514">
        <v>1389.46</v>
      </c>
      <c r="Q514">
        <v>1784.7</v>
      </c>
      <c r="R514">
        <v>0.14599999999999999</v>
      </c>
      <c r="S514">
        <v>0</v>
      </c>
      <c r="T514">
        <v>33</v>
      </c>
      <c r="U514" t="s">
        <v>1474</v>
      </c>
      <c r="V514">
        <v>50296.415399999998</v>
      </c>
      <c r="W514">
        <v>45852.18</v>
      </c>
      <c r="X514">
        <v>4444.2353999999978</v>
      </c>
      <c r="Y514">
        <v>8.8360877503011831E-2</v>
      </c>
    </row>
    <row r="515" spans="1:25" x14ac:dyDescent="0.3">
      <c r="A515" t="s">
        <v>1127</v>
      </c>
      <c r="B515">
        <v>45078</v>
      </c>
      <c r="C515">
        <v>45085</v>
      </c>
      <c r="D515" t="s">
        <v>1490</v>
      </c>
      <c r="E515" t="s">
        <v>1383</v>
      </c>
      <c r="F515">
        <v>7</v>
      </c>
      <c r="G515">
        <v>1</v>
      </c>
      <c r="H515" t="s">
        <v>78</v>
      </c>
      <c r="I515" t="s">
        <v>79</v>
      </c>
      <c r="J515" t="s">
        <v>335</v>
      </c>
      <c r="K515" t="s">
        <v>48</v>
      </c>
      <c r="L515" t="s">
        <v>28</v>
      </c>
      <c r="M515" t="s">
        <v>75</v>
      </c>
      <c r="N515" t="s">
        <v>42</v>
      </c>
      <c r="O515" t="s">
        <v>1128</v>
      </c>
      <c r="P515">
        <v>804.17</v>
      </c>
      <c r="Q515">
        <v>1072.29</v>
      </c>
      <c r="R515">
        <v>3.2000000000000001E-2</v>
      </c>
      <c r="S515">
        <v>0</v>
      </c>
      <c r="T515">
        <v>5</v>
      </c>
      <c r="U515" t="s">
        <v>1485</v>
      </c>
      <c r="V515">
        <v>5189.8836000000001</v>
      </c>
      <c r="W515">
        <v>4020.85</v>
      </c>
      <c r="X515">
        <v>1169.0336000000002</v>
      </c>
      <c r="Y515">
        <v>0.2252523736755869</v>
      </c>
    </row>
    <row r="516" spans="1:25" x14ac:dyDescent="0.3">
      <c r="A516" t="s">
        <v>1129</v>
      </c>
      <c r="B516">
        <v>45661</v>
      </c>
      <c r="C516">
        <v>45662</v>
      </c>
      <c r="D516" t="s">
        <v>1483</v>
      </c>
      <c r="E516" t="s">
        <v>1402</v>
      </c>
      <c r="F516">
        <v>1</v>
      </c>
      <c r="G516">
        <v>1</v>
      </c>
      <c r="H516" t="s">
        <v>45</v>
      </c>
      <c r="I516" t="s">
        <v>60</v>
      </c>
      <c r="J516" t="s">
        <v>141</v>
      </c>
      <c r="K516" t="s">
        <v>27</v>
      </c>
      <c r="L516" t="s">
        <v>20</v>
      </c>
      <c r="M516" t="s">
        <v>34</v>
      </c>
      <c r="N516" t="s">
        <v>22</v>
      </c>
      <c r="O516" t="s">
        <v>1130</v>
      </c>
      <c r="P516">
        <v>1428.33</v>
      </c>
      <c r="Q516">
        <v>3028.05</v>
      </c>
      <c r="R516">
        <v>0</v>
      </c>
      <c r="S516">
        <v>0</v>
      </c>
      <c r="T516">
        <v>11</v>
      </c>
      <c r="U516" t="s">
        <v>1474</v>
      </c>
      <c r="V516">
        <v>33308.550000000003</v>
      </c>
      <c r="W516">
        <v>15711.63</v>
      </c>
      <c r="X516">
        <v>17596.920000000006</v>
      </c>
      <c r="Y516">
        <v>0.52830039134096207</v>
      </c>
    </row>
    <row r="517" spans="1:25" x14ac:dyDescent="0.3">
      <c r="A517" t="s">
        <v>1131</v>
      </c>
      <c r="B517">
        <v>45874</v>
      </c>
      <c r="C517">
        <v>45897</v>
      </c>
      <c r="D517" t="s">
        <v>1488</v>
      </c>
      <c r="E517" t="s">
        <v>1409</v>
      </c>
      <c r="F517">
        <v>23</v>
      </c>
      <c r="G517">
        <v>0</v>
      </c>
      <c r="H517" t="s">
        <v>45</v>
      </c>
      <c r="I517" t="s">
        <v>60</v>
      </c>
      <c r="J517" t="s">
        <v>220</v>
      </c>
      <c r="K517" t="s">
        <v>39</v>
      </c>
      <c r="L517" t="s">
        <v>55</v>
      </c>
      <c r="M517" t="s">
        <v>126</v>
      </c>
      <c r="N517" t="s">
        <v>57</v>
      </c>
      <c r="O517" t="s">
        <v>1132</v>
      </c>
      <c r="P517">
        <v>638.54</v>
      </c>
      <c r="Q517">
        <v>987.24</v>
      </c>
      <c r="R517">
        <v>0</v>
      </c>
      <c r="S517">
        <v>0</v>
      </c>
      <c r="T517">
        <v>11</v>
      </c>
      <c r="U517" t="s">
        <v>1485</v>
      </c>
      <c r="V517">
        <v>10859.64</v>
      </c>
      <c r="W517">
        <v>7023.94</v>
      </c>
      <c r="X517">
        <v>3835.7</v>
      </c>
      <c r="Y517">
        <v>0.35320692030306716</v>
      </c>
    </row>
    <row r="518" spans="1:25" x14ac:dyDescent="0.3">
      <c r="A518" t="s">
        <v>1133</v>
      </c>
      <c r="B518">
        <v>45199</v>
      </c>
      <c r="C518">
        <v>45229</v>
      </c>
      <c r="D518" t="s">
        <v>1492</v>
      </c>
      <c r="E518" t="s">
        <v>1493</v>
      </c>
      <c r="F518">
        <v>30</v>
      </c>
      <c r="G518">
        <v>0</v>
      </c>
      <c r="H518" t="s">
        <v>45</v>
      </c>
      <c r="I518" t="s">
        <v>46</v>
      </c>
      <c r="J518" t="s">
        <v>214</v>
      </c>
      <c r="K518" t="s">
        <v>105</v>
      </c>
      <c r="L518" t="s">
        <v>28</v>
      </c>
      <c r="M518" t="s">
        <v>145</v>
      </c>
      <c r="N518" t="s">
        <v>30</v>
      </c>
      <c r="O518" t="s">
        <v>1134</v>
      </c>
      <c r="P518">
        <v>649.13</v>
      </c>
      <c r="Q518">
        <v>975.43</v>
      </c>
      <c r="R518">
        <v>0.157</v>
      </c>
      <c r="S518">
        <v>0</v>
      </c>
      <c r="T518">
        <v>27</v>
      </c>
      <c r="U518" t="s">
        <v>1485</v>
      </c>
      <c r="V518">
        <v>22201.762229999997</v>
      </c>
      <c r="W518">
        <v>17526.509999999998</v>
      </c>
      <c r="X518">
        <v>4675.2522299999982</v>
      </c>
      <c r="Y518">
        <v>0.21058023149543473</v>
      </c>
    </row>
    <row r="519" spans="1:25" x14ac:dyDescent="0.3">
      <c r="A519" t="s">
        <v>1135</v>
      </c>
      <c r="B519">
        <v>45794</v>
      </c>
      <c r="C519">
        <v>45807</v>
      </c>
      <c r="D519" t="s">
        <v>1487</v>
      </c>
      <c r="E519" t="s">
        <v>1406</v>
      </c>
      <c r="F519">
        <v>13</v>
      </c>
      <c r="G519">
        <v>0</v>
      </c>
      <c r="H519" t="s">
        <v>16</v>
      </c>
      <c r="I519" t="s">
        <v>25</v>
      </c>
      <c r="J519" t="s">
        <v>38</v>
      </c>
      <c r="K519" t="s">
        <v>48</v>
      </c>
      <c r="L519" t="s">
        <v>55</v>
      </c>
      <c r="M519" t="s">
        <v>84</v>
      </c>
      <c r="N519" t="s">
        <v>81</v>
      </c>
      <c r="O519" t="s">
        <v>1136</v>
      </c>
      <c r="P519">
        <v>66.400000000000006</v>
      </c>
      <c r="Q519">
        <v>141.43</v>
      </c>
      <c r="R519">
        <v>0.107</v>
      </c>
      <c r="S519">
        <v>0</v>
      </c>
      <c r="T519">
        <v>8</v>
      </c>
      <c r="U519" t="s">
        <v>1480</v>
      </c>
      <c r="V519">
        <v>1010.3759200000001</v>
      </c>
      <c r="W519">
        <v>531.20000000000005</v>
      </c>
      <c r="X519">
        <v>479.17592000000002</v>
      </c>
      <c r="Y519">
        <v>0.47425508715607551</v>
      </c>
    </row>
    <row r="520" spans="1:25" x14ac:dyDescent="0.3">
      <c r="A520" t="s">
        <v>1137</v>
      </c>
      <c r="B520">
        <v>45413</v>
      </c>
      <c r="C520">
        <v>45438</v>
      </c>
      <c r="D520" t="s">
        <v>1486</v>
      </c>
      <c r="E520" t="s">
        <v>1394</v>
      </c>
      <c r="F520">
        <v>25</v>
      </c>
      <c r="G520">
        <v>0</v>
      </c>
      <c r="H520" t="s">
        <v>78</v>
      </c>
      <c r="I520" t="s">
        <v>79</v>
      </c>
      <c r="J520" t="s">
        <v>80</v>
      </c>
      <c r="K520" t="s">
        <v>39</v>
      </c>
      <c r="L520" t="s">
        <v>20</v>
      </c>
      <c r="M520" t="s">
        <v>56</v>
      </c>
      <c r="N520" t="s">
        <v>35</v>
      </c>
      <c r="O520" t="s">
        <v>1138</v>
      </c>
      <c r="P520">
        <v>930.71</v>
      </c>
      <c r="Q520">
        <v>1625.42</v>
      </c>
      <c r="R520">
        <v>0.13800000000000001</v>
      </c>
      <c r="S520">
        <v>0</v>
      </c>
      <c r="T520">
        <v>7</v>
      </c>
      <c r="U520" t="s">
        <v>1485</v>
      </c>
      <c r="V520">
        <v>9807.7842799999999</v>
      </c>
      <c r="W520">
        <v>6514.97</v>
      </c>
      <c r="X520">
        <v>3292.8142799999996</v>
      </c>
      <c r="Y520">
        <v>0.33573477821231196</v>
      </c>
    </row>
    <row r="521" spans="1:25" x14ac:dyDescent="0.3">
      <c r="A521" t="s">
        <v>1139</v>
      </c>
      <c r="B521">
        <v>45047</v>
      </c>
      <c r="C521">
        <v>45064</v>
      </c>
      <c r="D521" t="s">
        <v>1490</v>
      </c>
      <c r="E521" t="s">
        <v>1382</v>
      </c>
      <c r="F521">
        <v>17</v>
      </c>
      <c r="G521">
        <v>0</v>
      </c>
      <c r="H521" t="s">
        <v>16</v>
      </c>
      <c r="I521" t="s">
        <v>25</v>
      </c>
      <c r="J521" t="s">
        <v>26</v>
      </c>
      <c r="K521" t="s">
        <v>19</v>
      </c>
      <c r="L521" t="s">
        <v>98</v>
      </c>
      <c r="M521" t="s">
        <v>84</v>
      </c>
      <c r="N521" t="s">
        <v>22</v>
      </c>
      <c r="O521" t="s">
        <v>1140</v>
      </c>
      <c r="P521">
        <v>327.97</v>
      </c>
      <c r="Q521">
        <v>299.94</v>
      </c>
      <c r="R521">
        <v>4.9000000000000002E-2</v>
      </c>
      <c r="S521">
        <v>0</v>
      </c>
      <c r="T521">
        <v>3</v>
      </c>
      <c r="U521" t="s">
        <v>1480</v>
      </c>
      <c r="V521">
        <v>855.72881999999993</v>
      </c>
      <c r="W521">
        <v>983.91000000000008</v>
      </c>
      <c r="X521">
        <v>-128.18118000000015</v>
      </c>
      <c r="Y521">
        <v>-0.14979182306843442</v>
      </c>
    </row>
    <row r="522" spans="1:25" x14ac:dyDescent="0.3">
      <c r="A522" t="s">
        <v>1141</v>
      </c>
      <c r="B522">
        <v>45482</v>
      </c>
      <c r="C522">
        <v>45512</v>
      </c>
      <c r="D522" t="s">
        <v>1491</v>
      </c>
      <c r="E522" t="s">
        <v>1396</v>
      </c>
      <c r="F522">
        <v>30</v>
      </c>
      <c r="G522">
        <v>0</v>
      </c>
      <c r="H522" t="s">
        <v>78</v>
      </c>
      <c r="I522" t="s">
        <v>90</v>
      </c>
      <c r="J522" t="s">
        <v>91</v>
      </c>
      <c r="K522" t="s">
        <v>19</v>
      </c>
      <c r="L522" t="s">
        <v>98</v>
      </c>
      <c r="M522" t="s">
        <v>29</v>
      </c>
      <c r="N522" t="s">
        <v>22</v>
      </c>
      <c r="O522" t="s">
        <v>1142</v>
      </c>
      <c r="P522">
        <v>1062.3800000000001</v>
      </c>
      <c r="Q522">
        <v>1503.96</v>
      </c>
      <c r="R522">
        <v>0.18</v>
      </c>
      <c r="S522">
        <v>0</v>
      </c>
      <c r="T522">
        <v>6</v>
      </c>
      <c r="U522" t="s">
        <v>1485</v>
      </c>
      <c r="V522">
        <v>7399.4832000000006</v>
      </c>
      <c r="W522">
        <v>6374.2800000000007</v>
      </c>
      <c r="X522">
        <v>1025.2031999999999</v>
      </c>
      <c r="Y522">
        <v>0.13855064905073369</v>
      </c>
    </row>
    <row r="523" spans="1:25" x14ac:dyDescent="0.3">
      <c r="A523" t="s">
        <v>1143</v>
      </c>
      <c r="B523">
        <v>45056</v>
      </c>
      <c r="C523">
        <v>45073</v>
      </c>
      <c r="D523" t="s">
        <v>1490</v>
      </c>
      <c r="E523" t="s">
        <v>1382</v>
      </c>
      <c r="F523">
        <v>17</v>
      </c>
      <c r="G523">
        <v>0</v>
      </c>
      <c r="H523" t="s">
        <v>45</v>
      </c>
      <c r="I523" t="s">
        <v>60</v>
      </c>
      <c r="J523" t="s">
        <v>220</v>
      </c>
      <c r="K523" t="s">
        <v>48</v>
      </c>
      <c r="L523" t="s">
        <v>20</v>
      </c>
      <c r="M523" t="s">
        <v>110</v>
      </c>
      <c r="N523" t="s">
        <v>57</v>
      </c>
      <c r="O523" t="s">
        <v>1144</v>
      </c>
      <c r="P523">
        <v>1286.1600000000001</v>
      </c>
      <c r="Q523">
        <v>3101.11</v>
      </c>
      <c r="R523">
        <v>0.1</v>
      </c>
      <c r="S523">
        <v>0</v>
      </c>
      <c r="T523">
        <v>23</v>
      </c>
      <c r="U523" t="s">
        <v>1474</v>
      </c>
      <c r="V523">
        <v>64192.976999999999</v>
      </c>
      <c r="W523">
        <v>29581.68</v>
      </c>
      <c r="X523">
        <v>34611.296999999999</v>
      </c>
      <c r="Y523">
        <v>0.53917575749758417</v>
      </c>
    </row>
    <row r="524" spans="1:25" x14ac:dyDescent="0.3">
      <c r="A524" t="s">
        <v>1145</v>
      </c>
      <c r="B524">
        <v>45482</v>
      </c>
      <c r="C524">
        <v>45485</v>
      </c>
      <c r="D524" t="s">
        <v>1491</v>
      </c>
      <c r="E524" t="s">
        <v>1396</v>
      </c>
      <c r="F524">
        <v>3</v>
      </c>
      <c r="G524">
        <v>1</v>
      </c>
      <c r="H524" t="s">
        <v>45</v>
      </c>
      <c r="I524" t="s">
        <v>116</v>
      </c>
      <c r="J524" t="s">
        <v>162</v>
      </c>
      <c r="K524" t="s">
        <v>62</v>
      </c>
      <c r="L524" t="s">
        <v>20</v>
      </c>
      <c r="M524" t="s">
        <v>145</v>
      </c>
      <c r="N524" t="s">
        <v>81</v>
      </c>
      <c r="O524" t="s">
        <v>1146</v>
      </c>
      <c r="P524">
        <v>748.39</v>
      </c>
      <c r="Q524">
        <v>979.42</v>
      </c>
      <c r="R524">
        <v>0</v>
      </c>
      <c r="S524">
        <v>0</v>
      </c>
      <c r="T524">
        <v>23</v>
      </c>
      <c r="U524" t="s">
        <v>1485</v>
      </c>
      <c r="V524">
        <v>22526.66</v>
      </c>
      <c r="W524">
        <v>17212.97</v>
      </c>
      <c r="X524">
        <v>5313.6899999999987</v>
      </c>
      <c r="Y524">
        <v>0.23588450307324738</v>
      </c>
    </row>
    <row r="525" spans="1:25" x14ac:dyDescent="0.3">
      <c r="A525" t="s">
        <v>1147</v>
      </c>
      <c r="B525">
        <v>45406</v>
      </c>
      <c r="C525">
        <v>45422</v>
      </c>
      <c r="D525" t="s">
        <v>1486</v>
      </c>
      <c r="E525" t="s">
        <v>1393</v>
      </c>
      <c r="F525">
        <v>16</v>
      </c>
      <c r="G525">
        <v>0</v>
      </c>
      <c r="H525" t="s">
        <v>16</v>
      </c>
      <c r="I525" t="s">
        <v>17</v>
      </c>
      <c r="J525" t="s">
        <v>18</v>
      </c>
      <c r="K525" t="s">
        <v>39</v>
      </c>
      <c r="L525" t="s">
        <v>28</v>
      </c>
      <c r="M525" t="s">
        <v>126</v>
      </c>
      <c r="N525" t="s">
        <v>64</v>
      </c>
      <c r="O525" t="s">
        <v>1148</v>
      </c>
      <c r="P525">
        <v>513.30999999999995</v>
      </c>
      <c r="Q525">
        <v>1186.26</v>
      </c>
      <c r="R525">
        <v>9.4E-2</v>
      </c>
      <c r="S525">
        <v>0</v>
      </c>
      <c r="T525">
        <v>15</v>
      </c>
      <c r="U525" t="s">
        <v>1485</v>
      </c>
      <c r="V525">
        <v>16121.273400000002</v>
      </c>
      <c r="W525">
        <v>7699.65</v>
      </c>
      <c r="X525">
        <v>8421.6234000000022</v>
      </c>
      <c r="Y525">
        <v>0.52239194702820446</v>
      </c>
    </row>
    <row r="526" spans="1:25" x14ac:dyDescent="0.3">
      <c r="A526" t="s">
        <v>1149</v>
      </c>
      <c r="B526">
        <v>45304</v>
      </c>
      <c r="C526">
        <v>45306</v>
      </c>
      <c r="D526" t="s">
        <v>1479</v>
      </c>
      <c r="E526" t="s">
        <v>1390</v>
      </c>
      <c r="F526">
        <v>2</v>
      </c>
      <c r="G526">
        <v>1</v>
      </c>
      <c r="H526" t="s">
        <v>52</v>
      </c>
      <c r="I526" t="s">
        <v>122</v>
      </c>
      <c r="J526" t="s">
        <v>167</v>
      </c>
      <c r="K526" t="s">
        <v>39</v>
      </c>
      <c r="L526" t="s">
        <v>98</v>
      </c>
      <c r="M526" t="s">
        <v>63</v>
      </c>
      <c r="N526" t="s">
        <v>22</v>
      </c>
      <c r="O526" t="s">
        <v>1150</v>
      </c>
      <c r="P526">
        <v>1061.3699999999999</v>
      </c>
      <c r="Q526">
        <v>1938.33</v>
      </c>
      <c r="R526">
        <v>0.17</v>
      </c>
      <c r="S526">
        <v>0</v>
      </c>
      <c r="T526">
        <v>4</v>
      </c>
      <c r="U526" t="s">
        <v>1474</v>
      </c>
      <c r="V526">
        <v>6435.2555999999995</v>
      </c>
      <c r="W526">
        <v>4245.4799999999996</v>
      </c>
      <c r="X526">
        <v>2189.7755999999999</v>
      </c>
      <c r="Y526">
        <v>0.34027795259600879</v>
      </c>
    </row>
    <row r="527" spans="1:25" x14ac:dyDescent="0.3">
      <c r="A527" t="s">
        <v>1151</v>
      </c>
      <c r="B527">
        <v>45398</v>
      </c>
      <c r="C527">
        <v>45409</v>
      </c>
      <c r="D527" t="s">
        <v>1486</v>
      </c>
      <c r="E527" t="s">
        <v>1393</v>
      </c>
      <c r="F527">
        <v>11</v>
      </c>
      <c r="G527">
        <v>0</v>
      </c>
      <c r="H527" t="s">
        <v>16</v>
      </c>
      <c r="I527" t="s">
        <v>17</v>
      </c>
      <c r="J527" t="s">
        <v>135</v>
      </c>
      <c r="K527" t="s">
        <v>105</v>
      </c>
      <c r="L527" t="s">
        <v>28</v>
      </c>
      <c r="M527" t="s">
        <v>145</v>
      </c>
      <c r="N527" t="s">
        <v>30</v>
      </c>
      <c r="O527" t="s">
        <v>1152</v>
      </c>
      <c r="P527">
        <v>401.3</v>
      </c>
      <c r="Q527">
        <v>826.47</v>
      </c>
      <c r="R527">
        <v>0.22500000000000001</v>
      </c>
      <c r="S527">
        <v>1</v>
      </c>
      <c r="T527">
        <v>13</v>
      </c>
      <c r="U527" t="s">
        <v>1480</v>
      </c>
      <c r="V527">
        <v>8326.6852500000005</v>
      </c>
      <c r="W527">
        <v>5216.9000000000005</v>
      </c>
      <c r="X527">
        <v>3109.7852499999999</v>
      </c>
      <c r="Y527">
        <v>0.37347217489696755</v>
      </c>
    </row>
    <row r="528" spans="1:25" x14ac:dyDescent="0.3">
      <c r="A528" t="s">
        <v>1153</v>
      </c>
      <c r="B528">
        <v>45695</v>
      </c>
      <c r="C528">
        <v>45704</v>
      </c>
      <c r="D528" t="s">
        <v>1483</v>
      </c>
      <c r="E528" t="s">
        <v>1403</v>
      </c>
      <c r="F528">
        <v>9</v>
      </c>
      <c r="G528">
        <v>0</v>
      </c>
      <c r="H528" t="s">
        <v>16</v>
      </c>
      <c r="I528" t="s">
        <v>25</v>
      </c>
      <c r="J528" t="s">
        <v>38</v>
      </c>
      <c r="K528" t="s">
        <v>62</v>
      </c>
      <c r="L528" t="s">
        <v>55</v>
      </c>
      <c r="M528" t="s">
        <v>21</v>
      </c>
      <c r="N528" t="s">
        <v>30</v>
      </c>
      <c r="O528" t="s">
        <v>1154</v>
      </c>
      <c r="P528">
        <v>90.68</v>
      </c>
      <c r="Q528">
        <v>118.17</v>
      </c>
      <c r="R528">
        <v>0.13500000000000001</v>
      </c>
      <c r="S528">
        <v>0</v>
      </c>
      <c r="T528">
        <v>21</v>
      </c>
      <c r="U528" t="s">
        <v>1480</v>
      </c>
      <c r="V528">
        <v>2146.5580500000001</v>
      </c>
      <c r="W528">
        <v>1904.2800000000002</v>
      </c>
      <c r="X528">
        <v>242.27804999999989</v>
      </c>
      <c r="Y528">
        <v>0.11286815653552899</v>
      </c>
    </row>
    <row r="529" spans="1:25" x14ac:dyDescent="0.3">
      <c r="A529" t="s">
        <v>1155</v>
      </c>
      <c r="B529">
        <v>44938</v>
      </c>
      <c r="C529">
        <v>44952</v>
      </c>
      <c r="D529" t="s">
        <v>1482</v>
      </c>
      <c r="E529" t="s">
        <v>1378</v>
      </c>
      <c r="F529">
        <v>14</v>
      </c>
      <c r="G529">
        <v>0</v>
      </c>
      <c r="H529" t="s">
        <v>45</v>
      </c>
      <c r="I529" t="s">
        <v>116</v>
      </c>
      <c r="J529" t="s">
        <v>117</v>
      </c>
      <c r="K529" t="s">
        <v>39</v>
      </c>
      <c r="L529" t="s">
        <v>20</v>
      </c>
      <c r="M529" t="s">
        <v>110</v>
      </c>
      <c r="N529" t="s">
        <v>30</v>
      </c>
      <c r="O529" t="s">
        <v>1156</v>
      </c>
      <c r="P529">
        <v>1083.0899999999999</v>
      </c>
      <c r="Q529">
        <v>1425.87</v>
      </c>
      <c r="R529">
        <v>0</v>
      </c>
      <c r="S529">
        <v>0</v>
      </c>
      <c r="T529">
        <v>8</v>
      </c>
      <c r="U529" t="s">
        <v>1485</v>
      </c>
      <c r="V529">
        <v>11406.96</v>
      </c>
      <c r="W529">
        <v>8664.7199999999993</v>
      </c>
      <c r="X529">
        <v>2742.24</v>
      </c>
      <c r="Y529">
        <v>0.24040059752992909</v>
      </c>
    </row>
    <row r="530" spans="1:25" x14ac:dyDescent="0.3">
      <c r="A530" t="s">
        <v>1157</v>
      </c>
      <c r="B530">
        <v>45448</v>
      </c>
      <c r="C530">
        <v>45466</v>
      </c>
      <c r="D530" t="s">
        <v>1486</v>
      </c>
      <c r="E530" t="s">
        <v>1395</v>
      </c>
      <c r="F530">
        <v>18</v>
      </c>
      <c r="G530">
        <v>0</v>
      </c>
      <c r="H530" t="s">
        <v>16</v>
      </c>
      <c r="I530" t="s">
        <v>17</v>
      </c>
      <c r="J530" t="s">
        <v>33</v>
      </c>
      <c r="K530" t="s">
        <v>48</v>
      </c>
      <c r="L530" t="s">
        <v>55</v>
      </c>
      <c r="M530" t="s">
        <v>145</v>
      </c>
      <c r="N530" t="s">
        <v>57</v>
      </c>
      <c r="O530" t="s">
        <v>1158</v>
      </c>
      <c r="P530">
        <v>1208.74</v>
      </c>
      <c r="Q530">
        <v>1594.78</v>
      </c>
      <c r="R530">
        <v>5.8999999999999997E-2</v>
      </c>
      <c r="S530">
        <v>0</v>
      </c>
      <c r="T530">
        <v>39</v>
      </c>
      <c r="U530" t="s">
        <v>1485</v>
      </c>
      <c r="V530">
        <v>58526.83122</v>
      </c>
      <c r="W530">
        <v>47140.86</v>
      </c>
      <c r="X530">
        <v>11385.971219999999</v>
      </c>
      <c r="Y530">
        <v>0.1945427589817838</v>
      </c>
    </row>
    <row r="531" spans="1:25" x14ac:dyDescent="0.3">
      <c r="A531" t="s">
        <v>1159</v>
      </c>
      <c r="B531">
        <v>45162</v>
      </c>
      <c r="C531">
        <v>45189</v>
      </c>
      <c r="D531" t="s">
        <v>1492</v>
      </c>
      <c r="E531" t="s">
        <v>1385</v>
      </c>
      <c r="F531">
        <v>27</v>
      </c>
      <c r="G531">
        <v>0</v>
      </c>
      <c r="H531" t="s">
        <v>16</v>
      </c>
      <c r="I531" t="s">
        <v>148</v>
      </c>
      <c r="J531" t="s">
        <v>172</v>
      </c>
      <c r="K531" t="s">
        <v>62</v>
      </c>
      <c r="L531" t="s">
        <v>40</v>
      </c>
      <c r="M531" t="s">
        <v>110</v>
      </c>
      <c r="N531" t="s">
        <v>30</v>
      </c>
      <c r="O531" t="s">
        <v>1160</v>
      </c>
      <c r="P531">
        <v>1399.64</v>
      </c>
      <c r="Q531">
        <v>3342.11</v>
      </c>
      <c r="R531">
        <v>0</v>
      </c>
      <c r="S531">
        <v>0</v>
      </c>
      <c r="T531">
        <v>10</v>
      </c>
      <c r="U531" t="s">
        <v>1474</v>
      </c>
      <c r="V531">
        <v>33421.1</v>
      </c>
      <c r="W531">
        <v>13996.400000000001</v>
      </c>
      <c r="X531">
        <v>19424.699999999997</v>
      </c>
      <c r="Y531">
        <v>0.58121067229983447</v>
      </c>
    </row>
    <row r="532" spans="1:25" x14ac:dyDescent="0.3">
      <c r="A532" t="s">
        <v>1161</v>
      </c>
      <c r="B532">
        <v>45316</v>
      </c>
      <c r="C532">
        <v>45330</v>
      </c>
      <c r="D532" t="s">
        <v>1479</v>
      </c>
      <c r="E532" t="s">
        <v>1390</v>
      </c>
      <c r="F532">
        <v>14</v>
      </c>
      <c r="G532">
        <v>0</v>
      </c>
      <c r="H532" t="s">
        <v>45</v>
      </c>
      <c r="I532" t="s">
        <v>46</v>
      </c>
      <c r="J532" t="s">
        <v>47</v>
      </c>
      <c r="K532" t="s">
        <v>48</v>
      </c>
      <c r="L532" t="s">
        <v>40</v>
      </c>
      <c r="M532" t="s">
        <v>34</v>
      </c>
      <c r="N532" t="s">
        <v>35</v>
      </c>
      <c r="O532" t="s">
        <v>1162</v>
      </c>
      <c r="P532">
        <v>937.16</v>
      </c>
      <c r="Q532">
        <v>1069.77</v>
      </c>
      <c r="R532">
        <v>3.7999999999999999E-2</v>
      </c>
      <c r="S532">
        <v>0</v>
      </c>
      <c r="T532">
        <v>9</v>
      </c>
      <c r="U532" t="s">
        <v>1485</v>
      </c>
      <c r="V532">
        <v>9262.0686600000008</v>
      </c>
      <c r="W532">
        <v>8434.44</v>
      </c>
      <c r="X532">
        <v>827.62866000000031</v>
      </c>
      <c r="Y532">
        <v>8.9356783066645962E-2</v>
      </c>
    </row>
    <row r="533" spans="1:25" x14ac:dyDescent="0.3">
      <c r="A533" t="s">
        <v>1163</v>
      </c>
      <c r="B533">
        <v>45727</v>
      </c>
      <c r="C533">
        <v>45742</v>
      </c>
      <c r="D533" t="s">
        <v>1483</v>
      </c>
      <c r="E533" t="s">
        <v>1404</v>
      </c>
      <c r="F533">
        <v>15</v>
      </c>
      <c r="G533">
        <v>0</v>
      </c>
      <c r="H533" t="s">
        <v>78</v>
      </c>
      <c r="I533" t="s">
        <v>79</v>
      </c>
      <c r="J533" t="s">
        <v>80</v>
      </c>
      <c r="K533" t="s">
        <v>62</v>
      </c>
      <c r="L533" t="s">
        <v>28</v>
      </c>
      <c r="M533" t="s">
        <v>34</v>
      </c>
      <c r="N533" t="s">
        <v>42</v>
      </c>
      <c r="O533" t="s">
        <v>1164</v>
      </c>
      <c r="P533">
        <v>116.97</v>
      </c>
      <c r="Q533">
        <v>140.82</v>
      </c>
      <c r="R533">
        <v>0.122</v>
      </c>
      <c r="S533">
        <v>0</v>
      </c>
      <c r="T533">
        <v>5</v>
      </c>
      <c r="U533" t="s">
        <v>1480</v>
      </c>
      <c r="V533">
        <v>618.19979999999987</v>
      </c>
      <c r="W533">
        <v>584.85</v>
      </c>
      <c r="X533">
        <v>33.349799999999846</v>
      </c>
      <c r="Y533">
        <v>5.3946636669891926E-2</v>
      </c>
    </row>
    <row r="534" spans="1:25" x14ac:dyDescent="0.3">
      <c r="A534" t="s">
        <v>1165</v>
      </c>
      <c r="B534">
        <v>45769</v>
      </c>
      <c r="C534">
        <v>45789</v>
      </c>
      <c r="D534" t="s">
        <v>1487</v>
      </c>
      <c r="E534" t="s">
        <v>1405</v>
      </c>
      <c r="F534">
        <v>20</v>
      </c>
      <c r="G534">
        <v>0</v>
      </c>
      <c r="H534" t="s">
        <v>78</v>
      </c>
      <c r="I534" t="s">
        <v>90</v>
      </c>
      <c r="J534" t="s">
        <v>138</v>
      </c>
      <c r="K534" t="s">
        <v>105</v>
      </c>
      <c r="L534" t="s">
        <v>40</v>
      </c>
      <c r="M534" t="s">
        <v>95</v>
      </c>
      <c r="N534" t="s">
        <v>64</v>
      </c>
      <c r="O534" t="s">
        <v>1166</v>
      </c>
      <c r="P534">
        <v>59.51</v>
      </c>
      <c r="Q534">
        <v>67.040000000000006</v>
      </c>
      <c r="R534">
        <v>0.114</v>
      </c>
      <c r="S534">
        <v>0</v>
      </c>
      <c r="T534">
        <v>9</v>
      </c>
      <c r="U534" t="s">
        <v>1480</v>
      </c>
      <c r="V534">
        <v>534.57695999999999</v>
      </c>
      <c r="W534">
        <v>535.59</v>
      </c>
      <c r="X534">
        <v>-1.0130400000000463</v>
      </c>
      <c r="Y534">
        <v>-1.8950311663264469E-3</v>
      </c>
    </row>
    <row r="535" spans="1:25" x14ac:dyDescent="0.3">
      <c r="A535" t="s">
        <v>1167</v>
      </c>
      <c r="B535">
        <v>45155</v>
      </c>
      <c r="C535">
        <v>45172</v>
      </c>
      <c r="D535" t="s">
        <v>1492</v>
      </c>
      <c r="E535" t="s">
        <v>1385</v>
      </c>
      <c r="F535">
        <v>17</v>
      </c>
      <c r="G535">
        <v>0</v>
      </c>
      <c r="H535" t="s">
        <v>16</v>
      </c>
      <c r="I535" t="s">
        <v>148</v>
      </c>
      <c r="J535" t="s">
        <v>172</v>
      </c>
      <c r="K535" t="s">
        <v>105</v>
      </c>
      <c r="L535" t="s">
        <v>20</v>
      </c>
      <c r="M535" t="s">
        <v>75</v>
      </c>
      <c r="N535" t="s">
        <v>42</v>
      </c>
      <c r="O535" t="s">
        <v>1168</v>
      </c>
      <c r="P535">
        <v>676.37</v>
      </c>
      <c r="Q535">
        <v>1276.67</v>
      </c>
      <c r="R535">
        <v>6.6000000000000003E-2</v>
      </c>
      <c r="S535">
        <v>0</v>
      </c>
      <c r="T535">
        <v>10</v>
      </c>
      <c r="U535" t="s">
        <v>1485</v>
      </c>
      <c r="V535">
        <v>11924.0978</v>
      </c>
      <c r="W535">
        <v>6763.7</v>
      </c>
      <c r="X535">
        <v>5160.3977999999997</v>
      </c>
      <c r="Y535">
        <v>0.4327705027712872</v>
      </c>
    </row>
    <row r="536" spans="1:25" x14ac:dyDescent="0.3">
      <c r="A536" t="s">
        <v>1169</v>
      </c>
      <c r="B536">
        <v>45832</v>
      </c>
      <c r="C536">
        <v>45852</v>
      </c>
      <c r="D536" t="s">
        <v>1487</v>
      </c>
      <c r="E536" t="s">
        <v>1407</v>
      </c>
      <c r="F536">
        <v>20</v>
      </c>
      <c r="G536">
        <v>0</v>
      </c>
      <c r="H536" t="s">
        <v>16</v>
      </c>
      <c r="I536" t="s">
        <v>148</v>
      </c>
      <c r="J536" t="s">
        <v>149</v>
      </c>
      <c r="K536" t="s">
        <v>105</v>
      </c>
      <c r="L536" t="s">
        <v>40</v>
      </c>
      <c r="M536" t="s">
        <v>29</v>
      </c>
      <c r="N536" t="s">
        <v>57</v>
      </c>
      <c r="O536" t="s">
        <v>1170</v>
      </c>
      <c r="P536">
        <v>1151.06</v>
      </c>
      <c r="Q536">
        <v>2821.36</v>
      </c>
      <c r="R536">
        <v>0.248</v>
      </c>
      <c r="S536">
        <v>1</v>
      </c>
      <c r="T536">
        <v>20</v>
      </c>
      <c r="U536" t="s">
        <v>1474</v>
      </c>
      <c r="V536">
        <v>42433.254400000005</v>
      </c>
      <c r="W536">
        <v>23021.199999999997</v>
      </c>
      <c r="X536">
        <v>19412.054400000008</v>
      </c>
      <c r="Y536">
        <v>0.45747267501594235</v>
      </c>
    </row>
    <row r="537" spans="1:25" x14ac:dyDescent="0.3">
      <c r="A537" t="s">
        <v>1171</v>
      </c>
      <c r="B537">
        <v>45667</v>
      </c>
      <c r="C537">
        <v>45694</v>
      </c>
      <c r="D537" t="s">
        <v>1483</v>
      </c>
      <c r="E537" t="s">
        <v>1402</v>
      </c>
      <c r="F537">
        <v>27</v>
      </c>
      <c r="G537">
        <v>0</v>
      </c>
      <c r="H537" t="s">
        <v>52</v>
      </c>
      <c r="I537" t="s">
        <v>73</v>
      </c>
      <c r="J537" t="s">
        <v>87</v>
      </c>
      <c r="K537" t="s">
        <v>39</v>
      </c>
      <c r="L537" t="s">
        <v>20</v>
      </c>
      <c r="M537" t="s">
        <v>56</v>
      </c>
      <c r="N537" t="s">
        <v>57</v>
      </c>
      <c r="O537" t="s">
        <v>1172</v>
      </c>
      <c r="P537">
        <v>725.62</v>
      </c>
      <c r="Q537">
        <v>1559.19</v>
      </c>
      <c r="R537">
        <v>0.19</v>
      </c>
      <c r="S537">
        <v>0</v>
      </c>
      <c r="T537">
        <v>12</v>
      </c>
      <c r="U537" t="s">
        <v>1485</v>
      </c>
      <c r="V537">
        <v>15155.326800000001</v>
      </c>
      <c r="W537">
        <v>8707.44</v>
      </c>
      <c r="X537">
        <v>6447.8868000000002</v>
      </c>
      <c r="Y537">
        <v>0.42545349797405885</v>
      </c>
    </row>
    <row r="538" spans="1:25" x14ac:dyDescent="0.3">
      <c r="A538" t="s">
        <v>1173</v>
      </c>
      <c r="B538">
        <v>45108</v>
      </c>
      <c r="C538">
        <v>45118</v>
      </c>
      <c r="D538" t="s">
        <v>1492</v>
      </c>
      <c r="E538" t="s">
        <v>1384</v>
      </c>
      <c r="F538">
        <v>10</v>
      </c>
      <c r="G538">
        <v>0</v>
      </c>
      <c r="H538" t="s">
        <v>78</v>
      </c>
      <c r="I538" t="s">
        <v>90</v>
      </c>
      <c r="J538" t="s">
        <v>217</v>
      </c>
      <c r="K538" t="s">
        <v>19</v>
      </c>
      <c r="L538" t="s">
        <v>98</v>
      </c>
      <c r="M538" t="s">
        <v>84</v>
      </c>
      <c r="N538" t="s">
        <v>35</v>
      </c>
      <c r="O538" t="s">
        <v>1174</v>
      </c>
      <c r="P538">
        <v>479.5</v>
      </c>
      <c r="Q538">
        <v>656.66</v>
      </c>
      <c r="R538">
        <v>0.14899999999999999</v>
      </c>
      <c r="S538">
        <v>0</v>
      </c>
      <c r="T538">
        <v>14</v>
      </c>
      <c r="U538" t="s">
        <v>1480</v>
      </c>
      <c r="V538">
        <v>7823.4472399999995</v>
      </c>
      <c r="W538">
        <v>6713</v>
      </c>
      <c r="X538">
        <v>1110.4472399999995</v>
      </c>
      <c r="Y538">
        <v>0.14193835606412289</v>
      </c>
    </row>
    <row r="539" spans="1:25" x14ac:dyDescent="0.3">
      <c r="A539" t="s">
        <v>1175</v>
      </c>
      <c r="B539">
        <v>45520</v>
      </c>
      <c r="C539">
        <v>45530</v>
      </c>
      <c r="D539" t="s">
        <v>1491</v>
      </c>
      <c r="E539" t="s">
        <v>1397</v>
      </c>
      <c r="F539">
        <v>10</v>
      </c>
      <c r="G539">
        <v>0</v>
      </c>
      <c r="H539" t="s">
        <v>52</v>
      </c>
      <c r="I539" t="s">
        <v>122</v>
      </c>
      <c r="J539" t="s">
        <v>123</v>
      </c>
      <c r="K539" t="s">
        <v>19</v>
      </c>
      <c r="L539" t="s">
        <v>55</v>
      </c>
      <c r="M539" t="s">
        <v>49</v>
      </c>
      <c r="N539" t="s">
        <v>57</v>
      </c>
      <c r="O539" t="s">
        <v>878</v>
      </c>
      <c r="P539">
        <v>1291.7</v>
      </c>
      <c r="Q539">
        <v>2657.84</v>
      </c>
      <c r="R539">
        <v>8.6999999999999994E-2</v>
      </c>
      <c r="S539">
        <v>0</v>
      </c>
      <c r="T539">
        <v>21</v>
      </c>
      <c r="U539" t="s">
        <v>1474</v>
      </c>
      <c r="V539">
        <v>50958.766320000002</v>
      </c>
      <c r="W539">
        <v>27125.7</v>
      </c>
      <c r="X539">
        <v>23833.066320000002</v>
      </c>
      <c r="Y539">
        <v>0.46769315745083367</v>
      </c>
    </row>
    <row r="540" spans="1:25" x14ac:dyDescent="0.3">
      <c r="A540" t="s">
        <v>1176</v>
      </c>
      <c r="B540">
        <v>45114</v>
      </c>
      <c r="C540">
        <v>45120</v>
      </c>
      <c r="D540" t="s">
        <v>1492</v>
      </c>
      <c r="E540" t="s">
        <v>1384</v>
      </c>
      <c r="F540">
        <v>6</v>
      </c>
      <c r="G540">
        <v>1</v>
      </c>
      <c r="H540" t="s">
        <v>16</v>
      </c>
      <c r="I540" t="s">
        <v>148</v>
      </c>
      <c r="J540" t="s">
        <v>258</v>
      </c>
      <c r="K540" t="s">
        <v>62</v>
      </c>
      <c r="L540" t="s">
        <v>40</v>
      </c>
      <c r="M540" t="s">
        <v>56</v>
      </c>
      <c r="N540" t="s">
        <v>81</v>
      </c>
      <c r="O540" t="s">
        <v>1177</v>
      </c>
      <c r="P540">
        <v>612.59</v>
      </c>
      <c r="Q540">
        <v>1424.74</v>
      </c>
      <c r="R540">
        <v>4.3999999999999997E-2</v>
      </c>
      <c r="S540">
        <v>0</v>
      </c>
      <c r="T540">
        <v>15</v>
      </c>
      <c r="U540" t="s">
        <v>1485</v>
      </c>
      <c r="V540">
        <v>20430.771599999996</v>
      </c>
      <c r="W540">
        <v>9188.85</v>
      </c>
      <c r="X540">
        <v>11241.921599999996</v>
      </c>
      <c r="Y540">
        <v>0.55024459281802152</v>
      </c>
    </row>
    <row r="541" spans="1:25" x14ac:dyDescent="0.3">
      <c r="A541" t="s">
        <v>1178</v>
      </c>
      <c r="B541">
        <v>45288</v>
      </c>
      <c r="C541">
        <v>45292</v>
      </c>
      <c r="D541" t="s">
        <v>1484</v>
      </c>
      <c r="E541" t="s">
        <v>1389</v>
      </c>
      <c r="F541">
        <v>4</v>
      </c>
      <c r="G541">
        <v>1</v>
      </c>
      <c r="H541" t="s">
        <v>16</v>
      </c>
      <c r="I541" t="s">
        <v>148</v>
      </c>
      <c r="J541" t="s">
        <v>258</v>
      </c>
      <c r="K541" t="s">
        <v>27</v>
      </c>
      <c r="L541" t="s">
        <v>55</v>
      </c>
      <c r="M541" t="s">
        <v>75</v>
      </c>
      <c r="N541" t="s">
        <v>30</v>
      </c>
      <c r="O541" t="s">
        <v>1179</v>
      </c>
      <c r="P541">
        <v>1141.8</v>
      </c>
      <c r="Q541">
        <v>2318.7399999999998</v>
      </c>
      <c r="R541">
        <v>0.107</v>
      </c>
      <c r="S541">
        <v>0</v>
      </c>
      <c r="T541">
        <v>32</v>
      </c>
      <c r="U541" t="s">
        <v>1474</v>
      </c>
      <c r="V541">
        <v>66260.314239999992</v>
      </c>
      <c r="W541">
        <v>36537.599999999999</v>
      </c>
      <c r="X541">
        <v>29722.714239999994</v>
      </c>
      <c r="Y541">
        <v>0.44857490612468304</v>
      </c>
    </row>
    <row r="542" spans="1:25" x14ac:dyDescent="0.3">
      <c r="A542" t="s">
        <v>1180</v>
      </c>
      <c r="B542">
        <v>44952</v>
      </c>
      <c r="C542">
        <v>44972</v>
      </c>
      <c r="D542" t="s">
        <v>1482</v>
      </c>
      <c r="E542" t="s">
        <v>1378</v>
      </c>
      <c r="F542">
        <v>20</v>
      </c>
      <c r="G542">
        <v>0</v>
      </c>
      <c r="H542" t="s">
        <v>78</v>
      </c>
      <c r="I542" t="s">
        <v>79</v>
      </c>
      <c r="J542" t="s">
        <v>80</v>
      </c>
      <c r="K542" t="s">
        <v>62</v>
      </c>
      <c r="L542" t="s">
        <v>28</v>
      </c>
      <c r="M542" t="s">
        <v>68</v>
      </c>
      <c r="N542" t="s">
        <v>35</v>
      </c>
      <c r="O542" t="s">
        <v>1181</v>
      </c>
      <c r="P542">
        <v>492.62</v>
      </c>
      <c r="Q542">
        <v>366.7</v>
      </c>
      <c r="R542">
        <v>8.8999999999999996E-2</v>
      </c>
      <c r="S542">
        <v>0</v>
      </c>
      <c r="T542">
        <v>10</v>
      </c>
      <c r="U542" t="s">
        <v>1480</v>
      </c>
      <c r="V542">
        <v>3340.6370000000002</v>
      </c>
      <c r="W542">
        <v>4926.2</v>
      </c>
      <c r="X542">
        <v>-1585.5629999999996</v>
      </c>
      <c r="Y542">
        <v>-0.47462894052840809</v>
      </c>
    </row>
    <row r="543" spans="1:25" x14ac:dyDescent="0.3">
      <c r="A543" t="s">
        <v>1182</v>
      </c>
      <c r="B543">
        <v>45115</v>
      </c>
      <c r="C543">
        <v>45116</v>
      </c>
      <c r="D543" t="s">
        <v>1492</v>
      </c>
      <c r="E543" t="s">
        <v>1384</v>
      </c>
      <c r="F543">
        <v>1</v>
      </c>
      <c r="G543">
        <v>1</v>
      </c>
      <c r="H543" t="s">
        <v>16</v>
      </c>
      <c r="I543" t="s">
        <v>17</v>
      </c>
      <c r="J543" t="s">
        <v>33</v>
      </c>
      <c r="K543" t="s">
        <v>48</v>
      </c>
      <c r="L543" t="s">
        <v>28</v>
      </c>
      <c r="M543" t="s">
        <v>145</v>
      </c>
      <c r="N543" t="s">
        <v>57</v>
      </c>
      <c r="O543" t="s">
        <v>1183</v>
      </c>
      <c r="P543">
        <v>1258.72</v>
      </c>
      <c r="Q543">
        <v>2797.41</v>
      </c>
      <c r="R543">
        <v>0</v>
      </c>
      <c r="S543">
        <v>0</v>
      </c>
      <c r="T543">
        <v>7</v>
      </c>
      <c r="U543" t="s">
        <v>1474</v>
      </c>
      <c r="V543">
        <v>19581.87</v>
      </c>
      <c r="W543">
        <v>8811.0400000000009</v>
      </c>
      <c r="X543">
        <v>10770.829999999998</v>
      </c>
      <c r="Y543">
        <v>0.55004093071805704</v>
      </c>
    </row>
    <row r="544" spans="1:25" x14ac:dyDescent="0.3">
      <c r="A544" t="s">
        <v>1184</v>
      </c>
      <c r="B544">
        <v>45450</v>
      </c>
      <c r="C544">
        <v>45452</v>
      </c>
      <c r="D544" t="s">
        <v>1486</v>
      </c>
      <c r="E544" t="s">
        <v>1395</v>
      </c>
      <c r="F544">
        <v>2</v>
      </c>
      <c r="G544">
        <v>1</v>
      </c>
      <c r="H544" t="s">
        <v>45</v>
      </c>
      <c r="I544" t="s">
        <v>116</v>
      </c>
      <c r="J544" t="s">
        <v>162</v>
      </c>
      <c r="K544" t="s">
        <v>19</v>
      </c>
      <c r="L544" t="s">
        <v>20</v>
      </c>
      <c r="M544" t="s">
        <v>68</v>
      </c>
      <c r="N544" t="s">
        <v>64</v>
      </c>
      <c r="O544" t="s">
        <v>1185</v>
      </c>
      <c r="P544">
        <v>1370.28</v>
      </c>
      <c r="Q544">
        <v>2209.66</v>
      </c>
      <c r="R544">
        <v>0.13300000000000001</v>
      </c>
      <c r="S544">
        <v>0</v>
      </c>
      <c r="T544">
        <v>16</v>
      </c>
      <c r="U544" t="s">
        <v>1474</v>
      </c>
      <c r="V544">
        <v>30652.403519999996</v>
      </c>
      <c r="W544">
        <v>21924.48</v>
      </c>
      <c r="X544">
        <v>8727.9235199999966</v>
      </c>
      <c r="Y544">
        <v>0.28473863442079589</v>
      </c>
    </row>
    <row r="545" spans="1:25" x14ac:dyDescent="0.3">
      <c r="A545" t="s">
        <v>1186</v>
      </c>
      <c r="B545">
        <v>44968</v>
      </c>
      <c r="C545">
        <v>44969</v>
      </c>
      <c r="D545" t="s">
        <v>1482</v>
      </c>
      <c r="E545" t="s">
        <v>1379</v>
      </c>
      <c r="F545">
        <v>1</v>
      </c>
      <c r="G545">
        <v>1</v>
      </c>
      <c r="H545" t="s">
        <v>16</v>
      </c>
      <c r="I545" t="s">
        <v>25</v>
      </c>
      <c r="J545" t="s">
        <v>26</v>
      </c>
      <c r="K545" t="s">
        <v>39</v>
      </c>
      <c r="L545" t="s">
        <v>98</v>
      </c>
      <c r="M545" t="s">
        <v>145</v>
      </c>
      <c r="N545" t="s">
        <v>81</v>
      </c>
      <c r="O545" t="s">
        <v>1187</v>
      </c>
      <c r="P545">
        <v>944.61</v>
      </c>
      <c r="Q545">
        <v>839.04</v>
      </c>
      <c r="R545">
        <v>5.8999999999999997E-2</v>
      </c>
      <c r="S545">
        <v>0</v>
      </c>
      <c r="T545">
        <v>6</v>
      </c>
      <c r="U545" t="s">
        <v>1480</v>
      </c>
      <c r="V545">
        <v>4737.2198399999997</v>
      </c>
      <c r="W545">
        <v>5667.66</v>
      </c>
      <c r="X545">
        <v>-930.44016000000011</v>
      </c>
      <c r="Y545">
        <v>-0.19641059343363726</v>
      </c>
    </row>
    <row r="546" spans="1:25" x14ac:dyDescent="0.3">
      <c r="A546" t="s">
        <v>1188</v>
      </c>
      <c r="B546">
        <v>45108</v>
      </c>
      <c r="C546">
        <v>45115</v>
      </c>
      <c r="D546" t="s">
        <v>1492</v>
      </c>
      <c r="E546" t="s">
        <v>1384</v>
      </c>
      <c r="F546">
        <v>7</v>
      </c>
      <c r="G546">
        <v>1</v>
      </c>
      <c r="H546" t="s">
        <v>78</v>
      </c>
      <c r="I546" t="s">
        <v>79</v>
      </c>
      <c r="J546" t="s">
        <v>335</v>
      </c>
      <c r="K546" t="s">
        <v>62</v>
      </c>
      <c r="L546" t="s">
        <v>55</v>
      </c>
      <c r="M546" t="s">
        <v>126</v>
      </c>
      <c r="N546" t="s">
        <v>57</v>
      </c>
      <c r="O546" t="s">
        <v>1189</v>
      </c>
      <c r="P546">
        <v>460.21</v>
      </c>
      <c r="Q546">
        <v>1139.1500000000001</v>
      </c>
      <c r="R546">
        <v>0.115</v>
      </c>
      <c r="S546">
        <v>0</v>
      </c>
      <c r="T546">
        <v>14</v>
      </c>
      <c r="U546" t="s">
        <v>1485</v>
      </c>
      <c r="V546">
        <v>14114.068500000001</v>
      </c>
      <c r="W546">
        <v>6442.94</v>
      </c>
      <c r="X546">
        <v>7671.1285000000016</v>
      </c>
      <c r="Y546">
        <v>0.54350937151821255</v>
      </c>
    </row>
    <row r="547" spans="1:25" x14ac:dyDescent="0.3">
      <c r="A547" t="s">
        <v>1190</v>
      </c>
      <c r="B547">
        <v>45889</v>
      </c>
      <c r="C547">
        <v>45895</v>
      </c>
      <c r="D547" t="s">
        <v>1488</v>
      </c>
      <c r="E547" t="s">
        <v>1409</v>
      </c>
      <c r="F547">
        <v>6</v>
      </c>
      <c r="G547">
        <v>1</v>
      </c>
      <c r="H547" t="s">
        <v>52</v>
      </c>
      <c r="I547" t="s">
        <v>122</v>
      </c>
      <c r="J547" t="s">
        <v>387</v>
      </c>
      <c r="K547" t="s">
        <v>19</v>
      </c>
      <c r="L547" t="s">
        <v>20</v>
      </c>
      <c r="M547" t="s">
        <v>110</v>
      </c>
      <c r="N547" t="s">
        <v>35</v>
      </c>
      <c r="O547" t="s">
        <v>1191</v>
      </c>
      <c r="P547">
        <v>1304.95</v>
      </c>
      <c r="Q547">
        <v>1712.03</v>
      </c>
      <c r="R547">
        <v>0.21199999999999999</v>
      </c>
      <c r="S547">
        <v>1</v>
      </c>
      <c r="T547">
        <v>8</v>
      </c>
      <c r="U547" t="s">
        <v>1474</v>
      </c>
      <c r="V547">
        <v>10792.637119999999</v>
      </c>
      <c r="W547">
        <v>10439.6</v>
      </c>
      <c r="X547">
        <v>353.03711999999905</v>
      </c>
      <c r="Y547">
        <v>3.2710922833287949E-2</v>
      </c>
    </row>
    <row r="548" spans="1:25" x14ac:dyDescent="0.3">
      <c r="A548" t="s">
        <v>1192</v>
      </c>
      <c r="B548">
        <v>45355</v>
      </c>
      <c r="C548">
        <v>45367</v>
      </c>
      <c r="D548" t="s">
        <v>1479</v>
      </c>
      <c r="E548" t="s">
        <v>1392</v>
      </c>
      <c r="F548">
        <v>12</v>
      </c>
      <c r="G548">
        <v>0</v>
      </c>
      <c r="H548" t="s">
        <v>16</v>
      </c>
      <c r="I548" t="s">
        <v>148</v>
      </c>
      <c r="J548" t="s">
        <v>149</v>
      </c>
      <c r="K548" t="s">
        <v>105</v>
      </c>
      <c r="L548" t="s">
        <v>55</v>
      </c>
      <c r="M548" t="s">
        <v>110</v>
      </c>
      <c r="N548" t="s">
        <v>64</v>
      </c>
      <c r="O548" t="s">
        <v>1193</v>
      </c>
      <c r="P548">
        <v>441.08</v>
      </c>
      <c r="Q548">
        <v>1054.29</v>
      </c>
      <c r="R548">
        <v>0.23699999999999999</v>
      </c>
      <c r="S548">
        <v>1</v>
      </c>
      <c r="T548">
        <v>6</v>
      </c>
      <c r="U548" t="s">
        <v>1485</v>
      </c>
      <c r="V548">
        <v>4826.5396199999996</v>
      </c>
      <c r="W548">
        <v>2646.48</v>
      </c>
      <c r="X548">
        <v>2180.0596199999995</v>
      </c>
      <c r="Y548">
        <v>0.45168169985932899</v>
      </c>
    </row>
    <row r="549" spans="1:25" x14ac:dyDescent="0.3">
      <c r="A549" t="s">
        <v>1194</v>
      </c>
      <c r="B549">
        <v>45177</v>
      </c>
      <c r="C549">
        <v>45201</v>
      </c>
      <c r="D549" t="s">
        <v>1492</v>
      </c>
      <c r="E549" t="s">
        <v>1493</v>
      </c>
      <c r="F549">
        <v>24</v>
      </c>
      <c r="G549">
        <v>0</v>
      </c>
      <c r="H549" t="s">
        <v>52</v>
      </c>
      <c r="I549" t="s">
        <v>53</v>
      </c>
      <c r="J549" t="s">
        <v>54</v>
      </c>
      <c r="K549" t="s">
        <v>27</v>
      </c>
      <c r="L549" t="s">
        <v>98</v>
      </c>
      <c r="M549" t="s">
        <v>75</v>
      </c>
      <c r="N549" t="s">
        <v>81</v>
      </c>
      <c r="O549" t="s">
        <v>1195</v>
      </c>
      <c r="P549">
        <v>1299.03</v>
      </c>
      <c r="Q549">
        <v>2451.2199999999998</v>
      </c>
      <c r="R549">
        <v>0.20799999999999999</v>
      </c>
      <c r="S549">
        <v>1</v>
      </c>
      <c r="T549">
        <v>8</v>
      </c>
      <c r="U549" t="s">
        <v>1474</v>
      </c>
      <c r="V549">
        <v>15530.929919999999</v>
      </c>
      <c r="W549">
        <v>10392.24</v>
      </c>
      <c r="X549">
        <v>5138.6899199999989</v>
      </c>
      <c r="Y549">
        <v>0.3308681416032041</v>
      </c>
    </row>
    <row r="550" spans="1:25" x14ac:dyDescent="0.3">
      <c r="A550" t="s">
        <v>1196</v>
      </c>
      <c r="B550">
        <v>44985</v>
      </c>
      <c r="C550">
        <v>44991</v>
      </c>
      <c r="D550" t="s">
        <v>1482</v>
      </c>
      <c r="E550" t="s">
        <v>1379</v>
      </c>
      <c r="F550">
        <v>6</v>
      </c>
      <c r="G550">
        <v>1</v>
      </c>
      <c r="H550" t="s">
        <v>78</v>
      </c>
      <c r="I550" t="s">
        <v>79</v>
      </c>
      <c r="J550" t="s">
        <v>335</v>
      </c>
      <c r="K550" t="s">
        <v>62</v>
      </c>
      <c r="L550" t="s">
        <v>40</v>
      </c>
      <c r="M550" t="s">
        <v>145</v>
      </c>
      <c r="N550" t="s">
        <v>30</v>
      </c>
      <c r="O550" t="s">
        <v>1197</v>
      </c>
      <c r="P550">
        <v>880.02</v>
      </c>
      <c r="Q550">
        <v>1251.21</v>
      </c>
      <c r="R550">
        <v>0.123</v>
      </c>
      <c r="S550">
        <v>0</v>
      </c>
      <c r="T550">
        <v>29</v>
      </c>
      <c r="U550" t="s">
        <v>1485</v>
      </c>
      <c r="V550">
        <v>31822.023930000003</v>
      </c>
      <c r="W550">
        <v>25520.579999999998</v>
      </c>
      <c r="X550">
        <v>6301.4439300000049</v>
      </c>
      <c r="Y550">
        <v>0.19802146915172672</v>
      </c>
    </row>
    <row r="551" spans="1:25" x14ac:dyDescent="0.3">
      <c r="A551" t="s">
        <v>1198</v>
      </c>
      <c r="B551">
        <v>45486</v>
      </c>
      <c r="C551">
        <v>45507</v>
      </c>
      <c r="D551" t="s">
        <v>1491</v>
      </c>
      <c r="E551" t="s">
        <v>1396</v>
      </c>
      <c r="F551">
        <v>21</v>
      </c>
      <c r="G551">
        <v>0</v>
      </c>
      <c r="H551" t="s">
        <v>52</v>
      </c>
      <c r="I551" t="s">
        <v>73</v>
      </c>
      <c r="J551" t="s">
        <v>225</v>
      </c>
      <c r="K551" t="s">
        <v>19</v>
      </c>
      <c r="L551" t="s">
        <v>40</v>
      </c>
      <c r="M551" t="s">
        <v>110</v>
      </c>
      <c r="N551" t="s">
        <v>64</v>
      </c>
      <c r="O551" t="s">
        <v>1199</v>
      </c>
      <c r="P551">
        <v>702.98</v>
      </c>
      <c r="Q551">
        <v>1104.8</v>
      </c>
      <c r="R551">
        <v>0.17499999999999999</v>
      </c>
      <c r="S551">
        <v>0</v>
      </c>
      <c r="T551">
        <v>12</v>
      </c>
      <c r="U551" t="s">
        <v>1485</v>
      </c>
      <c r="V551">
        <v>10937.519999999999</v>
      </c>
      <c r="W551">
        <v>8435.76</v>
      </c>
      <c r="X551">
        <v>2501.7599999999984</v>
      </c>
      <c r="Y551">
        <v>0.22873192460448061</v>
      </c>
    </row>
    <row r="552" spans="1:25" x14ac:dyDescent="0.3">
      <c r="A552" t="s">
        <v>1200</v>
      </c>
      <c r="B552">
        <v>45633</v>
      </c>
      <c r="C552">
        <v>45652</v>
      </c>
      <c r="D552" t="s">
        <v>1481</v>
      </c>
      <c r="E552" t="s">
        <v>1401</v>
      </c>
      <c r="F552">
        <v>19</v>
      </c>
      <c r="G552">
        <v>0</v>
      </c>
      <c r="H552" t="s">
        <v>78</v>
      </c>
      <c r="I552" t="s">
        <v>108</v>
      </c>
      <c r="J552" t="s">
        <v>152</v>
      </c>
      <c r="K552" t="s">
        <v>105</v>
      </c>
      <c r="L552" t="s">
        <v>28</v>
      </c>
      <c r="M552" t="s">
        <v>145</v>
      </c>
      <c r="N552" t="s">
        <v>35</v>
      </c>
      <c r="O552" t="s">
        <v>1201</v>
      </c>
      <c r="P552">
        <v>1035.24</v>
      </c>
      <c r="Q552">
        <v>2383.41</v>
      </c>
      <c r="R552">
        <v>0.17</v>
      </c>
      <c r="S552">
        <v>0</v>
      </c>
      <c r="T552">
        <v>15</v>
      </c>
      <c r="U552" t="s">
        <v>1474</v>
      </c>
      <c r="V552">
        <v>29673.454499999993</v>
      </c>
      <c r="W552">
        <v>15528.6</v>
      </c>
      <c r="X552">
        <v>14144.854499999992</v>
      </c>
      <c r="Y552">
        <v>0.47668378145860962</v>
      </c>
    </row>
    <row r="553" spans="1:25" x14ac:dyDescent="0.3">
      <c r="A553" t="s">
        <v>1202</v>
      </c>
      <c r="B553">
        <v>45875</v>
      </c>
      <c r="C553">
        <v>45892</v>
      </c>
      <c r="D553" t="s">
        <v>1488</v>
      </c>
      <c r="E553" t="s">
        <v>1409</v>
      </c>
      <c r="F553">
        <v>17</v>
      </c>
      <c r="G553">
        <v>0</v>
      </c>
      <c r="H553" t="s">
        <v>52</v>
      </c>
      <c r="I553" t="s">
        <v>73</v>
      </c>
      <c r="J553" t="s">
        <v>87</v>
      </c>
      <c r="K553" t="s">
        <v>48</v>
      </c>
      <c r="L553" t="s">
        <v>55</v>
      </c>
      <c r="M553" t="s">
        <v>75</v>
      </c>
      <c r="N553" t="s">
        <v>64</v>
      </c>
      <c r="O553" t="s">
        <v>1203</v>
      </c>
      <c r="P553">
        <v>86.64</v>
      </c>
      <c r="Q553">
        <v>213.06</v>
      </c>
      <c r="R553">
        <v>0.21199999999999999</v>
      </c>
      <c r="S553">
        <v>1</v>
      </c>
      <c r="T553">
        <v>11</v>
      </c>
      <c r="U553" t="s">
        <v>1480</v>
      </c>
      <c r="V553">
        <v>1846.8040799999999</v>
      </c>
      <c r="W553">
        <v>953.04</v>
      </c>
      <c r="X553">
        <v>893.76407999999992</v>
      </c>
      <c r="Y553">
        <v>0.48395175735154322</v>
      </c>
    </row>
    <row r="554" spans="1:25" x14ac:dyDescent="0.3">
      <c r="A554" t="s">
        <v>1204</v>
      </c>
      <c r="B554">
        <v>44988</v>
      </c>
      <c r="C554">
        <v>45005</v>
      </c>
      <c r="D554" t="s">
        <v>1482</v>
      </c>
      <c r="E554" t="s">
        <v>1380</v>
      </c>
      <c r="F554">
        <v>17</v>
      </c>
      <c r="G554">
        <v>0</v>
      </c>
      <c r="H554" t="s">
        <v>45</v>
      </c>
      <c r="I554" t="s">
        <v>46</v>
      </c>
      <c r="J554" t="s">
        <v>231</v>
      </c>
      <c r="K554" t="s">
        <v>62</v>
      </c>
      <c r="L554" t="s">
        <v>28</v>
      </c>
      <c r="M554" t="s">
        <v>145</v>
      </c>
      <c r="N554" t="s">
        <v>35</v>
      </c>
      <c r="O554" t="s">
        <v>1205</v>
      </c>
      <c r="P554">
        <v>1171.17</v>
      </c>
      <c r="Q554">
        <v>2030.64</v>
      </c>
      <c r="R554">
        <v>0.157</v>
      </c>
      <c r="S554">
        <v>0</v>
      </c>
      <c r="T554">
        <v>11</v>
      </c>
      <c r="U554" t="s">
        <v>1474</v>
      </c>
      <c r="V554">
        <v>18830.12472</v>
      </c>
      <c r="W554">
        <v>12882.87</v>
      </c>
      <c r="X554">
        <v>5947.254719999999</v>
      </c>
      <c r="Y554">
        <v>0.31583724528830415</v>
      </c>
    </row>
    <row r="555" spans="1:25" x14ac:dyDescent="0.3">
      <c r="A555" t="s">
        <v>1206</v>
      </c>
      <c r="B555">
        <v>45704</v>
      </c>
      <c r="C555">
        <v>45733</v>
      </c>
      <c r="D555" t="s">
        <v>1483</v>
      </c>
      <c r="E555" t="s">
        <v>1403</v>
      </c>
      <c r="F555">
        <v>29</v>
      </c>
      <c r="G555">
        <v>0</v>
      </c>
      <c r="H555" t="s">
        <v>78</v>
      </c>
      <c r="I555" t="s">
        <v>79</v>
      </c>
      <c r="J555" t="s">
        <v>159</v>
      </c>
      <c r="K555" t="s">
        <v>48</v>
      </c>
      <c r="L555" t="s">
        <v>20</v>
      </c>
      <c r="M555" t="s">
        <v>49</v>
      </c>
      <c r="N555" t="s">
        <v>81</v>
      </c>
      <c r="O555" t="s">
        <v>1207</v>
      </c>
      <c r="P555">
        <v>730.42</v>
      </c>
      <c r="Q555">
        <v>956.7</v>
      </c>
      <c r="R555">
        <v>4.2000000000000003E-2</v>
      </c>
      <c r="S555">
        <v>0</v>
      </c>
      <c r="T555">
        <v>22</v>
      </c>
      <c r="U555" t="s">
        <v>1485</v>
      </c>
      <c r="V555">
        <v>20163.409200000002</v>
      </c>
      <c r="W555">
        <v>16069.24</v>
      </c>
      <c r="X555">
        <v>4094.1692000000021</v>
      </c>
      <c r="Y555">
        <v>0.20304945256975698</v>
      </c>
    </row>
    <row r="556" spans="1:25" x14ac:dyDescent="0.3">
      <c r="A556" t="s">
        <v>1208</v>
      </c>
      <c r="B556">
        <v>45703</v>
      </c>
      <c r="C556">
        <v>45717</v>
      </c>
      <c r="D556" t="s">
        <v>1483</v>
      </c>
      <c r="E556" t="s">
        <v>1403</v>
      </c>
      <c r="F556">
        <v>14</v>
      </c>
      <c r="G556">
        <v>0</v>
      </c>
      <c r="H556" t="s">
        <v>16</v>
      </c>
      <c r="I556" t="s">
        <v>17</v>
      </c>
      <c r="J556" t="s">
        <v>113</v>
      </c>
      <c r="K556" t="s">
        <v>27</v>
      </c>
      <c r="L556" t="s">
        <v>98</v>
      </c>
      <c r="M556" t="s">
        <v>49</v>
      </c>
      <c r="N556" t="s">
        <v>81</v>
      </c>
      <c r="O556" t="s">
        <v>1209</v>
      </c>
      <c r="P556">
        <v>1162.8599999999999</v>
      </c>
      <c r="Q556">
        <v>1447.68</v>
      </c>
      <c r="R556">
        <v>8.6999999999999994E-2</v>
      </c>
      <c r="S556">
        <v>0</v>
      </c>
      <c r="T556">
        <v>12</v>
      </c>
      <c r="U556" t="s">
        <v>1485</v>
      </c>
      <c r="V556">
        <v>15860.782080000001</v>
      </c>
      <c r="W556">
        <v>13954.32</v>
      </c>
      <c r="X556">
        <v>1906.4620800000012</v>
      </c>
      <c r="Y556">
        <v>0.12019975247021369</v>
      </c>
    </row>
    <row r="557" spans="1:25" x14ac:dyDescent="0.3">
      <c r="A557" t="s">
        <v>1210</v>
      </c>
      <c r="B557">
        <v>45535</v>
      </c>
      <c r="C557">
        <v>45561</v>
      </c>
      <c r="D557" t="s">
        <v>1491</v>
      </c>
      <c r="E557" t="s">
        <v>1397</v>
      </c>
      <c r="F557">
        <v>26</v>
      </c>
      <c r="G557">
        <v>0</v>
      </c>
      <c r="H557" t="s">
        <v>45</v>
      </c>
      <c r="I557" t="s">
        <v>46</v>
      </c>
      <c r="J557" t="s">
        <v>214</v>
      </c>
      <c r="K557" t="s">
        <v>27</v>
      </c>
      <c r="L557" t="s">
        <v>28</v>
      </c>
      <c r="M557" t="s">
        <v>34</v>
      </c>
      <c r="N557" t="s">
        <v>42</v>
      </c>
      <c r="O557" t="s">
        <v>1211</v>
      </c>
      <c r="P557">
        <v>1189.03</v>
      </c>
      <c r="Q557">
        <v>2949.62</v>
      </c>
      <c r="R557">
        <v>0.125</v>
      </c>
      <c r="S557">
        <v>0</v>
      </c>
      <c r="T557">
        <v>13</v>
      </c>
      <c r="U557" t="s">
        <v>1474</v>
      </c>
      <c r="V557">
        <v>33551.927499999998</v>
      </c>
      <c r="W557">
        <v>15457.39</v>
      </c>
      <c r="X557">
        <v>18094.537499999999</v>
      </c>
      <c r="Y557">
        <v>0.53929949330034765</v>
      </c>
    </row>
    <row r="558" spans="1:25" x14ac:dyDescent="0.3">
      <c r="A558" t="s">
        <v>1212</v>
      </c>
      <c r="B558">
        <v>45053</v>
      </c>
      <c r="C558">
        <v>45066</v>
      </c>
      <c r="D558" t="s">
        <v>1490</v>
      </c>
      <c r="E558" t="s">
        <v>1382</v>
      </c>
      <c r="F558">
        <v>13</v>
      </c>
      <c r="G558">
        <v>0</v>
      </c>
      <c r="H558" t="s">
        <v>45</v>
      </c>
      <c r="I558" t="s">
        <v>60</v>
      </c>
      <c r="J558" t="s">
        <v>220</v>
      </c>
      <c r="K558" t="s">
        <v>105</v>
      </c>
      <c r="L558" t="s">
        <v>20</v>
      </c>
      <c r="M558" t="s">
        <v>145</v>
      </c>
      <c r="N558" t="s">
        <v>81</v>
      </c>
      <c r="O558" t="s">
        <v>1213</v>
      </c>
      <c r="P558">
        <v>1443.28</v>
      </c>
      <c r="Q558">
        <v>2580.5700000000002</v>
      </c>
      <c r="R558">
        <v>0</v>
      </c>
      <c r="S558">
        <v>0</v>
      </c>
      <c r="T558">
        <v>18</v>
      </c>
      <c r="U558" t="s">
        <v>1474</v>
      </c>
      <c r="V558">
        <v>46450.26</v>
      </c>
      <c r="W558">
        <v>25979.040000000001</v>
      </c>
      <c r="X558">
        <v>20471.22</v>
      </c>
      <c r="Y558">
        <v>0.4407127107577008</v>
      </c>
    </row>
    <row r="559" spans="1:25" x14ac:dyDescent="0.3">
      <c r="A559" t="s">
        <v>1214</v>
      </c>
      <c r="B559">
        <v>45791</v>
      </c>
      <c r="C559">
        <v>45798</v>
      </c>
      <c r="D559" t="s">
        <v>1487</v>
      </c>
      <c r="E559" t="s">
        <v>1406</v>
      </c>
      <c r="F559">
        <v>7</v>
      </c>
      <c r="G559">
        <v>1</v>
      </c>
      <c r="H559" t="s">
        <v>52</v>
      </c>
      <c r="I559" t="s">
        <v>53</v>
      </c>
      <c r="J559" t="s">
        <v>179</v>
      </c>
      <c r="K559" t="s">
        <v>39</v>
      </c>
      <c r="L559" t="s">
        <v>55</v>
      </c>
      <c r="M559" t="s">
        <v>84</v>
      </c>
      <c r="N559" t="s">
        <v>30</v>
      </c>
      <c r="O559" t="s">
        <v>1215</v>
      </c>
      <c r="P559">
        <v>883.5</v>
      </c>
      <c r="Q559">
        <v>1978.91</v>
      </c>
      <c r="R559">
        <v>5.3999999999999999E-2</v>
      </c>
      <c r="S559">
        <v>0</v>
      </c>
      <c r="T559">
        <v>27</v>
      </c>
      <c r="U559" t="s">
        <v>1474</v>
      </c>
      <c r="V559">
        <v>50545.319219999998</v>
      </c>
      <c r="W559">
        <v>23854.5</v>
      </c>
      <c r="X559">
        <v>26690.819219999998</v>
      </c>
      <c r="Y559">
        <v>0.52805718970390547</v>
      </c>
    </row>
    <row r="560" spans="1:25" x14ac:dyDescent="0.3">
      <c r="A560" t="s">
        <v>1216</v>
      </c>
      <c r="B560">
        <v>45362</v>
      </c>
      <c r="C560">
        <v>45380</v>
      </c>
      <c r="D560" t="s">
        <v>1479</v>
      </c>
      <c r="E560" t="s">
        <v>1392</v>
      </c>
      <c r="F560">
        <v>18</v>
      </c>
      <c r="G560">
        <v>0</v>
      </c>
      <c r="H560" t="s">
        <v>52</v>
      </c>
      <c r="I560" t="s">
        <v>122</v>
      </c>
      <c r="J560" t="s">
        <v>387</v>
      </c>
      <c r="K560" t="s">
        <v>19</v>
      </c>
      <c r="L560" t="s">
        <v>20</v>
      </c>
      <c r="M560" t="s">
        <v>110</v>
      </c>
      <c r="N560" t="s">
        <v>64</v>
      </c>
      <c r="O560" t="s">
        <v>1217</v>
      </c>
      <c r="P560">
        <v>710.98</v>
      </c>
      <c r="Q560">
        <v>1481.45</v>
      </c>
      <c r="R560">
        <v>0.21099999999999999</v>
      </c>
      <c r="S560">
        <v>1</v>
      </c>
      <c r="T560">
        <v>9</v>
      </c>
      <c r="U560" t="s">
        <v>1485</v>
      </c>
      <c r="V560">
        <v>10519.776450000001</v>
      </c>
      <c r="W560">
        <v>6398.82</v>
      </c>
      <c r="X560">
        <v>4120.9564500000015</v>
      </c>
      <c r="Y560">
        <v>0.39173422264120461</v>
      </c>
    </row>
    <row r="561" spans="1:25" x14ac:dyDescent="0.3">
      <c r="A561" t="s">
        <v>1218</v>
      </c>
      <c r="B561">
        <v>45430</v>
      </c>
      <c r="C561">
        <v>45434</v>
      </c>
      <c r="D561" t="s">
        <v>1486</v>
      </c>
      <c r="E561" t="s">
        <v>1394</v>
      </c>
      <c r="F561">
        <v>4</v>
      </c>
      <c r="G561">
        <v>1</v>
      </c>
      <c r="H561" t="s">
        <v>16</v>
      </c>
      <c r="I561" t="s">
        <v>17</v>
      </c>
      <c r="J561" t="s">
        <v>33</v>
      </c>
      <c r="K561" t="s">
        <v>19</v>
      </c>
      <c r="L561" t="s">
        <v>98</v>
      </c>
      <c r="M561" t="s">
        <v>92</v>
      </c>
      <c r="N561" t="s">
        <v>81</v>
      </c>
      <c r="O561" t="s">
        <v>1219</v>
      </c>
      <c r="P561">
        <v>857.42</v>
      </c>
      <c r="Q561">
        <v>1658.92</v>
      </c>
      <c r="R561">
        <v>0.122</v>
      </c>
      <c r="S561">
        <v>0</v>
      </c>
      <c r="T561">
        <v>9</v>
      </c>
      <c r="U561" t="s">
        <v>1474</v>
      </c>
      <c r="V561">
        <v>13108.78584</v>
      </c>
      <c r="W561">
        <v>7716.78</v>
      </c>
      <c r="X561">
        <v>5392.0058400000007</v>
      </c>
      <c r="Y561">
        <v>0.41132763215544305</v>
      </c>
    </row>
    <row r="562" spans="1:25" x14ac:dyDescent="0.3">
      <c r="A562" t="s">
        <v>1220</v>
      </c>
      <c r="B562">
        <v>45299</v>
      </c>
      <c r="C562">
        <v>45303</v>
      </c>
      <c r="D562" t="s">
        <v>1479</v>
      </c>
      <c r="E562" t="s">
        <v>1390</v>
      </c>
      <c r="F562">
        <v>4</v>
      </c>
      <c r="G562">
        <v>1</v>
      </c>
      <c r="H562" t="s">
        <v>45</v>
      </c>
      <c r="I562" t="s">
        <v>60</v>
      </c>
      <c r="J562" t="s">
        <v>61</v>
      </c>
      <c r="K562" t="s">
        <v>19</v>
      </c>
      <c r="L562" t="s">
        <v>98</v>
      </c>
      <c r="M562" t="s">
        <v>63</v>
      </c>
      <c r="N562" t="s">
        <v>30</v>
      </c>
      <c r="O562" t="s">
        <v>1221</v>
      </c>
      <c r="P562">
        <v>802.32</v>
      </c>
      <c r="Q562">
        <v>602.34</v>
      </c>
      <c r="R562">
        <v>0.12</v>
      </c>
      <c r="S562">
        <v>0</v>
      </c>
      <c r="T562">
        <v>25</v>
      </c>
      <c r="U562" t="s">
        <v>1480</v>
      </c>
      <c r="V562">
        <v>13251.48</v>
      </c>
      <c r="W562">
        <v>20058</v>
      </c>
      <c r="X562">
        <v>-6806.52</v>
      </c>
      <c r="Y562">
        <v>-0.51364224977134632</v>
      </c>
    </row>
    <row r="563" spans="1:25" x14ac:dyDescent="0.3">
      <c r="A563" t="s">
        <v>1222</v>
      </c>
      <c r="B563">
        <v>45590</v>
      </c>
      <c r="C563">
        <v>45601</v>
      </c>
      <c r="D563" t="s">
        <v>1481</v>
      </c>
      <c r="E563" t="s">
        <v>1399</v>
      </c>
      <c r="F563">
        <v>11</v>
      </c>
      <c r="G563">
        <v>0</v>
      </c>
      <c r="H563" t="s">
        <v>52</v>
      </c>
      <c r="I563" t="s">
        <v>122</v>
      </c>
      <c r="J563" t="s">
        <v>387</v>
      </c>
      <c r="K563" t="s">
        <v>19</v>
      </c>
      <c r="L563" t="s">
        <v>55</v>
      </c>
      <c r="M563" t="s">
        <v>126</v>
      </c>
      <c r="N563" t="s">
        <v>22</v>
      </c>
      <c r="O563" t="s">
        <v>1223</v>
      </c>
      <c r="P563">
        <v>446.66</v>
      </c>
      <c r="Q563">
        <v>527.64</v>
      </c>
      <c r="R563">
        <v>0.14499999999999999</v>
      </c>
      <c r="S563">
        <v>0</v>
      </c>
      <c r="T563">
        <v>15</v>
      </c>
      <c r="U563" t="s">
        <v>1480</v>
      </c>
      <c r="V563">
        <v>6766.9829999999993</v>
      </c>
      <c r="W563">
        <v>6699.9000000000005</v>
      </c>
      <c r="X563">
        <v>67.082999999998719</v>
      </c>
      <c r="Y563">
        <v>9.9132804087137105E-3</v>
      </c>
    </row>
    <row r="564" spans="1:25" x14ac:dyDescent="0.3">
      <c r="A564" t="s">
        <v>1224</v>
      </c>
      <c r="B564">
        <v>45626</v>
      </c>
      <c r="C564">
        <v>45645</v>
      </c>
      <c r="D564" t="s">
        <v>1481</v>
      </c>
      <c r="E564" t="s">
        <v>1400</v>
      </c>
      <c r="F564">
        <v>19</v>
      </c>
      <c r="G564">
        <v>0</v>
      </c>
      <c r="H564" t="s">
        <v>16</v>
      </c>
      <c r="I564" t="s">
        <v>17</v>
      </c>
      <c r="J564" t="s">
        <v>18</v>
      </c>
      <c r="K564" t="s">
        <v>19</v>
      </c>
      <c r="L564" t="s">
        <v>28</v>
      </c>
      <c r="M564" t="s">
        <v>49</v>
      </c>
      <c r="N564" t="s">
        <v>42</v>
      </c>
      <c r="O564" t="s">
        <v>1225</v>
      </c>
      <c r="P564">
        <v>1195.98</v>
      </c>
      <c r="Q564">
        <v>1841.9</v>
      </c>
      <c r="R564">
        <v>5.5E-2</v>
      </c>
      <c r="S564">
        <v>0</v>
      </c>
      <c r="T564">
        <v>19</v>
      </c>
      <c r="U564" t="s">
        <v>1474</v>
      </c>
      <c r="V564">
        <v>33071.3145</v>
      </c>
      <c r="W564">
        <v>22723.62</v>
      </c>
      <c r="X564">
        <v>10347.694500000001</v>
      </c>
      <c r="Y564">
        <v>0.31289032977506842</v>
      </c>
    </row>
    <row r="565" spans="1:25" x14ac:dyDescent="0.3">
      <c r="A565" t="s">
        <v>1226</v>
      </c>
      <c r="B565">
        <v>45029</v>
      </c>
      <c r="C565">
        <v>45048</v>
      </c>
      <c r="D565" t="s">
        <v>1490</v>
      </c>
      <c r="E565" t="s">
        <v>1381</v>
      </c>
      <c r="F565">
        <v>19</v>
      </c>
      <c r="G565">
        <v>0</v>
      </c>
      <c r="H565" t="s">
        <v>52</v>
      </c>
      <c r="I565" t="s">
        <v>53</v>
      </c>
      <c r="J565" t="s">
        <v>144</v>
      </c>
      <c r="K565" t="s">
        <v>48</v>
      </c>
      <c r="L565" t="s">
        <v>55</v>
      </c>
      <c r="M565" t="s">
        <v>63</v>
      </c>
      <c r="N565" t="s">
        <v>64</v>
      </c>
      <c r="O565" t="s">
        <v>1227</v>
      </c>
      <c r="P565">
        <v>671.05</v>
      </c>
      <c r="Q565">
        <v>1645.48</v>
      </c>
      <c r="R565">
        <v>0.13700000000000001</v>
      </c>
      <c r="S565">
        <v>0</v>
      </c>
      <c r="T565">
        <v>6</v>
      </c>
      <c r="U565" t="s">
        <v>1474</v>
      </c>
      <c r="V565">
        <v>8520.2954399999999</v>
      </c>
      <c r="W565">
        <v>4026.2999999999997</v>
      </c>
      <c r="X565">
        <v>4493.9954400000006</v>
      </c>
      <c r="Y565">
        <v>0.52744596377517172</v>
      </c>
    </row>
    <row r="566" spans="1:25" x14ac:dyDescent="0.3">
      <c r="A566" t="s">
        <v>1228</v>
      </c>
      <c r="B566">
        <v>45692</v>
      </c>
      <c r="C566">
        <v>45696</v>
      </c>
      <c r="D566" t="s">
        <v>1483</v>
      </c>
      <c r="E566" t="s">
        <v>1403</v>
      </c>
      <c r="F566">
        <v>4</v>
      </c>
      <c r="G566">
        <v>1</v>
      </c>
      <c r="H566" t="s">
        <v>78</v>
      </c>
      <c r="I566" t="s">
        <v>108</v>
      </c>
      <c r="J566" t="s">
        <v>228</v>
      </c>
      <c r="K566" t="s">
        <v>105</v>
      </c>
      <c r="L566" t="s">
        <v>40</v>
      </c>
      <c r="M566" t="s">
        <v>49</v>
      </c>
      <c r="N566" t="s">
        <v>35</v>
      </c>
      <c r="O566" t="s">
        <v>1229</v>
      </c>
      <c r="P566">
        <v>586.21</v>
      </c>
      <c r="Q566">
        <v>727.22</v>
      </c>
      <c r="R566">
        <v>6.8000000000000005E-2</v>
      </c>
      <c r="S566">
        <v>0</v>
      </c>
      <c r="T566">
        <v>15</v>
      </c>
      <c r="U566" t="s">
        <v>1480</v>
      </c>
      <c r="V566">
        <v>10166.535600000001</v>
      </c>
      <c r="W566">
        <v>8793.1500000000015</v>
      </c>
      <c r="X566">
        <v>1373.3855999999996</v>
      </c>
      <c r="Y566">
        <v>0.13508884973559721</v>
      </c>
    </row>
    <row r="567" spans="1:25" x14ac:dyDescent="0.3">
      <c r="A567" t="s">
        <v>1230</v>
      </c>
      <c r="B567">
        <v>45315</v>
      </c>
      <c r="C567">
        <v>45326</v>
      </c>
      <c r="D567" t="s">
        <v>1479</v>
      </c>
      <c r="E567" t="s">
        <v>1390</v>
      </c>
      <c r="F567">
        <v>11</v>
      </c>
      <c r="G567">
        <v>0</v>
      </c>
      <c r="H567" t="s">
        <v>78</v>
      </c>
      <c r="I567" t="s">
        <v>108</v>
      </c>
      <c r="J567" t="s">
        <v>228</v>
      </c>
      <c r="K567" t="s">
        <v>48</v>
      </c>
      <c r="L567" t="s">
        <v>20</v>
      </c>
      <c r="M567" t="s">
        <v>56</v>
      </c>
      <c r="N567" t="s">
        <v>57</v>
      </c>
      <c r="O567" t="s">
        <v>1231</v>
      </c>
      <c r="P567">
        <v>525.34</v>
      </c>
      <c r="Q567">
        <v>1233.79</v>
      </c>
      <c r="R567">
        <v>0.14299999999999999</v>
      </c>
      <c r="S567">
        <v>0</v>
      </c>
      <c r="T567">
        <v>4</v>
      </c>
      <c r="U567" t="s">
        <v>1485</v>
      </c>
      <c r="V567">
        <v>4229.4321199999995</v>
      </c>
      <c r="W567">
        <v>2101.36</v>
      </c>
      <c r="X567">
        <v>2128.0721199999994</v>
      </c>
      <c r="Y567">
        <v>0.50315788494082736</v>
      </c>
    </row>
    <row r="568" spans="1:25" x14ac:dyDescent="0.3">
      <c r="A568" t="s">
        <v>1232</v>
      </c>
      <c r="B568">
        <v>45330</v>
      </c>
      <c r="C568">
        <v>45331</v>
      </c>
      <c r="D568" t="s">
        <v>1479</v>
      </c>
      <c r="E568" t="s">
        <v>1391</v>
      </c>
      <c r="F568">
        <v>1</v>
      </c>
      <c r="G568">
        <v>1</v>
      </c>
      <c r="H568" t="s">
        <v>16</v>
      </c>
      <c r="I568" t="s">
        <v>17</v>
      </c>
      <c r="J568" t="s">
        <v>113</v>
      </c>
      <c r="K568" t="s">
        <v>19</v>
      </c>
      <c r="L568" t="s">
        <v>98</v>
      </c>
      <c r="M568" t="s">
        <v>84</v>
      </c>
      <c r="N568" t="s">
        <v>22</v>
      </c>
      <c r="O568" t="s">
        <v>1233</v>
      </c>
      <c r="P568">
        <v>1233.52</v>
      </c>
      <c r="Q568">
        <v>1543.76</v>
      </c>
      <c r="R568">
        <v>0.126</v>
      </c>
      <c r="S568">
        <v>0</v>
      </c>
      <c r="T568">
        <v>13</v>
      </c>
      <c r="U568" t="s">
        <v>1485</v>
      </c>
      <c r="V568">
        <v>17540.201120000002</v>
      </c>
      <c r="W568">
        <v>16035.76</v>
      </c>
      <c r="X568">
        <v>1504.4411200000013</v>
      </c>
      <c r="Y568">
        <v>8.5771030201277493E-2</v>
      </c>
    </row>
    <row r="569" spans="1:25" x14ac:dyDescent="0.3">
      <c r="A569" t="s">
        <v>1234</v>
      </c>
      <c r="B569">
        <v>45834</v>
      </c>
      <c r="C569">
        <v>45849</v>
      </c>
      <c r="D569" t="s">
        <v>1487</v>
      </c>
      <c r="E569" t="s">
        <v>1407</v>
      </c>
      <c r="F569">
        <v>15</v>
      </c>
      <c r="G569">
        <v>0</v>
      </c>
      <c r="H569" t="s">
        <v>16</v>
      </c>
      <c r="I569" t="s">
        <v>25</v>
      </c>
      <c r="J569" t="s">
        <v>26</v>
      </c>
      <c r="K569" t="s">
        <v>62</v>
      </c>
      <c r="L569" t="s">
        <v>28</v>
      </c>
      <c r="M569" t="s">
        <v>75</v>
      </c>
      <c r="N569" t="s">
        <v>57</v>
      </c>
      <c r="O569" t="s">
        <v>1235</v>
      </c>
      <c r="P569">
        <v>1170.1500000000001</v>
      </c>
      <c r="Q569">
        <v>2115.19</v>
      </c>
      <c r="R569">
        <v>9.1999999999999998E-2</v>
      </c>
      <c r="S569">
        <v>0</v>
      </c>
      <c r="T569">
        <v>23</v>
      </c>
      <c r="U569" t="s">
        <v>1474</v>
      </c>
      <c r="V569">
        <v>44173.627960000005</v>
      </c>
      <c r="W569">
        <v>26913.45</v>
      </c>
      <c r="X569">
        <v>17260.177960000005</v>
      </c>
      <c r="Y569">
        <v>0.39073489674946776</v>
      </c>
    </row>
    <row r="570" spans="1:25" x14ac:dyDescent="0.3">
      <c r="A570" t="s">
        <v>1236</v>
      </c>
      <c r="B570">
        <v>45600</v>
      </c>
      <c r="C570">
        <v>45603</v>
      </c>
      <c r="D570" t="s">
        <v>1481</v>
      </c>
      <c r="E570" t="s">
        <v>1400</v>
      </c>
      <c r="F570">
        <v>3</v>
      </c>
      <c r="G570">
        <v>1</v>
      </c>
      <c r="H570" t="s">
        <v>78</v>
      </c>
      <c r="I570" t="s">
        <v>90</v>
      </c>
      <c r="J570" t="s">
        <v>138</v>
      </c>
      <c r="K570" t="s">
        <v>19</v>
      </c>
      <c r="L570" t="s">
        <v>28</v>
      </c>
      <c r="M570" t="s">
        <v>68</v>
      </c>
      <c r="N570" t="s">
        <v>64</v>
      </c>
      <c r="O570" t="s">
        <v>1237</v>
      </c>
      <c r="P570">
        <v>740.68</v>
      </c>
      <c r="Q570">
        <v>1837.19</v>
      </c>
      <c r="R570">
        <v>0.19700000000000001</v>
      </c>
      <c r="S570">
        <v>0</v>
      </c>
      <c r="T570">
        <v>17</v>
      </c>
      <c r="U570" t="s">
        <v>1474</v>
      </c>
      <c r="V570">
        <v>25079.480689999997</v>
      </c>
      <c r="W570">
        <v>12591.56</v>
      </c>
      <c r="X570">
        <v>12487.920689999997</v>
      </c>
      <c r="Y570">
        <v>0.4979337827748298</v>
      </c>
    </row>
    <row r="571" spans="1:25" x14ac:dyDescent="0.3">
      <c r="A571" t="s">
        <v>1238</v>
      </c>
      <c r="B571">
        <v>45342</v>
      </c>
      <c r="C571">
        <v>45342</v>
      </c>
      <c r="D571" t="s">
        <v>1479</v>
      </c>
      <c r="E571" t="s">
        <v>1391</v>
      </c>
      <c r="F571">
        <v>0</v>
      </c>
      <c r="G571">
        <v>1</v>
      </c>
      <c r="H571" t="s">
        <v>52</v>
      </c>
      <c r="I571" t="s">
        <v>122</v>
      </c>
      <c r="J571" t="s">
        <v>387</v>
      </c>
      <c r="K571" t="s">
        <v>105</v>
      </c>
      <c r="L571" t="s">
        <v>28</v>
      </c>
      <c r="M571" t="s">
        <v>21</v>
      </c>
      <c r="N571" t="s">
        <v>35</v>
      </c>
      <c r="O571" t="s">
        <v>1239</v>
      </c>
      <c r="P571">
        <v>1407.05</v>
      </c>
      <c r="Q571">
        <v>2858.93</v>
      </c>
      <c r="R571">
        <v>0</v>
      </c>
      <c r="S571">
        <v>0</v>
      </c>
      <c r="T571">
        <v>12</v>
      </c>
      <c r="U571" t="s">
        <v>1474</v>
      </c>
      <c r="V571">
        <v>34307.159999999996</v>
      </c>
      <c r="W571">
        <v>16884.599999999999</v>
      </c>
      <c r="X571">
        <v>17422.559999999998</v>
      </c>
      <c r="Y571">
        <v>0.50784034586366222</v>
      </c>
    </row>
    <row r="572" spans="1:25" x14ac:dyDescent="0.3">
      <c r="A572" t="s">
        <v>1240</v>
      </c>
      <c r="B572">
        <v>45760</v>
      </c>
      <c r="C572">
        <v>45761</v>
      </c>
      <c r="D572" t="s">
        <v>1487</v>
      </c>
      <c r="E572" t="s">
        <v>1405</v>
      </c>
      <c r="F572">
        <v>1</v>
      </c>
      <c r="G572">
        <v>1</v>
      </c>
      <c r="H572" t="s">
        <v>45</v>
      </c>
      <c r="I572" t="s">
        <v>46</v>
      </c>
      <c r="J572" t="s">
        <v>47</v>
      </c>
      <c r="K572" t="s">
        <v>105</v>
      </c>
      <c r="L572" t="s">
        <v>28</v>
      </c>
      <c r="M572" t="s">
        <v>41</v>
      </c>
      <c r="N572" t="s">
        <v>22</v>
      </c>
      <c r="O572" t="s">
        <v>1241</v>
      </c>
      <c r="P572">
        <v>138.9</v>
      </c>
      <c r="Q572">
        <v>289.92</v>
      </c>
      <c r="R572">
        <v>2.9000000000000001E-2</v>
      </c>
      <c r="S572">
        <v>0</v>
      </c>
      <c r="T572">
        <v>12</v>
      </c>
      <c r="U572" t="s">
        <v>1480</v>
      </c>
      <c r="V572">
        <v>3378.1478400000001</v>
      </c>
      <c r="W572">
        <v>1666.8000000000002</v>
      </c>
      <c r="X572">
        <v>1711.3478399999999</v>
      </c>
      <c r="Y572">
        <v>0.50659353025828491</v>
      </c>
    </row>
    <row r="573" spans="1:25" x14ac:dyDescent="0.3">
      <c r="A573" t="s">
        <v>1242</v>
      </c>
      <c r="B573">
        <v>45078</v>
      </c>
      <c r="C573">
        <v>45078</v>
      </c>
      <c r="D573" t="s">
        <v>1490</v>
      </c>
      <c r="E573" t="s">
        <v>1383</v>
      </c>
      <c r="F573">
        <v>0</v>
      </c>
      <c r="G573">
        <v>1</v>
      </c>
      <c r="H573" t="s">
        <v>45</v>
      </c>
      <c r="I573" t="s">
        <v>60</v>
      </c>
      <c r="J573" t="s">
        <v>61</v>
      </c>
      <c r="K573" t="s">
        <v>19</v>
      </c>
      <c r="L573" t="s">
        <v>20</v>
      </c>
      <c r="M573" t="s">
        <v>63</v>
      </c>
      <c r="N573" t="s">
        <v>81</v>
      </c>
      <c r="O573" t="s">
        <v>1243</v>
      </c>
      <c r="P573">
        <v>669.37</v>
      </c>
      <c r="Q573">
        <v>997.2</v>
      </c>
      <c r="R573">
        <v>8.2000000000000003E-2</v>
      </c>
      <c r="S573">
        <v>0</v>
      </c>
      <c r="T573">
        <v>5</v>
      </c>
      <c r="U573" t="s">
        <v>1485</v>
      </c>
      <c r="V573">
        <v>4577.1480000000001</v>
      </c>
      <c r="W573">
        <v>3346.85</v>
      </c>
      <c r="X573">
        <v>1230.2980000000002</v>
      </c>
      <c r="Y573">
        <v>0.26879139586484863</v>
      </c>
    </row>
    <row r="574" spans="1:25" x14ac:dyDescent="0.3">
      <c r="A574" t="s">
        <v>1244</v>
      </c>
      <c r="B574">
        <v>45740</v>
      </c>
      <c r="C574">
        <v>45751</v>
      </c>
      <c r="D574" t="s">
        <v>1483</v>
      </c>
      <c r="E574" t="s">
        <v>1404</v>
      </c>
      <c r="F574">
        <v>11</v>
      </c>
      <c r="G574">
        <v>0</v>
      </c>
      <c r="H574" t="s">
        <v>45</v>
      </c>
      <c r="I574" t="s">
        <v>60</v>
      </c>
      <c r="J574" t="s">
        <v>220</v>
      </c>
      <c r="K574" t="s">
        <v>27</v>
      </c>
      <c r="L574" t="s">
        <v>40</v>
      </c>
      <c r="M574" t="s">
        <v>29</v>
      </c>
      <c r="N574" t="s">
        <v>42</v>
      </c>
      <c r="O574" t="s">
        <v>1245</v>
      </c>
      <c r="P574">
        <v>23.83</v>
      </c>
      <c r="Q574">
        <v>47.29</v>
      </c>
      <c r="R574">
        <v>6.4000000000000001E-2</v>
      </c>
      <c r="S574">
        <v>0</v>
      </c>
      <c r="T574">
        <v>19</v>
      </c>
      <c r="U574" t="s">
        <v>1480</v>
      </c>
      <c r="V574">
        <v>841.00536</v>
      </c>
      <c r="W574">
        <v>452.77</v>
      </c>
      <c r="X574">
        <v>388.23536000000001</v>
      </c>
      <c r="Y574">
        <v>0.46163244429262618</v>
      </c>
    </row>
    <row r="575" spans="1:25" x14ac:dyDescent="0.3">
      <c r="A575" t="s">
        <v>1246</v>
      </c>
      <c r="B575">
        <v>45293</v>
      </c>
      <c r="C575">
        <v>45293</v>
      </c>
      <c r="D575" t="s">
        <v>1479</v>
      </c>
      <c r="E575" t="s">
        <v>1390</v>
      </c>
      <c r="F575">
        <v>0</v>
      </c>
      <c r="G575">
        <v>1</v>
      </c>
      <c r="H575" t="s">
        <v>52</v>
      </c>
      <c r="I575" t="s">
        <v>53</v>
      </c>
      <c r="J575" t="s">
        <v>179</v>
      </c>
      <c r="K575" t="s">
        <v>27</v>
      </c>
      <c r="L575" t="s">
        <v>98</v>
      </c>
      <c r="M575" t="s">
        <v>75</v>
      </c>
      <c r="N575" t="s">
        <v>57</v>
      </c>
      <c r="O575" t="s">
        <v>1247</v>
      </c>
      <c r="P575">
        <v>444.41</v>
      </c>
      <c r="Q575">
        <v>754.24</v>
      </c>
      <c r="R575">
        <v>0.20699999999999999</v>
      </c>
      <c r="S575">
        <v>1</v>
      </c>
      <c r="T575">
        <v>32</v>
      </c>
      <c r="U575" t="s">
        <v>1480</v>
      </c>
      <c r="V575">
        <v>19139.594240000002</v>
      </c>
      <c r="W575">
        <v>14221.12</v>
      </c>
      <c r="X575">
        <v>4918.4742400000014</v>
      </c>
      <c r="Y575">
        <v>0.25697902360546598</v>
      </c>
    </row>
    <row r="576" spans="1:25" x14ac:dyDescent="0.3">
      <c r="A576" t="s">
        <v>1248</v>
      </c>
      <c r="B576">
        <v>45279</v>
      </c>
      <c r="C576">
        <v>45292</v>
      </c>
      <c r="D576" t="s">
        <v>1484</v>
      </c>
      <c r="E576" t="s">
        <v>1389</v>
      </c>
      <c r="F576">
        <v>13</v>
      </c>
      <c r="G576">
        <v>0</v>
      </c>
      <c r="H576" t="s">
        <v>52</v>
      </c>
      <c r="I576" t="s">
        <v>53</v>
      </c>
      <c r="J576" t="s">
        <v>54</v>
      </c>
      <c r="K576" t="s">
        <v>105</v>
      </c>
      <c r="L576" t="s">
        <v>20</v>
      </c>
      <c r="M576" t="s">
        <v>95</v>
      </c>
      <c r="N576" t="s">
        <v>64</v>
      </c>
      <c r="O576" t="s">
        <v>1249</v>
      </c>
      <c r="P576">
        <v>856.1</v>
      </c>
      <c r="Q576">
        <v>901.48</v>
      </c>
      <c r="R576">
        <v>5.6000000000000001E-2</v>
      </c>
      <c r="S576">
        <v>0</v>
      </c>
      <c r="T576">
        <v>17</v>
      </c>
      <c r="U576" t="s">
        <v>1485</v>
      </c>
      <c r="V576">
        <v>14466.95104</v>
      </c>
      <c r="W576">
        <v>14553.7</v>
      </c>
      <c r="X576">
        <v>-86.748960000000807</v>
      </c>
      <c r="Y576">
        <v>-5.9963540182134192E-3</v>
      </c>
    </row>
    <row r="577" spans="1:25" x14ac:dyDescent="0.3">
      <c r="A577" t="s">
        <v>1250</v>
      </c>
      <c r="B577">
        <v>45042</v>
      </c>
      <c r="C577">
        <v>45042</v>
      </c>
      <c r="D577" t="s">
        <v>1490</v>
      </c>
      <c r="E577" t="s">
        <v>1381</v>
      </c>
      <c r="F577">
        <v>0</v>
      </c>
      <c r="G577">
        <v>1</v>
      </c>
      <c r="H577" t="s">
        <v>78</v>
      </c>
      <c r="I577" t="s">
        <v>90</v>
      </c>
      <c r="J577" t="s">
        <v>91</v>
      </c>
      <c r="K577" t="s">
        <v>48</v>
      </c>
      <c r="L577" t="s">
        <v>98</v>
      </c>
      <c r="M577" t="s">
        <v>110</v>
      </c>
      <c r="N577" t="s">
        <v>22</v>
      </c>
      <c r="O577" t="s">
        <v>1251</v>
      </c>
      <c r="P577">
        <v>81.489999999999995</v>
      </c>
      <c r="Q577">
        <v>113.08</v>
      </c>
      <c r="R577">
        <v>0.121</v>
      </c>
      <c r="S577">
        <v>0</v>
      </c>
      <c r="T577">
        <v>5</v>
      </c>
      <c r="U577" t="s">
        <v>1480</v>
      </c>
      <c r="V577">
        <v>496.98660000000001</v>
      </c>
      <c r="W577">
        <v>407.45</v>
      </c>
      <c r="X577">
        <v>89.536600000000021</v>
      </c>
      <c r="Y577">
        <v>0.18015898215364362</v>
      </c>
    </row>
    <row r="578" spans="1:25" x14ac:dyDescent="0.3">
      <c r="A578" t="s">
        <v>1252</v>
      </c>
      <c r="B578">
        <v>45872</v>
      </c>
      <c r="C578">
        <v>45885</v>
      </c>
      <c r="D578" t="s">
        <v>1488</v>
      </c>
      <c r="E578" t="s">
        <v>1409</v>
      </c>
      <c r="F578">
        <v>13</v>
      </c>
      <c r="G578">
        <v>0</v>
      </c>
      <c r="H578" t="s">
        <v>52</v>
      </c>
      <c r="I578" t="s">
        <v>53</v>
      </c>
      <c r="J578" t="s">
        <v>144</v>
      </c>
      <c r="K578" t="s">
        <v>105</v>
      </c>
      <c r="L578" t="s">
        <v>55</v>
      </c>
      <c r="M578" t="s">
        <v>68</v>
      </c>
      <c r="N578" t="s">
        <v>35</v>
      </c>
      <c r="O578" t="s">
        <v>1253</v>
      </c>
      <c r="P578">
        <v>698.66</v>
      </c>
      <c r="Q578">
        <v>868.62</v>
      </c>
      <c r="R578">
        <v>7.1999999999999995E-2</v>
      </c>
      <c r="S578">
        <v>0</v>
      </c>
      <c r="T578">
        <v>15</v>
      </c>
      <c r="U578" t="s">
        <v>1485</v>
      </c>
      <c r="V578">
        <v>12091.190399999999</v>
      </c>
      <c r="W578">
        <v>10479.9</v>
      </c>
      <c r="X578">
        <v>1611.2903999999999</v>
      </c>
      <c r="Y578">
        <v>0.13326151906432637</v>
      </c>
    </row>
    <row r="579" spans="1:25" x14ac:dyDescent="0.3">
      <c r="A579" t="s">
        <v>1254</v>
      </c>
      <c r="B579">
        <v>45140</v>
      </c>
      <c r="C579">
        <v>45157</v>
      </c>
      <c r="D579" t="s">
        <v>1492</v>
      </c>
      <c r="E579" t="s">
        <v>1385</v>
      </c>
      <c r="F579">
        <v>17</v>
      </c>
      <c r="G579">
        <v>0</v>
      </c>
      <c r="H579" t="s">
        <v>52</v>
      </c>
      <c r="I579" t="s">
        <v>53</v>
      </c>
      <c r="J579" t="s">
        <v>179</v>
      </c>
      <c r="K579" t="s">
        <v>19</v>
      </c>
      <c r="L579" t="s">
        <v>28</v>
      </c>
      <c r="M579" t="s">
        <v>84</v>
      </c>
      <c r="N579" t="s">
        <v>35</v>
      </c>
      <c r="O579" t="s">
        <v>1255</v>
      </c>
      <c r="P579">
        <v>175.38</v>
      </c>
      <c r="Q579">
        <v>347.9</v>
      </c>
      <c r="R579">
        <v>7.1999999999999995E-2</v>
      </c>
      <c r="S579">
        <v>0</v>
      </c>
      <c r="T579">
        <v>43</v>
      </c>
      <c r="U579" t="s">
        <v>1480</v>
      </c>
      <c r="V579">
        <v>13882.6016</v>
      </c>
      <c r="W579">
        <v>7541.34</v>
      </c>
      <c r="X579">
        <v>6341.2615999999998</v>
      </c>
      <c r="Y579">
        <v>0.45677761148169804</v>
      </c>
    </row>
    <row r="580" spans="1:25" x14ac:dyDescent="0.3">
      <c r="A580" t="s">
        <v>1256</v>
      </c>
      <c r="B580">
        <v>45092</v>
      </c>
      <c r="C580">
        <v>45119</v>
      </c>
      <c r="D580" t="s">
        <v>1490</v>
      </c>
      <c r="E580" t="s">
        <v>1383</v>
      </c>
      <c r="F580">
        <v>27</v>
      </c>
      <c r="G580">
        <v>0</v>
      </c>
      <c r="H580" t="s">
        <v>78</v>
      </c>
      <c r="I580" t="s">
        <v>108</v>
      </c>
      <c r="J580" t="s">
        <v>228</v>
      </c>
      <c r="K580" t="s">
        <v>48</v>
      </c>
      <c r="L580" t="s">
        <v>98</v>
      </c>
      <c r="M580" t="s">
        <v>34</v>
      </c>
      <c r="N580" t="s">
        <v>81</v>
      </c>
      <c r="O580" t="s">
        <v>1257</v>
      </c>
      <c r="P580">
        <v>751.28</v>
      </c>
      <c r="Q580">
        <v>1111.8800000000001</v>
      </c>
      <c r="R580">
        <v>0.13500000000000001</v>
      </c>
      <c r="S580">
        <v>0</v>
      </c>
      <c r="T580">
        <v>7</v>
      </c>
      <c r="U580" t="s">
        <v>1485</v>
      </c>
      <c r="V580">
        <v>6732.4334000000008</v>
      </c>
      <c r="W580">
        <v>5258.96</v>
      </c>
      <c r="X580">
        <v>1473.4734000000008</v>
      </c>
      <c r="Y580">
        <v>0.21886193482433863</v>
      </c>
    </row>
    <row r="581" spans="1:25" x14ac:dyDescent="0.3">
      <c r="A581" t="s">
        <v>1258</v>
      </c>
      <c r="B581">
        <v>45607</v>
      </c>
      <c r="C581">
        <v>45620</v>
      </c>
      <c r="D581" t="s">
        <v>1481</v>
      </c>
      <c r="E581" t="s">
        <v>1400</v>
      </c>
      <c r="F581">
        <v>13</v>
      </c>
      <c r="G581">
        <v>0</v>
      </c>
      <c r="H581" t="s">
        <v>78</v>
      </c>
      <c r="I581" t="s">
        <v>108</v>
      </c>
      <c r="J581" t="s">
        <v>152</v>
      </c>
      <c r="K581" t="s">
        <v>19</v>
      </c>
      <c r="L581" t="s">
        <v>20</v>
      </c>
      <c r="M581" t="s">
        <v>63</v>
      </c>
      <c r="N581" t="s">
        <v>35</v>
      </c>
      <c r="O581" t="s">
        <v>1259</v>
      </c>
      <c r="P581">
        <v>164.53</v>
      </c>
      <c r="Q581">
        <v>327.72</v>
      </c>
      <c r="R581">
        <v>6.7000000000000004E-2</v>
      </c>
      <c r="S581">
        <v>0</v>
      </c>
      <c r="T581">
        <v>14</v>
      </c>
      <c r="U581" t="s">
        <v>1480</v>
      </c>
      <c r="V581">
        <v>4280.6786400000001</v>
      </c>
      <c r="W581">
        <v>2303.42</v>
      </c>
      <c r="X581">
        <v>1977.25864</v>
      </c>
      <c r="Y581">
        <v>0.46190307805960412</v>
      </c>
    </row>
    <row r="582" spans="1:25" x14ac:dyDescent="0.3">
      <c r="A582" t="s">
        <v>1260</v>
      </c>
      <c r="B582">
        <v>45849</v>
      </c>
      <c r="C582">
        <v>45872</v>
      </c>
      <c r="D582" t="s">
        <v>1488</v>
      </c>
      <c r="E582" t="s">
        <v>1408</v>
      </c>
      <c r="F582">
        <v>23</v>
      </c>
      <c r="G582">
        <v>0</v>
      </c>
      <c r="H582" t="s">
        <v>16</v>
      </c>
      <c r="I582" t="s">
        <v>17</v>
      </c>
      <c r="J582" t="s">
        <v>135</v>
      </c>
      <c r="K582" t="s">
        <v>62</v>
      </c>
      <c r="L582" t="s">
        <v>20</v>
      </c>
      <c r="M582" t="s">
        <v>21</v>
      </c>
      <c r="N582" t="s">
        <v>42</v>
      </c>
      <c r="O582" t="s">
        <v>1261</v>
      </c>
      <c r="P582">
        <v>389.93</v>
      </c>
      <c r="Q582">
        <v>486.13</v>
      </c>
      <c r="R582">
        <v>0.13200000000000001</v>
      </c>
      <c r="S582">
        <v>0</v>
      </c>
      <c r="T582">
        <v>17</v>
      </c>
      <c r="U582" t="s">
        <v>1480</v>
      </c>
      <c r="V582">
        <v>7173.3342799999991</v>
      </c>
      <c r="W582">
        <v>6628.81</v>
      </c>
      <c r="X582">
        <v>544.52427999999873</v>
      </c>
      <c r="Y582">
        <v>7.5909508569562828E-2</v>
      </c>
    </row>
    <row r="583" spans="1:25" x14ac:dyDescent="0.3">
      <c r="A583" t="s">
        <v>1262</v>
      </c>
      <c r="B583">
        <v>45080</v>
      </c>
      <c r="C583">
        <v>45108</v>
      </c>
      <c r="D583" t="s">
        <v>1490</v>
      </c>
      <c r="E583" t="s">
        <v>1383</v>
      </c>
      <c r="F583">
        <v>28</v>
      </c>
      <c r="G583">
        <v>0</v>
      </c>
      <c r="H583" t="s">
        <v>52</v>
      </c>
      <c r="I583" t="s">
        <v>73</v>
      </c>
      <c r="J583" t="s">
        <v>87</v>
      </c>
      <c r="K583" t="s">
        <v>62</v>
      </c>
      <c r="L583" t="s">
        <v>40</v>
      </c>
      <c r="M583" t="s">
        <v>75</v>
      </c>
      <c r="N583" t="s">
        <v>22</v>
      </c>
      <c r="O583" t="s">
        <v>1263</v>
      </c>
      <c r="P583">
        <v>860.4</v>
      </c>
      <c r="Q583">
        <v>2066.6</v>
      </c>
      <c r="R583">
        <v>0.01</v>
      </c>
      <c r="S583">
        <v>0</v>
      </c>
      <c r="T583">
        <v>3</v>
      </c>
      <c r="U583" t="s">
        <v>1474</v>
      </c>
      <c r="V583">
        <v>6137.8019999999988</v>
      </c>
      <c r="W583">
        <v>2581.1999999999998</v>
      </c>
      <c r="X583">
        <v>3556.601999999999</v>
      </c>
      <c r="Y583">
        <v>0.57945857491004105</v>
      </c>
    </row>
    <row r="584" spans="1:25" x14ac:dyDescent="0.3">
      <c r="A584" t="s">
        <v>1264</v>
      </c>
      <c r="B584">
        <v>44955</v>
      </c>
      <c r="C584">
        <v>44963</v>
      </c>
      <c r="D584" t="s">
        <v>1482</v>
      </c>
      <c r="E584" t="s">
        <v>1378</v>
      </c>
      <c r="F584">
        <v>8</v>
      </c>
      <c r="G584">
        <v>0</v>
      </c>
      <c r="H584" t="s">
        <v>52</v>
      </c>
      <c r="I584" t="s">
        <v>73</v>
      </c>
      <c r="J584" t="s">
        <v>87</v>
      </c>
      <c r="K584" t="s">
        <v>19</v>
      </c>
      <c r="L584" t="s">
        <v>40</v>
      </c>
      <c r="M584" t="s">
        <v>145</v>
      </c>
      <c r="N584" t="s">
        <v>64</v>
      </c>
      <c r="O584" t="s">
        <v>1265</v>
      </c>
      <c r="P584">
        <v>41.84</v>
      </c>
      <c r="Q584">
        <v>86.2</v>
      </c>
      <c r="R584">
        <v>0.22600000000000001</v>
      </c>
      <c r="S584">
        <v>1</v>
      </c>
      <c r="T584">
        <v>27</v>
      </c>
      <c r="U584" t="s">
        <v>1480</v>
      </c>
      <c r="V584">
        <v>1801.4076000000002</v>
      </c>
      <c r="W584">
        <v>1129.68</v>
      </c>
      <c r="X584">
        <v>671.72760000000017</v>
      </c>
      <c r="Y584">
        <v>0.37289039970742882</v>
      </c>
    </row>
    <row r="585" spans="1:25" x14ac:dyDescent="0.3">
      <c r="A585" t="s">
        <v>1266</v>
      </c>
      <c r="B585">
        <v>45541</v>
      </c>
      <c r="C585">
        <v>45548</v>
      </c>
      <c r="D585" t="s">
        <v>1491</v>
      </c>
      <c r="E585" t="s">
        <v>1494</v>
      </c>
      <c r="F585">
        <v>7</v>
      </c>
      <c r="G585">
        <v>1</v>
      </c>
      <c r="H585" t="s">
        <v>45</v>
      </c>
      <c r="I585" t="s">
        <v>46</v>
      </c>
      <c r="J585" t="s">
        <v>47</v>
      </c>
      <c r="K585" t="s">
        <v>19</v>
      </c>
      <c r="L585" t="s">
        <v>98</v>
      </c>
      <c r="M585" t="s">
        <v>75</v>
      </c>
      <c r="N585" t="s">
        <v>57</v>
      </c>
      <c r="O585" t="s">
        <v>1267</v>
      </c>
      <c r="P585">
        <v>1368.17</v>
      </c>
      <c r="Q585">
        <v>2307.75</v>
      </c>
      <c r="R585">
        <v>0.16300000000000001</v>
      </c>
      <c r="S585">
        <v>0</v>
      </c>
      <c r="T585">
        <v>21</v>
      </c>
      <c r="U585" t="s">
        <v>1474</v>
      </c>
      <c r="V585">
        <v>40563.321749999996</v>
      </c>
      <c r="W585">
        <v>28731.57</v>
      </c>
      <c r="X585">
        <v>11831.751749999996</v>
      </c>
      <c r="Y585">
        <v>0.29168596750831921</v>
      </c>
    </row>
    <row r="586" spans="1:25" x14ac:dyDescent="0.3">
      <c r="A586" t="s">
        <v>1268</v>
      </c>
      <c r="B586">
        <v>45507</v>
      </c>
      <c r="C586">
        <v>45513</v>
      </c>
      <c r="D586" t="s">
        <v>1491</v>
      </c>
      <c r="E586" t="s">
        <v>1397</v>
      </c>
      <c r="F586">
        <v>6</v>
      </c>
      <c r="G586">
        <v>1</v>
      </c>
      <c r="H586" t="s">
        <v>16</v>
      </c>
      <c r="I586" t="s">
        <v>17</v>
      </c>
      <c r="J586" t="s">
        <v>113</v>
      </c>
      <c r="K586" t="s">
        <v>48</v>
      </c>
      <c r="L586" t="s">
        <v>40</v>
      </c>
      <c r="M586" t="s">
        <v>92</v>
      </c>
      <c r="N586" t="s">
        <v>57</v>
      </c>
      <c r="O586" t="s">
        <v>1269</v>
      </c>
      <c r="P586">
        <v>643.21</v>
      </c>
      <c r="Q586">
        <v>1112.81</v>
      </c>
      <c r="R586">
        <v>0.14099999999999999</v>
      </c>
      <c r="S586">
        <v>0</v>
      </c>
      <c r="T586">
        <v>4</v>
      </c>
      <c r="U586" t="s">
        <v>1485</v>
      </c>
      <c r="V586">
        <v>3823.6151599999998</v>
      </c>
      <c r="W586">
        <v>2572.84</v>
      </c>
      <c r="X586">
        <v>1250.7751599999997</v>
      </c>
      <c r="Y586">
        <v>0.32711847496702562</v>
      </c>
    </row>
    <row r="587" spans="1:25" x14ac:dyDescent="0.3">
      <c r="A587" t="s">
        <v>1270</v>
      </c>
      <c r="B587">
        <v>45764</v>
      </c>
      <c r="C587">
        <v>45764</v>
      </c>
      <c r="D587" t="s">
        <v>1487</v>
      </c>
      <c r="E587" t="s">
        <v>1405</v>
      </c>
      <c r="F587">
        <v>0</v>
      </c>
      <c r="G587">
        <v>1</v>
      </c>
      <c r="H587" t="s">
        <v>52</v>
      </c>
      <c r="I587" t="s">
        <v>73</v>
      </c>
      <c r="J587" t="s">
        <v>74</v>
      </c>
      <c r="K587" t="s">
        <v>19</v>
      </c>
      <c r="L587" t="s">
        <v>55</v>
      </c>
      <c r="M587" t="s">
        <v>49</v>
      </c>
      <c r="N587" t="s">
        <v>42</v>
      </c>
      <c r="O587" t="s">
        <v>1271</v>
      </c>
      <c r="P587">
        <v>719.41</v>
      </c>
      <c r="Q587">
        <v>1125.99</v>
      </c>
      <c r="R587">
        <v>4.1000000000000002E-2</v>
      </c>
      <c r="S587">
        <v>0</v>
      </c>
      <c r="T587">
        <v>21</v>
      </c>
      <c r="U587" t="s">
        <v>1485</v>
      </c>
      <c r="V587">
        <v>22676.312610000001</v>
      </c>
      <c r="W587">
        <v>15107.609999999999</v>
      </c>
      <c r="X587">
        <v>7568.7026100000021</v>
      </c>
      <c r="Y587">
        <v>0.33377131194876403</v>
      </c>
    </row>
    <row r="588" spans="1:25" x14ac:dyDescent="0.3">
      <c r="A588" t="s">
        <v>1272</v>
      </c>
      <c r="B588">
        <v>45049</v>
      </c>
      <c r="C588">
        <v>45062</v>
      </c>
      <c r="D588" t="s">
        <v>1490</v>
      </c>
      <c r="E588" t="s">
        <v>1382</v>
      </c>
      <c r="F588">
        <v>13</v>
      </c>
      <c r="G588">
        <v>0</v>
      </c>
      <c r="H588" t="s">
        <v>52</v>
      </c>
      <c r="I588" t="s">
        <v>122</v>
      </c>
      <c r="J588" t="s">
        <v>387</v>
      </c>
      <c r="K588" t="s">
        <v>19</v>
      </c>
      <c r="L588" t="s">
        <v>40</v>
      </c>
      <c r="M588" t="s">
        <v>49</v>
      </c>
      <c r="N588" t="s">
        <v>42</v>
      </c>
      <c r="O588" t="s">
        <v>1273</v>
      </c>
      <c r="P588">
        <v>64.5</v>
      </c>
      <c r="Q588">
        <v>123.62</v>
      </c>
      <c r="R588">
        <v>0</v>
      </c>
      <c r="S588">
        <v>0</v>
      </c>
      <c r="T588">
        <v>3</v>
      </c>
      <c r="U588" t="s">
        <v>1480</v>
      </c>
      <c r="V588">
        <v>370.86</v>
      </c>
      <c r="W588">
        <v>193.5</v>
      </c>
      <c r="X588">
        <v>177.36</v>
      </c>
      <c r="Y588">
        <v>0.47823976702798904</v>
      </c>
    </row>
    <row r="589" spans="1:25" x14ac:dyDescent="0.3">
      <c r="A589" t="s">
        <v>1274</v>
      </c>
      <c r="B589">
        <v>45364</v>
      </c>
      <c r="C589">
        <v>45388</v>
      </c>
      <c r="D589" t="s">
        <v>1479</v>
      </c>
      <c r="E589" t="s">
        <v>1392</v>
      </c>
      <c r="F589">
        <v>24</v>
      </c>
      <c r="G589">
        <v>0</v>
      </c>
      <c r="H589" t="s">
        <v>16</v>
      </c>
      <c r="I589" t="s">
        <v>25</v>
      </c>
      <c r="J589" t="s">
        <v>67</v>
      </c>
      <c r="K589" t="s">
        <v>48</v>
      </c>
      <c r="L589" t="s">
        <v>55</v>
      </c>
      <c r="M589" t="s">
        <v>49</v>
      </c>
      <c r="N589" t="s">
        <v>22</v>
      </c>
      <c r="O589" t="s">
        <v>1275</v>
      </c>
      <c r="P589">
        <v>1232.78</v>
      </c>
      <c r="Q589">
        <v>1731.75</v>
      </c>
      <c r="R589">
        <v>9.2999999999999999E-2</v>
      </c>
      <c r="S589">
        <v>0</v>
      </c>
      <c r="T589">
        <v>16</v>
      </c>
      <c r="U589" t="s">
        <v>1474</v>
      </c>
      <c r="V589">
        <v>25131.155999999999</v>
      </c>
      <c r="W589">
        <v>19724.48</v>
      </c>
      <c r="X589">
        <v>5406.6759999999995</v>
      </c>
      <c r="Y589">
        <v>0.21513837246484005</v>
      </c>
    </row>
    <row r="590" spans="1:25" x14ac:dyDescent="0.3">
      <c r="A590" t="s">
        <v>1276</v>
      </c>
      <c r="B590">
        <v>45459</v>
      </c>
      <c r="C590">
        <v>45464</v>
      </c>
      <c r="D590" t="s">
        <v>1486</v>
      </c>
      <c r="E590" t="s">
        <v>1395</v>
      </c>
      <c r="F590">
        <v>5</v>
      </c>
      <c r="G590">
        <v>1</v>
      </c>
      <c r="H590" t="s">
        <v>45</v>
      </c>
      <c r="I590" t="s">
        <v>46</v>
      </c>
      <c r="J590" t="s">
        <v>214</v>
      </c>
      <c r="K590" t="s">
        <v>62</v>
      </c>
      <c r="L590" t="s">
        <v>55</v>
      </c>
      <c r="M590" t="s">
        <v>84</v>
      </c>
      <c r="N590" t="s">
        <v>42</v>
      </c>
      <c r="O590" t="s">
        <v>1277</v>
      </c>
      <c r="P590">
        <v>1367.13</v>
      </c>
      <c r="Q590">
        <v>3062.01</v>
      </c>
      <c r="R590">
        <v>0.10299999999999999</v>
      </c>
      <c r="S590">
        <v>0</v>
      </c>
      <c r="T590">
        <v>25</v>
      </c>
      <c r="U590" t="s">
        <v>1474</v>
      </c>
      <c r="V590">
        <v>68665.574250000005</v>
      </c>
      <c r="W590">
        <v>34178.25</v>
      </c>
      <c r="X590">
        <v>34487.324250000005</v>
      </c>
      <c r="Y590">
        <v>0.50225057645971705</v>
      </c>
    </row>
    <row r="591" spans="1:25" x14ac:dyDescent="0.3">
      <c r="A591" t="s">
        <v>1278</v>
      </c>
      <c r="B591">
        <v>45703</v>
      </c>
      <c r="C591">
        <v>45715</v>
      </c>
      <c r="D591" t="s">
        <v>1483</v>
      </c>
      <c r="E591" t="s">
        <v>1403</v>
      </c>
      <c r="F591">
        <v>12</v>
      </c>
      <c r="G591">
        <v>0</v>
      </c>
      <c r="H591" t="s">
        <v>78</v>
      </c>
      <c r="I591" t="s">
        <v>90</v>
      </c>
      <c r="J591" t="s">
        <v>138</v>
      </c>
      <c r="K591" t="s">
        <v>39</v>
      </c>
      <c r="L591" t="s">
        <v>98</v>
      </c>
      <c r="M591" t="s">
        <v>95</v>
      </c>
      <c r="N591" t="s">
        <v>81</v>
      </c>
      <c r="O591" t="s">
        <v>1279</v>
      </c>
      <c r="P591">
        <v>1027.26</v>
      </c>
      <c r="Q591">
        <v>2200.41</v>
      </c>
      <c r="R591">
        <v>8.7999999999999995E-2</v>
      </c>
      <c r="S591">
        <v>0</v>
      </c>
      <c r="T591">
        <v>6</v>
      </c>
      <c r="U591" t="s">
        <v>1474</v>
      </c>
      <c r="V591">
        <v>12040.64352</v>
      </c>
      <c r="W591">
        <v>6163.5599999999995</v>
      </c>
      <c r="X591">
        <v>5877.0835200000001</v>
      </c>
      <c r="Y591">
        <v>0.48810377204822358</v>
      </c>
    </row>
    <row r="592" spans="1:25" x14ac:dyDescent="0.3">
      <c r="A592" t="s">
        <v>1280</v>
      </c>
      <c r="B592">
        <v>45019</v>
      </c>
      <c r="C592">
        <v>45032</v>
      </c>
      <c r="D592" t="s">
        <v>1490</v>
      </c>
      <c r="E592" t="s">
        <v>1381</v>
      </c>
      <c r="F592">
        <v>13</v>
      </c>
      <c r="G592">
        <v>0</v>
      </c>
      <c r="H592" t="s">
        <v>78</v>
      </c>
      <c r="I592" t="s">
        <v>90</v>
      </c>
      <c r="J592" t="s">
        <v>91</v>
      </c>
      <c r="K592" t="s">
        <v>39</v>
      </c>
      <c r="L592" t="s">
        <v>40</v>
      </c>
      <c r="M592" t="s">
        <v>110</v>
      </c>
      <c r="N592" t="s">
        <v>81</v>
      </c>
      <c r="O592" t="s">
        <v>1281</v>
      </c>
      <c r="P592">
        <v>790.54</v>
      </c>
      <c r="Q592">
        <v>601.49</v>
      </c>
      <c r="R592">
        <v>0</v>
      </c>
      <c r="S592">
        <v>0</v>
      </c>
      <c r="T592">
        <v>15</v>
      </c>
      <c r="U592" t="s">
        <v>1480</v>
      </c>
      <c r="V592">
        <v>9022.35</v>
      </c>
      <c r="W592">
        <v>11858.099999999999</v>
      </c>
      <c r="X592">
        <v>-2835.7499999999982</v>
      </c>
      <c r="Y592">
        <v>-0.31430281467688553</v>
      </c>
    </row>
    <row r="593" spans="1:25" x14ac:dyDescent="0.3">
      <c r="A593" t="s">
        <v>1282</v>
      </c>
      <c r="B593">
        <v>45899</v>
      </c>
      <c r="C593">
        <v>45922</v>
      </c>
      <c r="D593" t="s">
        <v>1488</v>
      </c>
      <c r="E593" t="s">
        <v>1409</v>
      </c>
      <c r="F593">
        <v>23</v>
      </c>
      <c r="G593">
        <v>0</v>
      </c>
      <c r="H593" t="s">
        <v>78</v>
      </c>
      <c r="I593" t="s">
        <v>90</v>
      </c>
      <c r="J593" t="s">
        <v>91</v>
      </c>
      <c r="K593" t="s">
        <v>19</v>
      </c>
      <c r="L593" t="s">
        <v>98</v>
      </c>
      <c r="M593" t="s">
        <v>63</v>
      </c>
      <c r="N593" t="s">
        <v>22</v>
      </c>
      <c r="O593" t="s">
        <v>1283</v>
      </c>
      <c r="P593">
        <v>663.9</v>
      </c>
      <c r="Q593">
        <v>947.77</v>
      </c>
      <c r="R593">
        <v>0.17399999999999999</v>
      </c>
      <c r="S593">
        <v>0</v>
      </c>
      <c r="T593">
        <v>15</v>
      </c>
      <c r="U593" t="s">
        <v>1485</v>
      </c>
      <c r="V593">
        <v>11742.8703</v>
      </c>
      <c r="W593">
        <v>9958.5</v>
      </c>
      <c r="X593">
        <v>1784.3703000000005</v>
      </c>
      <c r="Y593">
        <v>0.1519535049280073</v>
      </c>
    </row>
    <row r="594" spans="1:25" x14ac:dyDescent="0.3">
      <c r="A594" t="s">
        <v>1284</v>
      </c>
      <c r="B594">
        <v>44984</v>
      </c>
      <c r="C594">
        <v>44991</v>
      </c>
      <c r="D594" t="s">
        <v>1482</v>
      </c>
      <c r="E594" t="s">
        <v>1379</v>
      </c>
      <c r="F594">
        <v>7</v>
      </c>
      <c r="G594">
        <v>1</v>
      </c>
      <c r="H594" t="s">
        <v>52</v>
      </c>
      <c r="I594" t="s">
        <v>122</v>
      </c>
      <c r="J594" t="s">
        <v>167</v>
      </c>
      <c r="K594" t="s">
        <v>39</v>
      </c>
      <c r="L594" t="s">
        <v>28</v>
      </c>
      <c r="M594" t="s">
        <v>49</v>
      </c>
      <c r="N594" t="s">
        <v>35</v>
      </c>
      <c r="O594" t="s">
        <v>1285</v>
      </c>
      <c r="P594">
        <v>1015.91</v>
      </c>
      <c r="Q594">
        <v>2331.48</v>
      </c>
      <c r="R594">
        <v>0.14599999999999999</v>
      </c>
      <c r="S594">
        <v>0</v>
      </c>
      <c r="T594">
        <v>26</v>
      </c>
      <c r="U594" t="s">
        <v>1474</v>
      </c>
      <c r="V594">
        <v>51768.181920000003</v>
      </c>
      <c r="W594">
        <v>26413.66</v>
      </c>
      <c r="X594">
        <v>25354.521920000003</v>
      </c>
      <c r="Y594">
        <v>0.48977037592669626</v>
      </c>
    </row>
    <row r="595" spans="1:25" x14ac:dyDescent="0.3">
      <c r="A595" t="s">
        <v>1286</v>
      </c>
      <c r="B595">
        <v>45504</v>
      </c>
      <c r="C595">
        <v>45519</v>
      </c>
      <c r="D595" t="s">
        <v>1491</v>
      </c>
      <c r="E595" t="s">
        <v>1396</v>
      </c>
      <c r="F595">
        <v>15</v>
      </c>
      <c r="G595">
        <v>0</v>
      </c>
      <c r="H595" t="s">
        <v>45</v>
      </c>
      <c r="I595" t="s">
        <v>46</v>
      </c>
      <c r="J595" t="s">
        <v>214</v>
      </c>
      <c r="K595" t="s">
        <v>19</v>
      </c>
      <c r="L595" t="s">
        <v>40</v>
      </c>
      <c r="M595" t="s">
        <v>84</v>
      </c>
      <c r="N595" t="s">
        <v>64</v>
      </c>
      <c r="O595" t="s">
        <v>1287</v>
      </c>
      <c r="P595">
        <v>1252.52</v>
      </c>
      <c r="Q595">
        <v>1417.24</v>
      </c>
      <c r="R595">
        <v>0.192</v>
      </c>
      <c r="S595">
        <v>0</v>
      </c>
      <c r="T595">
        <v>5</v>
      </c>
      <c r="U595" t="s">
        <v>1485</v>
      </c>
      <c r="V595">
        <v>5725.6496000000006</v>
      </c>
      <c r="W595">
        <v>6262.6</v>
      </c>
      <c r="X595">
        <v>-536.95039999999972</v>
      </c>
      <c r="Y595">
        <v>-9.3779821943696953E-2</v>
      </c>
    </row>
    <row r="596" spans="1:25" x14ac:dyDescent="0.3">
      <c r="A596" t="s">
        <v>1288</v>
      </c>
      <c r="B596">
        <v>45823</v>
      </c>
      <c r="C596">
        <v>45850</v>
      </c>
      <c r="D596" t="s">
        <v>1487</v>
      </c>
      <c r="E596" t="s">
        <v>1407</v>
      </c>
      <c r="F596">
        <v>27</v>
      </c>
      <c r="G596">
        <v>0</v>
      </c>
      <c r="H596" t="s">
        <v>78</v>
      </c>
      <c r="I596" t="s">
        <v>90</v>
      </c>
      <c r="J596" t="s">
        <v>91</v>
      </c>
      <c r="K596" t="s">
        <v>48</v>
      </c>
      <c r="L596" t="s">
        <v>98</v>
      </c>
      <c r="M596" t="s">
        <v>21</v>
      </c>
      <c r="N596" t="s">
        <v>81</v>
      </c>
      <c r="O596" t="s">
        <v>1289</v>
      </c>
      <c r="P596">
        <v>318.83</v>
      </c>
      <c r="Q596">
        <v>699.5</v>
      </c>
      <c r="R596">
        <v>0.08</v>
      </c>
      <c r="S596">
        <v>0</v>
      </c>
      <c r="T596">
        <v>13</v>
      </c>
      <c r="U596" t="s">
        <v>1480</v>
      </c>
      <c r="V596">
        <v>8366.02</v>
      </c>
      <c r="W596">
        <v>4144.79</v>
      </c>
      <c r="X596">
        <v>4221.2300000000005</v>
      </c>
      <c r="Y596">
        <v>0.50456848059172699</v>
      </c>
    </row>
    <row r="597" spans="1:25" x14ac:dyDescent="0.3">
      <c r="A597" t="s">
        <v>1290</v>
      </c>
      <c r="B597">
        <v>45473</v>
      </c>
      <c r="C597">
        <v>45494</v>
      </c>
      <c r="D597" t="s">
        <v>1486</v>
      </c>
      <c r="E597" t="s">
        <v>1395</v>
      </c>
      <c r="F597">
        <v>21</v>
      </c>
      <c r="G597">
        <v>0</v>
      </c>
      <c r="H597" t="s">
        <v>16</v>
      </c>
      <c r="I597" t="s">
        <v>17</v>
      </c>
      <c r="J597" t="s">
        <v>18</v>
      </c>
      <c r="K597" t="s">
        <v>62</v>
      </c>
      <c r="L597" t="s">
        <v>20</v>
      </c>
      <c r="M597" t="s">
        <v>95</v>
      </c>
      <c r="N597" t="s">
        <v>57</v>
      </c>
      <c r="O597" t="s">
        <v>1291</v>
      </c>
      <c r="P597">
        <v>753.43</v>
      </c>
      <c r="Q597">
        <v>1787.2</v>
      </c>
      <c r="R597">
        <v>7.2999999999999995E-2</v>
      </c>
      <c r="S597">
        <v>0</v>
      </c>
      <c r="T597">
        <v>9</v>
      </c>
      <c r="U597" t="s">
        <v>1474</v>
      </c>
      <c r="V597">
        <v>14910.609600000002</v>
      </c>
      <c r="W597">
        <v>6780.87</v>
      </c>
      <c r="X597">
        <v>8129.7396000000017</v>
      </c>
      <c r="Y597">
        <v>0.54523187301476939</v>
      </c>
    </row>
    <row r="598" spans="1:25" x14ac:dyDescent="0.3">
      <c r="A598" t="s">
        <v>1292</v>
      </c>
      <c r="B598">
        <v>45705</v>
      </c>
      <c r="C598">
        <v>45712</v>
      </c>
      <c r="D598" t="s">
        <v>1483</v>
      </c>
      <c r="E598" t="s">
        <v>1403</v>
      </c>
      <c r="F598">
        <v>7</v>
      </c>
      <c r="G598">
        <v>1</v>
      </c>
      <c r="H598" t="s">
        <v>52</v>
      </c>
      <c r="I598" t="s">
        <v>53</v>
      </c>
      <c r="J598" t="s">
        <v>54</v>
      </c>
      <c r="K598" t="s">
        <v>62</v>
      </c>
      <c r="L598" t="s">
        <v>20</v>
      </c>
      <c r="M598" t="s">
        <v>145</v>
      </c>
      <c r="N598" t="s">
        <v>22</v>
      </c>
      <c r="O598" t="s">
        <v>1293</v>
      </c>
      <c r="P598">
        <v>1133.47</v>
      </c>
      <c r="Q598">
        <v>1698.75</v>
      </c>
      <c r="R598">
        <v>4.2999999999999997E-2</v>
      </c>
      <c r="S598">
        <v>0</v>
      </c>
      <c r="T598">
        <v>5</v>
      </c>
      <c r="U598" t="s">
        <v>1474</v>
      </c>
      <c r="V598">
        <v>8128.5187499999993</v>
      </c>
      <c r="W598">
        <v>5667.35</v>
      </c>
      <c r="X598">
        <v>2461.1687499999989</v>
      </c>
      <c r="Y598">
        <v>0.30278194904821976</v>
      </c>
    </row>
    <row r="599" spans="1:25" x14ac:dyDescent="0.3">
      <c r="A599" t="s">
        <v>1294</v>
      </c>
      <c r="B599">
        <v>44933</v>
      </c>
      <c r="C599">
        <v>44956</v>
      </c>
      <c r="D599" t="s">
        <v>1482</v>
      </c>
      <c r="E599" t="s">
        <v>1378</v>
      </c>
      <c r="F599">
        <v>23</v>
      </c>
      <c r="G599">
        <v>0</v>
      </c>
      <c r="H599" t="s">
        <v>16</v>
      </c>
      <c r="I599" t="s">
        <v>148</v>
      </c>
      <c r="J599" t="s">
        <v>258</v>
      </c>
      <c r="K599" t="s">
        <v>48</v>
      </c>
      <c r="L599" t="s">
        <v>28</v>
      </c>
      <c r="M599" t="s">
        <v>75</v>
      </c>
      <c r="N599" t="s">
        <v>30</v>
      </c>
      <c r="O599" t="s">
        <v>1295</v>
      </c>
      <c r="P599">
        <v>299.02</v>
      </c>
      <c r="Q599">
        <v>724.7</v>
      </c>
      <c r="R599">
        <v>0.14000000000000001</v>
      </c>
      <c r="S599">
        <v>0</v>
      </c>
      <c r="T599">
        <v>5</v>
      </c>
      <c r="U599" t="s">
        <v>1480</v>
      </c>
      <c r="V599">
        <v>3116.21</v>
      </c>
      <c r="W599">
        <v>1495.1</v>
      </c>
      <c r="X599">
        <v>1621.1100000000001</v>
      </c>
      <c r="Y599">
        <v>0.52021847051386139</v>
      </c>
    </row>
    <row r="600" spans="1:25" x14ac:dyDescent="0.3">
      <c r="A600" t="s">
        <v>1296</v>
      </c>
      <c r="B600">
        <v>45726</v>
      </c>
      <c r="C600">
        <v>45751</v>
      </c>
      <c r="D600" t="s">
        <v>1483</v>
      </c>
      <c r="E600" t="s">
        <v>1404</v>
      </c>
      <c r="F600">
        <v>25</v>
      </c>
      <c r="G600">
        <v>0</v>
      </c>
      <c r="H600" t="s">
        <v>45</v>
      </c>
      <c r="I600" t="s">
        <v>46</v>
      </c>
      <c r="J600" t="s">
        <v>47</v>
      </c>
      <c r="K600" t="s">
        <v>19</v>
      </c>
      <c r="L600" t="s">
        <v>98</v>
      </c>
      <c r="M600" t="s">
        <v>92</v>
      </c>
      <c r="N600" t="s">
        <v>30</v>
      </c>
      <c r="O600" t="s">
        <v>1297</v>
      </c>
      <c r="P600">
        <v>783.72</v>
      </c>
      <c r="Q600">
        <v>1355.94</v>
      </c>
      <c r="R600">
        <v>0.187</v>
      </c>
      <c r="S600">
        <v>0</v>
      </c>
      <c r="T600">
        <v>4</v>
      </c>
      <c r="U600" t="s">
        <v>1485</v>
      </c>
      <c r="V600">
        <v>4409.5168800000001</v>
      </c>
      <c r="W600">
        <v>3134.88</v>
      </c>
      <c r="X600">
        <v>1274.63688</v>
      </c>
      <c r="Y600">
        <v>0.28906497348525856</v>
      </c>
    </row>
    <row r="601" spans="1:25" x14ac:dyDescent="0.3">
      <c r="A601" t="s">
        <v>1298</v>
      </c>
      <c r="B601">
        <v>45521</v>
      </c>
      <c r="C601">
        <v>45528</v>
      </c>
      <c r="D601" t="s">
        <v>1491</v>
      </c>
      <c r="E601" t="s">
        <v>1397</v>
      </c>
      <c r="F601">
        <v>7</v>
      </c>
      <c r="G601">
        <v>1</v>
      </c>
      <c r="H601" t="s">
        <v>52</v>
      </c>
      <c r="I601" t="s">
        <v>73</v>
      </c>
      <c r="J601" t="s">
        <v>225</v>
      </c>
      <c r="K601" t="s">
        <v>48</v>
      </c>
      <c r="L601" t="s">
        <v>98</v>
      </c>
      <c r="M601" t="s">
        <v>110</v>
      </c>
      <c r="N601" t="s">
        <v>64</v>
      </c>
      <c r="O601" t="s">
        <v>1299</v>
      </c>
      <c r="P601">
        <v>165.3</v>
      </c>
      <c r="Q601">
        <v>275.07</v>
      </c>
      <c r="R601">
        <v>0.13300000000000001</v>
      </c>
      <c r="S601">
        <v>0</v>
      </c>
      <c r="T601">
        <v>25</v>
      </c>
      <c r="U601" t="s">
        <v>1480</v>
      </c>
      <c r="V601">
        <v>5962.1422499999999</v>
      </c>
      <c r="W601">
        <v>4132.5</v>
      </c>
      <c r="X601">
        <v>1829.6422499999999</v>
      </c>
      <c r="Y601">
        <v>0.30687665159280625</v>
      </c>
    </row>
    <row r="602" spans="1:25" x14ac:dyDescent="0.3">
      <c r="A602" t="s">
        <v>1300</v>
      </c>
      <c r="B602">
        <v>45360</v>
      </c>
      <c r="C602">
        <v>45373</v>
      </c>
      <c r="D602" t="s">
        <v>1479</v>
      </c>
      <c r="E602" t="s">
        <v>1392</v>
      </c>
      <c r="F602">
        <v>13</v>
      </c>
      <c r="G602">
        <v>0</v>
      </c>
      <c r="H602" t="s">
        <v>78</v>
      </c>
      <c r="I602" t="s">
        <v>108</v>
      </c>
      <c r="J602" t="s">
        <v>228</v>
      </c>
      <c r="K602" t="s">
        <v>48</v>
      </c>
      <c r="L602" t="s">
        <v>28</v>
      </c>
      <c r="M602" t="s">
        <v>63</v>
      </c>
      <c r="N602" t="s">
        <v>57</v>
      </c>
      <c r="O602" t="s">
        <v>1301</v>
      </c>
      <c r="P602">
        <v>985.45</v>
      </c>
      <c r="Q602">
        <v>1802.44</v>
      </c>
      <c r="R602">
        <v>8.9999999999999993E-3</v>
      </c>
      <c r="S602">
        <v>0</v>
      </c>
      <c r="T602">
        <v>19</v>
      </c>
      <c r="U602" t="s">
        <v>1474</v>
      </c>
      <c r="V602">
        <v>33938.142760000002</v>
      </c>
      <c r="W602">
        <v>18723.55</v>
      </c>
      <c r="X602">
        <v>15214.592760000003</v>
      </c>
      <c r="Y602">
        <v>0.44830363486867486</v>
      </c>
    </row>
    <row r="603" spans="1:25" x14ac:dyDescent="0.3">
      <c r="A603" t="s">
        <v>1302</v>
      </c>
      <c r="B603">
        <v>45523</v>
      </c>
      <c r="C603">
        <v>45537</v>
      </c>
      <c r="D603" t="s">
        <v>1491</v>
      </c>
      <c r="E603" t="s">
        <v>1397</v>
      </c>
      <c r="F603">
        <v>14</v>
      </c>
      <c r="G603">
        <v>0</v>
      </c>
      <c r="H603" t="s">
        <v>52</v>
      </c>
      <c r="I603" t="s">
        <v>53</v>
      </c>
      <c r="J603" t="s">
        <v>54</v>
      </c>
      <c r="K603" t="s">
        <v>48</v>
      </c>
      <c r="L603" t="s">
        <v>55</v>
      </c>
      <c r="M603" t="s">
        <v>21</v>
      </c>
      <c r="N603" t="s">
        <v>30</v>
      </c>
      <c r="O603" t="s">
        <v>1303</v>
      </c>
      <c r="P603">
        <v>1337.01</v>
      </c>
      <c r="Q603">
        <v>1269.78</v>
      </c>
      <c r="R603">
        <v>0.16</v>
      </c>
      <c r="S603">
        <v>0</v>
      </c>
      <c r="T603">
        <v>7</v>
      </c>
      <c r="U603" t="s">
        <v>1485</v>
      </c>
      <c r="V603">
        <v>7466.3063999999986</v>
      </c>
      <c r="W603">
        <v>9359.07</v>
      </c>
      <c r="X603">
        <v>-1892.7636000000011</v>
      </c>
      <c r="Y603">
        <v>-0.25350735672996244</v>
      </c>
    </row>
    <row r="604" spans="1:25" x14ac:dyDescent="0.3">
      <c r="A604" t="s">
        <v>1304</v>
      </c>
      <c r="B604">
        <v>45880</v>
      </c>
      <c r="C604">
        <v>45897</v>
      </c>
      <c r="D604" t="s">
        <v>1488</v>
      </c>
      <c r="E604" t="s">
        <v>1409</v>
      </c>
      <c r="F604">
        <v>17</v>
      </c>
      <c r="G604">
        <v>0</v>
      </c>
      <c r="H604" t="s">
        <v>78</v>
      </c>
      <c r="I604" t="s">
        <v>90</v>
      </c>
      <c r="J604" t="s">
        <v>217</v>
      </c>
      <c r="K604" t="s">
        <v>27</v>
      </c>
      <c r="L604" t="s">
        <v>28</v>
      </c>
      <c r="M604" t="s">
        <v>84</v>
      </c>
      <c r="N604" t="s">
        <v>35</v>
      </c>
      <c r="O604" t="s">
        <v>1305</v>
      </c>
      <c r="P604">
        <v>416.16</v>
      </c>
      <c r="Q604">
        <v>571.9</v>
      </c>
      <c r="R604">
        <v>7.0999999999999994E-2</v>
      </c>
      <c r="S604">
        <v>0</v>
      </c>
      <c r="T604">
        <v>2</v>
      </c>
      <c r="U604" t="s">
        <v>1480</v>
      </c>
      <c r="V604">
        <v>1062.5902000000001</v>
      </c>
      <c r="W604">
        <v>832.32</v>
      </c>
      <c r="X604">
        <v>230.27020000000005</v>
      </c>
      <c r="Y604">
        <v>0.21670649701079497</v>
      </c>
    </row>
    <row r="605" spans="1:25" x14ac:dyDescent="0.3">
      <c r="A605" t="s">
        <v>1306</v>
      </c>
      <c r="B605">
        <v>45793</v>
      </c>
      <c r="C605">
        <v>45795</v>
      </c>
      <c r="D605" t="s">
        <v>1487</v>
      </c>
      <c r="E605" t="s">
        <v>1406</v>
      </c>
      <c r="F605">
        <v>2</v>
      </c>
      <c r="G605">
        <v>1</v>
      </c>
      <c r="H605" t="s">
        <v>45</v>
      </c>
      <c r="I605" t="s">
        <v>46</v>
      </c>
      <c r="J605" t="s">
        <v>214</v>
      </c>
      <c r="K605" t="s">
        <v>105</v>
      </c>
      <c r="L605" t="s">
        <v>20</v>
      </c>
      <c r="M605" t="s">
        <v>29</v>
      </c>
      <c r="N605" t="s">
        <v>30</v>
      </c>
      <c r="O605" t="s">
        <v>1307</v>
      </c>
      <c r="P605">
        <v>1144.3800000000001</v>
      </c>
      <c r="Q605">
        <v>2755.04</v>
      </c>
      <c r="R605">
        <v>0.15</v>
      </c>
      <c r="S605">
        <v>0</v>
      </c>
      <c r="T605">
        <v>17</v>
      </c>
      <c r="U605" t="s">
        <v>1474</v>
      </c>
      <c r="V605">
        <v>39810.328000000001</v>
      </c>
      <c r="W605">
        <v>19454.460000000003</v>
      </c>
      <c r="X605">
        <v>20355.867999999999</v>
      </c>
      <c r="Y605">
        <v>0.51132128326096682</v>
      </c>
    </row>
    <row r="606" spans="1:25" x14ac:dyDescent="0.3">
      <c r="A606" t="s">
        <v>1308</v>
      </c>
      <c r="B606">
        <v>45026</v>
      </c>
      <c r="C606">
        <v>45041</v>
      </c>
      <c r="D606" t="s">
        <v>1490</v>
      </c>
      <c r="E606" t="s">
        <v>1381</v>
      </c>
      <c r="F606">
        <v>15</v>
      </c>
      <c r="G606">
        <v>0</v>
      </c>
      <c r="H606" t="s">
        <v>78</v>
      </c>
      <c r="I606" t="s">
        <v>108</v>
      </c>
      <c r="J606" t="s">
        <v>152</v>
      </c>
      <c r="K606" t="s">
        <v>62</v>
      </c>
      <c r="L606" t="s">
        <v>20</v>
      </c>
      <c r="M606" t="s">
        <v>145</v>
      </c>
      <c r="N606" t="s">
        <v>30</v>
      </c>
      <c r="O606" t="s">
        <v>1309</v>
      </c>
      <c r="P606">
        <v>405.66</v>
      </c>
      <c r="Q606">
        <v>962.51</v>
      </c>
      <c r="R606">
        <v>0.19</v>
      </c>
      <c r="S606">
        <v>0</v>
      </c>
      <c r="T606">
        <v>7</v>
      </c>
      <c r="U606" t="s">
        <v>1485</v>
      </c>
      <c r="V606">
        <v>5457.4317000000001</v>
      </c>
      <c r="W606">
        <v>2839.6200000000003</v>
      </c>
      <c r="X606">
        <v>2617.8116999999997</v>
      </c>
      <c r="Y606">
        <v>0.47967832561239376</v>
      </c>
    </row>
    <row r="607" spans="1:25" x14ac:dyDescent="0.3">
      <c r="A607" t="s">
        <v>1310</v>
      </c>
      <c r="B607">
        <v>45186</v>
      </c>
      <c r="C607">
        <v>45201</v>
      </c>
      <c r="D607" t="s">
        <v>1492</v>
      </c>
      <c r="E607" t="s">
        <v>1493</v>
      </c>
      <c r="F607">
        <v>15</v>
      </c>
      <c r="G607">
        <v>0</v>
      </c>
      <c r="H607" t="s">
        <v>52</v>
      </c>
      <c r="I607" t="s">
        <v>73</v>
      </c>
      <c r="J607" t="s">
        <v>225</v>
      </c>
      <c r="K607" t="s">
        <v>62</v>
      </c>
      <c r="L607" t="s">
        <v>20</v>
      </c>
      <c r="M607" t="s">
        <v>56</v>
      </c>
      <c r="N607" t="s">
        <v>57</v>
      </c>
      <c r="O607" t="s">
        <v>1311</v>
      </c>
      <c r="P607">
        <v>689.33</v>
      </c>
      <c r="Q607">
        <v>668.27</v>
      </c>
      <c r="R607">
        <v>0.186</v>
      </c>
      <c r="S607">
        <v>0</v>
      </c>
      <c r="T607">
        <v>13</v>
      </c>
      <c r="U607" t="s">
        <v>1480</v>
      </c>
      <c r="V607">
        <v>7071.6331400000008</v>
      </c>
      <c r="W607">
        <v>8961.2900000000009</v>
      </c>
      <c r="X607">
        <v>-1889.6568600000001</v>
      </c>
      <c r="Y607">
        <v>-0.26721647214861033</v>
      </c>
    </row>
    <row r="608" spans="1:25" x14ac:dyDescent="0.3">
      <c r="A608" t="s">
        <v>1312</v>
      </c>
      <c r="B608">
        <v>45038</v>
      </c>
      <c r="C608">
        <v>45060</v>
      </c>
      <c r="D608" t="s">
        <v>1490</v>
      </c>
      <c r="E608" t="s">
        <v>1381</v>
      </c>
      <c r="F608">
        <v>22</v>
      </c>
      <c r="G608">
        <v>0</v>
      </c>
      <c r="H608" t="s">
        <v>45</v>
      </c>
      <c r="I608" t="s">
        <v>46</v>
      </c>
      <c r="J608" t="s">
        <v>231</v>
      </c>
      <c r="K608" t="s">
        <v>105</v>
      </c>
      <c r="L608" t="s">
        <v>20</v>
      </c>
      <c r="M608" t="s">
        <v>75</v>
      </c>
      <c r="N608" t="s">
        <v>81</v>
      </c>
      <c r="O608" t="s">
        <v>1313</v>
      </c>
      <c r="P608">
        <v>1209.22</v>
      </c>
      <c r="Q608">
        <v>1404.33</v>
      </c>
      <c r="R608">
        <v>0.10299999999999999</v>
      </c>
      <c r="S608">
        <v>0</v>
      </c>
      <c r="T608">
        <v>11</v>
      </c>
      <c r="U608" t="s">
        <v>1485</v>
      </c>
      <c r="V608">
        <v>13856.52411</v>
      </c>
      <c r="W608">
        <v>13301.42</v>
      </c>
      <c r="X608">
        <v>555.10411000000022</v>
      </c>
      <c r="Y608">
        <v>4.0060848275751328E-2</v>
      </c>
    </row>
    <row r="609" spans="1:25" x14ac:dyDescent="0.3">
      <c r="A609" t="s">
        <v>1314</v>
      </c>
      <c r="B609">
        <v>45827</v>
      </c>
      <c r="C609">
        <v>45829</v>
      </c>
      <c r="D609" t="s">
        <v>1487</v>
      </c>
      <c r="E609" t="s">
        <v>1407</v>
      </c>
      <c r="F609">
        <v>2</v>
      </c>
      <c r="G609">
        <v>1</v>
      </c>
      <c r="H609" t="s">
        <v>16</v>
      </c>
      <c r="I609" t="s">
        <v>148</v>
      </c>
      <c r="J609" t="s">
        <v>149</v>
      </c>
      <c r="K609" t="s">
        <v>62</v>
      </c>
      <c r="L609" t="s">
        <v>55</v>
      </c>
      <c r="M609" t="s">
        <v>92</v>
      </c>
      <c r="N609" t="s">
        <v>42</v>
      </c>
      <c r="O609" t="s">
        <v>1315</v>
      </c>
      <c r="P609">
        <v>1466.27</v>
      </c>
      <c r="Q609">
        <v>3589.89</v>
      </c>
      <c r="R609">
        <v>9.7000000000000003E-2</v>
      </c>
      <c r="S609">
        <v>0</v>
      </c>
      <c r="T609">
        <v>9</v>
      </c>
      <c r="U609" t="s">
        <v>1474</v>
      </c>
      <c r="V609">
        <v>29175.036029999999</v>
      </c>
      <c r="W609">
        <v>13196.43</v>
      </c>
      <c r="X609">
        <v>15978.606029999999</v>
      </c>
      <c r="Y609">
        <v>0.54768076425234147</v>
      </c>
    </row>
    <row r="610" spans="1:25" x14ac:dyDescent="0.3">
      <c r="A610" t="s">
        <v>1316</v>
      </c>
      <c r="B610">
        <v>45623</v>
      </c>
      <c r="C610">
        <v>45650</v>
      </c>
      <c r="D610" t="s">
        <v>1481</v>
      </c>
      <c r="E610" t="s">
        <v>1400</v>
      </c>
      <c r="F610">
        <v>27</v>
      </c>
      <c r="G610">
        <v>0</v>
      </c>
      <c r="H610" t="s">
        <v>16</v>
      </c>
      <c r="I610" t="s">
        <v>17</v>
      </c>
      <c r="J610" t="s">
        <v>113</v>
      </c>
      <c r="K610" t="s">
        <v>19</v>
      </c>
      <c r="L610" t="s">
        <v>55</v>
      </c>
      <c r="M610" t="s">
        <v>56</v>
      </c>
      <c r="N610" t="s">
        <v>30</v>
      </c>
      <c r="O610" t="s">
        <v>1317</v>
      </c>
      <c r="P610">
        <v>143.33000000000001</v>
      </c>
      <c r="Q610">
        <v>233.51</v>
      </c>
      <c r="R610">
        <v>0.16300000000000001</v>
      </c>
      <c r="S610">
        <v>0</v>
      </c>
      <c r="T610">
        <v>14</v>
      </c>
      <c r="U610" t="s">
        <v>1480</v>
      </c>
      <c r="V610">
        <v>2736.27018</v>
      </c>
      <c r="W610">
        <v>2006.6200000000001</v>
      </c>
      <c r="X610">
        <v>729.65017999999986</v>
      </c>
      <c r="Y610">
        <v>0.26665867476580835</v>
      </c>
    </row>
    <row r="611" spans="1:25" x14ac:dyDescent="0.3">
      <c r="A611" t="s">
        <v>1318</v>
      </c>
      <c r="B611">
        <v>45319</v>
      </c>
      <c r="C611">
        <v>45326</v>
      </c>
      <c r="D611" t="s">
        <v>1479</v>
      </c>
      <c r="E611" t="s">
        <v>1390</v>
      </c>
      <c r="F611">
        <v>7</v>
      </c>
      <c r="G611">
        <v>1</v>
      </c>
      <c r="H611" t="s">
        <v>16</v>
      </c>
      <c r="I611" t="s">
        <v>148</v>
      </c>
      <c r="J611" t="s">
        <v>258</v>
      </c>
      <c r="K611" t="s">
        <v>105</v>
      </c>
      <c r="L611" t="s">
        <v>98</v>
      </c>
      <c r="M611" t="s">
        <v>68</v>
      </c>
      <c r="N611" t="s">
        <v>22</v>
      </c>
      <c r="O611" t="s">
        <v>1319</v>
      </c>
      <c r="P611">
        <v>109.75</v>
      </c>
      <c r="Q611">
        <v>124.25</v>
      </c>
      <c r="R611">
        <v>0.12</v>
      </c>
      <c r="S611">
        <v>0</v>
      </c>
      <c r="T611">
        <v>19</v>
      </c>
      <c r="U611" t="s">
        <v>1480</v>
      </c>
      <c r="V611">
        <v>2077.46</v>
      </c>
      <c r="W611">
        <v>2085.25</v>
      </c>
      <c r="X611">
        <v>-7.7899999999999636</v>
      </c>
      <c r="Y611">
        <v>-3.7497713554051405E-3</v>
      </c>
    </row>
    <row r="612" spans="1:25" x14ac:dyDescent="0.3">
      <c r="A612" t="s">
        <v>1320</v>
      </c>
      <c r="B612">
        <v>45032</v>
      </c>
      <c r="C612">
        <v>45039</v>
      </c>
      <c r="D612" t="s">
        <v>1490</v>
      </c>
      <c r="E612" t="s">
        <v>1381</v>
      </c>
      <c r="F612">
        <v>7</v>
      </c>
      <c r="G612">
        <v>1</v>
      </c>
      <c r="H612" t="s">
        <v>52</v>
      </c>
      <c r="I612" t="s">
        <v>122</v>
      </c>
      <c r="J612" t="s">
        <v>326</v>
      </c>
      <c r="K612" t="s">
        <v>19</v>
      </c>
      <c r="L612" t="s">
        <v>55</v>
      </c>
      <c r="M612" t="s">
        <v>68</v>
      </c>
      <c r="N612" t="s">
        <v>30</v>
      </c>
      <c r="O612" t="s">
        <v>1321</v>
      </c>
      <c r="P612">
        <v>1099.1500000000001</v>
      </c>
      <c r="Q612">
        <v>1431.37</v>
      </c>
      <c r="R612">
        <v>0.104</v>
      </c>
      <c r="S612">
        <v>0</v>
      </c>
      <c r="T612">
        <v>8</v>
      </c>
      <c r="U612" t="s">
        <v>1485</v>
      </c>
      <c r="V612">
        <v>10260.060159999999</v>
      </c>
      <c r="W612">
        <v>8793.2000000000007</v>
      </c>
      <c r="X612">
        <v>1466.8601599999984</v>
      </c>
      <c r="Y612">
        <v>0.14296798821109433</v>
      </c>
    </row>
    <row r="613" spans="1:25" x14ac:dyDescent="0.3">
      <c r="A613" t="s">
        <v>1322</v>
      </c>
      <c r="B613">
        <v>45323</v>
      </c>
      <c r="C613">
        <v>45323</v>
      </c>
      <c r="D613" t="s">
        <v>1479</v>
      </c>
      <c r="E613" t="s">
        <v>1391</v>
      </c>
      <c r="F613">
        <v>0</v>
      </c>
      <c r="G613">
        <v>1</v>
      </c>
      <c r="H613" t="s">
        <v>52</v>
      </c>
      <c r="I613" t="s">
        <v>122</v>
      </c>
      <c r="J613" t="s">
        <v>326</v>
      </c>
      <c r="K613" t="s">
        <v>48</v>
      </c>
      <c r="L613" t="s">
        <v>55</v>
      </c>
      <c r="M613" t="s">
        <v>92</v>
      </c>
      <c r="N613" t="s">
        <v>30</v>
      </c>
      <c r="O613" t="s">
        <v>1323</v>
      </c>
      <c r="P613">
        <v>714.43</v>
      </c>
      <c r="Q613">
        <v>1595.52</v>
      </c>
      <c r="R613">
        <v>0.19400000000000001</v>
      </c>
      <c r="S613">
        <v>0</v>
      </c>
      <c r="T613">
        <v>14</v>
      </c>
      <c r="U613" t="s">
        <v>1485</v>
      </c>
      <c r="V613">
        <v>18003.847679999999</v>
      </c>
      <c r="W613">
        <v>10002.019999999999</v>
      </c>
      <c r="X613">
        <v>8001.8276800000003</v>
      </c>
      <c r="Y613">
        <v>0.44445097638151093</v>
      </c>
    </row>
    <row r="614" spans="1:25" x14ac:dyDescent="0.3">
      <c r="A614" t="s">
        <v>1324</v>
      </c>
      <c r="B614">
        <v>45584</v>
      </c>
      <c r="C614">
        <v>45602</v>
      </c>
      <c r="D614" t="s">
        <v>1481</v>
      </c>
      <c r="E614" t="s">
        <v>1399</v>
      </c>
      <c r="F614">
        <v>18</v>
      </c>
      <c r="G614">
        <v>0</v>
      </c>
      <c r="H614" t="s">
        <v>52</v>
      </c>
      <c r="I614" t="s">
        <v>122</v>
      </c>
      <c r="J614" t="s">
        <v>123</v>
      </c>
      <c r="K614" t="s">
        <v>27</v>
      </c>
      <c r="L614" t="s">
        <v>40</v>
      </c>
      <c r="M614" t="s">
        <v>21</v>
      </c>
      <c r="N614" t="s">
        <v>64</v>
      </c>
      <c r="O614" t="s">
        <v>1325</v>
      </c>
      <c r="P614">
        <v>942.02</v>
      </c>
      <c r="Q614">
        <v>1028.46</v>
      </c>
      <c r="R614">
        <v>0</v>
      </c>
      <c r="S614">
        <v>0</v>
      </c>
      <c r="T614">
        <v>9</v>
      </c>
      <c r="U614" t="s">
        <v>1485</v>
      </c>
      <c r="V614">
        <v>9256.14</v>
      </c>
      <c r="W614">
        <v>8478.18</v>
      </c>
      <c r="X614">
        <v>777.95999999999913</v>
      </c>
      <c r="Y614">
        <v>8.4047994088248354E-2</v>
      </c>
    </row>
    <row r="615" spans="1:25" x14ac:dyDescent="0.3">
      <c r="A615" t="s">
        <v>1326</v>
      </c>
      <c r="B615">
        <v>45468</v>
      </c>
      <c r="C615">
        <v>45473</v>
      </c>
      <c r="D615" t="s">
        <v>1486</v>
      </c>
      <c r="E615" t="s">
        <v>1395</v>
      </c>
      <c r="F615">
        <v>5</v>
      </c>
      <c r="G615">
        <v>1</v>
      </c>
      <c r="H615" t="s">
        <v>16</v>
      </c>
      <c r="I615" t="s">
        <v>17</v>
      </c>
      <c r="J615" t="s">
        <v>18</v>
      </c>
      <c r="K615" t="s">
        <v>27</v>
      </c>
      <c r="L615" t="s">
        <v>98</v>
      </c>
      <c r="M615" t="s">
        <v>110</v>
      </c>
      <c r="N615" t="s">
        <v>35</v>
      </c>
      <c r="O615" t="s">
        <v>1327</v>
      </c>
      <c r="P615">
        <v>1323.55</v>
      </c>
      <c r="Q615">
        <v>3230.35</v>
      </c>
      <c r="R615">
        <v>2.1999999999999999E-2</v>
      </c>
      <c r="S615">
        <v>0</v>
      </c>
      <c r="T615">
        <v>26</v>
      </c>
      <c r="U615" t="s">
        <v>1474</v>
      </c>
      <c r="V615">
        <v>82141.339799999987</v>
      </c>
      <c r="W615">
        <v>34412.299999999996</v>
      </c>
      <c r="X615">
        <v>47729.039799999991</v>
      </c>
      <c r="Y615">
        <v>0.58105991351263542</v>
      </c>
    </row>
    <row r="616" spans="1:25" x14ac:dyDescent="0.3">
      <c r="A616" t="s">
        <v>1328</v>
      </c>
      <c r="B616">
        <v>45137</v>
      </c>
      <c r="C616">
        <v>45157</v>
      </c>
      <c r="D616" t="s">
        <v>1492</v>
      </c>
      <c r="E616" t="s">
        <v>1384</v>
      </c>
      <c r="F616">
        <v>20</v>
      </c>
      <c r="G616">
        <v>0</v>
      </c>
      <c r="H616" t="s">
        <v>78</v>
      </c>
      <c r="I616" t="s">
        <v>90</v>
      </c>
      <c r="J616" t="s">
        <v>217</v>
      </c>
      <c r="K616" t="s">
        <v>105</v>
      </c>
      <c r="L616" t="s">
        <v>40</v>
      </c>
      <c r="M616" t="s">
        <v>41</v>
      </c>
      <c r="N616" t="s">
        <v>35</v>
      </c>
      <c r="O616" t="s">
        <v>1329</v>
      </c>
      <c r="P616">
        <v>1418.51</v>
      </c>
      <c r="Q616">
        <v>2789.61</v>
      </c>
      <c r="R616">
        <v>0.17100000000000001</v>
      </c>
      <c r="S616">
        <v>0</v>
      </c>
      <c r="T616">
        <v>8</v>
      </c>
      <c r="U616" t="s">
        <v>1474</v>
      </c>
      <c r="V616">
        <v>18500.693520000001</v>
      </c>
      <c r="W616">
        <v>11348.08</v>
      </c>
      <c r="X616">
        <v>7152.6135200000008</v>
      </c>
      <c r="Y616">
        <v>0.38661326464695689</v>
      </c>
    </row>
    <row r="617" spans="1:25" x14ac:dyDescent="0.3">
      <c r="A617" t="s">
        <v>1330</v>
      </c>
      <c r="B617">
        <v>45727</v>
      </c>
      <c r="C617">
        <v>45743</v>
      </c>
      <c r="D617" t="s">
        <v>1483</v>
      </c>
      <c r="E617" t="s">
        <v>1404</v>
      </c>
      <c r="F617">
        <v>16</v>
      </c>
      <c r="G617">
        <v>0</v>
      </c>
      <c r="H617" t="s">
        <v>45</v>
      </c>
      <c r="I617" t="s">
        <v>46</v>
      </c>
      <c r="J617" t="s">
        <v>214</v>
      </c>
      <c r="K617" t="s">
        <v>105</v>
      </c>
      <c r="L617" t="s">
        <v>55</v>
      </c>
      <c r="M617" t="s">
        <v>56</v>
      </c>
      <c r="N617" t="s">
        <v>30</v>
      </c>
      <c r="O617" t="s">
        <v>1331</v>
      </c>
      <c r="P617">
        <v>1317.58</v>
      </c>
      <c r="Q617">
        <v>1897.74</v>
      </c>
      <c r="R617">
        <v>8.1000000000000003E-2</v>
      </c>
      <c r="S617">
        <v>0</v>
      </c>
      <c r="T617">
        <v>6</v>
      </c>
      <c r="U617" t="s">
        <v>1474</v>
      </c>
      <c r="V617">
        <v>10464.138360000001</v>
      </c>
      <c r="W617">
        <v>7905.48</v>
      </c>
      <c r="X617">
        <v>2558.6583600000013</v>
      </c>
      <c r="Y617">
        <v>0.24451687009230266</v>
      </c>
    </row>
    <row r="618" spans="1:25" x14ac:dyDescent="0.3">
      <c r="A618" t="s">
        <v>1332</v>
      </c>
      <c r="B618">
        <v>45208</v>
      </c>
      <c r="C618">
        <v>45210</v>
      </c>
      <c r="D618" t="s">
        <v>1484</v>
      </c>
      <c r="E618" t="s">
        <v>1387</v>
      </c>
      <c r="F618">
        <v>2</v>
      </c>
      <c r="G618">
        <v>1</v>
      </c>
      <c r="H618" t="s">
        <v>16</v>
      </c>
      <c r="I618" t="s">
        <v>25</v>
      </c>
      <c r="J618" t="s">
        <v>26</v>
      </c>
      <c r="K618" t="s">
        <v>27</v>
      </c>
      <c r="L618" t="s">
        <v>40</v>
      </c>
      <c r="M618" t="s">
        <v>95</v>
      </c>
      <c r="N618" t="s">
        <v>35</v>
      </c>
      <c r="O618" t="s">
        <v>1333</v>
      </c>
      <c r="P618">
        <v>391.16</v>
      </c>
      <c r="Q618">
        <v>902.47</v>
      </c>
      <c r="R618">
        <v>4.0000000000000001E-3</v>
      </c>
      <c r="S618">
        <v>0</v>
      </c>
      <c r="T618">
        <v>12</v>
      </c>
      <c r="U618" t="s">
        <v>1485</v>
      </c>
      <c r="V618">
        <v>10786.32144</v>
      </c>
      <c r="W618">
        <v>4693.92</v>
      </c>
      <c r="X618">
        <v>6092.4014399999996</v>
      </c>
      <c r="Y618">
        <v>0.56482661618139207</v>
      </c>
    </row>
    <row r="619" spans="1:25" x14ac:dyDescent="0.3">
      <c r="A619" t="s">
        <v>1334</v>
      </c>
      <c r="B619">
        <v>45643</v>
      </c>
      <c r="C619">
        <v>45673</v>
      </c>
      <c r="D619" t="s">
        <v>1481</v>
      </c>
      <c r="E619" t="s">
        <v>1401</v>
      </c>
      <c r="F619">
        <v>30</v>
      </c>
      <c r="G619">
        <v>0</v>
      </c>
      <c r="H619" t="s">
        <v>78</v>
      </c>
      <c r="I619" t="s">
        <v>108</v>
      </c>
      <c r="J619" t="s">
        <v>228</v>
      </c>
      <c r="K619" t="s">
        <v>19</v>
      </c>
      <c r="L619" t="s">
        <v>20</v>
      </c>
      <c r="M619" t="s">
        <v>145</v>
      </c>
      <c r="N619" t="s">
        <v>64</v>
      </c>
      <c r="O619" t="s">
        <v>1335</v>
      </c>
      <c r="P619">
        <v>722.87</v>
      </c>
      <c r="Q619">
        <v>33.659999999999997</v>
      </c>
      <c r="R619">
        <v>0.10199999999999999</v>
      </c>
      <c r="S619">
        <v>0</v>
      </c>
      <c r="T619">
        <v>28</v>
      </c>
      <c r="U619" t="s">
        <v>1480</v>
      </c>
      <c r="V619">
        <v>846.34703999999988</v>
      </c>
      <c r="W619">
        <v>20240.36</v>
      </c>
      <c r="X619">
        <v>-19394.01296</v>
      </c>
      <c r="Y619">
        <v>-22.914965189693348</v>
      </c>
    </row>
    <row r="620" spans="1:25" x14ac:dyDescent="0.3">
      <c r="A620" t="s">
        <v>1336</v>
      </c>
      <c r="B620">
        <v>45849</v>
      </c>
      <c r="C620">
        <v>45854</v>
      </c>
      <c r="D620" t="s">
        <v>1488</v>
      </c>
      <c r="E620" t="s">
        <v>1408</v>
      </c>
      <c r="F620">
        <v>5</v>
      </c>
      <c r="G620">
        <v>1</v>
      </c>
      <c r="H620" t="s">
        <v>78</v>
      </c>
      <c r="I620" t="s">
        <v>108</v>
      </c>
      <c r="J620" t="s">
        <v>152</v>
      </c>
      <c r="K620" t="s">
        <v>105</v>
      </c>
      <c r="L620" t="s">
        <v>28</v>
      </c>
      <c r="M620" t="s">
        <v>95</v>
      </c>
      <c r="N620" t="s">
        <v>30</v>
      </c>
      <c r="O620" t="s">
        <v>1337</v>
      </c>
      <c r="P620">
        <v>930.03</v>
      </c>
      <c r="Q620">
        <v>1086.68</v>
      </c>
      <c r="R620">
        <v>0.109</v>
      </c>
      <c r="S620">
        <v>0</v>
      </c>
      <c r="T620">
        <v>26</v>
      </c>
      <c r="U620" t="s">
        <v>1485</v>
      </c>
      <c r="V620">
        <v>25174.028880000002</v>
      </c>
      <c r="W620">
        <v>24180.78</v>
      </c>
      <c r="X620">
        <v>993.24888000000283</v>
      </c>
      <c r="Y620">
        <v>3.9455300728168656E-2</v>
      </c>
    </row>
    <row r="621" spans="1:25" x14ac:dyDescent="0.3">
      <c r="A621" t="s">
        <v>1338</v>
      </c>
      <c r="B621">
        <v>45578</v>
      </c>
      <c r="C621">
        <v>45589</v>
      </c>
      <c r="D621" t="s">
        <v>1481</v>
      </c>
      <c r="E621" t="s">
        <v>1399</v>
      </c>
      <c r="F621">
        <v>11</v>
      </c>
      <c r="G621">
        <v>0</v>
      </c>
      <c r="H621" t="s">
        <v>78</v>
      </c>
      <c r="I621" t="s">
        <v>90</v>
      </c>
      <c r="J621" t="s">
        <v>217</v>
      </c>
      <c r="K621" t="s">
        <v>27</v>
      </c>
      <c r="L621" t="s">
        <v>55</v>
      </c>
      <c r="M621" t="s">
        <v>84</v>
      </c>
      <c r="N621" t="s">
        <v>22</v>
      </c>
      <c r="O621" t="s">
        <v>1339</v>
      </c>
      <c r="P621">
        <v>816.7</v>
      </c>
      <c r="Q621">
        <v>1010.75</v>
      </c>
      <c r="R621">
        <v>4.7E-2</v>
      </c>
      <c r="S621">
        <v>0</v>
      </c>
      <c r="T621">
        <v>43</v>
      </c>
      <c r="U621" t="s">
        <v>1485</v>
      </c>
      <c r="V621">
        <v>41419.524249999995</v>
      </c>
      <c r="W621">
        <v>35118.1</v>
      </c>
      <c r="X621">
        <v>6301.4242499999964</v>
      </c>
      <c r="Y621">
        <v>0.15213656757537472</v>
      </c>
    </row>
    <row r="622" spans="1:25" x14ac:dyDescent="0.3">
      <c r="A622" t="s">
        <v>1340</v>
      </c>
      <c r="B622">
        <v>45177</v>
      </c>
      <c r="C622">
        <v>45183</v>
      </c>
      <c r="D622" t="s">
        <v>1492</v>
      </c>
      <c r="E622" t="s">
        <v>1493</v>
      </c>
      <c r="F622">
        <v>6</v>
      </c>
      <c r="G622">
        <v>1</v>
      </c>
      <c r="H622" t="s">
        <v>16</v>
      </c>
      <c r="I622" t="s">
        <v>17</v>
      </c>
      <c r="J622" t="s">
        <v>135</v>
      </c>
      <c r="K622" t="s">
        <v>27</v>
      </c>
      <c r="L622" t="s">
        <v>98</v>
      </c>
      <c r="M622" t="s">
        <v>34</v>
      </c>
      <c r="N622" t="s">
        <v>81</v>
      </c>
      <c r="O622" t="s">
        <v>1341</v>
      </c>
      <c r="P622">
        <v>251.03</v>
      </c>
      <c r="Q622">
        <v>411.48</v>
      </c>
      <c r="R622">
        <v>0.16500000000000001</v>
      </c>
      <c r="S622">
        <v>0</v>
      </c>
      <c r="T622">
        <v>3</v>
      </c>
      <c r="U622" t="s">
        <v>1480</v>
      </c>
      <c r="V622">
        <v>1030.7574</v>
      </c>
      <c r="W622">
        <v>753.09</v>
      </c>
      <c r="X622">
        <v>277.66739999999993</v>
      </c>
      <c r="Y622">
        <v>0.26938191275658069</v>
      </c>
    </row>
    <row r="623" spans="1:25" x14ac:dyDescent="0.3">
      <c r="A623" t="s">
        <v>1342</v>
      </c>
      <c r="B623">
        <v>45764</v>
      </c>
      <c r="C623">
        <v>45780</v>
      </c>
      <c r="D623" t="s">
        <v>1487</v>
      </c>
      <c r="E623" t="s">
        <v>1405</v>
      </c>
      <c r="F623">
        <v>16</v>
      </c>
      <c r="G623">
        <v>0</v>
      </c>
      <c r="H623" t="s">
        <v>52</v>
      </c>
      <c r="I623" t="s">
        <v>73</v>
      </c>
      <c r="J623" t="s">
        <v>225</v>
      </c>
      <c r="K623" t="s">
        <v>48</v>
      </c>
      <c r="L623" t="s">
        <v>40</v>
      </c>
      <c r="M623" t="s">
        <v>29</v>
      </c>
      <c r="N623" t="s">
        <v>35</v>
      </c>
      <c r="O623" t="s">
        <v>1343</v>
      </c>
      <c r="P623">
        <v>168.68</v>
      </c>
      <c r="Q623">
        <v>413.34</v>
      </c>
      <c r="R623">
        <v>0.186</v>
      </c>
      <c r="S623">
        <v>0</v>
      </c>
      <c r="T623">
        <v>7</v>
      </c>
      <c r="U623" t="s">
        <v>1480</v>
      </c>
      <c r="V623">
        <v>2355.2113199999999</v>
      </c>
      <c r="W623">
        <v>1180.76</v>
      </c>
      <c r="X623">
        <v>1174.4513199999999</v>
      </c>
      <c r="Y623">
        <v>0.49866069767361682</v>
      </c>
    </row>
    <row r="624" spans="1:25" x14ac:dyDescent="0.3">
      <c r="A624" t="s">
        <v>1344</v>
      </c>
      <c r="B624">
        <v>45501</v>
      </c>
      <c r="C624">
        <v>45527</v>
      </c>
      <c r="D624" t="s">
        <v>1491</v>
      </c>
      <c r="E624" t="s">
        <v>1396</v>
      </c>
      <c r="F624">
        <v>26</v>
      </c>
      <c r="G624">
        <v>0</v>
      </c>
      <c r="H624" t="s">
        <v>45</v>
      </c>
      <c r="I624" t="s">
        <v>60</v>
      </c>
      <c r="J624" t="s">
        <v>281</v>
      </c>
      <c r="K624" t="s">
        <v>19</v>
      </c>
      <c r="L624" t="s">
        <v>20</v>
      </c>
      <c r="M624" t="s">
        <v>29</v>
      </c>
      <c r="N624" t="s">
        <v>35</v>
      </c>
      <c r="O624" t="s">
        <v>1345</v>
      </c>
      <c r="P624">
        <v>1339.24</v>
      </c>
      <c r="Q624">
        <v>1558.89</v>
      </c>
      <c r="R624">
        <v>0.192</v>
      </c>
      <c r="S624">
        <v>0</v>
      </c>
      <c r="T624">
        <v>24</v>
      </c>
      <c r="U624" t="s">
        <v>1485</v>
      </c>
      <c r="V624">
        <v>30229.994880000002</v>
      </c>
      <c r="W624">
        <v>32141.760000000002</v>
      </c>
      <c r="X624">
        <v>-1911.76512</v>
      </c>
      <c r="Y624">
        <v>-6.3240669659021781E-2</v>
      </c>
    </row>
    <row r="625" spans="1:25" x14ac:dyDescent="0.3">
      <c r="A625" t="s">
        <v>1346</v>
      </c>
      <c r="B625">
        <v>45857</v>
      </c>
      <c r="C625">
        <v>45869</v>
      </c>
      <c r="D625" t="s">
        <v>1488</v>
      </c>
      <c r="E625" t="s">
        <v>1408</v>
      </c>
      <c r="F625">
        <v>12</v>
      </c>
      <c r="G625">
        <v>0</v>
      </c>
      <c r="H625" t="s">
        <v>16</v>
      </c>
      <c r="I625" t="s">
        <v>17</v>
      </c>
      <c r="J625" t="s">
        <v>33</v>
      </c>
      <c r="K625" t="s">
        <v>62</v>
      </c>
      <c r="L625" t="s">
        <v>40</v>
      </c>
      <c r="M625" t="s">
        <v>68</v>
      </c>
      <c r="N625" t="s">
        <v>81</v>
      </c>
      <c r="O625" t="s">
        <v>1347</v>
      </c>
      <c r="P625">
        <v>619.64</v>
      </c>
      <c r="Q625">
        <v>861.16</v>
      </c>
      <c r="R625">
        <v>0.113</v>
      </c>
      <c r="S625">
        <v>0</v>
      </c>
      <c r="T625">
        <v>14</v>
      </c>
      <c r="U625" t="s">
        <v>1480</v>
      </c>
      <c r="V625">
        <v>10693.88488</v>
      </c>
      <c r="W625">
        <v>8674.9599999999991</v>
      </c>
      <c r="X625">
        <v>2018.9248800000005</v>
      </c>
      <c r="Y625">
        <v>0.18879246435276761</v>
      </c>
    </row>
    <row r="626" spans="1:25" x14ac:dyDescent="0.3">
      <c r="A626" t="s">
        <v>1348</v>
      </c>
      <c r="B626">
        <v>45141</v>
      </c>
      <c r="C626">
        <v>45148</v>
      </c>
      <c r="D626" t="s">
        <v>1492</v>
      </c>
      <c r="E626" t="s">
        <v>1385</v>
      </c>
      <c r="F626">
        <v>7</v>
      </c>
      <c r="G626">
        <v>1</v>
      </c>
      <c r="H626" t="s">
        <v>45</v>
      </c>
      <c r="I626" t="s">
        <v>116</v>
      </c>
      <c r="J626" t="s">
        <v>162</v>
      </c>
      <c r="K626" t="s">
        <v>39</v>
      </c>
      <c r="L626" t="s">
        <v>98</v>
      </c>
      <c r="M626" t="s">
        <v>29</v>
      </c>
      <c r="N626" t="s">
        <v>35</v>
      </c>
      <c r="O626" t="s">
        <v>1349</v>
      </c>
      <c r="P626">
        <v>1021.97</v>
      </c>
      <c r="Q626">
        <v>2296.25</v>
      </c>
      <c r="R626">
        <v>0.161</v>
      </c>
      <c r="S626">
        <v>0</v>
      </c>
      <c r="T626">
        <v>26</v>
      </c>
      <c r="U626" t="s">
        <v>1474</v>
      </c>
      <c r="V626">
        <v>50090.397499999999</v>
      </c>
      <c r="W626">
        <v>26571.22</v>
      </c>
      <c r="X626">
        <v>23519.177499999998</v>
      </c>
      <c r="Y626">
        <v>0.46953465482081669</v>
      </c>
    </row>
    <row r="627" spans="1:25" x14ac:dyDescent="0.3">
      <c r="A627" t="s">
        <v>1350</v>
      </c>
      <c r="B627">
        <v>45249</v>
      </c>
      <c r="C627">
        <v>45272</v>
      </c>
      <c r="D627" t="s">
        <v>1484</v>
      </c>
      <c r="E627" t="s">
        <v>1388</v>
      </c>
      <c r="F627">
        <v>23</v>
      </c>
      <c r="G627">
        <v>0</v>
      </c>
      <c r="H627" t="s">
        <v>45</v>
      </c>
      <c r="I627" t="s">
        <v>60</v>
      </c>
      <c r="J627" t="s">
        <v>141</v>
      </c>
      <c r="K627" t="s">
        <v>62</v>
      </c>
      <c r="L627" t="s">
        <v>98</v>
      </c>
      <c r="M627" t="s">
        <v>21</v>
      </c>
      <c r="N627" t="s">
        <v>35</v>
      </c>
      <c r="O627" t="s">
        <v>1351</v>
      </c>
      <c r="P627">
        <v>1349.04</v>
      </c>
      <c r="Q627">
        <v>2636.6</v>
      </c>
      <c r="R627">
        <v>0.114</v>
      </c>
      <c r="S627">
        <v>0</v>
      </c>
      <c r="T627">
        <v>14</v>
      </c>
      <c r="U627" t="s">
        <v>1474</v>
      </c>
      <c r="V627">
        <v>32704.386400000003</v>
      </c>
      <c r="W627">
        <v>18886.559999999998</v>
      </c>
      <c r="X627">
        <v>13817.826400000005</v>
      </c>
      <c r="Y627">
        <v>0.42250682312143928</v>
      </c>
    </row>
    <row r="628" spans="1:25" x14ac:dyDescent="0.3">
      <c r="A628" t="s">
        <v>1352</v>
      </c>
      <c r="B628">
        <v>45282</v>
      </c>
      <c r="C628">
        <v>45307</v>
      </c>
      <c r="D628" t="s">
        <v>1484</v>
      </c>
      <c r="E628" t="s">
        <v>1389</v>
      </c>
      <c r="F628">
        <v>25</v>
      </c>
      <c r="G628">
        <v>0</v>
      </c>
      <c r="H628" t="s">
        <v>45</v>
      </c>
      <c r="I628" t="s">
        <v>60</v>
      </c>
      <c r="J628" t="s">
        <v>281</v>
      </c>
      <c r="K628" t="s">
        <v>62</v>
      </c>
      <c r="L628" t="s">
        <v>20</v>
      </c>
      <c r="M628" t="s">
        <v>75</v>
      </c>
      <c r="N628" t="s">
        <v>22</v>
      </c>
      <c r="O628" t="s">
        <v>1353</v>
      </c>
      <c r="P628">
        <v>1346.81</v>
      </c>
      <c r="Q628">
        <v>978.09</v>
      </c>
      <c r="R628">
        <v>0.159</v>
      </c>
      <c r="S628">
        <v>0</v>
      </c>
      <c r="T628">
        <v>17</v>
      </c>
      <c r="U628" t="s">
        <v>1485</v>
      </c>
      <c r="V628">
        <v>13983.752729999998</v>
      </c>
      <c r="W628">
        <v>22895.77</v>
      </c>
      <c r="X628">
        <v>-8912.0172700000021</v>
      </c>
      <c r="Y628">
        <v>-0.6373122753293996</v>
      </c>
    </row>
    <row r="629" spans="1:25" x14ac:dyDescent="0.3">
      <c r="A629" t="s">
        <v>1354</v>
      </c>
      <c r="B629">
        <v>45141</v>
      </c>
      <c r="C629">
        <v>45168</v>
      </c>
      <c r="D629" t="s">
        <v>1492</v>
      </c>
      <c r="E629" t="s">
        <v>1385</v>
      </c>
      <c r="F629">
        <v>27</v>
      </c>
      <c r="G629">
        <v>0</v>
      </c>
      <c r="H629" t="s">
        <v>45</v>
      </c>
      <c r="I629" t="s">
        <v>116</v>
      </c>
      <c r="J629" t="s">
        <v>162</v>
      </c>
      <c r="K629" t="s">
        <v>48</v>
      </c>
      <c r="L629" t="s">
        <v>55</v>
      </c>
      <c r="M629" t="s">
        <v>126</v>
      </c>
      <c r="N629" t="s">
        <v>64</v>
      </c>
      <c r="O629" t="s">
        <v>1355</v>
      </c>
      <c r="P629">
        <v>226.04</v>
      </c>
      <c r="Q629">
        <v>545.72</v>
      </c>
      <c r="R629">
        <v>0.151</v>
      </c>
      <c r="S629">
        <v>0</v>
      </c>
      <c r="T629">
        <v>11</v>
      </c>
      <c r="U629" t="s">
        <v>1480</v>
      </c>
      <c r="V629">
        <v>5096.4790800000001</v>
      </c>
      <c r="W629">
        <v>2486.44</v>
      </c>
      <c r="X629">
        <v>2610.03908</v>
      </c>
      <c r="Y629">
        <v>0.51212592831834014</v>
      </c>
    </row>
    <row r="630" spans="1:25" x14ac:dyDescent="0.3">
      <c r="A630" t="s">
        <v>1356</v>
      </c>
      <c r="B630">
        <v>45100</v>
      </c>
      <c r="C630">
        <v>45125</v>
      </c>
      <c r="D630" t="s">
        <v>1490</v>
      </c>
      <c r="E630" t="s">
        <v>1383</v>
      </c>
      <c r="F630">
        <v>25</v>
      </c>
      <c r="G630">
        <v>0</v>
      </c>
      <c r="H630" t="s">
        <v>52</v>
      </c>
      <c r="I630" t="s">
        <v>53</v>
      </c>
      <c r="J630" t="s">
        <v>179</v>
      </c>
      <c r="K630" t="s">
        <v>105</v>
      </c>
      <c r="L630" t="s">
        <v>28</v>
      </c>
      <c r="M630" t="s">
        <v>126</v>
      </c>
      <c r="N630" t="s">
        <v>42</v>
      </c>
      <c r="O630" t="s">
        <v>1357</v>
      </c>
      <c r="P630">
        <v>807.02</v>
      </c>
      <c r="Q630">
        <v>1435.54</v>
      </c>
      <c r="R630">
        <v>0</v>
      </c>
      <c r="S630">
        <v>0</v>
      </c>
      <c r="T630">
        <v>23</v>
      </c>
      <c r="U630" t="s">
        <v>1485</v>
      </c>
      <c r="V630">
        <v>33017.42</v>
      </c>
      <c r="W630">
        <v>18561.46</v>
      </c>
      <c r="X630">
        <v>14455.96</v>
      </c>
      <c r="Y630">
        <v>0.43782827368098415</v>
      </c>
    </row>
    <row r="631" spans="1:25" x14ac:dyDescent="0.3">
      <c r="A631" t="s">
        <v>1358</v>
      </c>
      <c r="B631">
        <v>45267</v>
      </c>
      <c r="C631">
        <v>45293</v>
      </c>
      <c r="D631" t="s">
        <v>1484</v>
      </c>
      <c r="E631" t="s">
        <v>1389</v>
      </c>
      <c r="F631">
        <v>26</v>
      </c>
      <c r="G631">
        <v>0</v>
      </c>
      <c r="H631" t="s">
        <v>78</v>
      </c>
      <c r="I631" t="s">
        <v>79</v>
      </c>
      <c r="J631" t="s">
        <v>335</v>
      </c>
      <c r="K631" t="s">
        <v>105</v>
      </c>
      <c r="L631" t="s">
        <v>55</v>
      </c>
      <c r="M631" t="s">
        <v>63</v>
      </c>
      <c r="N631" t="s">
        <v>22</v>
      </c>
      <c r="O631" t="s">
        <v>1359</v>
      </c>
      <c r="P631">
        <v>1071.99</v>
      </c>
      <c r="Q631">
        <v>2397.3000000000002</v>
      </c>
      <c r="R631">
        <v>6.2E-2</v>
      </c>
      <c r="S631">
        <v>0</v>
      </c>
      <c r="T631">
        <v>18</v>
      </c>
      <c r="U631" t="s">
        <v>1474</v>
      </c>
      <c r="V631">
        <v>40476.013200000001</v>
      </c>
      <c r="W631">
        <v>19295.82</v>
      </c>
      <c r="X631">
        <v>21180.193200000002</v>
      </c>
      <c r="Y631">
        <v>0.52327765324476183</v>
      </c>
    </row>
    <row r="632" spans="1:25" x14ac:dyDescent="0.3">
      <c r="A632" t="s">
        <v>1360</v>
      </c>
      <c r="B632">
        <v>45249</v>
      </c>
      <c r="C632">
        <v>45279</v>
      </c>
      <c r="D632" t="s">
        <v>1484</v>
      </c>
      <c r="E632" t="s">
        <v>1388</v>
      </c>
      <c r="F632">
        <v>30</v>
      </c>
      <c r="G632">
        <v>0</v>
      </c>
      <c r="H632" t="s">
        <v>45</v>
      </c>
      <c r="I632" t="s">
        <v>46</v>
      </c>
      <c r="J632" t="s">
        <v>231</v>
      </c>
      <c r="K632" t="s">
        <v>48</v>
      </c>
      <c r="L632" t="s">
        <v>20</v>
      </c>
      <c r="M632" t="s">
        <v>29</v>
      </c>
      <c r="N632" t="s">
        <v>42</v>
      </c>
      <c r="O632" t="s">
        <v>1361</v>
      </c>
      <c r="P632">
        <v>807.11</v>
      </c>
      <c r="Q632">
        <v>1853.86</v>
      </c>
      <c r="R632">
        <v>0.13900000000000001</v>
      </c>
      <c r="S632">
        <v>0</v>
      </c>
      <c r="T632">
        <v>8</v>
      </c>
      <c r="U632" t="s">
        <v>1474</v>
      </c>
      <c r="V632">
        <v>12769.38768</v>
      </c>
      <c r="W632">
        <v>6456.88</v>
      </c>
      <c r="X632">
        <v>6312.5076799999997</v>
      </c>
      <c r="Y632">
        <v>0.49434693645388639</v>
      </c>
    </row>
    <row r="633" spans="1:25" x14ac:dyDescent="0.3">
      <c r="A633" t="s">
        <v>1362</v>
      </c>
      <c r="B633">
        <v>45716</v>
      </c>
      <c r="C633">
        <v>45726</v>
      </c>
      <c r="D633" t="s">
        <v>1483</v>
      </c>
      <c r="E633" t="s">
        <v>1403</v>
      </c>
      <c r="F633">
        <v>10</v>
      </c>
      <c r="G633">
        <v>0</v>
      </c>
      <c r="H633" t="s">
        <v>45</v>
      </c>
      <c r="I633" t="s">
        <v>46</v>
      </c>
      <c r="J633" t="s">
        <v>47</v>
      </c>
      <c r="K633" t="s">
        <v>27</v>
      </c>
      <c r="L633" t="s">
        <v>55</v>
      </c>
      <c r="M633" t="s">
        <v>126</v>
      </c>
      <c r="N633" t="s">
        <v>57</v>
      </c>
      <c r="O633" t="s">
        <v>1363</v>
      </c>
      <c r="P633">
        <v>51.86</v>
      </c>
      <c r="Q633">
        <v>45.98</v>
      </c>
      <c r="R633">
        <v>0.17299999999999999</v>
      </c>
      <c r="S633">
        <v>0</v>
      </c>
      <c r="T633">
        <v>7</v>
      </c>
      <c r="U633" t="s">
        <v>1480</v>
      </c>
      <c r="V633">
        <v>266.17821999999995</v>
      </c>
      <c r="W633">
        <v>363.02</v>
      </c>
      <c r="X633">
        <v>-96.841780000000028</v>
      </c>
      <c r="Y633">
        <v>-0.3638230806412337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55E6-E13B-44BD-8B3B-EE02CAA81E4F}">
  <dimension ref="B2:M644"/>
  <sheetViews>
    <sheetView workbookViewId="0">
      <selection activeCell="F8" sqref="F8"/>
    </sheetView>
  </sheetViews>
  <sheetFormatPr defaultRowHeight="14.4" x14ac:dyDescent="0.3"/>
  <cols>
    <col min="2" max="2" width="24.21875" bestFit="1" customWidth="1"/>
    <col min="3" max="3" width="11.77734375" bestFit="1" customWidth="1"/>
    <col min="4" max="4" width="15.21875" bestFit="1" customWidth="1"/>
    <col min="6" max="6" width="22.5546875" bestFit="1" customWidth="1"/>
    <col min="7" max="7" width="17.5546875" bestFit="1" customWidth="1"/>
    <col min="8" max="8" width="14.21875" bestFit="1" customWidth="1"/>
    <col min="9" max="9" width="22.5546875" bestFit="1" customWidth="1"/>
    <col min="10" max="10" width="14" bestFit="1" customWidth="1"/>
    <col min="11" max="12" width="14.21875" bestFit="1" customWidth="1"/>
    <col min="13" max="13" width="12.77734375" bestFit="1" customWidth="1"/>
  </cols>
  <sheetData>
    <row r="2" spans="2:13" x14ac:dyDescent="0.3">
      <c r="B2" s="14" t="s">
        <v>1495</v>
      </c>
      <c r="G2" s="14" t="s">
        <v>1496</v>
      </c>
    </row>
    <row r="4" spans="2:13" x14ac:dyDescent="0.3">
      <c r="B4" s="14" t="s">
        <v>1497</v>
      </c>
      <c r="C4" s="14" t="s">
        <v>1498</v>
      </c>
      <c r="D4" s="14" t="s">
        <v>1499</v>
      </c>
      <c r="E4" s="14"/>
      <c r="F4" s="14"/>
      <c r="G4" s="14" t="s">
        <v>1500</v>
      </c>
      <c r="H4" s="14" t="s">
        <v>1501</v>
      </c>
      <c r="I4" s="14" t="s">
        <v>1454</v>
      </c>
      <c r="J4" s="14" t="s">
        <v>1502</v>
      </c>
      <c r="K4" s="14" t="s">
        <v>1503</v>
      </c>
    </row>
    <row r="5" spans="2:13" x14ac:dyDescent="0.3">
      <c r="B5" t="s">
        <v>1504</v>
      </c>
      <c r="C5" s="48">
        <v>0.25</v>
      </c>
      <c r="D5" t="s">
        <v>1505</v>
      </c>
      <c r="G5" t="s">
        <v>1506</v>
      </c>
      <c r="H5">
        <f>SUM(Staging!V:V)</f>
        <v>10945767.91295</v>
      </c>
      <c r="I5">
        <f>SUM(I11:I642)</f>
        <v>12061721.57286799</v>
      </c>
      <c r="J5">
        <f>I5-H5</f>
        <v>1115953.6599179897</v>
      </c>
      <c r="K5" s="47">
        <v>0.15516504670381515</v>
      </c>
    </row>
    <row r="6" spans="2:13" x14ac:dyDescent="0.3">
      <c r="B6" t="s">
        <v>1507</v>
      </c>
      <c r="C6" s="47">
        <v>0.29499999999999998</v>
      </c>
      <c r="D6" t="s">
        <v>1508</v>
      </c>
      <c r="G6" t="s">
        <v>1509</v>
      </c>
      <c r="H6">
        <f>SUM(Staging!W:W)</f>
        <v>7527747.7100000018</v>
      </c>
      <c r="I6">
        <f>SUM(J11:J642)</f>
        <v>10723276.612894997</v>
      </c>
      <c r="J6">
        <f>I6-H6</f>
        <v>3195528.9028949952</v>
      </c>
      <c r="K6" s="47">
        <v>0.20450000000000018</v>
      </c>
    </row>
    <row r="7" spans="2:13" x14ac:dyDescent="0.3">
      <c r="B7" t="s">
        <v>1510</v>
      </c>
      <c r="C7" s="47">
        <v>0.1</v>
      </c>
      <c r="D7" t="s">
        <v>1511</v>
      </c>
      <c r="G7" t="s">
        <v>1512</v>
      </c>
      <c r="H7">
        <f>SUM(Staging!X:X)</f>
        <v>3418020.2029500022</v>
      </c>
      <c r="I7">
        <f>SUM(K11:K642)</f>
        <v>1338444.9599730012</v>
      </c>
      <c r="J7">
        <f>I7-H7</f>
        <v>-2079575.242977001</v>
      </c>
      <c r="K7" s="47">
        <v>4.6511188725505963E-2</v>
      </c>
    </row>
    <row r="8" spans="2:13" x14ac:dyDescent="0.3">
      <c r="G8" t="s">
        <v>1522</v>
      </c>
      <c r="H8" s="47">
        <f>H7/H5</f>
        <v>0.31226865306600582</v>
      </c>
      <c r="I8" s="47">
        <f>I7/I5</f>
        <v>0.11096632863618248</v>
      </c>
      <c r="J8" s="47">
        <f>I8-H8</f>
        <v>-0.20130232442982332</v>
      </c>
      <c r="K8" s="47">
        <v>-9.4059163483474068E-2</v>
      </c>
    </row>
    <row r="10" spans="2:13" x14ac:dyDescent="0.3">
      <c r="B10" s="14" t="s">
        <v>0</v>
      </c>
      <c r="C10" s="14" t="s">
        <v>8</v>
      </c>
      <c r="D10" s="14" t="s">
        <v>1513</v>
      </c>
      <c r="E10" s="14" t="s">
        <v>3</v>
      </c>
      <c r="F10" s="14" t="s">
        <v>1514</v>
      </c>
      <c r="G10" s="14" t="s">
        <v>1515</v>
      </c>
      <c r="H10" s="14" t="s">
        <v>1516</v>
      </c>
      <c r="I10" s="14" t="s">
        <v>1517</v>
      </c>
      <c r="J10" s="14" t="s">
        <v>1518</v>
      </c>
      <c r="K10" s="14" t="s">
        <v>1519</v>
      </c>
      <c r="L10" s="14" t="s">
        <v>1520</v>
      </c>
      <c r="M10" s="14" t="s">
        <v>1521</v>
      </c>
    </row>
    <row r="11" spans="2:13" x14ac:dyDescent="0.3">
      <c r="B11" t="s">
        <v>15</v>
      </c>
      <c r="C11" t="s">
        <v>21</v>
      </c>
      <c r="D11" t="s">
        <v>22</v>
      </c>
      <c r="E11" t="s">
        <v>16</v>
      </c>
      <c r="F11">
        <v>4866.3287999999993</v>
      </c>
      <c r="G11">
        <v>2513.16</v>
      </c>
      <c r="H11">
        <v>2353.1687999999995</v>
      </c>
      <c r="I11">
        <f>Staging!Q2*(Staging!T2*(1+QtyUplift))*(1-MIN(Staging!R2,DiscountCap))</f>
        <v>5352.9616799999994</v>
      </c>
      <c r="J11">
        <f>Staging!P2*(1+CostInflation)*Staging!T2*(1+QtyUplift)</f>
        <v>3579.9964199999999</v>
      </c>
      <c r="K11">
        <f>I11-J11</f>
        <v>1772.9652599999995</v>
      </c>
      <c r="L11">
        <f>I11-F11</f>
        <v>486.63288000000011</v>
      </c>
      <c r="M11">
        <f>K11-H11</f>
        <v>-580.20353999999998</v>
      </c>
    </row>
    <row r="12" spans="2:13" x14ac:dyDescent="0.3">
      <c r="B12" t="s">
        <v>24</v>
      </c>
      <c r="C12" t="s">
        <v>29</v>
      </c>
      <c r="D12" t="s">
        <v>30</v>
      </c>
      <c r="E12" t="s">
        <v>16</v>
      </c>
      <c r="F12">
        <v>17960.432489999999</v>
      </c>
      <c r="G12">
        <v>33616.090000000004</v>
      </c>
      <c r="H12">
        <v>-15655.657510000005</v>
      </c>
      <c r="I12">
        <f>Staging!Q3*(Staging!T3*(1+QtyUplift))*(1-MIN(Staging!R3,DiscountCap))</f>
        <v>19756.475739000001</v>
      </c>
      <c r="J12">
        <f>Staging!P3*(1+CostInflation)*Staging!T3*(1+QtyUplift)</f>
        <v>47886.120205000007</v>
      </c>
      <c r="K12">
        <f t="shared" ref="K12:K75" si="0">I12-J12</f>
        <v>-28129.644466000005</v>
      </c>
      <c r="L12">
        <v>5343.4052100000044</v>
      </c>
      <c r="M12">
        <f t="shared" ref="M12:M75" si="1">K12-H12</f>
        <v>-12473.986956000001</v>
      </c>
    </row>
    <row r="13" spans="2:13" x14ac:dyDescent="0.3">
      <c r="B13" t="s">
        <v>32</v>
      </c>
      <c r="C13" t="s">
        <v>34</v>
      </c>
      <c r="D13" t="s">
        <v>35</v>
      </c>
      <c r="E13" t="s">
        <v>16</v>
      </c>
      <c r="F13">
        <v>319.72248000000002</v>
      </c>
      <c r="G13">
        <v>17529.12</v>
      </c>
      <c r="H13">
        <v>-17209.397519999999</v>
      </c>
      <c r="I13">
        <f>Staging!Q4*(Staging!T4*(1+QtyUplift))*(1-MIN(Staging!R4,DiscountCap))</f>
        <v>351.69472800000005</v>
      </c>
      <c r="J13">
        <f>Staging!P4*(1+CostInflation)*Staging!T4*(1+QtyUplift)</f>
        <v>24970.231440000003</v>
      </c>
      <c r="K13">
        <f t="shared" si="0"/>
        <v>-24618.536712000005</v>
      </c>
      <c r="L13">
        <v>44.518320000000017</v>
      </c>
      <c r="M13">
        <f t="shared" si="1"/>
        <v>-7409.139192000006</v>
      </c>
    </row>
    <row r="14" spans="2:13" x14ac:dyDescent="0.3">
      <c r="B14" t="s">
        <v>37</v>
      </c>
      <c r="C14" t="s">
        <v>41</v>
      </c>
      <c r="D14" t="s">
        <v>42</v>
      </c>
      <c r="E14" t="s">
        <v>16</v>
      </c>
      <c r="F14">
        <v>5225.2710400000005</v>
      </c>
      <c r="G14">
        <v>5718.46</v>
      </c>
      <c r="H14">
        <v>-493.1889599999995</v>
      </c>
      <c r="I14">
        <f>Staging!Q5*(Staging!T5*(1+QtyUplift))*(1-MIN(Staging!R5,DiscountCap))</f>
        <v>5747.7981440000003</v>
      </c>
      <c r="J14">
        <f>Staging!P5*(1+CostInflation)*Staging!T5*(1+QtyUplift)</f>
        <v>8145.9462700000013</v>
      </c>
      <c r="K14">
        <f t="shared" si="0"/>
        <v>-2398.148126000001</v>
      </c>
      <c r="L14">
        <v>522.52710399999978</v>
      </c>
      <c r="M14">
        <f t="shared" si="1"/>
        <v>-1904.9591660000015</v>
      </c>
    </row>
    <row r="15" spans="2:13" x14ac:dyDescent="0.3">
      <c r="B15" t="s">
        <v>44</v>
      </c>
      <c r="C15" t="s">
        <v>49</v>
      </c>
      <c r="D15" t="s">
        <v>30</v>
      </c>
      <c r="E15" t="s">
        <v>45</v>
      </c>
      <c r="F15">
        <v>10957.9797</v>
      </c>
      <c r="G15">
        <v>9945.4499999999989</v>
      </c>
      <c r="H15">
        <v>1012.529700000001</v>
      </c>
      <c r="I15">
        <f>Staging!Q6*(Staging!T6*(1+QtyUplift))*(1-MIN(Staging!R6,DiscountCap))</f>
        <v>12053.777669999999</v>
      </c>
      <c r="J15">
        <f>Staging!P6*(1+CostInflation)*Staging!T6*(1+QtyUplift)</f>
        <v>14167.293525000001</v>
      </c>
      <c r="K15">
        <f t="shared" si="0"/>
        <v>-2113.5158550000015</v>
      </c>
      <c r="L15">
        <v>1122.6437999999998</v>
      </c>
      <c r="M15">
        <f t="shared" si="1"/>
        <v>-3126.0455550000024</v>
      </c>
    </row>
    <row r="16" spans="2:13" x14ac:dyDescent="0.3">
      <c r="B16" t="s">
        <v>51</v>
      </c>
      <c r="C16" t="s">
        <v>56</v>
      </c>
      <c r="D16" t="s">
        <v>57</v>
      </c>
      <c r="E16" t="s">
        <v>52</v>
      </c>
      <c r="F16">
        <v>4141.7599999999993</v>
      </c>
      <c r="G16">
        <v>2211.09</v>
      </c>
      <c r="H16">
        <v>1930.6699999999992</v>
      </c>
      <c r="I16">
        <f>Staging!Q7*(Staging!T7*(1+QtyUplift))*(1-MIN(Staging!R7,DiscountCap))</f>
        <v>4555.9360000000006</v>
      </c>
      <c r="J16">
        <f>Staging!P7*(1+CostInflation)*Staging!T7*(1+QtyUplift)</f>
        <v>3149.6977050000005</v>
      </c>
      <c r="K16">
        <f t="shared" si="0"/>
        <v>1406.2382950000001</v>
      </c>
      <c r="L16">
        <v>414.1760000000013</v>
      </c>
      <c r="M16">
        <f t="shared" si="1"/>
        <v>-524.43170499999906</v>
      </c>
    </row>
    <row r="17" spans="2:13" x14ac:dyDescent="0.3">
      <c r="B17" t="s">
        <v>59</v>
      </c>
      <c r="C17" t="s">
        <v>63</v>
      </c>
      <c r="D17" t="s">
        <v>64</v>
      </c>
      <c r="E17" t="s">
        <v>45</v>
      </c>
      <c r="F17">
        <v>2886.4496399999998</v>
      </c>
      <c r="G17">
        <v>2344.2800000000002</v>
      </c>
      <c r="H17">
        <v>542.16963999999962</v>
      </c>
      <c r="I17">
        <f>Staging!Q8*(Staging!T8*(1+QtyUplift))*(1-MIN(Staging!R8,DiscountCap))</f>
        <v>3175.0946040000003</v>
      </c>
      <c r="J17">
        <f>Staging!P8*(1+CostInflation)*Staging!T8*(1+QtyUplift)</f>
        <v>3339.42686</v>
      </c>
      <c r="K17">
        <f t="shared" si="0"/>
        <v>-164.33225599999969</v>
      </c>
      <c r="L17">
        <v>463.59156000000075</v>
      </c>
      <c r="M17">
        <f t="shared" si="1"/>
        <v>-706.50189599999931</v>
      </c>
    </row>
    <row r="18" spans="2:13" x14ac:dyDescent="0.3">
      <c r="B18" t="s">
        <v>66</v>
      </c>
      <c r="C18" t="s">
        <v>68</v>
      </c>
      <c r="D18" t="s">
        <v>30</v>
      </c>
      <c r="E18" t="s">
        <v>16</v>
      </c>
      <c r="F18">
        <v>685.06776000000002</v>
      </c>
      <c r="G18">
        <v>510.84</v>
      </c>
      <c r="H18">
        <v>174.22776000000005</v>
      </c>
      <c r="I18">
        <f>Staging!Q9*(Staging!T9*(1+QtyUplift))*(1-MIN(Staging!R9,DiscountCap))</f>
        <v>753.57453600000008</v>
      </c>
      <c r="J18">
        <f>Staging!P9*(1+CostInflation)*Staging!T9*(1+QtyUplift)</f>
        <v>727.69158000000004</v>
      </c>
      <c r="K18">
        <f t="shared" si="0"/>
        <v>25.882956000000036</v>
      </c>
      <c r="L18">
        <v>156.39264000000003</v>
      </c>
      <c r="M18">
        <f t="shared" si="1"/>
        <v>-148.34480400000001</v>
      </c>
    </row>
    <row r="19" spans="2:13" x14ac:dyDescent="0.3">
      <c r="B19" t="s">
        <v>70</v>
      </c>
      <c r="C19" t="s">
        <v>68</v>
      </c>
      <c r="D19" t="s">
        <v>64</v>
      </c>
      <c r="E19" t="s">
        <v>16</v>
      </c>
      <c r="F19">
        <v>14714.12934</v>
      </c>
      <c r="G19">
        <v>7772.0399999999991</v>
      </c>
      <c r="H19">
        <v>6942.0893400000004</v>
      </c>
      <c r="I19">
        <f>Staging!Q10*(Staging!T10*(1+QtyUplift))*(1-MIN(Staging!R10,DiscountCap))</f>
        <v>16185.542274000001</v>
      </c>
      <c r="J19">
        <f>Staging!P10*(1+CostInflation)*Staging!T10*(1+QtyUplift)</f>
        <v>11071.270979999999</v>
      </c>
      <c r="K19">
        <f t="shared" si="0"/>
        <v>5114.2712940000019</v>
      </c>
      <c r="L19">
        <v>1471.4129340000018</v>
      </c>
      <c r="M19">
        <f t="shared" si="1"/>
        <v>-1827.8180459999985</v>
      </c>
    </row>
    <row r="20" spans="2:13" x14ac:dyDescent="0.3">
      <c r="B20" t="s">
        <v>72</v>
      </c>
      <c r="C20" t="s">
        <v>75</v>
      </c>
      <c r="D20" t="s">
        <v>22</v>
      </c>
      <c r="E20" t="s">
        <v>52</v>
      </c>
      <c r="F20">
        <v>60928.502359999999</v>
      </c>
      <c r="G20">
        <v>41272.780000000006</v>
      </c>
      <c r="H20">
        <v>19655.722359999992</v>
      </c>
      <c r="I20">
        <f>Staging!Q11*(Staging!T11*(1+QtyUplift))*(1-MIN(Staging!R11,DiscountCap))</f>
        <v>67021.352595999997</v>
      </c>
      <c r="J20">
        <f>Staging!P11*(1+CostInflation)*Staging!T11*(1+QtyUplift)</f>
        <v>58793.075110000013</v>
      </c>
      <c r="K20">
        <f t="shared" si="0"/>
        <v>8228.2774859999845</v>
      </c>
      <c r="L20">
        <v>9951.8940399999992</v>
      </c>
      <c r="M20">
        <f t="shared" si="1"/>
        <v>-11427.444874000008</v>
      </c>
    </row>
    <row r="21" spans="2:13" x14ac:dyDescent="0.3">
      <c r="B21" t="s">
        <v>77</v>
      </c>
      <c r="C21" t="s">
        <v>41</v>
      </c>
      <c r="D21" t="s">
        <v>81</v>
      </c>
      <c r="E21" t="s">
        <v>78</v>
      </c>
      <c r="F21">
        <v>16006.14344</v>
      </c>
      <c r="G21">
        <v>14815.91</v>
      </c>
      <c r="H21">
        <v>1190.23344</v>
      </c>
      <c r="I21">
        <f>Staging!Q12*(Staging!T12*(1+QtyUplift))*(1-MIN(Staging!R12,DiscountCap))</f>
        <v>17606.757784000001</v>
      </c>
      <c r="J21">
        <f>Staging!P12*(1+CostInflation)*Staging!T12*(1+QtyUplift)</f>
        <v>21105.263794999999</v>
      </c>
      <c r="K21">
        <f t="shared" si="0"/>
        <v>-3498.5060109999977</v>
      </c>
      <c r="L21">
        <v>1600.6143440000014</v>
      </c>
      <c r="M21">
        <f t="shared" si="1"/>
        <v>-4688.7394509999976</v>
      </c>
    </row>
    <row r="22" spans="2:13" x14ac:dyDescent="0.3">
      <c r="B22" t="s">
        <v>83</v>
      </c>
      <c r="C22" t="s">
        <v>84</v>
      </c>
      <c r="D22" t="s">
        <v>42</v>
      </c>
      <c r="E22" t="s">
        <v>45</v>
      </c>
      <c r="F22">
        <v>10370.549999999999</v>
      </c>
      <c r="G22">
        <v>18172</v>
      </c>
      <c r="H22">
        <v>-7801.4500000000007</v>
      </c>
      <c r="I22">
        <f>Staging!Q13*(Staging!T13*(1+QtyUplift))*(1-MIN(Staging!R13,DiscountCap))</f>
        <v>11407.605</v>
      </c>
      <c r="J22">
        <f>Staging!P13*(1+CostInflation)*Staging!T13*(1+QtyUplift)</f>
        <v>25886.013999999999</v>
      </c>
      <c r="K22">
        <f t="shared" si="0"/>
        <v>-14478.409</v>
      </c>
      <c r="L22">
        <v>3318.5760000000009</v>
      </c>
      <c r="M22">
        <f t="shared" si="1"/>
        <v>-6676.9589999999989</v>
      </c>
    </row>
    <row r="23" spans="2:13" x14ac:dyDescent="0.3">
      <c r="B23" t="s">
        <v>86</v>
      </c>
      <c r="C23" t="s">
        <v>29</v>
      </c>
      <c r="D23" t="s">
        <v>22</v>
      </c>
      <c r="E23" t="s">
        <v>52</v>
      </c>
      <c r="F23">
        <v>4968.5039999999999</v>
      </c>
      <c r="G23">
        <v>3315.7</v>
      </c>
      <c r="H23">
        <v>1652.8040000000001</v>
      </c>
      <c r="I23">
        <f>Staging!Q14*(Staging!T14*(1+QtyUplift))*(1-MIN(Staging!R14,DiscountCap))</f>
        <v>5465.3544000000002</v>
      </c>
      <c r="J23">
        <f>Staging!P14*(1+CostInflation)*Staging!T14*(1+QtyUplift)</f>
        <v>4723.2146499999999</v>
      </c>
      <c r="K23">
        <f t="shared" si="0"/>
        <v>742.13975000000028</v>
      </c>
      <c r="L23">
        <v>496.85040000000026</v>
      </c>
      <c r="M23">
        <f t="shared" si="1"/>
        <v>-910.66424999999981</v>
      </c>
    </row>
    <row r="24" spans="2:13" x14ac:dyDescent="0.3">
      <c r="B24" t="s">
        <v>89</v>
      </c>
      <c r="C24" t="s">
        <v>92</v>
      </c>
      <c r="D24" t="s">
        <v>30</v>
      </c>
      <c r="E24" t="s">
        <v>78</v>
      </c>
      <c r="F24">
        <v>21585.15</v>
      </c>
      <c r="G24">
        <v>9652.9499999999989</v>
      </c>
      <c r="H24">
        <v>11932.200000000003</v>
      </c>
      <c r="I24">
        <f>Staging!Q15*(Staging!T15*(1+QtyUplift))*(1-MIN(Staging!R15,DiscountCap))</f>
        <v>23743.665000000001</v>
      </c>
      <c r="J24">
        <f>Staging!P15*(1+CostInflation)*Staging!T15*(1+QtyUplift)</f>
        <v>13750.627275000001</v>
      </c>
      <c r="K24">
        <f t="shared" si="0"/>
        <v>9993.0377250000001</v>
      </c>
      <c r="L24">
        <v>2158.5149999999994</v>
      </c>
      <c r="M24">
        <f t="shared" si="1"/>
        <v>-1939.1622750000024</v>
      </c>
    </row>
    <row r="25" spans="2:13" x14ac:dyDescent="0.3">
      <c r="B25" t="s">
        <v>94</v>
      </c>
      <c r="C25" t="s">
        <v>95</v>
      </c>
      <c r="D25" t="s">
        <v>81</v>
      </c>
      <c r="E25" t="s">
        <v>52</v>
      </c>
      <c r="F25">
        <v>7578.84</v>
      </c>
      <c r="G25">
        <v>9367.08</v>
      </c>
      <c r="H25">
        <v>-1788.2399999999998</v>
      </c>
      <c r="I25">
        <f>Staging!Q16*(Staging!T16*(1+QtyUplift))*(1-MIN(Staging!R16,DiscountCap))</f>
        <v>8336.724000000002</v>
      </c>
      <c r="J25">
        <f>Staging!P16*(1+CostInflation)*Staging!T16*(1+QtyUplift)</f>
        <v>13343.40546</v>
      </c>
      <c r="K25">
        <f t="shared" si="0"/>
        <v>-5006.681459999998</v>
      </c>
      <c r="L25">
        <v>757.88400000000183</v>
      </c>
      <c r="M25">
        <f t="shared" si="1"/>
        <v>-3218.4414599999982</v>
      </c>
    </row>
    <row r="26" spans="2:13" x14ac:dyDescent="0.3">
      <c r="B26" t="s">
        <v>97</v>
      </c>
      <c r="C26" t="s">
        <v>63</v>
      </c>
      <c r="D26" t="s">
        <v>57</v>
      </c>
      <c r="E26" t="s">
        <v>16</v>
      </c>
      <c r="F26">
        <v>7090.5672000000004</v>
      </c>
      <c r="G26">
        <v>6808.59</v>
      </c>
      <c r="H26">
        <v>281.97720000000027</v>
      </c>
      <c r="I26">
        <f>Staging!Q17*(Staging!T17*(1+QtyUplift))*(1-MIN(Staging!R17,DiscountCap))</f>
        <v>7799.62392</v>
      </c>
      <c r="J26">
        <f>Staging!P17*(1+CostInflation)*Staging!T17*(1+QtyUplift)</f>
        <v>9698.8364550000006</v>
      </c>
      <c r="K26">
        <f t="shared" si="0"/>
        <v>-1899.2125350000006</v>
      </c>
      <c r="L26">
        <v>709.05671999999959</v>
      </c>
      <c r="M26">
        <f t="shared" si="1"/>
        <v>-2181.1897350000008</v>
      </c>
    </row>
    <row r="27" spans="2:13" x14ac:dyDescent="0.3">
      <c r="B27" t="s">
        <v>100</v>
      </c>
      <c r="C27" t="s">
        <v>95</v>
      </c>
      <c r="D27" t="s">
        <v>30</v>
      </c>
      <c r="E27" t="s">
        <v>78</v>
      </c>
      <c r="F27">
        <v>25948.414799999995</v>
      </c>
      <c r="G27">
        <v>24950.240000000002</v>
      </c>
      <c r="H27">
        <v>998.17479999999341</v>
      </c>
      <c r="I27">
        <f>Staging!Q18*(Staging!T18*(1+QtyUplift))*(1-MIN(Staging!R18,DiscountCap))</f>
        <v>28543.256280000001</v>
      </c>
      <c r="J27">
        <f>Staging!P18*(1+CostInflation)*Staging!T18*(1+QtyUplift)</f>
        <v>35541.616880000001</v>
      </c>
      <c r="K27">
        <f t="shared" si="0"/>
        <v>-6998.3606</v>
      </c>
      <c r="L27">
        <v>2883.1572000000087</v>
      </c>
      <c r="M27">
        <f t="shared" si="1"/>
        <v>-7996.5353999999934</v>
      </c>
    </row>
    <row r="28" spans="2:13" x14ac:dyDescent="0.3">
      <c r="B28" t="s">
        <v>102</v>
      </c>
      <c r="C28" t="s">
        <v>21</v>
      </c>
      <c r="D28" t="s">
        <v>42</v>
      </c>
      <c r="E28" t="s">
        <v>45</v>
      </c>
      <c r="F28">
        <v>35367.211040000002</v>
      </c>
      <c r="G28">
        <v>19609.12</v>
      </c>
      <c r="H28">
        <v>15758.091040000003</v>
      </c>
      <c r="I28">
        <f>Staging!Q19*(Staging!T19*(1+QtyUplift))*(1-MIN(Staging!R19,DiscountCap))</f>
        <v>38903.932144000006</v>
      </c>
      <c r="J28">
        <f>Staging!P19*(1+CostInflation)*Staging!T19*(1+QtyUplift)</f>
        <v>27933.191440000002</v>
      </c>
      <c r="K28">
        <f t="shared" si="0"/>
        <v>10970.740704000003</v>
      </c>
      <c r="L28">
        <v>7489.0177600000025</v>
      </c>
      <c r="M28">
        <f t="shared" si="1"/>
        <v>-4787.3503359999995</v>
      </c>
    </row>
    <row r="29" spans="2:13" x14ac:dyDescent="0.3">
      <c r="B29" t="s">
        <v>104</v>
      </c>
      <c r="C29" t="s">
        <v>41</v>
      </c>
      <c r="D29" t="s">
        <v>81</v>
      </c>
      <c r="E29" t="s">
        <v>52</v>
      </c>
      <c r="F29">
        <v>38096.18406</v>
      </c>
      <c r="G29">
        <v>19227.060000000001</v>
      </c>
      <c r="H29">
        <v>18869.124059999998</v>
      </c>
      <c r="I29">
        <f>Staging!Q20*(Staging!T20*(1+QtyUplift))*(1-MIN(Staging!R20,DiscountCap))</f>
        <v>41905.802466000001</v>
      </c>
      <c r="J29">
        <f>Staging!P20*(1+CostInflation)*Staging!T20*(1+QtyUplift)</f>
        <v>27388.946970000005</v>
      </c>
      <c r="K29">
        <f t="shared" si="0"/>
        <v>14516.855495999996</v>
      </c>
      <c r="L29">
        <v>4232.9093400000056</v>
      </c>
      <c r="M29">
        <f t="shared" si="1"/>
        <v>-4352.2685640000018</v>
      </c>
    </row>
    <row r="30" spans="2:13" x14ac:dyDescent="0.3">
      <c r="B30" t="s">
        <v>107</v>
      </c>
      <c r="C30" t="s">
        <v>110</v>
      </c>
      <c r="D30" t="s">
        <v>57</v>
      </c>
      <c r="E30" t="s">
        <v>78</v>
      </c>
      <c r="F30">
        <v>39263.702919999996</v>
      </c>
      <c r="G30">
        <v>19288.04</v>
      </c>
      <c r="H30">
        <v>19975.662919999995</v>
      </c>
      <c r="I30">
        <f>Staging!Q21*(Staging!T21*(1+QtyUplift))*(1-MIN(Staging!R21,DiscountCap))</f>
        <v>43190.073212000003</v>
      </c>
      <c r="J30">
        <f>Staging!P21*(1+CostInflation)*Staging!T21*(1+QtyUplift)</f>
        <v>27475.812979999999</v>
      </c>
      <c r="K30">
        <f t="shared" si="0"/>
        <v>15714.260232000004</v>
      </c>
      <c r="L30">
        <v>3926.3702920000069</v>
      </c>
      <c r="M30">
        <f t="shared" si="1"/>
        <v>-4261.402687999991</v>
      </c>
    </row>
    <row r="31" spans="2:13" x14ac:dyDescent="0.3">
      <c r="B31" t="s">
        <v>112</v>
      </c>
      <c r="C31" t="s">
        <v>29</v>
      </c>
      <c r="D31" t="s">
        <v>57</v>
      </c>
      <c r="E31" t="s">
        <v>16</v>
      </c>
      <c r="F31">
        <v>23782.310720000001</v>
      </c>
      <c r="G31">
        <v>10460.800000000001</v>
      </c>
      <c r="H31">
        <v>13321.51072</v>
      </c>
      <c r="I31">
        <f>Staging!Q22*(Staging!T22*(1+QtyUplift))*(1-MIN(Staging!R22,DiscountCap))</f>
        <v>26160.541792000007</v>
      </c>
      <c r="J31">
        <f>Staging!P22*(1+CostInflation)*Staging!T22*(1+QtyUplift)</f>
        <v>14901.409600000003</v>
      </c>
      <c r="K31">
        <f t="shared" si="0"/>
        <v>11259.132192000005</v>
      </c>
      <c r="L31">
        <v>2378.231072000006</v>
      </c>
      <c r="M31">
        <f t="shared" si="1"/>
        <v>-2062.3785279999956</v>
      </c>
    </row>
    <row r="32" spans="2:13" x14ac:dyDescent="0.3">
      <c r="B32" t="s">
        <v>115</v>
      </c>
      <c r="C32" t="s">
        <v>63</v>
      </c>
      <c r="D32" t="s">
        <v>35</v>
      </c>
      <c r="E32" t="s">
        <v>45</v>
      </c>
      <c r="F32">
        <v>19903.585040000002</v>
      </c>
      <c r="G32">
        <v>10649.52</v>
      </c>
      <c r="H32">
        <v>9254.0650400000013</v>
      </c>
      <c r="I32">
        <f>Staging!Q23*(Staging!T23*(1+QtyUplift))*(1-MIN(Staging!R23,DiscountCap))</f>
        <v>21893.943544000002</v>
      </c>
      <c r="J32">
        <f>Staging!P23*(1+CostInflation)*Staging!T23*(1+QtyUplift)</f>
        <v>15170.241240000001</v>
      </c>
      <c r="K32">
        <f t="shared" si="0"/>
        <v>6723.7023040000004</v>
      </c>
      <c r="L32">
        <v>3088.8877600000014</v>
      </c>
      <c r="M32">
        <f t="shared" si="1"/>
        <v>-2530.362736000001</v>
      </c>
    </row>
    <row r="33" spans="2:13" x14ac:dyDescent="0.3">
      <c r="B33" t="s">
        <v>119</v>
      </c>
      <c r="C33" t="s">
        <v>110</v>
      </c>
      <c r="D33" t="s">
        <v>81</v>
      </c>
      <c r="E33" t="s">
        <v>16</v>
      </c>
      <c r="F33">
        <v>10936.992</v>
      </c>
      <c r="G33">
        <v>7309.9</v>
      </c>
      <c r="H33">
        <v>3627.0920000000006</v>
      </c>
      <c r="I33">
        <f>Staging!Q24*(Staging!T24*(1+QtyUplift))*(1-MIN(Staging!R24,DiscountCap))</f>
        <v>12030.691199999999</v>
      </c>
      <c r="J33">
        <f>Staging!P24*(1+CostInflation)*Staging!T24*(1+QtyUplift)</f>
        <v>10412.95255</v>
      </c>
      <c r="K33">
        <f t="shared" si="0"/>
        <v>1617.7386499999993</v>
      </c>
      <c r="L33">
        <v>1367.1239999999998</v>
      </c>
      <c r="M33">
        <f t="shared" si="1"/>
        <v>-2009.3533500000012</v>
      </c>
    </row>
    <row r="34" spans="2:13" x14ac:dyDescent="0.3">
      <c r="B34" t="s">
        <v>121</v>
      </c>
      <c r="C34" t="s">
        <v>92</v>
      </c>
      <c r="D34" t="s">
        <v>57</v>
      </c>
      <c r="E34" t="s">
        <v>52</v>
      </c>
      <c r="F34">
        <v>20225.2248</v>
      </c>
      <c r="G34">
        <v>10196.719999999999</v>
      </c>
      <c r="H34">
        <v>10028.504800000001</v>
      </c>
      <c r="I34">
        <f>Staging!Q25*(Staging!T25*(1+QtyUplift))*(1-MIN(Staging!R25,DiscountCap))</f>
        <v>22247.74728</v>
      </c>
      <c r="J34">
        <f>Staging!P25*(1+CostInflation)*Staging!T25*(1+QtyUplift)</f>
        <v>14525.227639999999</v>
      </c>
      <c r="K34">
        <f t="shared" si="0"/>
        <v>7722.5196400000004</v>
      </c>
      <c r="L34">
        <v>2022.5224799999996</v>
      </c>
      <c r="M34">
        <f t="shared" si="1"/>
        <v>-2305.9851600000002</v>
      </c>
    </row>
    <row r="35" spans="2:13" x14ac:dyDescent="0.3">
      <c r="B35" t="s">
        <v>125</v>
      </c>
      <c r="C35" t="s">
        <v>126</v>
      </c>
      <c r="D35" t="s">
        <v>22</v>
      </c>
      <c r="E35" t="s">
        <v>52</v>
      </c>
      <c r="F35">
        <v>24894.430559999997</v>
      </c>
      <c r="G35">
        <v>11382.599999999999</v>
      </c>
      <c r="H35">
        <v>13511.830559999999</v>
      </c>
      <c r="I35">
        <f>Staging!Q26*(Staging!T26*(1+QtyUplift))*(1-MIN(Staging!R26,DiscountCap))</f>
        <v>27383.873616000001</v>
      </c>
      <c r="J35">
        <f>Staging!P26*(1+CostInflation)*Staging!T26*(1+QtyUplift)</f>
        <v>16214.5137</v>
      </c>
      <c r="K35">
        <f t="shared" si="0"/>
        <v>11169.359916000001</v>
      </c>
      <c r="L35">
        <v>2489.4430560000037</v>
      </c>
      <c r="M35">
        <f t="shared" si="1"/>
        <v>-2342.4706439999973</v>
      </c>
    </row>
    <row r="36" spans="2:13" x14ac:dyDescent="0.3">
      <c r="B36" t="s">
        <v>128</v>
      </c>
      <c r="C36" t="s">
        <v>21</v>
      </c>
      <c r="D36" t="s">
        <v>81</v>
      </c>
      <c r="E36" t="s">
        <v>52</v>
      </c>
      <c r="F36">
        <v>8596.2905599999995</v>
      </c>
      <c r="G36">
        <v>5967.4</v>
      </c>
      <c r="H36">
        <v>2628.8905599999998</v>
      </c>
      <c r="I36">
        <f>Staging!Q27*(Staging!T27*(1+QtyUplift))*(1-MIN(Staging!R27,DiscountCap))</f>
        <v>9455.9196159999992</v>
      </c>
      <c r="J36">
        <f>Staging!P27*(1+CostInflation)*Staging!T27*(1+QtyUplift)</f>
        <v>8500.5612999999994</v>
      </c>
      <c r="K36">
        <f t="shared" si="0"/>
        <v>955.35831599999983</v>
      </c>
      <c r="L36">
        <v>1632.468640000001</v>
      </c>
      <c r="M36">
        <f t="shared" si="1"/>
        <v>-1673.532244</v>
      </c>
    </row>
    <row r="37" spans="2:13" x14ac:dyDescent="0.3">
      <c r="B37" t="s">
        <v>130</v>
      </c>
      <c r="C37" t="s">
        <v>84</v>
      </c>
      <c r="D37" t="s">
        <v>30</v>
      </c>
      <c r="E37" t="s">
        <v>78</v>
      </c>
      <c r="F37">
        <v>1756.6999999999998</v>
      </c>
      <c r="G37">
        <v>1176.4000000000001</v>
      </c>
      <c r="H37">
        <v>580.29999999999973</v>
      </c>
      <c r="I37">
        <f>Staging!Q28*(Staging!T28*(1+QtyUplift))*(1-MIN(Staging!R28,DiscountCap))</f>
        <v>1932.37</v>
      </c>
      <c r="J37">
        <f>Staging!P28*(1+CostInflation)*Staging!T28*(1+QtyUplift)</f>
        <v>1675.7818</v>
      </c>
      <c r="K37">
        <f t="shared" si="0"/>
        <v>256.58819999999992</v>
      </c>
      <c r="L37">
        <v>175.67000000000007</v>
      </c>
      <c r="M37">
        <f t="shared" si="1"/>
        <v>-323.71179999999981</v>
      </c>
    </row>
    <row r="38" spans="2:13" x14ac:dyDescent="0.3">
      <c r="B38" t="s">
        <v>132</v>
      </c>
      <c r="C38" t="s">
        <v>75</v>
      </c>
      <c r="D38" t="s">
        <v>42</v>
      </c>
      <c r="E38" t="s">
        <v>16</v>
      </c>
      <c r="F38">
        <v>3980.7075</v>
      </c>
      <c r="G38">
        <v>5143.4400000000005</v>
      </c>
      <c r="H38">
        <v>-1162.7325000000005</v>
      </c>
      <c r="I38">
        <f>Staging!Q29*(Staging!T29*(1+QtyUplift))*(1-MIN(Staging!R29,DiscountCap))</f>
        <v>4378.7782500000003</v>
      </c>
      <c r="J38">
        <f>Staging!P29*(1+CostInflation)*Staging!T29*(1+QtyUplift)</f>
        <v>7326.830280000001</v>
      </c>
      <c r="K38">
        <f t="shared" si="0"/>
        <v>-2948.0520300000007</v>
      </c>
      <c r="L38">
        <v>523.17869999999994</v>
      </c>
      <c r="M38">
        <f t="shared" si="1"/>
        <v>-1785.3195300000002</v>
      </c>
    </row>
    <row r="39" spans="2:13" x14ac:dyDescent="0.3">
      <c r="B39" t="s">
        <v>134</v>
      </c>
      <c r="C39" t="s">
        <v>110</v>
      </c>
      <c r="D39" t="s">
        <v>42</v>
      </c>
      <c r="E39" t="s">
        <v>16</v>
      </c>
      <c r="F39">
        <v>3913.2000000000003</v>
      </c>
      <c r="G39">
        <v>1883.25</v>
      </c>
      <c r="H39">
        <v>2029.9500000000003</v>
      </c>
      <c r="I39">
        <f>Staging!Q30*(Staging!T30*(1+QtyUplift))*(1-MIN(Staging!R30,DiscountCap))</f>
        <v>4304.5200000000004</v>
      </c>
      <c r="J39">
        <f>Staging!P30*(1+CostInflation)*Staging!T30*(1+QtyUplift)</f>
        <v>2682.6896250000004</v>
      </c>
      <c r="K39">
        <f t="shared" si="0"/>
        <v>1621.830375</v>
      </c>
      <c r="L39">
        <v>391.32000000000016</v>
      </c>
      <c r="M39">
        <f t="shared" si="1"/>
        <v>-408.11962500000027</v>
      </c>
    </row>
    <row r="40" spans="2:13" x14ac:dyDescent="0.3">
      <c r="B40" t="s">
        <v>137</v>
      </c>
      <c r="C40" t="s">
        <v>63</v>
      </c>
      <c r="D40" t="s">
        <v>35</v>
      </c>
      <c r="E40" t="s">
        <v>78</v>
      </c>
      <c r="F40">
        <v>20084.133720000002</v>
      </c>
      <c r="G40">
        <v>10566.779999999999</v>
      </c>
      <c r="H40">
        <v>9517.3537200000028</v>
      </c>
      <c r="I40">
        <f>Staging!Q31*(Staging!T31*(1+QtyUplift))*(1-MIN(Staging!R31,DiscountCap))</f>
        <v>22092.547092000004</v>
      </c>
      <c r="J40">
        <f>Staging!P31*(1+CostInflation)*Staging!T31*(1+QtyUplift)</f>
        <v>15052.37811</v>
      </c>
      <c r="K40">
        <f t="shared" si="0"/>
        <v>7040.1689820000047</v>
      </c>
      <c r="L40">
        <v>3009.1210800000044</v>
      </c>
      <c r="M40">
        <f t="shared" si="1"/>
        <v>-2477.1847379999981</v>
      </c>
    </row>
    <row r="41" spans="2:13" x14ac:dyDescent="0.3">
      <c r="B41" t="s">
        <v>140</v>
      </c>
      <c r="C41" t="s">
        <v>41</v>
      </c>
      <c r="D41" t="s">
        <v>22</v>
      </c>
      <c r="E41" t="s">
        <v>45</v>
      </c>
      <c r="F41">
        <v>9805.8573800000013</v>
      </c>
      <c r="G41">
        <v>8425.0299999999988</v>
      </c>
      <c r="H41">
        <v>1380.8273800000024</v>
      </c>
      <c r="I41">
        <f>Staging!Q32*(Staging!T32*(1+QtyUplift))*(1-MIN(Staging!R32,DiscountCap))</f>
        <v>10786.443118000003</v>
      </c>
      <c r="J41">
        <f>Staging!P32*(1+CostInflation)*Staging!T32*(1+QtyUplift)</f>
        <v>12001.455234999999</v>
      </c>
      <c r="K41">
        <f t="shared" si="0"/>
        <v>-1215.0121169999966</v>
      </c>
      <c r="L41">
        <v>980.58573800000158</v>
      </c>
      <c r="M41">
        <f t="shared" si="1"/>
        <v>-2595.839496999999</v>
      </c>
    </row>
    <row r="42" spans="2:13" x14ac:dyDescent="0.3">
      <c r="B42" t="s">
        <v>143</v>
      </c>
      <c r="C42" t="s">
        <v>145</v>
      </c>
      <c r="D42" t="s">
        <v>42</v>
      </c>
      <c r="E42" t="s">
        <v>52</v>
      </c>
      <c r="F42">
        <v>26150.364320000001</v>
      </c>
      <c r="G42">
        <v>19882.560000000001</v>
      </c>
      <c r="H42">
        <v>6267.8043199999993</v>
      </c>
      <c r="I42">
        <f>Staging!Q33*(Staging!T33*(1+QtyUplift))*(1-MIN(Staging!R33,DiscountCap))</f>
        <v>28765.400752000001</v>
      </c>
      <c r="J42">
        <f>Staging!P33*(1+CostInflation)*Staging!T33*(1+QtyUplift)</f>
        <v>28322.706720000002</v>
      </c>
      <c r="K42">
        <f t="shared" si="0"/>
        <v>442.69403199999942</v>
      </c>
      <c r="L42">
        <v>2615.0364320000008</v>
      </c>
      <c r="M42">
        <f t="shared" si="1"/>
        <v>-5825.1102879999999</v>
      </c>
    </row>
    <row r="43" spans="2:13" x14ac:dyDescent="0.3">
      <c r="B43" t="s">
        <v>147</v>
      </c>
      <c r="C43" t="s">
        <v>145</v>
      </c>
      <c r="D43" t="s">
        <v>35</v>
      </c>
      <c r="E43" t="s">
        <v>16</v>
      </c>
      <c r="F43">
        <v>9647.3852800000004</v>
      </c>
      <c r="G43">
        <v>5855.6</v>
      </c>
      <c r="H43">
        <v>3791.7852800000001</v>
      </c>
      <c r="I43">
        <f>Staging!Q34*(Staging!T34*(1+QtyUplift))*(1-MIN(Staging!R34,DiscountCap))</f>
        <v>10612.123808</v>
      </c>
      <c r="J43">
        <f>Staging!P34*(1+CostInflation)*Staging!T34*(1+QtyUplift)</f>
        <v>8341.3022000000019</v>
      </c>
      <c r="K43">
        <f t="shared" si="0"/>
        <v>2270.8216079999984</v>
      </c>
      <c r="L43">
        <v>964.73852799999986</v>
      </c>
      <c r="M43">
        <f t="shared" si="1"/>
        <v>-1520.9636720000017</v>
      </c>
    </row>
    <row r="44" spans="2:13" x14ac:dyDescent="0.3">
      <c r="B44" t="s">
        <v>151</v>
      </c>
      <c r="C44" t="s">
        <v>145</v>
      </c>
      <c r="D44" t="s">
        <v>57</v>
      </c>
      <c r="E44" t="s">
        <v>78</v>
      </c>
      <c r="F44">
        <v>13218.5</v>
      </c>
      <c r="G44">
        <v>6453.3</v>
      </c>
      <c r="H44">
        <v>6765.2</v>
      </c>
      <c r="I44">
        <f>Staging!Q35*(Staging!T35*(1+QtyUplift))*(1-MIN(Staging!R35,DiscountCap))</f>
        <v>14540.349999999999</v>
      </c>
      <c r="J44">
        <f>Staging!P35*(1+CostInflation)*Staging!T35*(1+QtyUplift)</f>
        <v>9192.7258500000007</v>
      </c>
      <c r="K44">
        <f t="shared" si="0"/>
        <v>5347.6241499999978</v>
      </c>
      <c r="L44">
        <v>1321.8499999999985</v>
      </c>
      <c r="M44">
        <f t="shared" si="1"/>
        <v>-1417.575850000002</v>
      </c>
    </row>
    <row r="45" spans="2:13" x14ac:dyDescent="0.3">
      <c r="B45" t="s">
        <v>154</v>
      </c>
      <c r="C45" t="s">
        <v>63</v>
      </c>
      <c r="D45" t="s">
        <v>22</v>
      </c>
      <c r="E45" t="s">
        <v>16</v>
      </c>
      <c r="F45">
        <v>27331.829999999998</v>
      </c>
      <c r="G45">
        <v>12892.68</v>
      </c>
      <c r="H45">
        <v>14439.149999999998</v>
      </c>
      <c r="I45">
        <f>Staging!Q36*(Staging!T36*(1+QtyUplift))*(1-MIN(Staging!R36,DiscountCap))</f>
        <v>30065.012999999999</v>
      </c>
      <c r="J45">
        <f>Staging!P36*(1+CostInflation)*Staging!T36*(1+QtyUplift)</f>
        <v>18365.622660000001</v>
      </c>
      <c r="K45">
        <f t="shared" si="0"/>
        <v>11699.390339999998</v>
      </c>
      <c r="L45">
        <v>2733.1830000000009</v>
      </c>
      <c r="M45">
        <f t="shared" si="1"/>
        <v>-2739.7596599999997</v>
      </c>
    </row>
    <row r="46" spans="2:13" x14ac:dyDescent="0.3">
      <c r="B46" t="s">
        <v>156</v>
      </c>
      <c r="C46" t="s">
        <v>29</v>
      </c>
      <c r="D46" t="s">
        <v>30</v>
      </c>
      <c r="E46" t="s">
        <v>45</v>
      </c>
      <c r="F46">
        <v>6631.6443100000006</v>
      </c>
      <c r="G46">
        <v>6605.61</v>
      </c>
      <c r="H46">
        <v>26.034310000000914</v>
      </c>
      <c r="I46">
        <f>Staging!Q37*(Staging!T37*(1+QtyUplift))*(1-MIN(Staging!R37,DiscountCap))</f>
        <v>7294.8087410000007</v>
      </c>
      <c r="J46">
        <f>Staging!P37*(1+CostInflation)*Staging!T37*(1+QtyUplift)</f>
        <v>9409.6914450000022</v>
      </c>
      <c r="K46">
        <f t="shared" si="0"/>
        <v>-2114.8827040000015</v>
      </c>
      <c r="L46">
        <v>671.2787900000003</v>
      </c>
      <c r="M46">
        <f t="shared" si="1"/>
        <v>-2140.9170140000024</v>
      </c>
    </row>
    <row r="47" spans="2:13" x14ac:dyDescent="0.3">
      <c r="B47" t="s">
        <v>158</v>
      </c>
      <c r="C47" t="s">
        <v>56</v>
      </c>
      <c r="D47" t="s">
        <v>22</v>
      </c>
      <c r="E47" t="s">
        <v>78</v>
      </c>
      <c r="F47">
        <v>18957.37689</v>
      </c>
      <c r="G47">
        <v>19246.68</v>
      </c>
      <c r="H47">
        <v>-289.30311000000074</v>
      </c>
      <c r="I47">
        <f>Staging!Q38*(Staging!T38*(1+QtyUplift))*(1-MIN(Staging!R38,DiscountCap))</f>
        <v>20853.114579000001</v>
      </c>
      <c r="J47">
        <f>Staging!P38*(1+CostInflation)*Staging!T38*(1+QtyUplift)</f>
        <v>27416.895660000002</v>
      </c>
      <c r="K47">
        <f t="shared" si="0"/>
        <v>-6563.781081000001</v>
      </c>
      <c r="L47">
        <v>5834.9654100000043</v>
      </c>
      <c r="M47">
        <f t="shared" si="1"/>
        <v>-6274.4779710000003</v>
      </c>
    </row>
    <row r="48" spans="2:13" x14ac:dyDescent="0.3">
      <c r="B48" t="s">
        <v>161</v>
      </c>
      <c r="C48" t="s">
        <v>126</v>
      </c>
      <c r="D48" t="s">
        <v>22</v>
      </c>
      <c r="E48" t="s">
        <v>45</v>
      </c>
      <c r="F48">
        <v>11995.153920000001</v>
      </c>
      <c r="G48">
        <v>6057.52</v>
      </c>
      <c r="H48">
        <v>5937.6339200000002</v>
      </c>
      <c r="I48">
        <f>Staging!Q39*(Staging!T39*(1+QtyUplift))*(1-MIN(Staging!R39,DiscountCap))</f>
        <v>13194.669312000002</v>
      </c>
      <c r="J48">
        <f>Staging!P39*(1+CostInflation)*Staging!T39*(1+QtyUplift)</f>
        <v>8628.9372400000011</v>
      </c>
      <c r="K48">
        <f t="shared" si="0"/>
        <v>4565.7320720000007</v>
      </c>
      <c r="L48">
        <v>1749.2932800000017</v>
      </c>
      <c r="M48">
        <f t="shared" si="1"/>
        <v>-1371.9018479999995</v>
      </c>
    </row>
    <row r="49" spans="2:13" x14ac:dyDescent="0.3">
      <c r="B49" t="s">
        <v>164</v>
      </c>
      <c r="C49" t="s">
        <v>75</v>
      </c>
      <c r="D49" t="s">
        <v>30</v>
      </c>
      <c r="E49" t="s">
        <v>16</v>
      </c>
      <c r="F49">
        <v>14968.239</v>
      </c>
      <c r="G49">
        <v>11249.29</v>
      </c>
      <c r="H49">
        <v>3718.9489999999987</v>
      </c>
      <c r="I49">
        <f>Staging!Q40*(Staging!T40*(1+QtyUplift))*(1-MIN(Staging!R40,DiscountCap))</f>
        <v>16465.062900000001</v>
      </c>
      <c r="J49">
        <f>Staging!P40*(1+CostInflation)*Staging!T40*(1+QtyUplift)</f>
        <v>16024.613605</v>
      </c>
      <c r="K49">
        <f t="shared" si="0"/>
        <v>440.44929500000035</v>
      </c>
      <c r="L49">
        <v>2993.6478000000043</v>
      </c>
      <c r="M49">
        <f t="shared" si="1"/>
        <v>-3278.4997049999984</v>
      </c>
    </row>
    <row r="50" spans="2:13" x14ac:dyDescent="0.3">
      <c r="B50" t="s">
        <v>166</v>
      </c>
      <c r="C50" t="s">
        <v>34</v>
      </c>
      <c r="D50" t="s">
        <v>30</v>
      </c>
      <c r="E50" t="s">
        <v>52</v>
      </c>
      <c r="F50">
        <v>3562.1983800000003</v>
      </c>
      <c r="G50">
        <v>2825.91</v>
      </c>
      <c r="H50">
        <v>736.28838000000042</v>
      </c>
      <c r="I50">
        <f>Staging!Q41*(Staging!T41*(1+QtyUplift))*(1-MIN(Staging!R41,DiscountCap))</f>
        <v>3918.4182180000007</v>
      </c>
      <c r="J50">
        <f>Staging!P41*(1+CostInflation)*Staging!T41*(1+QtyUplift)</f>
        <v>4025.5087950000002</v>
      </c>
      <c r="K50">
        <f t="shared" si="0"/>
        <v>-107.09057699999948</v>
      </c>
      <c r="L50">
        <v>486.68382000000065</v>
      </c>
      <c r="M50">
        <f t="shared" si="1"/>
        <v>-843.3789569999999</v>
      </c>
    </row>
    <row r="51" spans="2:13" x14ac:dyDescent="0.3">
      <c r="B51" t="s">
        <v>169</v>
      </c>
      <c r="C51" t="s">
        <v>145</v>
      </c>
      <c r="D51" t="s">
        <v>64</v>
      </c>
      <c r="E51" t="s">
        <v>78</v>
      </c>
      <c r="F51">
        <v>41106.800970000004</v>
      </c>
      <c r="G51">
        <v>27648.27</v>
      </c>
      <c r="H51">
        <v>13458.530970000003</v>
      </c>
      <c r="I51">
        <f>Staging!Q42*(Staging!T42*(1+QtyUplift))*(1-MIN(Staging!R42,DiscountCap))</f>
        <v>45217.481067000008</v>
      </c>
      <c r="J51">
        <f>Staging!P42*(1+CostInflation)*Staging!T42*(1+QtyUplift)</f>
        <v>39384.960615000004</v>
      </c>
      <c r="K51">
        <f t="shared" si="0"/>
        <v>5832.5204520000043</v>
      </c>
      <c r="L51">
        <v>4110.680097000004</v>
      </c>
      <c r="M51">
        <f t="shared" si="1"/>
        <v>-7626.0105179999991</v>
      </c>
    </row>
    <row r="52" spans="2:13" x14ac:dyDescent="0.3">
      <c r="B52" t="s">
        <v>171</v>
      </c>
      <c r="C52" t="s">
        <v>95</v>
      </c>
      <c r="D52" t="s">
        <v>35</v>
      </c>
      <c r="E52" t="s">
        <v>16</v>
      </c>
      <c r="F52">
        <v>10558.74</v>
      </c>
      <c r="G52">
        <v>7237.2000000000007</v>
      </c>
      <c r="H52">
        <v>3321.5399999999991</v>
      </c>
      <c r="I52">
        <f>Staging!Q43*(Staging!T43*(1+QtyUplift))*(1-MIN(Staging!R43,DiscountCap))</f>
        <v>11614.614000000001</v>
      </c>
      <c r="J52">
        <f>Staging!P43*(1+CostInflation)*Staging!T43*(1+QtyUplift)</f>
        <v>10309.3914</v>
      </c>
      <c r="K52">
        <f t="shared" si="0"/>
        <v>1305.222600000001</v>
      </c>
      <c r="L52">
        <v>1055.8740000000016</v>
      </c>
      <c r="M52">
        <f t="shared" si="1"/>
        <v>-2016.3173999999981</v>
      </c>
    </row>
    <row r="53" spans="2:13" x14ac:dyDescent="0.3">
      <c r="B53" t="s">
        <v>174</v>
      </c>
      <c r="C53" t="s">
        <v>92</v>
      </c>
      <c r="D53" t="s">
        <v>30</v>
      </c>
      <c r="E53" t="s">
        <v>16</v>
      </c>
      <c r="F53">
        <v>31404.1</v>
      </c>
      <c r="G53">
        <v>19550.72</v>
      </c>
      <c r="H53">
        <v>11853.379999999997</v>
      </c>
      <c r="I53">
        <f>Staging!Q44*(Staging!T44*(1+QtyUplift))*(1-MIN(Staging!R44,DiscountCap))</f>
        <v>37011.975000000006</v>
      </c>
      <c r="J53">
        <f>Staging!P44*(1+CostInflation)*Staging!T44*(1+QtyUplift)</f>
        <v>27850.000639999998</v>
      </c>
      <c r="K53">
        <f t="shared" si="0"/>
        <v>9161.9743600000074</v>
      </c>
      <c r="L53">
        <v>13010.270000000011</v>
      </c>
      <c r="M53">
        <f t="shared" si="1"/>
        <v>-2691.4056399999899</v>
      </c>
    </row>
    <row r="54" spans="2:13" x14ac:dyDescent="0.3">
      <c r="B54" t="s">
        <v>176</v>
      </c>
      <c r="C54" t="s">
        <v>75</v>
      </c>
      <c r="D54" t="s">
        <v>30</v>
      </c>
      <c r="E54" t="s">
        <v>78</v>
      </c>
      <c r="F54">
        <v>10666.229420000001</v>
      </c>
      <c r="G54">
        <v>5318.17</v>
      </c>
      <c r="H54">
        <v>5348.0594200000014</v>
      </c>
      <c r="I54">
        <f>Staging!Q45*(Staging!T45*(1+QtyUplift))*(1-MIN(Staging!R45,DiscountCap))</f>
        <v>11732.852362000003</v>
      </c>
      <c r="J54">
        <f>Staging!P45*(1+CostInflation)*Staging!T45*(1+QtyUplift)</f>
        <v>7575.7331650000015</v>
      </c>
      <c r="K54">
        <f t="shared" si="0"/>
        <v>4157.1191970000018</v>
      </c>
      <c r="L54">
        <v>1698.6032800000012</v>
      </c>
      <c r="M54">
        <f t="shared" si="1"/>
        <v>-1190.9402229999996</v>
      </c>
    </row>
    <row r="55" spans="2:13" x14ac:dyDescent="0.3">
      <c r="B55" t="s">
        <v>178</v>
      </c>
      <c r="C55" t="s">
        <v>95</v>
      </c>
      <c r="D55" t="s">
        <v>22</v>
      </c>
      <c r="E55" t="s">
        <v>52</v>
      </c>
      <c r="F55">
        <v>17930.494560000003</v>
      </c>
      <c r="G55">
        <v>14859.46</v>
      </c>
      <c r="H55">
        <v>3071.0345600000037</v>
      </c>
      <c r="I55">
        <f>Staging!Q46*(Staging!T46*(1+QtyUplift))*(1-MIN(Staging!R46,DiscountCap))</f>
        <v>19723.544016000003</v>
      </c>
      <c r="J55">
        <f>Staging!P46*(1+CostInflation)*Staging!T46*(1+QtyUplift)</f>
        <v>21167.300769999998</v>
      </c>
      <c r="K55">
        <f t="shared" si="0"/>
        <v>-1443.7567539999945</v>
      </c>
      <c r="L55">
        <v>3770.22624</v>
      </c>
      <c r="M55">
        <f t="shared" si="1"/>
        <v>-4514.7913139999982</v>
      </c>
    </row>
    <row r="56" spans="2:13" x14ac:dyDescent="0.3">
      <c r="B56" t="s">
        <v>181</v>
      </c>
      <c r="C56" t="s">
        <v>75</v>
      </c>
      <c r="D56" t="s">
        <v>35</v>
      </c>
      <c r="E56" t="s">
        <v>45</v>
      </c>
      <c r="F56">
        <v>32506.559399999998</v>
      </c>
      <c r="G56">
        <v>23143.399999999998</v>
      </c>
      <c r="H56">
        <v>9363.1594000000005</v>
      </c>
      <c r="I56">
        <f>Staging!Q47*(Staging!T47*(1+QtyUplift))*(1-MIN(Staging!R47,DiscountCap))</f>
        <v>35757.215340000002</v>
      </c>
      <c r="J56">
        <f>Staging!P47*(1+CostInflation)*Staging!T47*(1+QtyUplift)</f>
        <v>32967.773300000001</v>
      </c>
      <c r="K56">
        <f t="shared" si="0"/>
        <v>2789.4420400000017</v>
      </c>
      <c r="L56">
        <v>6219.6666000000114</v>
      </c>
      <c r="M56">
        <f t="shared" si="1"/>
        <v>-6573.7173599999987</v>
      </c>
    </row>
    <row r="57" spans="2:13" x14ac:dyDescent="0.3">
      <c r="B57" t="s">
        <v>183</v>
      </c>
      <c r="C57" t="s">
        <v>29</v>
      </c>
      <c r="D57" t="s">
        <v>30</v>
      </c>
      <c r="E57" t="s">
        <v>16</v>
      </c>
      <c r="F57">
        <v>7135.57</v>
      </c>
      <c r="G57">
        <v>4390.75</v>
      </c>
      <c r="H57">
        <v>2744.8199999999997</v>
      </c>
      <c r="I57">
        <f>Staging!Q48*(Staging!T48*(1+QtyUplift))*(1-MIN(Staging!R48,DiscountCap))</f>
        <v>7849.1270000000004</v>
      </c>
      <c r="J57">
        <f>Staging!P48*(1+CostInflation)*Staging!T48*(1+QtyUplift)</f>
        <v>6254.6233750000001</v>
      </c>
      <c r="K57">
        <f t="shared" si="0"/>
        <v>1594.5036250000003</v>
      </c>
      <c r="L57">
        <v>713.5570000000007</v>
      </c>
      <c r="M57">
        <f t="shared" si="1"/>
        <v>-1150.3163749999994</v>
      </c>
    </row>
    <row r="58" spans="2:13" x14ac:dyDescent="0.3">
      <c r="B58" t="s">
        <v>185</v>
      </c>
      <c r="C58" t="s">
        <v>56</v>
      </c>
      <c r="D58" t="s">
        <v>35</v>
      </c>
      <c r="E58" t="s">
        <v>78</v>
      </c>
      <c r="F58">
        <v>109244</v>
      </c>
      <c r="G58">
        <v>44055.340000000004</v>
      </c>
      <c r="H58">
        <v>65188.659999999996</v>
      </c>
      <c r="I58">
        <f>Staging!Q49*(Staging!T49*(1+QtyUplift))*(1-MIN(Staging!R49,DiscountCap))</f>
        <v>120168.40000000001</v>
      </c>
      <c r="J58">
        <f>Staging!P49*(1+CostInflation)*Staging!T49*(1+QtyUplift)</f>
        <v>62756.831830000003</v>
      </c>
      <c r="K58">
        <f t="shared" si="0"/>
        <v>57411.568170000006</v>
      </c>
      <c r="L58">
        <v>10924.400000000009</v>
      </c>
      <c r="M58">
        <f t="shared" si="1"/>
        <v>-7777.0918299999903</v>
      </c>
    </row>
    <row r="59" spans="2:13" x14ac:dyDescent="0.3">
      <c r="B59" t="s">
        <v>187</v>
      </c>
      <c r="C59" t="s">
        <v>68</v>
      </c>
      <c r="D59" t="s">
        <v>35</v>
      </c>
      <c r="E59" t="s">
        <v>16</v>
      </c>
      <c r="F59">
        <v>35621.302319999995</v>
      </c>
      <c r="G59">
        <v>20624.400000000001</v>
      </c>
      <c r="H59">
        <v>14996.902319999994</v>
      </c>
      <c r="I59">
        <f>Staging!Q50*(Staging!T50*(1+QtyUplift))*(1-MIN(Staging!R50,DiscountCap))</f>
        <v>39183.432551999998</v>
      </c>
      <c r="J59">
        <f>Staging!P50*(1+CostInflation)*Staging!T50*(1+QtyUplift)</f>
        <v>29379.4578</v>
      </c>
      <c r="K59">
        <f t="shared" si="0"/>
        <v>9803.9747519999983</v>
      </c>
      <c r="L59">
        <v>7755.1912800000064</v>
      </c>
      <c r="M59">
        <f t="shared" si="1"/>
        <v>-5192.9275679999955</v>
      </c>
    </row>
    <row r="60" spans="2:13" x14ac:dyDescent="0.3">
      <c r="B60" t="s">
        <v>189</v>
      </c>
      <c r="C60" t="s">
        <v>56</v>
      </c>
      <c r="D60" t="s">
        <v>30</v>
      </c>
      <c r="E60" t="s">
        <v>78</v>
      </c>
      <c r="F60">
        <v>34444.462359999998</v>
      </c>
      <c r="G60">
        <v>28678.32</v>
      </c>
      <c r="H60">
        <v>5766.142359999998</v>
      </c>
      <c r="I60">
        <f>Staging!Q51*(Staging!T51*(1+QtyUplift))*(1-MIN(Staging!R51,DiscountCap))</f>
        <v>37888.908596000001</v>
      </c>
      <c r="J60">
        <f>Staging!P51*(1+CostInflation)*Staging!T51*(1+QtyUplift)</f>
        <v>40852.266839999997</v>
      </c>
      <c r="K60">
        <f t="shared" si="0"/>
        <v>-2963.3582439999955</v>
      </c>
      <c r="L60">
        <v>4571.5762400000021</v>
      </c>
      <c r="M60">
        <f t="shared" si="1"/>
        <v>-8729.5006039999935</v>
      </c>
    </row>
    <row r="61" spans="2:13" x14ac:dyDescent="0.3">
      <c r="B61" t="s">
        <v>191</v>
      </c>
      <c r="C61" t="s">
        <v>145</v>
      </c>
      <c r="D61" t="s">
        <v>81</v>
      </c>
      <c r="E61" t="s">
        <v>52</v>
      </c>
      <c r="F61">
        <v>14894.903999999999</v>
      </c>
      <c r="G61">
        <v>11632.88</v>
      </c>
      <c r="H61">
        <v>3262.0239999999994</v>
      </c>
      <c r="I61">
        <f>Staging!Q52*(Staging!T52*(1+QtyUplift))*(1-MIN(Staging!R52,DiscountCap))</f>
        <v>17356.350000000002</v>
      </c>
      <c r="J61">
        <f>Staging!P52*(1+CostInflation)*Staging!T52*(1+QtyUplift)</f>
        <v>16571.037559999997</v>
      </c>
      <c r="K61">
        <f t="shared" si="0"/>
        <v>785.31244000000515</v>
      </c>
      <c r="L61">
        <v>5932.716000000004</v>
      </c>
      <c r="M61">
        <f t="shared" si="1"/>
        <v>-2476.7115599999943</v>
      </c>
    </row>
    <row r="62" spans="2:13" x14ac:dyDescent="0.3">
      <c r="B62" t="s">
        <v>193</v>
      </c>
      <c r="C62" t="s">
        <v>68</v>
      </c>
      <c r="D62" t="s">
        <v>64</v>
      </c>
      <c r="E62" t="s">
        <v>45</v>
      </c>
      <c r="F62">
        <v>599.53200000000004</v>
      </c>
      <c r="G62">
        <v>583.52</v>
      </c>
      <c r="H62">
        <v>16.012000000000057</v>
      </c>
      <c r="I62">
        <f>Staging!Q53*(Staging!T53*(1+QtyUplift))*(1-MIN(Staging!R53,DiscountCap))</f>
        <v>701.58</v>
      </c>
      <c r="J62">
        <f>Staging!P53*(1+CostInflation)*Staging!T53*(1+QtyUplift)</f>
        <v>831.22424000000001</v>
      </c>
      <c r="K62">
        <f t="shared" si="0"/>
        <v>-129.64423999999997</v>
      </c>
      <c r="L62">
        <v>242.36400000000003</v>
      </c>
      <c r="M62">
        <f t="shared" si="1"/>
        <v>-145.65624000000003</v>
      </c>
    </row>
    <row r="63" spans="2:13" x14ac:dyDescent="0.3">
      <c r="B63" t="s">
        <v>195</v>
      </c>
      <c r="C63" t="s">
        <v>56</v>
      </c>
      <c r="D63" t="s">
        <v>57</v>
      </c>
      <c r="E63" t="s">
        <v>16</v>
      </c>
      <c r="F63">
        <v>5785.8</v>
      </c>
      <c r="G63">
        <v>7998.9</v>
      </c>
      <c r="H63">
        <v>-2213.0999999999995</v>
      </c>
      <c r="I63">
        <f>Staging!Q54*(Staging!T54*(1+QtyUplift))*(1-MIN(Staging!R54,DiscountCap))</f>
        <v>6364.38</v>
      </c>
      <c r="J63">
        <f>Staging!P54*(1+CostInflation)*Staging!T54*(1+QtyUplift)</f>
        <v>11394.43305</v>
      </c>
      <c r="K63">
        <f t="shared" si="0"/>
        <v>-5030.0530499999995</v>
      </c>
      <c r="L63">
        <v>578.57999999999993</v>
      </c>
      <c r="M63">
        <f t="shared" si="1"/>
        <v>-2816.9530500000001</v>
      </c>
    </row>
    <row r="64" spans="2:13" x14ac:dyDescent="0.3">
      <c r="B64" t="s">
        <v>197</v>
      </c>
      <c r="C64" t="s">
        <v>68</v>
      </c>
      <c r="D64" t="s">
        <v>57</v>
      </c>
      <c r="E64" t="s">
        <v>78</v>
      </c>
      <c r="F64">
        <v>2518.8755800000004</v>
      </c>
      <c r="G64">
        <v>2653.4300000000003</v>
      </c>
      <c r="H64">
        <v>-134.55441999999994</v>
      </c>
      <c r="I64">
        <f>Staging!Q55*(Staging!T55*(1+QtyUplift))*(1-MIN(Staging!R55,DiscountCap))</f>
        <v>2770.7631380000007</v>
      </c>
      <c r="J64">
        <f>Staging!P55*(1+CostInflation)*Staging!T55*(1+QtyUplift)</f>
        <v>3779.8110350000006</v>
      </c>
      <c r="K64">
        <f t="shared" si="0"/>
        <v>-1009.0478969999999</v>
      </c>
      <c r="L64">
        <v>529.64132000000018</v>
      </c>
      <c r="M64">
        <f t="shared" si="1"/>
        <v>-874.49347699999998</v>
      </c>
    </row>
    <row r="65" spans="2:13" x14ac:dyDescent="0.3">
      <c r="B65" t="s">
        <v>199</v>
      </c>
      <c r="C65" t="s">
        <v>126</v>
      </c>
      <c r="D65" t="s">
        <v>35</v>
      </c>
      <c r="E65" t="s">
        <v>78</v>
      </c>
      <c r="F65">
        <v>215.19839999999996</v>
      </c>
      <c r="G65">
        <v>266.52</v>
      </c>
      <c r="H65">
        <v>-51.321600000000018</v>
      </c>
      <c r="I65">
        <f>Staging!Q56*(Staging!T56*(1+QtyUplift))*(1-MIN(Staging!R56,DiscountCap))</f>
        <v>236.71824000000001</v>
      </c>
      <c r="J65">
        <f>Staging!P56*(1+CostInflation)*Staging!T56*(1+QtyUplift)</f>
        <v>379.65773999999999</v>
      </c>
      <c r="K65">
        <f t="shared" si="0"/>
        <v>-142.93949999999998</v>
      </c>
      <c r="L65">
        <v>33.68760000000006</v>
      </c>
      <c r="M65">
        <f t="shared" si="1"/>
        <v>-91.617899999999963</v>
      </c>
    </row>
    <row r="66" spans="2:13" x14ac:dyDescent="0.3">
      <c r="B66" t="s">
        <v>201</v>
      </c>
      <c r="C66" t="s">
        <v>95</v>
      </c>
      <c r="D66" t="s">
        <v>64</v>
      </c>
      <c r="E66" t="s">
        <v>52</v>
      </c>
      <c r="F66">
        <v>31680.795320000001</v>
      </c>
      <c r="G66">
        <v>32519.64</v>
      </c>
      <c r="H66">
        <v>-838.84467999999833</v>
      </c>
      <c r="I66">
        <f>Staging!Q57*(Staging!T57*(1+QtyUplift))*(1-MIN(Staging!R57,DiscountCap))</f>
        <v>34848.874852000001</v>
      </c>
      <c r="J66">
        <f>Staging!P57*(1+CostInflation)*Staging!T57*(1+QtyUplift)</f>
        <v>46324.227180000002</v>
      </c>
      <c r="K66">
        <f t="shared" si="0"/>
        <v>-11475.352328000001</v>
      </c>
      <c r="L66">
        <v>5088.2402800000018</v>
      </c>
      <c r="M66">
        <f t="shared" si="1"/>
        <v>-10636.507648000003</v>
      </c>
    </row>
    <row r="67" spans="2:13" x14ac:dyDescent="0.3">
      <c r="B67" t="s">
        <v>203</v>
      </c>
      <c r="C67" t="s">
        <v>56</v>
      </c>
      <c r="D67" t="s">
        <v>57</v>
      </c>
      <c r="E67" t="s">
        <v>52</v>
      </c>
      <c r="F67">
        <v>29659.68995</v>
      </c>
      <c r="G67">
        <v>12701.04</v>
      </c>
      <c r="H67">
        <v>16958.649949999999</v>
      </c>
      <c r="I67">
        <f>Staging!Q58*(Staging!T58*(1+QtyUplift))*(1-MIN(Staging!R58,DiscountCap))</f>
        <v>32625.658945000003</v>
      </c>
      <c r="J67">
        <f>Staging!P58*(1+CostInflation)*Staging!T58*(1+QtyUplift)</f>
        <v>18092.63148</v>
      </c>
      <c r="K67">
        <f t="shared" si="0"/>
        <v>14533.027465000003</v>
      </c>
      <c r="L67">
        <v>2965.9689950000029</v>
      </c>
      <c r="M67">
        <f t="shared" si="1"/>
        <v>-2425.6224849999962</v>
      </c>
    </row>
    <row r="68" spans="2:13" x14ac:dyDescent="0.3">
      <c r="B68" t="s">
        <v>205</v>
      </c>
      <c r="C68" t="s">
        <v>49</v>
      </c>
      <c r="D68" t="s">
        <v>81</v>
      </c>
      <c r="E68" t="s">
        <v>78</v>
      </c>
      <c r="F68">
        <v>4790.1068000000005</v>
      </c>
      <c r="G68">
        <v>2774.56</v>
      </c>
      <c r="H68">
        <v>2015.5468000000005</v>
      </c>
      <c r="I68">
        <f>Staging!Q59*(Staging!T59*(1+QtyUplift))*(1-MIN(Staging!R59,DiscountCap))</f>
        <v>5269.1174800000008</v>
      </c>
      <c r="J68">
        <f>Staging!P59*(1+CostInflation)*Staging!T59*(1+QtyUplift)</f>
        <v>3952.3607200000001</v>
      </c>
      <c r="K68">
        <f t="shared" si="0"/>
        <v>1316.7567600000007</v>
      </c>
      <c r="L68">
        <v>769.33719999999994</v>
      </c>
      <c r="M68">
        <f t="shared" si="1"/>
        <v>-698.79003999999986</v>
      </c>
    </row>
    <row r="69" spans="2:13" x14ac:dyDescent="0.3">
      <c r="B69" t="s">
        <v>207</v>
      </c>
      <c r="C69" t="s">
        <v>92</v>
      </c>
      <c r="D69" t="s">
        <v>81</v>
      </c>
      <c r="E69" t="s">
        <v>78</v>
      </c>
      <c r="F69">
        <v>272.98599999999999</v>
      </c>
      <c r="G69">
        <v>68628</v>
      </c>
      <c r="H69">
        <v>-68355.013999999996</v>
      </c>
      <c r="I69">
        <f>Staging!Q60*(Staging!T60*(1+QtyUplift))*(1-MIN(Staging!R60,DiscountCap))</f>
        <v>300.28460000000001</v>
      </c>
      <c r="J69">
        <f>Staging!P60*(1+CostInflation)*Staging!T60*(1+QtyUplift)</f>
        <v>97760.585999999996</v>
      </c>
      <c r="K69">
        <f t="shared" si="0"/>
        <v>-97460.301399999997</v>
      </c>
      <c r="L69">
        <v>27.298600000000022</v>
      </c>
      <c r="M69">
        <f t="shared" si="1"/>
        <v>-29105.287400000001</v>
      </c>
    </row>
    <row r="70" spans="2:13" x14ac:dyDescent="0.3">
      <c r="B70" t="s">
        <v>209</v>
      </c>
      <c r="C70" t="s">
        <v>75</v>
      </c>
      <c r="D70" t="s">
        <v>81</v>
      </c>
      <c r="E70" t="s">
        <v>16</v>
      </c>
      <c r="F70">
        <v>4569.8508000000002</v>
      </c>
      <c r="G70">
        <v>4230.3999999999996</v>
      </c>
      <c r="H70">
        <v>339.45080000000053</v>
      </c>
      <c r="I70">
        <f>Staging!Q61*(Staging!T61*(1+QtyUplift))*(1-MIN(Staging!R61,DiscountCap))</f>
        <v>5026.8358800000005</v>
      </c>
      <c r="J70">
        <f>Staging!P61*(1+CostInflation)*Staging!T61*(1+QtyUplift)</f>
        <v>6026.2047999999995</v>
      </c>
      <c r="K70">
        <f t="shared" si="0"/>
        <v>-999.36891999999898</v>
      </c>
      <c r="L70">
        <v>1120.9068000000007</v>
      </c>
      <c r="M70">
        <f t="shared" si="1"/>
        <v>-1338.8197199999995</v>
      </c>
    </row>
    <row r="71" spans="2:13" x14ac:dyDescent="0.3">
      <c r="B71" t="s">
        <v>211</v>
      </c>
      <c r="C71" t="s">
        <v>34</v>
      </c>
      <c r="D71" t="s">
        <v>22</v>
      </c>
      <c r="E71" t="s">
        <v>78</v>
      </c>
      <c r="F71">
        <v>33687.501800000005</v>
      </c>
      <c r="G71">
        <v>23531.199999999997</v>
      </c>
      <c r="H71">
        <v>10156.301800000008</v>
      </c>
      <c r="I71">
        <f>Staging!Q62*(Staging!T62*(1+QtyUplift))*(1-MIN(Staging!R62,DiscountCap))</f>
        <v>37056.251980000001</v>
      </c>
      <c r="J71">
        <f>Staging!P62*(1+CostInflation)*Staging!T62*(1+QtyUplift)</f>
        <v>33520.1944</v>
      </c>
      <c r="K71">
        <f t="shared" si="0"/>
        <v>3536.0575800000006</v>
      </c>
      <c r="L71">
        <v>4167.9202000000005</v>
      </c>
      <c r="M71">
        <f t="shared" si="1"/>
        <v>-6620.2442200000078</v>
      </c>
    </row>
    <row r="72" spans="2:13" x14ac:dyDescent="0.3">
      <c r="B72" t="s">
        <v>213</v>
      </c>
      <c r="C72" t="s">
        <v>68</v>
      </c>
      <c r="D72" t="s">
        <v>22</v>
      </c>
      <c r="E72" t="s">
        <v>45</v>
      </c>
      <c r="F72">
        <v>27701.570400000001</v>
      </c>
      <c r="G72">
        <v>17641.800000000003</v>
      </c>
      <c r="H72">
        <v>10059.770399999998</v>
      </c>
      <c r="I72">
        <f>Staging!Q63*(Staging!T63*(1+QtyUplift))*(1-MIN(Staging!R63,DiscountCap))</f>
        <v>30471.727440000006</v>
      </c>
      <c r="J72">
        <f>Staging!P63*(1+CostInflation)*Staging!T63*(1+QtyUplift)</f>
        <v>25130.744100000004</v>
      </c>
      <c r="K72">
        <f t="shared" si="0"/>
        <v>5340.9833400000025</v>
      </c>
      <c r="L72">
        <v>3112.5360000000073</v>
      </c>
      <c r="M72">
        <f t="shared" si="1"/>
        <v>-4718.7870599999951</v>
      </c>
    </row>
    <row r="73" spans="2:13" x14ac:dyDescent="0.3">
      <c r="B73" t="s">
        <v>216</v>
      </c>
      <c r="C73" t="s">
        <v>34</v>
      </c>
      <c r="D73" t="s">
        <v>42</v>
      </c>
      <c r="E73" t="s">
        <v>78</v>
      </c>
      <c r="F73">
        <v>10947.904</v>
      </c>
      <c r="G73">
        <v>6637.9500000000007</v>
      </c>
      <c r="H73">
        <v>4309.9539999999997</v>
      </c>
      <c r="I73">
        <f>Staging!Q64*(Staging!T64*(1+QtyUplift))*(1-MIN(Staging!R64,DiscountCap))</f>
        <v>12042.6944</v>
      </c>
      <c r="J73">
        <f>Staging!P64*(1+CostInflation)*Staging!T64*(1+QtyUplift)</f>
        <v>9455.7597750000004</v>
      </c>
      <c r="K73">
        <f t="shared" si="0"/>
        <v>2586.9346249999999</v>
      </c>
      <c r="L73">
        <v>2600.1272000000008</v>
      </c>
      <c r="M73">
        <f t="shared" si="1"/>
        <v>-1723.0193749999999</v>
      </c>
    </row>
    <row r="74" spans="2:13" x14ac:dyDescent="0.3">
      <c r="B74" t="s">
        <v>219</v>
      </c>
      <c r="C74" t="s">
        <v>68</v>
      </c>
      <c r="D74" t="s">
        <v>64</v>
      </c>
      <c r="E74" t="s">
        <v>45</v>
      </c>
      <c r="F74">
        <v>72665.817450000002</v>
      </c>
      <c r="G74">
        <v>62912.579999999994</v>
      </c>
      <c r="H74">
        <v>9753.2374500000078</v>
      </c>
      <c r="I74">
        <f>Staging!Q65*(Staging!T65*(1+QtyUplift))*(1-MIN(Staging!R65,DiscountCap))</f>
        <v>80468.858250000005</v>
      </c>
      <c r="J74">
        <f>Staging!P65*(1+CostInflation)*Staging!T65*(1+QtyUplift)</f>
        <v>89618.970209999999</v>
      </c>
      <c r="K74">
        <f t="shared" si="0"/>
        <v>-9150.1119599999947</v>
      </c>
      <c r="L74">
        <v>23896.812449999998</v>
      </c>
      <c r="M74">
        <f t="shared" si="1"/>
        <v>-18903.349410000003</v>
      </c>
    </row>
    <row r="75" spans="2:13" x14ac:dyDescent="0.3">
      <c r="B75" t="s">
        <v>222</v>
      </c>
      <c r="C75" t="s">
        <v>95</v>
      </c>
      <c r="D75" t="s">
        <v>57</v>
      </c>
      <c r="E75" t="s">
        <v>16</v>
      </c>
      <c r="F75">
        <v>26304.275999999998</v>
      </c>
      <c r="G75">
        <v>19940</v>
      </c>
      <c r="H75">
        <v>6364.275999999998</v>
      </c>
      <c r="I75">
        <f>Staging!Q66*(Staging!T66*(1+QtyUplift))*(1-MIN(Staging!R66,DiscountCap))</f>
        <v>28934.703599999997</v>
      </c>
      <c r="J75">
        <f>Staging!P66*(1+CostInflation)*Staging!T66*(1+QtyUplift)</f>
        <v>28404.530000000002</v>
      </c>
      <c r="K75">
        <f t="shared" si="0"/>
        <v>530.17359999999462</v>
      </c>
      <c r="L75">
        <v>3628.1760000000031</v>
      </c>
      <c r="M75">
        <f t="shared" si="1"/>
        <v>-5834.1024000000034</v>
      </c>
    </row>
    <row r="76" spans="2:13" x14ac:dyDescent="0.3">
      <c r="B76" t="s">
        <v>224</v>
      </c>
      <c r="C76" t="s">
        <v>68</v>
      </c>
      <c r="D76" t="s">
        <v>42</v>
      </c>
      <c r="E76" t="s">
        <v>52</v>
      </c>
      <c r="F76">
        <v>12153.267360000002</v>
      </c>
      <c r="G76">
        <v>16940.43</v>
      </c>
      <c r="H76">
        <v>-4787.1626399999986</v>
      </c>
      <c r="I76">
        <f>Staging!Q67*(Staging!T67*(1+QtyUplift))*(1-MIN(Staging!R67,DiscountCap))</f>
        <v>13368.594096000003</v>
      </c>
      <c r="J76">
        <f>Staging!P67*(1+CostInflation)*Staging!T67*(1+QtyUplift)</f>
        <v>24131.642534999999</v>
      </c>
      <c r="K76">
        <f t="shared" ref="K76:K139" si="2">I76-J76</f>
        <v>-10763.048438999997</v>
      </c>
      <c r="L76">
        <v>2591.5055400000001</v>
      </c>
      <c r="M76">
        <f t="shared" ref="M76:M139" si="3">K76-H76</f>
        <v>-5975.8857989999979</v>
      </c>
    </row>
    <row r="77" spans="2:13" x14ac:dyDescent="0.3">
      <c r="B77" t="s">
        <v>227</v>
      </c>
      <c r="C77" t="s">
        <v>49</v>
      </c>
      <c r="D77" t="s">
        <v>81</v>
      </c>
      <c r="E77" t="s">
        <v>78</v>
      </c>
      <c r="F77">
        <v>16013.681599999998</v>
      </c>
      <c r="G77">
        <v>17314.72</v>
      </c>
      <c r="H77">
        <v>-1301.0384000000031</v>
      </c>
      <c r="I77">
        <f>Staging!Q68*(Staging!T68*(1+QtyUplift))*(1-MIN(Staging!R68,DiscountCap))</f>
        <v>17615.049759999998</v>
      </c>
      <c r="J77">
        <f>Staging!P68*(1+CostInflation)*Staging!T68*(1+QtyUplift)</f>
        <v>24664.818640000001</v>
      </c>
      <c r="K77">
        <f t="shared" si="2"/>
        <v>-7049.7688800000033</v>
      </c>
      <c r="L77">
        <v>3534.4624000000022</v>
      </c>
      <c r="M77">
        <f t="shared" si="3"/>
        <v>-5748.7304800000002</v>
      </c>
    </row>
    <row r="78" spans="2:13" x14ac:dyDescent="0.3">
      <c r="B78" t="s">
        <v>230</v>
      </c>
      <c r="C78" t="s">
        <v>21</v>
      </c>
      <c r="D78" t="s">
        <v>64</v>
      </c>
      <c r="E78" t="s">
        <v>45</v>
      </c>
      <c r="F78">
        <v>14287.896349999999</v>
      </c>
      <c r="G78">
        <v>8760.44</v>
      </c>
      <c r="H78">
        <v>5527.4563499999986</v>
      </c>
      <c r="I78">
        <f>Staging!Q69*(Staging!T69*(1+QtyUplift))*(1-MIN(Staging!R69,DiscountCap))</f>
        <v>15716.685985000002</v>
      </c>
      <c r="J78">
        <f>Staging!P69*(1+CostInflation)*Staging!T69*(1+QtyUplift)</f>
        <v>12479.246780000001</v>
      </c>
      <c r="K78">
        <f t="shared" si="2"/>
        <v>3237.4392050000006</v>
      </c>
      <c r="L78">
        <v>1516.5923500000026</v>
      </c>
      <c r="M78">
        <f t="shared" si="3"/>
        <v>-2290.017144999998</v>
      </c>
    </row>
    <row r="79" spans="2:13" x14ac:dyDescent="0.3">
      <c r="B79" t="s">
        <v>233</v>
      </c>
      <c r="C79" t="s">
        <v>145</v>
      </c>
      <c r="D79" t="s">
        <v>64</v>
      </c>
      <c r="E79" t="s">
        <v>16</v>
      </c>
      <c r="F79">
        <v>8671.7354400000004</v>
      </c>
      <c r="G79">
        <v>8902.98</v>
      </c>
      <c r="H79">
        <v>-231.24455999999918</v>
      </c>
      <c r="I79">
        <f>Staging!Q70*(Staging!T70*(1+QtyUplift))*(1-MIN(Staging!R70,DiscountCap))</f>
        <v>9538.9089839999997</v>
      </c>
      <c r="J79">
        <f>Staging!P70*(1+CostInflation)*Staging!T70*(1+QtyUplift)</f>
        <v>12682.29501</v>
      </c>
      <c r="K79">
        <f t="shared" si="2"/>
        <v>-3143.3860260000001</v>
      </c>
      <c r="L79">
        <v>2113.4631599999993</v>
      </c>
      <c r="M79">
        <f t="shared" si="3"/>
        <v>-2912.1414660000009</v>
      </c>
    </row>
    <row r="80" spans="2:13" x14ac:dyDescent="0.3">
      <c r="B80" t="s">
        <v>235</v>
      </c>
      <c r="C80" t="s">
        <v>75</v>
      </c>
      <c r="D80" t="s">
        <v>22</v>
      </c>
      <c r="E80" t="s">
        <v>45</v>
      </c>
      <c r="F80">
        <v>8930.7124999999996</v>
      </c>
      <c r="G80">
        <v>4411.6500000000005</v>
      </c>
      <c r="H80">
        <v>4519.0624999999991</v>
      </c>
      <c r="I80">
        <f>Staging!Q71*(Staging!T71*(1+QtyUplift))*(1-MIN(Staging!R71,DiscountCap))</f>
        <v>9823.7837500000005</v>
      </c>
      <c r="J80">
        <f>Staging!P71*(1+CostInflation)*Staging!T71*(1+QtyUplift)</f>
        <v>6284.3954250000006</v>
      </c>
      <c r="K80">
        <f t="shared" si="2"/>
        <v>3539.3883249999999</v>
      </c>
      <c r="L80">
        <v>893.07125000000087</v>
      </c>
      <c r="M80">
        <f t="shared" si="3"/>
        <v>-979.6741749999992</v>
      </c>
    </row>
    <row r="81" spans="2:13" x14ac:dyDescent="0.3">
      <c r="B81" t="s">
        <v>237</v>
      </c>
      <c r="C81" t="s">
        <v>110</v>
      </c>
      <c r="D81" t="s">
        <v>81</v>
      </c>
      <c r="E81" t="s">
        <v>78</v>
      </c>
      <c r="F81">
        <v>10647.727199999999</v>
      </c>
      <c r="G81">
        <v>8195.67</v>
      </c>
      <c r="H81">
        <v>2452.0571999999993</v>
      </c>
      <c r="I81">
        <f>Staging!Q72*(Staging!T72*(1+QtyUplift))*(1-MIN(Staging!R72,DiscountCap))</f>
        <v>11712.49992</v>
      </c>
      <c r="J81">
        <f>Staging!P72*(1+CostInflation)*Staging!T72*(1+QtyUplift)</f>
        <v>11674.731915</v>
      </c>
      <c r="K81">
        <f t="shared" si="2"/>
        <v>37.768004999999903</v>
      </c>
      <c r="L81">
        <v>1064.7727200000008</v>
      </c>
      <c r="M81">
        <f t="shared" si="3"/>
        <v>-2414.2891949999994</v>
      </c>
    </row>
    <row r="82" spans="2:13" x14ac:dyDescent="0.3">
      <c r="B82" t="s">
        <v>239</v>
      </c>
      <c r="C82" t="s">
        <v>84</v>
      </c>
      <c r="D82" t="s">
        <v>57</v>
      </c>
      <c r="E82" t="s">
        <v>52</v>
      </c>
      <c r="F82">
        <v>6393.0952799999995</v>
      </c>
      <c r="G82">
        <v>3170.2799999999997</v>
      </c>
      <c r="H82">
        <v>3222.8152799999998</v>
      </c>
      <c r="I82">
        <f>Staging!Q73*(Staging!T73*(1+QtyUplift))*(1-MIN(Staging!R73,DiscountCap))</f>
        <v>7032.4048079999993</v>
      </c>
      <c r="J82">
        <f>Staging!P73*(1+CostInflation)*Staging!T73*(1+QtyUplift)</f>
        <v>4516.0638600000002</v>
      </c>
      <c r="K82">
        <f t="shared" si="2"/>
        <v>2516.3409479999991</v>
      </c>
      <c r="L82">
        <v>983.55312000000049</v>
      </c>
      <c r="M82">
        <f t="shared" si="3"/>
        <v>-706.47433200000069</v>
      </c>
    </row>
    <row r="83" spans="2:13" x14ac:dyDescent="0.3">
      <c r="B83" t="s">
        <v>241</v>
      </c>
      <c r="C83" t="s">
        <v>75</v>
      </c>
      <c r="D83" t="s">
        <v>57</v>
      </c>
      <c r="E83" t="s">
        <v>16</v>
      </c>
      <c r="F83">
        <v>20171.63305</v>
      </c>
      <c r="G83">
        <v>23400.67</v>
      </c>
      <c r="H83">
        <v>-3229.0369499999979</v>
      </c>
      <c r="I83">
        <f>Staging!Q74*(Staging!T74*(1+QtyUplift))*(1-MIN(Staging!R74,DiscountCap))</f>
        <v>22188.796355000006</v>
      </c>
      <c r="J83">
        <f>Staging!P74*(1+CostInflation)*Staging!T74*(1+QtyUplift)</f>
        <v>33334.254415000003</v>
      </c>
      <c r="K83">
        <f t="shared" si="2"/>
        <v>-11145.458059999997</v>
      </c>
      <c r="L83">
        <v>4331.3322500000068</v>
      </c>
      <c r="M83">
        <f t="shared" si="3"/>
        <v>-7916.4211099999993</v>
      </c>
    </row>
    <row r="84" spans="2:13" x14ac:dyDescent="0.3">
      <c r="B84" t="s">
        <v>243</v>
      </c>
      <c r="C84" t="s">
        <v>29</v>
      </c>
      <c r="D84" t="s">
        <v>35</v>
      </c>
      <c r="E84" t="s">
        <v>45</v>
      </c>
      <c r="F84">
        <v>9373.460219999999</v>
      </c>
      <c r="G84">
        <v>12915.9</v>
      </c>
      <c r="H84">
        <v>-3542.4397800000006</v>
      </c>
      <c r="I84">
        <f>Staging!Q75*(Staging!T75*(1+QtyUplift))*(1-MIN(Staging!R75,DiscountCap))</f>
        <v>10310.806242000001</v>
      </c>
      <c r="J84">
        <f>Staging!P75*(1+CostInflation)*Staging!T75*(1+QtyUplift)</f>
        <v>18398.699550000001</v>
      </c>
      <c r="K84">
        <f t="shared" si="2"/>
        <v>-8087.8933080000006</v>
      </c>
      <c r="L84">
        <v>937.34602200000154</v>
      </c>
      <c r="M84">
        <f t="shared" si="3"/>
        <v>-4545.453528</v>
      </c>
    </row>
    <row r="85" spans="2:13" x14ac:dyDescent="0.3">
      <c r="B85" t="s">
        <v>245</v>
      </c>
      <c r="C85" t="s">
        <v>75</v>
      </c>
      <c r="D85" t="s">
        <v>22</v>
      </c>
      <c r="E85" t="s">
        <v>16</v>
      </c>
      <c r="F85">
        <v>4717.72</v>
      </c>
      <c r="G85">
        <v>4589.3999999999996</v>
      </c>
      <c r="H85">
        <v>128.32000000000062</v>
      </c>
      <c r="I85">
        <f>Staging!Q76*(Staging!T76*(1+QtyUplift))*(1-MIN(Staging!R76,DiscountCap))</f>
        <v>5560.17</v>
      </c>
      <c r="J85">
        <f>Staging!P76*(1+CostInflation)*Staging!T76*(1+QtyUplift)</f>
        <v>6537.6003000000001</v>
      </c>
      <c r="K85">
        <f t="shared" si="2"/>
        <v>-977.43029999999999</v>
      </c>
      <c r="L85">
        <v>1954.4840000000004</v>
      </c>
      <c r="M85">
        <f t="shared" si="3"/>
        <v>-1105.7503000000006</v>
      </c>
    </row>
    <row r="86" spans="2:13" x14ac:dyDescent="0.3">
      <c r="B86" t="s">
        <v>247</v>
      </c>
      <c r="C86" t="s">
        <v>56</v>
      </c>
      <c r="D86" t="s">
        <v>22</v>
      </c>
      <c r="E86" t="s">
        <v>45</v>
      </c>
      <c r="F86">
        <v>6874.4828600000001</v>
      </c>
      <c r="G86">
        <v>5779.48</v>
      </c>
      <c r="H86">
        <v>1095.0028600000005</v>
      </c>
      <c r="I86">
        <f>Staging!Q77*(Staging!T77*(1+QtyUplift))*(1-MIN(Staging!R77,DiscountCap))</f>
        <v>7561.9311460000017</v>
      </c>
      <c r="J86">
        <f>Staging!P77*(1+CostInflation)*Staging!T77*(1+QtyUplift)</f>
        <v>8232.8692600000013</v>
      </c>
      <c r="K86">
        <f t="shared" si="2"/>
        <v>-670.93811399999959</v>
      </c>
      <c r="L86">
        <v>806.93704000000162</v>
      </c>
      <c r="M86">
        <f t="shared" si="3"/>
        <v>-1765.9409740000001</v>
      </c>
    </row>
    <row r="87" spans="2:13" x14ac:dyDescent="0.3">
      <c r="B87" t="s">
        <v>249</v>
      </c>
      <c r="C87" t="s">
        <v>84</v>
      </c>
      <c r="D87" t="s">
        <v>81</v>
      </c>
      <c r="E87" t="s">
        <v>52</v>
      </c>
      <c r="F87">
        <v>35396.277799999996</v>
      </c>
      <c r="G87">
        <v>18130.45</v>
      </c>
      <c r="H87">
        <v>17265.827799999995</v>
      </c>
      <c r="I87">
        <f>Staging!Q78*(Staging!T78*(1+QtyUplift))*(1-MIN(Staging!R78,DiscountCap))</f>
        <v>38935.905579999999</v>
      </c>
      <c r="J87">
        <f>Staging!P78*(1+CostInflation)*Staging!T78*(1+QtyUplift)</f>
        <v>25826.826025000002</v>
      </c>
      <c r="K87">
        <f t="shared" si="2"/>
        <v>13109.079554999997</v>
      </c>
      <c r="L87">
        <v>5068.2891999999993</v>
      </c>
      <c r="M87">
        <f t="shared" si="3"/>
        <v>-4156.7482449999989</v>
      </c>
    </row>
    <row r="88" spans="2:13" x14ac:dyDescent="0.3">
      <c r="B88" t="s">
        <v>251</v>
      </c>
      <c r="C88" t="s">
        <v>49</v>
      </c>
      <c r="D88" t="s">
        <v>81</v>
      </c>
      <c r="E88" t="s">
        <v>52</v>
      </c>
      <c r="F88">
        <v>33062.236480000007</v>
      </c>
      <c r="G88">
        <v>18920.66</v>
      </c>
      <c r="H88">
        <v>14141.576480000007</v>
      </c>
      <c r="I88">
        <f>Staging!Q79*(Staging!T79*(1+QtyUplift))*(1-MIN(Staging!R79,DiscountCap))</f>
        <v>36368.460128000006</v>
      </c>
      <c r="J88">
        <f>Staging!P79*(1+CostInflation)*Staging!T79*(1+QtyUplift)</f>
        <v>26952.480169999999</v>
      </c>
      <c r="K88">
        <f t="shared" si="2"/>
        <v>9415.9799580000072</v>
      </c>
      <c r="L88">
        <v>3306.2236479999992</v>
      </c>
      <c r="M88">
        <f t="shared" si="3"/>
        <v>-4725.5965219999998</v>
      </c>
    </row>
    <row r="89" spans="2:13" x14ac:dyDescent="0.3">
      <c r="B89" t="s">
        <v>253</v>
      </c>
      <c r="C89" t="s">
        <v>95</v>
      </c>
      <c r="D89" t="s">
        <v>22</v>
      </c>
      <c r="E89" t="s">
        <v>78</v>
      </c>
      <c r="F89">
        <v>10455.7932</v>
      </c>
      <c r="G89">
        <v>7147.2000000000007</v>
      </c>
      <c r="H89">
        <v>3308.5931999999993</v>
      </c>
      <c r="I89">
        <f>Staging!Q80*(Staging!T80*(1+QtyUplift))*(1-MIN(Staging!R80,DiscountCap))</f>
        <v>11609.73</v>
      </c>
      <c r="J89">
        <f>Staging!P80*(1+CostInflation)*Staging!T80*(1+QtyUplift)</f>
        <v>10181.186400000001</v>
      </c>
      <c r="K89">
        <f t="shared" si="2"/>
        <v>1428.5435999999991</v>
      </c>
      <c r="L89">
        <v>3475.8827999999994</v>
      </c>
      <c r="M89">
        <f t="shared" si="3"/>
        <v>-1880.0496000000003</v>
      </c>
    </row>
    <row r="90" spans="2:13" x14ac:dyDescent="0.3">
      <c r="B90" t="s">
        <v>255</v>
      </c>
      <c r="C90" t="s">
        <v>34</v>
      </c>
      <c r="D90" t="s">
        <v>64</v>
      </c>
      <c r="E90" t="s">
        <v>78</v>
      </c>
      <c r="F90">
        <v>4877.1379800000004</v>
      </c>
      <c r="G90">
        <v>3368.04</v>
      </c>
      <c r="H90">
        <v>1509.0979800000005</v>
      </c>
      <c r="I90">
        <f>Staging!Q81*(Staging!T81*(1+QtyUplift))*(1-MIN(Staging!R81,DiscountCap))</f>
        <v>5364.8517780000011</v>
      </c>
      <c r="J90">
        <f>Staging!P81*(1+CostInflation)*Staging!T81*(1+QtyUplift)</f>
        <v>4797.7729799999997</v>
      </c>
      <c r="K90">
        <f t="shared" si="2"/>
        <v>567.07879800000137</v>
      </c>
      <c r="L90">
        <v>1054.5163200000006</v>
      </c>
      <c r="M90">
        <f t="shared" si="3"/>
        <v>-942.01918199999909</v>
      </c>
    </row>
    <row r="91" spans="2:13" x14ac:dyDescent="0.3">
      <c r="B91" t="s">
        <v>257</v>
      </c>
      <c r="C91" t="s">
        <v>110</v>
      </c>
      <c r="D91" t="s">
        <v>35</v>
      </c>
      <c r="E91" t="s">
        <v>16</v>
      </c>
      <c r="F91">
        <v>60292.805299999993</v>
      </c>
      <c r="G91">
        <v>36661.299999999996</v>
      </c>
      <c r="H91">
        <v>23631.505299999997</v>
      </c>
      <c r="I91">
        <f>Staging!Q82*(Staging!T82*(1+QtyUplift))*(1-MIN(Staging!R82,DiscountCap))</f>
        <v>66322.085829999996</v>
      </c>
      <c r="J91">
        <f>Staging!P82*(1+CostInflation)*Staging!T82*(1+QtyUplift)</f>
        <v>52224.021849999997</v>
      </c>
      <c r="K91">
        <f t="shared" si="2"/>
        <v>14098.063979999999</v>
      </c>
      <c r="L91">
        <v>10851.267700000011</v>
      </c>
      <c r="M91">
        <f t="shared" si="3"/>
        <v>-9533.4413199999981</v>
      </c>
    </row>
    <row r="92" spans="2:13" x14ac:dyDescent="0.3">
      <c r="B92" t="s">
        <v>260</v>
      </c>
      <c r="C92" t="s">
        <v>34</v>
      </c>
      <c r="D92" t="s">
        <v>30</v>
      </c>
      <c r="E92" t="s">
        <v>52</v>
      </c>
      <c r="F92">
        <v>18258.868320000001</v>
      </c>
      <c r="G92">
        <v>18943.2</v>
      </c>
      <c r="H92">
        <v>-684.33167999999932</v>
      </c>
      <c r="I92">
        <f>Staging!Q83*(Staging!T83*(1+QtyUplift))*(1-MIN(Staging!R83,DiscountCap))</f>
        <v>20084.755152000002</v>
      </c>
      <c r="J92">
        <f>Staging!P83*(1+CostInflation)*Staging!T83*(1+QtyUplift)</f>
        <v>26984.588400000001</v>
      </c>
      <c r="K92">
        <f t="shared" si="2"/>
        <v>-6899.833247999999</v>
      </c>
      <c r="L92">
        <v>5557.0468799999981</v>
      </c>
      <c r="M92">
        <f t="shared" si="3"/>
        <v>-6215.5015679999997</v>
      </c>
    </row>
    <row r="93" spans="2:13" x14ac:dyDescent="0.3">
      <c r="B93" t="s">
        <v>262</v>
      </c>
      <c r="C93" t="s">
        <v>95</v>
      </c>
      <c r="D93" t="s">
        <v>22</v>
      </c>
      <c r="E93" t="s">
        <v>78</v>
      </c>
      <c r="F93">
        <v>5331.6696000000002</v>
      </c>
      <c r="G93">
        <v>2555.85</v>
      </c>
      <c r="H93">
        <v>2775.8196000000003</v>
      </c>
      <c r="I93">
        <f>Staging!Q84*(Staging!T84*(1+QtyUplift))*(1-MIN(Staging!R84,DiscountCap))</f>
        <v>5864.8365600000006</v>
      </c>
      <c r="J93">
        <f>Staging!P84*(1+CostInflation)*Staging!T84*(1+QtyUplift)</f>
        <v>3640.808325</v>
      </c>
      <c r="K93">
        <f t="shared" si="2"/>
        <v>2224.0282350000007</v>
      </c>
      <c r="L93">
        <v>533.16696000000047</v>
      </c>
      <c r="M93">
        <f t="shared" si="3"/>
        <v>-551.79136499999959</v>
      </c>
    </row>
    <row r="94" spans="2:13" x14ac:dyDescent="0.3">
      <c r="B94" t="s">
        <v>264</v>
      </c>
      <c r="C94" t="s">
        <v>145</v>
      </c>
      <c r="D94" t="s">
        <v>64</v>
      </c>
      <c r="E94" t="s">
        <v>52</v>
      </c>
      <c r="F94">
        <v>524.81174999999996</v>
      </c>
      <c r="G94">
        <v>348.59999999999997</v>
      </c>
      <c r="H94">
        <v>176.21174999999999</v>
      </c>
      <c r="I94">
        <f>Staging!Q85*(Staging!T85*(1+QtyUplift))*(1-MIN(Staging!R85,DiscountCap))</f>
        <v>577.29292499999997</v>
      </c>
      <c r="J94">
        <f>Staging!P85*(1+CostInflation)*Staging!T85*(1+QtyUplift)</f>
        <v>496.58069999999998</v>
      </c>
      <c r="K94">
        <f t="shared" si="2"/>
        <v>80.712224999999989</v>
      </c>
      <c r="L94">
        <v>137.05275000000006</v>
      </c>
      <c r="M94">
        <f t="shared" si="3"/>
        <v>-95.499525000000006</v>
      </c>
    </row>
    <row r="95" spans="2:13" x14ac:dyDescent="0.3">
      <c r="B95" t="s">
        <v>266</v>
      </c>
      <c r="C95" t="s">
        <v>92</v>
      </c>
      <c r="D95" t="s">
        <v>35</v>
      </c>
      <c r="E95" t="s">
        <v>78</v>
      </c>
      <c r="F95">
        <v>21062.61248</v>
      </c>
      <c r="G95">
        <v>18475.47</v>
      </c>
      <c r="H95">
        <v>2587.1424799999986</v>
      </c>
      <c r="I95">
        <f>Staging!Q86*(Staging!T86*(1+QtyUplift))*(1-MIN(Staging!R86,DiscountCap))</f>
        <v>23168.873728000002</v>
      </c>
      <c r="J95">
        <f>Staging!P86*(1+CostInflation)*Staging!T86*(1+QtyUplift)</f>
        <v>26318.307014999999</v>
      </c>
      <c r="K95">
        <f t="shared" si="2"/>
        <v>-3149.4332869999962</v>
      </c>
      <c r="L95">
        <v>2209.6937200000029</v>
      </c>
      <c r="M95">
        <f t="shared" si="3"/>
        <v>-5736.5757669999948</v>
      </c>
    </row>
    <row r="96" spans="2:13" x14ac:dyDescent="0.3">
      <c r="B96" t="s">
        <v>268</v>
      </c>
      <c r="C96" t="s">
        <v>145</v>
      </c>
      <c r="D96" t="s">
        <v>22</v>
      </c>
      <c r="E96" t="s">
        <v>16</v>
      </c>
      <c r="F96">
        <v>13146.470699999998</v>
      </c>
      <c r="G96">
        <v>13047.980000000001</v>
      </c>
      <c r="H96">
        <v>98.49069999999665</v>
      </c>
      <c r="I96">
        <f>Staging!Q87*(Staging!T87*(1+QtyUplift))*(1-MIN(Staging!R87,DiscountCap))</f>
        <v>14461.117769999999</v>
      </c>
      <c r="J96">
        <f>Staging!P87*(1+CostInflation)*Staging!T87*(1+QtyUplift)</f>
        <v>18586.84751</v>
      </c>
      <c r="K96">
        <f t="shared" si="2"/>
        <v>-4125.7297400000007</v>
      </c>
      <c r="L96">
        <v>1314.6470700000009</v>
      </c>
      <c r="M96">
        <f t="shared" si="3"/>
        <v>-4224.2204399999973</v>
      </c>
    </row>
    <row r="97" spans="2:13" x14ac:dyDescent="0.3">
      <c r="B97" t="s">
        <v>270</v>
      </c>
      <c r="C97" t="s">
        <v>95</v>
      </c>
      <c r="D97" t="s">
        <v>22</v>
      </c>
      <c r="E97" t="s">
        <v>45</v>
      </c>
      <c r="F97">
        <v>14197.064400000001</v>
      </c>
      <c r="G97">
        <v>13664.8</v>
      </c>
      <c r="H97">
        <v>532.26440000000184</v>
      </c>
      <c r="I97">
        <f>Staging!Q88*(Staging!T88*(1+QtyUplift))*(1-MIN(Staging!R88,DiscountCap))</f>
        <v>15616.770840000001</v>
      </c>
      <c r="J97">
        <f>Staging!P88*(1+CostInflation)*Staging!T88*(1+QtyUplift)</f>
        <v>19465.507600000004</v>
      </c>
      <c r="K97">
        <f t="shared" si="2"/>
        <v>-3848.7367600000034</v>
      </c>
      <c r="L97">
        <v>2416.5216000000019</v>
      </c>
      <c r="M97">
        <f t="shared" si="3"/>
        <v>-4381.0011600000053</v>
      </c>
    </row>
    <row r="98" spans="2:13" x14ac:dyDescent="0.3">
      <c r="B98" t="s">
        <v>272</v>
      </c>
      <c r="C98" t="s">
        <v>110</v>
      </c>
      <c r="D98" t="s">
        <v>22</v>
      </c>
      <c r="E98" t="s">
        <v>16</v>
      </c>
      <c r="F98">
        <v>1654.8966000000003</v>
      </c>
      <c r="G98">
        <v>1804.53</v>
      </c>
      <c r="H98">
        <v>-149.63339999999971</v>
      </c>
      <c r="I98">
        <f>Staging!Q89*(Staging!T89*(1+QtyUplift))*(1-MIN(Staging!R89,DiscountCap))</f>
        <v>1820.3862600000004</v>
      </c>
      <c r="J98">
        <f>Staging!P89*(1+CostInflation)*Staging!T89*(1+QtyUplift)</f>
        <v>2570.5529849999998</v>
      </c>
      <c r="K98">
        <f t="shared" si="2"/>
        <v>-750.16672499999936</v>
      </c>
      <c r="L98">
        <v>362.77290000000016</v>
      </c>
      <c r="M98">
        <f t="shared" si="3"/>
        <v>-600.53332499999965</v>
      </c>
    </row>
    <row r="99" spans="2:13" x14ac:dyDescent="0.3">
      <c r="B99" t="s">
        <v>274</v>
      </c>
      <c r="C99" t="s">
        <v>21</v>
      </c>
      <c r="D99" t="s">
        <v>64</v>
      </c>
      <c r="E99" t="s">
        <v>45</v>
      </c>
      <c r="F99">
        <v>11842.8464</v>
      </c>
      <c r="G99">
        <v>5760.7000000000007</v>
      </c>
      <c r="H99">
        <v>6082.1463999999996</v>
      </c>
      <c r="I99">
        <f>Staging!Q90*(Staging!T90*(1+QtyUplift))*(1-MIN(Staging!R90,DiscountCap))</f>
        <v>13027.131040000002</v>
      </c>
      <c r="J99">
        <f>Staging!P90*(1+CostInflation)*Staging!T90*(1+QtyUplift)</f>
        <v>8206.11715</v>
      </c>
      <c r="K99">
        <f t="shared" si="2"/>
        <v>4821.013890000002</v>
      </c>
      <c r="L99">
        <v>1184.2846400000017</v>
      </c>
      <c r="M99">
        <f t="shared" si="3"/>
        <v>-1261.1325099999976</v>
      </c>
    </row>
    <row r="100" spans="2:13" x14ac:dyDescent="0.3">
      <c r="B100" t="s">
        <v>276</v>
      </c>
      <c r="C100" t="s">
        <v>84</v>
      </c>
      <c r="D100" t="s">
        <v>64</v>
      </c>
      <c r="E100" t="s">
        <v>45</v>
      </c>
      <c r="F100">
        <v>624.43503999999996</v>
      </c>
      <c r="G100">
        <v>445.2</v>
      </c>
      <c r="H100">
        <v>179.23503999999997</v>
      </c>
      <c r="I100">
        <f>Staging!Q91*(Staging!T91*(1+QtyUplift))*(1-MIN(Staging!R91,DiscountCap))</f>
        <v>686.87854400000003</v>
      </c>
      <c r="J100">
        <f>Staging!P91*(1+CostInflation)*Staging!T91*(1+QtyUplift)</f>
        <v>634.18740000000003</v>
      </c>
      <c r="K100">
        <f t="shared" si="2"/>
        <v>52.691144000000008</v>
      </c>
      <c r="L100">
        <v>62.443504000000075</v>
      </c>
      <c r="M100">
        <f t="shared" si="3"/>
        <v>-126.54389599999996</v>
      </c>
    </row>
    <row r="101" spans="2:13" x14ac:dyDescent="0.3">
      <c r="B101" t="s">
        <v>278</v>
      </c>
      <c r="C101" t="s">
        <v>126</v>
      </c>
      <c r="D101" t="s">
        <v>35</v>
      </c>
      <c r="E101" t="s">
        <v>45</v>
      </c>
      <c r="F101">
        <v>8324.8326000000015</v>
      </c>
      <c r="G101">
        <v>4838.33</v>
      </c>
      <c r="H101">
        <v>3486.5026000000016</v>
      </c>
      <c r="I101">
        <f>Staging!Q92*(Staging!T92*(1+QtyUplift))*(1-MIN(Staging!R92,DiscountCap))</f>
        <v>9157.3158600000006</v>
      </c>
      <c r="J101">
        <f>Staging!P92*(1+CostInflation)*Staging!T92*(1+QtyUplift)</f>
        <v>6892.2010850000006</v>
      </c>
      <c r="K101">
        <f t="shared" si="2"/>
        <v>2265.114775</v>
      </c>
      <c r="L101">
        <v>832.48325999999906</v>
      </c>
      <c r="M101">
        <f t="shared" si="3"/>
        <v>-1221.3878250000016</v>
      </c>
    </row>
    <row r="102" spans="2:13" x14ac:dyDescent="0.3">
      <c r="B102" t="s">
        <v>280</v>
      </c>
      <c r="C102" t="s">
        <v>110</v>
      </c>
      <c r="D102" t="s">
        <v>42</v>
      </c>
      <c r="E102" t="s">
        <v>45</v>
      </c>
      <c r="F102">
        <v>19510.808000000001</v>
      </c>
      <c r="G102">
        <v>13183.250000000002</v>
      </c>
      <c r="H102">
        <v>6327.5579999999991</v>
      </c>
      <c r="I102">
        <f>Staging!Q93*(Staging!T93*(1+QtyUplift))*(1-MIN(Staging!R93,DiscountCap))</f>
        <v>21461.888800000001</v>
      </c>
      <c r="J102">
        <f>Staging!P93*(1+CostInflation)*Staging!T93*(1+QtyUplift)</f>
        <v>18779.539625000001</v>
      </c>
      <c r="K102">
        <f t="shared" si="2"/>
        <v>2682.3491749999994</v>
      </c>
      <c r="L102">
        <v>3054.2620000000024</v>
      </c>
      <c r="M102">
        <f t="shared" si="3"/>
        <v>-3645.2088249999997</v>
      </c>
    </row>
    <row r="103" spans="2:13" x14ac:dyDescent="0.3">
      <c r="B103" t="s">
        <v>283</v>
      </c>
      <c r="C103" t="s">
        <v>63</v>
      </c>
      <c r="D103" t="s">
        <v>30</v>
      </c>
      <c r="E103" t="s">
        <v>52</v>
      </c>
      <c r="F103">
        <v>10161.46624</v>
      </c>
      <c r="G103">
        <v>6432.08</v>
      </c>
      <c r="H103">
        <v>3729.3862399999998</v>
      </c>
      <c r="I103">
        <f>Staging!Q94*(Staging!T94*(1+QtyUplift))*(1-MIN(Staging!R94,DiscountCap))</f>
        <v>11177.612864000001</v>
      </c>
      <c r="J103">
        <f>Staging!P94*(1+CostInflation)*Staging!T94*(1+QtyUplift)</f>
        <v>9162.4979600000006</v>
      </c>
      <c r="K103">
        <f t="shared" si="2"/>
        <v>2015.114904</v>
      </c>
      <c r="L103">
        <v>1016.1466240000009</v>
      </c>
      <c r="M103">
        <f t="shared" si="3"/>
        <v>-1714.2713359999998</v>
      </c>
    </row>
    <row r="104" spans="2:13" x14ac:dyDescent="0.3">
      <c r="B104" t="s">
        <v>285</v>
      </c>
      <c r="C104" t="s">
        <v>84</v>
      </c>
      <c r="D104" t="s">
        <v>81</v>
      </c>
      <c r="E104" t="s">
        <v>16</v>
      </c>
      <c r="F104">
        <v>20079.343620000003</v>
      </c>
      <c r="G104">
        <v>9478.07</v>
      </c>
      <c r="H104">
        <v>10601.273620000004</v>
      </c>
      <c r="I104">
        <f>Staging!Q95*(Staging!T95*(1+QtyUplift))*(1-MIN(Staging!R95,DiscountCap))</f>
        <v>22087.277982</v>
      </c>
      <c r="J104">
        <f>Staging!P95*(1+CostInflation)*Staging!T95*(1+QtyUplift)</f>
        <v>13501.510714999999</v>
      </c>
      <c r="K104">
        <f t="shared" si="2"/>
        <v>8585.7672670000011</v>
      </c>
      <c r="L104">
        <v>2007.9343619999963</v>
      </c>
      <c r="M104">
        <f t="shared" si="3"/>
        <v>-2015.5063530000025</v>
      </c>
    </row>
    <row r="105" spans="2:13" x14ac:dyDescent="0.3">
      <c r="B105" t="s">
        <v>287</v>
      </c>
      <c r="C105" t="s">
        <v>49</v>
      </c>
      <c r="D105" t="s">
        <v>42</v>
      </c>
      <c r="E105" t="s">
        <v>16</v>
      </c>
      <c r="F105">
        <v>5487.6023999999998</v>
      </c>
      <c r="G105">
        <v>6056.88</v>
      </c>
      <c r="H105">
        <v>-569.27760000000035</v>
      </c>
      <c r="I105">
        <f>Staging!Q96*(Staging!T96*(1+QtyUplift))*(1-MIN(Staging!R96,DiscountCap))</f>
        <v>6036.3626400000003</v>
      </c>
      <c r="J105">
        <f>Staging!P96*(1+CostInflation)*Staging!T96*(1+QtyUplift)</f>
        <v>8628.02556</v>
      </c>
      <c r="K105">
        <f t="shared" si="2"/>
        <v>-2591.6629199999998</v>
      </c>
      <c r="L105">
        <v>979.929000000001</v>
      </c>
      <c r="M105">
        <f t="shared" si="3"/>
        <v>-2022.3853199999994</v>
      </c>
    </row>
    <row r="106" spans="2:13" x14ac:dyDescent="0.3">
      <c r="B106" t="s">
        <v>289</v>
      </c>
      <c r="C106" t="s">
        <v>34</v>
      </c>
      <c r="D106" t="s">
        <v>30</v>
      </c>
      <c r="E106" t="s">
        <v>78</v>
      </c>
      <c r="F106">
        <v>43209.006119999991</v>
      </c>
      <c r="G106">
        <v>19526.22</v>
      </c>
      <c r="H106">
        <v>23682.78611999999</v>
      </c>
      <c r="I106">
        <f>Staging!Q97*(Staging!T97*(1+QtyUplift))*(1-MIN(Staging!R97,DiscountCap))</f>
        <v>47529.906731999996</v>
      </c>
      <c r="J106">
        <f>Staging!P97*(1+CostInflation)*Staging!T97*(1+QtyUplift)</f>
        <v>27815.100390000003</v>
      </c>
      <c r="K106">
        <f t="shared" si="2"/>
        <v>19714.806341999993</v>
      </c>
      <c r="L106">
        <v>4320.9006120000049</v>
      </c>
      <c r="M106">
        <f t="shared" si="3"/>
        <v>-3967.9797779999972</v>
      </c>
    </row>
    <row r="107" spans="2:13" x14ac:dyDescent="0.3">
      <c r="B107" t="s">
        <v>291</v>
      </c>
      <c r="C107" t="s">
        <v>68</v>
      </c>
      <c r="D107" t="s">
        <v>64</v>
      </c>
      <c r="E107" t="s">
        <v>45</v>
      </c>
      <c r="F107">
        <v>147.00756000000001</v>
      </c>
      <c r="G107">
        <v>146.64000000000001</v>
      </c>
      <c r="H107">
        <v>0.36755999999999744</v>
      </c>
      <c r="I107">
        <f>Staging!Q98*(Staging!T98*(1+QtyUplift))*(1-MIN(Staging!R98,DiscountCap))</f>
        <v>161.708316</v>
      </c>
      <c r="J107">
        <f>Staging!P98*(1+CostInflation)*Staging!T98*(1+QtyUplift)</f>
        <v>208.88868000000002</v>
      </c>
      <c r="K107">
        <f t="shared" si="2"/>
        <v>-47.180364000000026</v>
      </c>
      <c r="L107">
        <v>23.411040000000014</v>
      </c>
      <c r="M107">
        <f t="shared" si="3"/>
        <v>-47.547924000000023</v>
      </c>
    </row>
    <row r="108" spans="2:13" x14ac:dyDescent="0.3">
      <c r="B108" t="s">
        <v>293</v>
      </c>
      <c r="C108" t="s">
        <v>84</v>
      </c>
      <c r="D108" t="s">
        <v>81</v>
      </c>
      <c r="E108" t="s">
        <v>16</v>
      </c>
      <c r="F108">
        <v>34139.159999999996</v>
      </c>
      <c r="G108">
        <v>22087.439999999999</v>
      </c>
      <c r="H108">
        <v>12051.719999999998</v>
      </c>
      <c r="I108">
        <f>Staging!Q99*(Staging!T99*(1+QtyUplift))*(1-MIN(Staging!R99,DiscountCap))</f>
        <v>37553.076000000001</v>
      </c>
      <c r="J108">
        <f>Staging!P99*(1+CostInflation)*Staging!T99*(1+QtyUplift)</f>
        <v>31463.558280000001</v>
      </c>
      <c r="K108">
        <f t="shared" si="2"/>
        <v>6089.5177199999998</v>
      </c>
      <c r="L108">
        <v>3413.9160000000047</v>
      </c>
      <c r="M108">
        <f t="shared" si="3"/>
        <v>-5962.2022799999977</v>
      </c>
    </row>
    <row r="109" spans="2:13" x14ac:dyDescent="0.3">
      <c r="B109" t="s">
        <v>295</v>
      </c>
      <c r="C109" t="s">
        <v>110</v>
      </c>
      <c r="D109" t="s">
        <v>35</v>
      </c>
      <c r="E109" t="s">
        <v>45</v>
      </c>
      <c r="F109">
        <v>5328.4890400000004</v>
      </c>
      <c r="G109">
        <v>7662.4800000000005</v>
      </c>
      <c r="H109">
        <v>-2333.9909600000001</v>
      </c>
      <c r="I109">
        <f>Staging!Q100*(Staging!T100*(1+QtyUplift))*(1-MIN(Staging!R100,DiscountCap))</f>
        <v>5861.3379440000008</v>
      </c>
      <c r="J109">
        <f>Staging!P100*(1+CostInflation)*Staging!T100*(1+QtyUplift)</f>
        <v>10915.20276</v>
      </c>
      <c r="K109">
        <f t="shared" si="2"/>
        <v>-5053.8648159999993</v>
      </c>
      <c r="L109">
        <v>532.8489040000004</v>
      </c>
      <c r="M109">
        <f t="shared" si="3"/>
        <v>-2719.8738559999993</v>
      </c>
    </row>
    <row r="110" spans="2:13" x14ac:dyDescent="0.3">
      <c r="B110" t="s">
        <v>297</v>
      </c>
      <c r="C110" t="s">
        <v>92</v>
      </c>
      <c r="D110" t="s">
        <v>57</v>
      </c>
      <c r="E110" t="s">
        <v>78</v>
      </c>
      <c r="F110">
        <v>25502.910479999999</v>
      </c>
      <c r="G110">
        <v>21614.04</v>
      </c>
      <c r="H110">
        <v>3888.8704799999978</v>
      </c>
      <c r="I110">
        <f>Staging!Q101*(Staging!T101*(1+QtyUplift))*(1-MIN(Staging!R101,DiscountCap))</f>
        <v>29717.374500000005</v>
      </c>
      <c r="J110">
        <f>Staging!P101*(1+CostInflation)*Staging!T101*(1+QtyUplift)</f>
        <v>30789.199980000001</v>
      </c>
      <c r="K110">
        <f t="shared" si="2"/>
        <v>-1071.8254799999959</v>
      </c>
      <c r="L110">
        <v>10157.938920000008</v>
      </c>
      <c r="M110">
        <f t="shared" si="3"/>
        <v>-4960.6959599999936</v>
      </c>
    </row>
    <row r="111" spans="2:13" x14ac:dyDescent="0.3">
      <c r="B111" t="s">
        <v>299</v>
      </c>
      <c r="C111" t="s">
        <v>49</v>
      </c>
      <c r="D111" t="s">
        <v>42</v>
      </c>
      <c r="E111" t="s">
        <v>45</v>
      </c>
      <c r="F111">
        <v>52780.07</v>
      </c>
      <c r="G111">
        <v>21304.74</v>
      </c>
      <c r="H111">
        <v>31475.329999999998</v>
      </c>
      <c r="I111">
        <f>Staging!Q102*(Staging!T102*(1+QtyUplift))*(1-MIN(Staging!R102,DiscountCap))</f>
        <v>58058.077000000012</v>
      </c>
      <c r="J111">
        <f>Staging!P102*(1+CostInflation)*Staging!T102*(1+QtyUplift)</f>
        <v>30348.602129999999</v>
      </c>
      <c r="K111">
        <f t="shared" si="2"/>
        <v>27709.474870000013</v>
      </c>
      <c r="L111">
        <v>5278.0070000000123</v>
      </c>
      <c r="M111">
        <f t="shared" si="3"/>
        <v>-3765.8551299999854</v>
      </c>
    </row>
    <row r="112" spans="2:13" x14ac:dyDescent="0.3">
      <c r="B112" t="s">
        <v>301</v>
      </c>
      <c r="C112" t="s">
        <v>29</v>
      </c>
      <c r="D112" t="s">
        <v>22</v>
      </c>
      <c r="E112" t="s">
        <v>45</v>
      </c>
      <c r="F112">
        <v>6324.5775999999996</v>
      </c>
      <c r="G112">
        <v>6899.2000000000007</v>
      </c>
      <c r="H112">
        <v>-574.62240000000111</v>
      </c>
      <c r="I112">
        <f>Staging!Q103*(Staging!T103*(1+QtyUplift))*(1-MIN(Staging!R103,DiscountCap))</f>
        <v>6957.0353599999999</v>
      </c>
      <c r="J112">
        <f>Staging!P103*(1+CostInflation)*Staging!T103*(1+QtyUplift)</f>
        <v>9827.9104000000007</v>
      </c>
      <c r="K112">
        <f t="shared" si="2"/>
        <v>-2870.8750400000008</v>
      </c>
      <c r="L112">
        <v>956.04080000000067</v>
      </c>
      <c r="M112">
        <f t="shared" si="3"/>
        <v>-2296.2526399999997</v>
      </c>
    </row>
    <row r="113" spans="2:13" x14ac:dyDescent="0.3">
      <c r="B113" t="s">
        <v>303</v>
      </c>
      <c r="C113" t="s">
        <v>21</v>
      </c>
      <c r="D113" t="s">
        <v>57</v>
      </c>
      <c r="E113" t="s">
        <v>16</v>
      </c>
      <c r="F113">
        <v>13669.81</v>
      </c>
      <c r="G113">
        <v>6034.56</v>
      </c>
      <c r="H113">
        <v>7635.2499999999991</v>
      </c>
      <c r="I113">
        <f>Staging!Q104*(Staging!T104*(1+QtyUplift))*(1-MIN(Staging!R104,DiscountCap))</f>
        <v>15036.791000000001</v>
      </c>
      <c r="J113">
        <f>Staging!P104*(1+CostInflation)*Staging!T104*(1+QtyUplift)</f>
        <v>8596.2307199999996</v>
      </c>
      <c r="K113">
        <f t="shared" si="2"/>
        <v>6440.5602800000015</v>
      </c>
      <c r="L113">
        <v>1366.9810000000016</v>
      </c>
      <c r="M113">
        <f t="shared" si="3"/>
        <v>-1194.6897199999976</v>
      </c>
    </row>
    <row r="114" spans="2:13" x14ac:dyDescent="0.3">
      <c r="B114" t="s">
        <v>305</v>
      </c>
      <c r="C114" t="s">
        <v>84</v>
      </c>
      <c r="D114" t="s">
        <v>81</v>
      </c>
      <c r="E114" t="s">
        <v>52</v>
      </c>
      <c r="F114">
        <v>5960.3340000000007</v>
      </c>
      <c r="G114">
        <v>3210.9</v>
      </c>
      <c r="H114">
        <v>2749.4340000000007</v>
      </c>
      <c r="I114">
        <f>Staging!Q105*(Staging!T105*(1+QtyUplift))*(1-MIN(Staging!R105,DiscountCap))</f>
        <v>6556.3674000000001</v>
      </c>
      <c r="J114">
        <f>Staging!P105*(1+CostInflation)*Staging!T105*(1+QtyUplift)</f>
        <v>4573.9270500000002</v>
      </c>
      <c r="K114">
        <f t="shared" si="2"/>
        <v>1982.4403499999999</v>
      </c>
      <c r="L114">
        <v>1235.6789999999992</v>
      </c>
      <c r="M114">
        <f t="shared" si="3"/>
        <v>-766.9936500000008</v>
      </c>
    </row>
    <row r="115" spans="2:13" x14ac:dyDescent="0.3">
      <c r="B115" t="s">
        <v>307</v>
      </c>
      <c r="C115" t="s">
        <v>92</v>
      </c>
      <c r="D115" t="s">
        <v>57</v>
      </c>
      <c r="E115" t="s">
        <v>45</v>
      </c>
      <c r="F115">
        <v>12335.654849999999</v>
      </c>
      <c r="G115">
        <v>7027.7999999999993</v>
      </c>
      <c r="H115">
        <v>5307.8548499999997</v>
      </c>
      <c r="I115">
        <f>Staging!Q106*(Staging!T106*(1+QtyUplift))*(1-MIN(Staging!R106,DiscountCap))</f>
        <v>13569.220335</v>
      </c>
      <c r="J115">
        <f>Staging!P106*(1+CostInflation)*Staging!T106*(1+QtyUplift)</f>
        <v>10011.1011</v>
      </c>
      <c r="K115">
        <f t="shared" si="2"/>
        <v>3558.1192350000001</v>
      </c>
      <c r="L115">
        <v>2360.251650000002</v>
      </c>
      <c r="M115">
        <f t="shared" si="3"/>
        <v>-1749.7356149999996</v>
      </c>
    </row>
    <row r="116" spans="2:13" x14ac:dyDescent="0.3">
      <c r="B116" t="s">
        <v>309</v>
      </c>
      <c r="C116" t="s">
        <v>110</v>
      </c>
      <c r="D116" t="s">
        <v>22</v>
      </c>
      <c r="E116" t="s">
        <v>16</v>
      </c>
      <c r="F116">
        <v>12080.215199999999</v>
      </c>
      <c r="G116">
        <v>13890.119999999999</v>
      </c>
      <c r="H116">
        <v>-1809.9048000000003</v>
      </c>
      <c r="I116">
        <f>Staging!Q107*(Staging!T107*(1+QtyUplift))*(1-MIN(Staging!R107,DiscountCap))</f>
        <v>13803.570000000002</v>
      </c>
      <c r="J116">
        <f>Staging!P107*(1+CostInflation)*Staging!T107*(1+QtyUplift)</f>
        <v>19786.47594</v>
      </c>
      <c r="K116">
        <f t="shared" si="2"/>
        <v>-5982.9059399999987</v>
      </c>
      <c r="L116">
        <v>4484.0688000000046</v>
      </c>
      <c r="M116">
        <f t="shared" si="3"/>
        <v>-4173.0011399999985</v>
      </c>
    </row>
    <row r="117" spans="2:13" x14ac:dyDescent="0.3">
      <c r="B117" t="s">
        <v>311</v>
      </c>
      <c r="C117" t="s">
        <v>29</v>
      </c>
      <c r="D117" t="s">
        <v>42</v>
      </c>
      <c r="E117" t="s">
        <v>16</v>
      </c>
      <c r="F117">
        <v>518.65436999999997</v>
      </c>
      <c r="G117">
        <v>501.15</v>
      </c>
      <c r="H117">
        <v>17.504369999999994</v>
      </c>
      <c r="I117">
        <f>Staging!Q108*(Staging!T108*(1+QtyUplift))*(1-MIN(Staging!R108,DiscountCap))</f>
        <v>570.51980700000001</v>
      </c>
      <c r="J117">
        <f>Staging!P108*(1+CostInflation)*Staging!T108*(1+QtyUplift)</f>
        <v>713.88817499999993</v>
      </c>
      <c r="K117">
        <f t="shared" si="2"/>
        <v>-143.36836799999992</v>
      </c>
      <c r="L117">
        <v>76.325730000000135</v>
      </c>
      <c r="M117">
        <f t="shared" si="3"/>
        <v>-160.87273799999991</v>
      </c>
    </row>
    <row r="118" spans="2:13" x14ac:dyDescent="0.3">
      <c r="B118" t="s">
        <v>313</v>
      </c>
      <c r="C118" t="s">
        <v>29</v>
      </c>
      <c r="D118" t="s">
        <v>42</v>
      </c>
      <c r="E118" t="s">
        <v>78</v>
      </c>
      <c r="F118">
        <v>23687.524440000001</v>
      </c>
      <c r="G118">
        <v>13665.599999999999</v>
      </c>
      <c r="H118">
        <v>10021.924440000003</v>
      </c>
      <c r="I118">
        <f>Staging!Q109*(Staging!T109*(1+QtyUplift))*(1-MIN(Staging!R109,DiscountCap))</f>
        <v>26056.276884000003</v>
      </c>
      <c r="J118">
        <f>Staging!P109*(1+CostInflation)*Staging!T109*(1+QtyUplift)</f>
        <v>19466.647199999999</v>
      </c>
      <c r="K118">
        <f t="shared" si="2"/>
        <v>6589.6296840000032</v>
      </c>
      <c r="L118">
        <v>3052.0983600000036</v>
      </c>
      <c r="M118">
        <f t="shared" si="3"/>
        <v>-3432.2947559999993</v>
      </c>
    </row>
    <row r="119" spans="2:13" x14ac:dyDescent="0.3">
      <c r="B119" t="s">
        <v>315</v>
      </c>
      <c r="C119" t="s">
        <v>29</v>
      </c>
      <c r="D119" t="s">
        <v>35</v>
      </c>
      <c r="E119" t="s">
        <v>45</v>
      </c>
      <c r="F119">
        <v>1660.3999999999999</v>
      </c>
      <c r="G119">
        <v>821.4</v>
      </c>
      <c r="H119">
        <v>838.99999999999989</v>
      </c>
      <c r="I119">
        <f>Staging!Q110*(Staging!T110*(1+QtyUplift))*(1-MIN(Staging!R110,DiscountCap))</f>
        <v>1826.4399999999998</v>
      </c>
      <c r="J119">
        <f>Staging!P110*(1+CostInflation)*Staging!T110*(1+QtyUplift)</f>
        <v>1170.0843</v>
      </c>
      <c r="K119">
        <f t="shared" si="2"/>
        <v>656.35569999999984</v>
      </c>
      <c r="L119">
        <v>166.03999999999996</v>
      </c>
      <c r="M119">
        <f t="shared" si="3"/>
        <v>-182.64430000000004</v>
      </c>
    </row>
    <row r="120" spans="2:13" x14ac:dyDescent="0.3">
      <c r="B120" t="s">
        <v>317</v>
      </c>
      <c r="C120" t="s">
        <v>75</v>
      </c>
      <c r="D120" t="s">
        <v>81</v>
      </c>
      <c r="E120" t="s">
        <v>16</v>
      </c>
      <c r="F120">
        <v>549.80010000000004</v>
      </c>
      <c r="G120">
        <v>585.88</v>
      </c>
      <c r="H120">
        <v>-36.079899999999952</v>
      </c>
      <c r="I120">
        <f>Staging!Q111*(Staging!T111*(1+QtyUplift))*(1-MIN(Staging!R111,DiscountCap))</f>
        <v>604.78011000000004</v>
      </c>
      <c r="J120">
        <f>Staging!P111*(1+CostInflation)*Staging!T111*(1+QtyUplift)</f>
        <v>834.58605999999997</v>
      </c>
      <c r="K120">
        <f t="shared" si="2"/>
        <v>-229.80594999999994</v>
      </c>
      <c r="L120">
        <v>156.16890000000001</v>
      </c>
      <c r="M120">
        <f t="shared" si="3"/>
        <v>-193.72604999999999</v>
      </c>
    </row>
    <row r="121" spans="2:13" x14ac:dyDescent="0.3">
      <c r="B121" t="s">
        <v>319</v>
      </c>
      <c r="C121" t="s">
        <v>29</v>
      </c>
      <c r="D121" t="s">
        <v>22</v>
      </c>
      <c r="E121" t="s">
        <v>45</v>
      </c>
      <c r="F121">
        <v>27676.35</v>
      </c>
      <c r="G121">
        <v>14855.94</v>
      </c>
      <c r="H121">
        <v>12820.409999999998</v>
      </c>
      <c r="I121">
        <f>Staging!Q112*(Staging!T112*(1+QtyUplift))*(1-MIN(Staging!R112,DiscountCap))</f>
        <v>30443.985000000001</v>
      </c>
      <c r="J121">
        <f>Staging!P112*(1+CostInflation)*Staging!T112*(1+QtyUplift)</f>
        <v>21162.286530000001</v>
      </c>
      <c r="K121">
        <f t="shared" si="2"/>
        <v>9281.6984699999994</v>
      </c>
      <c r="L121">
        <v>2767.635000000002</v>
      </c>
      <c r="M121">
        <f t="shared" si="3"/>
        <v>-3538.7115299999987</v>
      </c>
    </row>
    <row r="122" spans="2:13" x14ac:dyDescent="0.3">
      <c r="B122" t="s">
        <v>321</v>
      </c>
      <c r="C122" t="s">
        <v>110</v>
      </c>
      <c r="D122" t="s">
        <v>57</v>
      </c>
      <c r="E122" t="s">
        <v>78</v>
      </c>
      <c r="F122">
        <v>30151.675319999998</v>
      </c>
      <c r="G122">
        <v>20181.210000000003</v>
      </c>
      <c r="H122">
        <v>9970.4653199999957</v>
      </c>
      <c r="I122">
        <f>Staging!Q113*(Staging!T113*(1+QtyUplift))*(1-MIN(Staging!R113,DiscountCap))</f>
        <v>33166.842852000002</v>
      </c>
      <c r="J122">
        <f>Staging!P113*(1+CostInflation)*Staging!T113*(1+QtyUplift)</f>
        <v>28748.133645000005</v>
      </c>
      <c r="K122">
        <f t="shared" si="2"/>
        <v>4418.7092069999962</v>
      </c>
      <c r="L122">
        <v>3015.1675320000031</v>
      </c>
      <c r="M122">
        <f t="shared" si="3"/>
        <v>-5551.7561129999995</v>
      </c>
    </row>
    <row r="123" spans="2:13" x14ac:dyDescent="0.3">
      <c r="B123" t="s">
        <v>323</v>
      </c>
      <c r="C123" t="s">
        <v>56</v>
      </c>
      <c r="D123" t="s">
        <v>35</v>
      </c>
      <c r="E123" t="s">
        <v>16</v>
      </c>
      <c r="F123">
        <v>34.689059999999998</v>
      </c>
      <c r="G123">
        <v>48.24</v>
      </c>
      <c r="H123">
        <v>-13.550940000000004</v>
      </c>
      <c r="I123">
        <f>Staging!Q114*(Staging!T114*(1+QtyUplift))*(1-MIN(Staging!R114,DiscountCap))</f>
        <v>38.157966000000002</v>
      </c>
      <c r="J123">
        <f>Staging!P114*(1+CostInflation)*Staging!T114*(1+QtyUplift)</f>
        <v>68.717880000000008</v>
      </c>
      <c r="K123">
        <f t="shared" si="2"/>
        <v>-30.559914000000006</v>
      </c>
      <c r="L123">
        <v>4.2476400000000112</v>
      </c>
      <c r="M123">
        <f t="shared" si="3"/>
        <v>-17.008974000000002</v>
      </c>
    </row>
    <row r="124" spans="2:13" x14ac:dyDescent="0.3">
      <c r="B124" t="s">
        <v>325</v>
      </c>
      <c r="C124" t="s">
        <v>41</v>
      </c>
      <c r="D124" t="s">
        <v>81</v>
      </c>
      <c r="E124" t="s">
        <v>52</v>
      </c>
      <c r="F124">
        <v>2117.4834999999998</v>
      </c>
      <c r="G124">
        <v>1562.99</v>
      </c>
      <c r="H124">
        <v>554.49349999999981</v>
      </c>
      <c r="I124">
        <f>Staging!Q115*(Staging!T115*(1+QtyUplift))*(1-MIN(Staging!R115,DiscountCap))</f>
        <v>2329.2318500000001</v>
      </c>
      <c r="J124">
        <f>Staging!P115*(1+CostInflation)*Staging!T115*(1+QtyUplift)</f>
        <v>2226.4792550000002</v>
      </c>
      <c r="K124">
        <f t="shared" si="2"/>
        <v>102.75259499999993</v>
      </c>
      <c r="L124">
        <v>261.98150000000078</v>
      </c>
      <c r="M124">
        <f t="shared" si="3"/>
        <v>-451.74090499999988</v>
      </c>
    </row>
    <row r="125" spans="2:13" x14ac:dyDescent="0.3">
      <c r="B125" t="s">
        <v>328</v>
      </c>
      <c r="C125" t="s">
        <v>49</v>
      </c>
      <c r="D125" t="s">
        <v>35</v>
      </c>
      <c r="E125" t="s">
        <v>45</v>
      </c>
      <c r="F125">
        <v>1499.22</v>
      </c>
      <c r="G125">
        <v>2125.44</v>
      </c>
      <c r="H125">
        <v>-626.22</v>
      </c>
      <c r="I125">
        <f>Staging!Q116*(Staging!T116*(1+QtyUplift))*(1-MIN(Staging!R116,DiscountCap))</f>
        <v>1649.1420000000001</v>
      </c>
      <c r="J125">
        <f>Staging!P116*(1+CostInflation)*Staging!T116*(1+QtyUplift)</f>
        <v>3027.6892800000001</v>
      </c>
      <c r="K125">
        <f t="shared" si="2"/>
        <v>-1378.54728</v>
      </c>
      <c r="L125">
        <v>149.92200000000003</v>
      </c>
      <c r="M125">
        <f t="shared" si="3"/>
        <v>-752.32727999999997</v>
      </c>
    </row>
    <row r="126" spans="2:13" x14ac:dyDescent="0.3">
      <c r="B126" t="s">
        <v>330</v>
      </c>
      <c r="C126" t="s">
        <v>41</v>
      </c>
      <c r="D126" t="s">
        <v>64</v>
      </c>
      <c r="E126" t="s">
        <v>52</v>
      </c>
      <c r="F126">
        <v>24523.006720000001</v>
      </c>
      <c r="G126">
        <v>11788.64</v>
      </c>
      <c r="H126">
        <v>12734.366720000002</v>
      </c>
      <c r="I126">
        <f>Staging!Q117*(Staging!T117*(1+QtyUplift))*(1-MIN(Staging!R117,DiscountCap))</f>
        <v>26975.307392000002</v>
      </c>
      <c r="J126">
        <f>Staging!P117*(1+CostInflation)*Staging!T117*(1+QtyUplift)</f>
        <v>16792.917679999999</v>
      </c>
      <c r="K126">
        <f t="shared" si="2"/>
        <v>10182.389712000004</v>
      </c>
      <c r="L126">
        <v>2694.2316800000044</v>
      </c>
      <c r="M126">
        <f t="shared" si="3"/>
        <v>-2551.977007999998</v>
      </c>
    </row>
    <row r="127" spans="2:13" x14ac:dyDescent="0.3">
      <c r="B127" t="s">
        <v>332</v>
      </c>
      <c r="C127" t="s">
        <v>68</v>
      </c>
      <c r="D127" t="s">
        <v>30</v>
      </c>
      <c r="E127" t="s">
        <v>52</v>
      </c>
      <c r="F127">
        <v>765.99195000000009</v>
      </c>
      <c r="G127">
        <v>1278.0600000000002</v>
      </c>
      <c r="H127">
        <v>-512.06805000000008</v>
      </c>
      <c r="I127">
        <f>Staging!Q118*(Staging!T118*(1+QtyUplift))*(1-MIN(Staging!R118,DiscountCap))</f>
        <v>842.5911450000001</v>
      </c>
      <c r="J127">
        <f>Staging!P118*(1+CostInflation)*Staging!T118*(1+QtyUplift)</f>
        <v>1820.5964700000002</v>
      </c>
      <c r="K127">
        <f t="shared" si="2"/>
        <v>-978.00532500000008</v>
      </c>
      <c r="L127">
        <v>133.57155000000012</v>
      </c>
      <c r="M127">
        <f t="shared" si="3"/>
        <v>-465.937275</v>
      </c>
    </row>
    <row r="128" spans="2:13" x14ac:dyDescent="0.3">
      <c r="B128" t="s">
        <v>334</v>
      </c>
      <c r="C128" t="s">
        <v>84</v>
      </c>
      <c r="D128" t="s">
        <v>57</v>
      </c>
      <c r="E128" t="s">
        <v>78</v>
      </c>
      <c r="F128">
        <v>65119.329599999997</v>
      </c>
      <c r="G128">
        <v>32015.77</v>
      </c>
      <c r="H128">
        <v>33103.559599999993</v>
      </c>
      <c r="I128">
        <f>Staging!Q119*(Staging!T119*(1+QtyUplift))*(1-MIN(Staging!R119,DiscountCap))</f>
        <v>71631.262560000003</v>
      </c>
      <c r="J128">
        <f>Staging!P119*(1+CostInflation)*Staging!T119*(1+QtyUplift)</f>
        <v>45606.464365</v>
      </c>
      <c r="K128">
        <f t="shared" si="2"/>
        <v>26024.798195000003</v>
      </c>
      <c r="L128">
        <v>13885.739400000006</v>
      </c>
      <c r="M128">
        <f t="shared" si="3"/>
        <v>-7078.7614049999902</v>
      </c>
    </row>
    <row r="129" spans="2:13" x14ac:dyDescent="0.3">
      <c r="B129" t="s">
        <v>337</v>
      </c>
      <c r="C129" t="s">
        <v>84</v>
      </c>
      <c r="D129" t="s">
        <v>64</v>
      </c>
      <c r="E129" t="s">
        <v>45</v>
      </c>
      <c r="F129">
        <v>5769.2758000000003</v>
      </c>
      <c r="G129">
        <v>3396.1000000000004</v>
      </c>
      <c r="H129">
        <v>2373.1758</v>
      </c>
      <c r="I129">
        <f>Staging!Q120*(Staging!T120*(1+QtyUplift))*(1-MIN(Staging!R120,DiscountCap))</f>
        <v>6346.2033799999999</v>
      </c>
      <c r="J129">
        <f>Staging!P120*(1+CostInflation)*Staging!T120*(1+QtyUplift)</f>
        <v>4837.7444500000001</v>
      </c>
      <c r="K129">
        <f t="shared" si="2"/>
        <v>1508.4589299999998</v>
      </c>
      <c r="L129">
        <v>576.92757999999958</v>
      </c>
      <c r="M129">
        <f t="shared" si="3"/>
        <v>-864.7168700000002</v>
      </c>
    </row>
    <row r="130" spans="2:13" x14ac:dyDescent="0.3">
      <c r="B130" t="s">
        <v>340</v>
      </c>
      <c r="C130" t="s">
        <v>34</v>
      </c>
      <c r="D130" t="s">
        <v>57</v>
      </c>
      <c r="E130" t="s">
        <v>52</v>
      </c>
      <c r="F130">
        <v>592.92849000000001</v>
      </c>
      <c r="G130">
        <v>405.72</v>
      </c>
      <c r="H130">
        <v>187.20848999999998</v>
      </c>
      <c r="I130">
        <f>Staging!Q121*(Staging!T121*(1+QtyUplift))*(1-MIN(Staging!R121,DiscountCap))</f>
        <v>652.22133900000017</v>
      </c>
      <c r="J130">
        <f>Staging!P121*(1+CostInflation)*Staging!T121*(1+QtyUplift)</f>
        <v>577.94814000000008</v>
      </c>
      <c r="K130">
        <f t="shared" si="2"/>
        <v>74.273199000000091</v>
      </c>
      <c r="L130">
        <v>59.29284900000016</v>
      </c>
      <c r="M130">
        <f t="shared" si="3"/>
        <v>-112.93529099999989</v>
      </c>
    </row>
    <row r="131" spans="2:13" x14ac:dyDescent="0.3">
      <c r="B131" t="s">
        <v>342</v>
      </c>
      <c r="C131" t="s">
        <v>63</v>
      </c>
      <c r="D131" t="s">
        <v>35</v>
      </c>
      <c r="E131" t="s">
        <v>78</v>
      </c>
      <c r="F131">
        <v>39516.804389999998</v>
      </c>
      <c r="G131">
        <v>18428.52</v>
      </c>
      <c r="H131">
        <v>21088.284389999997</v>
      </c>
      <c r="I131">
        <f>Staging!Q122*(Staging!T122*(1+QtyUplift))*(1-MIN(Staging!R122,DiscountCap))</f>
        <v>43468.484829000001</v>
      </c>
      <c r="J131">
        <f>Staging!P122*(1+CostInflation)*Staging!T122*(1+QtyUplift)</f>
        <v>26251.426740000003</v>
      </c>
      <c r="K131">
        <f t="shared" si="2"/>
        <v>17217.058088999998</v>
      </c>
      <c r="L131">
        <v>5091.6749100000015</v>
      </c>
      <c r="M131">
        <f t="shared" si="3"/>
        <v>-3871.2263009999988</v>
      </c>
    </row>
    <row r="132" spans="2:13" x14ac:dyDescent="0.3">
      <c r="B132" t="s">
        <v>344</v>
      </c>
      <c r="C132" t="s">
        <v>92</v>
      </c>
      <c r="D132" t="s">
        <v>64</v>
      </c>
      <c r="E132" t="s">
        <v>78</v>
      </c>
      <c r="F132">
        <v>22983.34563</v>
      </c>
      <c r="G132">
        <v>11676.78</v>
      </c>
      <c r="H132">
        <v>11306.565629999999</v>
      </c>
      <c r="I132">
        <f>Staging!Q123*(Staging!T123*(1+QtyUplift))*(1-MIN(Staging!R123,DiscountCap))</f>
        <v>25281.680193</v>
      </c>
      <c r="J132">
        <f>Staging!P123*(1+CostInflation)*Staging!T123*(1+QtyUplift)</f>
        <v>16633.573110000001</v>
      </c>
      <c r="K132">
        <f t="shared" si="2"/>
        <v>8648.107082999999</v>
      </c>
      <c r="L132">
        <v>2298.3345630000003</v>
      </c>
      <c r="M132">
        <f t="shared" si="3"/>
        <v>-2658.4585470000002</v>
      </c>
    </row>
    <row r="133" spans="2:13" x14ac:dyDescent="0.3">
      <c r="B133" t="s">
        <v>346</v>
      </c>
      <c r="C133" t="s">
        <v>49</v>
      </c>
      <c r="D133" t="s">
        <v>42</v>
      </c>
      <c r="E133" t="s">
        <v>16</v>
      </c>
      <c r="F133">
        <v>16061.972879999999</v>
      </c>
      <c r="G133">
        <v>16745.88</v>
      </c>
      <c r="H133">
        <v>-683.90712000000167</v>
      </c>
      <c r="I133">
        <f>Staging!Q124*(Staging!T124*(1+QtyUplift))*(1-MIN(Staging!R124,DiscountCap))</f>
        <v>17668.170168000001</v>
      </c>
      <c r="J133">
        <f>Staging!P124*(1+CostInflation)*Staging!T124*(1+QtyUplift)</f>
        <v>23854.50606</v>
      </c>
      <c r="K133">
        <f t="shared" si="2"/>
        <v>-6186.3358919999991</v>
      </c>
      <c r="L133">
        <v>3889.5367200000019</v>
      </c>
      <c r="M133">
        <f t="shared" si="3"/>
        <v>-5502.4287719999975</v>
      </c>
    </row>
    <row r="134" spans="2:13" x14ac:dyDescent="0.3">
      <c r="B134" t="s">
        <v>348</v>
      </c>
      <c r="C134" t="s">
        <v>34</v>
      </c>
      <c r="D134" t="s">
        <v>35</v>
      </c>
      <c r="E134" t="s">
        <v>52</v>
      </c>
      <c r="F134">
        <v>10817.3416</v>
      </c>
      <c r="G134">
        <v>10908.08</v>
      </c>
      <c r="H134">
        <v>-90.738400000000183</v>
      </c>
      <c r="I134">
        <f>Staging!Q125*(Staging!T125*(1+QtyUplift))*(1-MIN(Staging!R125,DiscountCap))</f>
        <v>11899.075760000002</v>
      </c>
      <c r="J134">
        <f>Staging!P125*(1+CostInflation)*Staging!T125*(1+QtyUplift)</f>
        <v>15538.559960000001</v>
      </c>
      <c r="K134">
        <f t="shared" si="2"/>
        <v>-3639.484199999999</v>
      </c>
      <c r="L134">
        <v>1081.7341600000018</v>
      </c>
      <c r="M134">
        <f t="shared" si="3"/>
        <v>-3548.7457999999988</v>
      </c>
    </row>
    <row r="135" spans="2:13" x14ac:dyDescent="0.3">
      <c r="B135" t="s">
        <v>350</v>
      </c>
      <c r="C135" t="s">
        <v>84</v>
      </c>
      <c r="D135" t="s">
        <v>22</v>
      </c>
      <c r="E135" t="s">
        <v>52</v>
      </c>
      <c r="F135">
        <v>2072.9258400000003</v>
      </c>
      <c r="G135">
        <v>1425.52</v>
      </c>
      <c r="H135">
        <v>647.40584000000035</v>
      </c>
      <c r="I135">
        <f>Staging!Q126*(Staging!T126*(1+QtyUplift))*(1-MIN(Staging!R126,DiscountCap))</f>
        <v>2280.2184240000006</v>
      </c>
      <c r="J135">
        <f>Staging!P126*(1+CostInflation)*Staging!T126*(1+QtyUplift)</f>
        <v>2030.6532400000001</v>
      </c>
      <c r="K135">
        <f t="shared" si="2"/>
        <v>249.5651840000005</v>
      </c>
      <c r="L135">
        <v>207.29258400000026</v>
      </c>
      <c r="M135">
        <f t="shared" si="3"/>
        <v>-397.84065599999985</v>
      </c>
    </row>
    <row r="136" spans="2:13" x14ac:dyDescent="0.3">
      <c r="B136" t="s">
        <v>352</v>
      </c>
      <c r="C136" t="s">
        <v>56</v>
      </c>
      <c r="D136" t="s">
        <v>22</v>
      </c>
      <c r="E136" t="s">
        <v>45</v>
      </c>
      <c r="F136">
        <v>8909.8587200000002</v>
      </c>
      <c r="G136">
        <v>13310.779999999999</v>
      </c>
      <c r="H136">
        <v>-4400.9212799999987</v>
      </c>
      <c r="I136">
        <f>Staging!Q127*(Staging!T127*(1+QtyUplift))*(1-MIN(Staging!R127,DiscountCap))</f>
        <v>9800.8445920000013</v>
      </c>
      <c r="J136">
        <f>Staging!P127*(1+CostInflation)*Staging!T127*(1+QtyUplift)</f>
        <v>18961.206110000003</v>
      </c>
      <c r="K136">
        <f t="shared" si="2"/>
        <v>-9160.3615180000015</v>
      </c>
      <c r="L136">
        <v>890.98587200000111</v>
      </c>
      <c r="M136">
        <f t="shared" si="3"/>
        <v>-4759.4402380000029</v>
      </c>
    </row>
    <row r="137" spans="2:13" x14ac:dyDescent="0.3">
      <c r="B137" t="s">
        <v>354</v>
      </c>
      <c r="C137" t="s">
        <v>110</v>
      </c>
      <c r="D137" t="s">
        <v>22</v>
      </c>
      <c r="E137" t="s">
        <v>78</v>
      </c>
      <c r="F137">
        <v>65111.38614000001</v>
      </c>
      <c r="G137">
        <v>40444.159999999996</v>
      </c>
      <c r="H137">
        <v>24667.226140000013</v>
      </c>
      <c r="I137">
        <f>Staging!Q128*(Staging!T128*(1+QtyUplift))*(1-MIN(Staging!R128,DiscountCap))</f>
        <v>71622.524754000027</v>
      </c>
      <c r="J137">
        <f>Staging!P128*(1+CostInflation)*Staging!T128*(1+QtyUplift)</f>
        <v>57612.70592</v>
      </c>
      <c r="K137">
        <f t="shared" si="2"/>
        <v>14009.818834000027</v>
      </c>
      <c r="L137">
        <v>6511.1386140000177</v>
      </c>
      <c r="M137">
        <f t="shared" si="3"/>
        <v>-10657.407305999986</v>
      </c>
    </row>
    <row r="138" spans="2:13" x14ac:dyDescent="0.3">
      <c r="B138" t="s">
        <v>356</v>
      </c>
      <c r="C138" t="s">
        <v>63</v>
      </c>
      <c r="D138" t="s">
        <v>22</v>
      </c>
      <c r="E138" t="s">
        <v>78</v>
      </c>
      <c r="F138">
        <v>853.32276999999988</v>
      </c>
      <c r="G138">
        <v>960.4799999999999</v>
      </c>
      <c r="H138">
        <v>-107.15723000000003</v>
      </c>
      <c r="I138">
        <f>Staging!Q129*(Staging!T129*(1+QtyUplift))*(1-MIN(Staging!R129,DiscountCap))</f>
        <v>938.65504699999997</v>
      </c>
      <c r="J138">
        <f>Staging!P129*(1+CostInflation)*Staging!T129*(1+QtyUplift)</f>
        <v>1368.2037599999999</v>
      </c>
      <c r="K138">
        <f t="shared" si="2"/>
        <v>-429.54871299999991</v>
      </c>
      <c r="L138">
        <v>175.65353000000016</v>
      </c>
      <c r="M138">
        <f t="shared" si="3"/>
        <v>-322.39148299999988</v>
      </c>
    </row>
    <row r="139" spans="2:13" x14ac:dyDescent="0.3">
      <c r="B139" t="s">
        <v>358</v>
      </c>
      <c r="C139" t="s">
        <v>84</v>
      </c>
      <c r="D139" t="s">
        <v>42</v>
      </c>
      <c r="E139" t="s">
        <v>52</v>
      </c>
      <c r="F139">
        <v>2642.1686999999997</v>
      </c>
      <c r="G139">
        <v>1420.02</v>
      </c>
      <c r="H139">
        <v>1222.1486999999997</v>
      </c>
      <c r="I139">
        <f>Staging!Q130*(Staging!T130*(1+QtyUplift))*(1-MIN(Staging!R130,DiscountCap))</f>
        <v>2906.3855699999999</v>
      </c>
      <c r="J139">
        <f>Staging!P130*(1+CostInflation)*Staging!T130*(1+QtyUplift)</f>
        <v>2022.8184900000001</v>
      </c>
      <c r="K139">
        <f t="shared" si="2"/>
        <v>883.56707999999981</v>
      </c>
      <c r="L139">
        <v>575.23230000000058</v>
      </c>
      <c r="M139">
        <f t="shared" si="3"/>
        <v>-338.58161999999993</v>
      </c>
    </row>
    <row r="140" spans="2:13" x14ac:dyDescent="0.3">
      <c r="B140" t="s">
        <v>360</v>
      </c>
      <c r="C140" t="s">
        <v>75</v>
      </c>
      <c r="D140" t="s">
        <v>35</v>
      </c>
      <c r="E140" t="s">
        <v>52</v>
      </c>
      <c r="F140">
        <v>16071.44868</v>
      </c>
      <c r="G140">
        <v>7443.36</v>
      </c>
      <c r="H140">
        <v>8628.0886800000007</v>
      </c>
      <c r="I140">
        <f>Staging!Q131*(Staging!T131*(1+QtyUplift))*(1-MIN(Staging!R131,DiscountCap))</f>
        <v>17678.593548000001</v>
      </c>
      <c r="J140">
        <f>Staging!P131*(1+CostInflation)*Staging!T131*(1+QtyUplift)</f>
        <v>10603.06632</v>
      </c>
      <c r="K140">
        <f t="shared" ref="K140:K203" si="4">I140-J140</f>
        <v>7075.5272280000008</v>
      </c>
      <c r="L140">
        <v>1825.8901200000018</v>
      </c>
      <c r="M140">
        <f t="shared" ref="M140:M203" si="5">K140-H140</f>
        <v>-1552.5614519999999</v>
      </c>
    </row>
    <row r="141" spans="2:13" x14ac:dyDescent="0.3">
      <c r="B141" t="s">
        <v>362</v>
      </c>
      <c r="C141" t="s">
        <v>56</v>
      </c>
      <c r="D141" t="s">
        <v>64</v>
      </c>
      <c r="E141" t="s">
        <v>52</v>
      </c>
      <c r="F141">
        <v>7703.8640800000003</v>
      </c>
      <c r="G141">
        <v>3319.6</v>
      </c>
      <c r="H141">
        <v>4384.2640800000008</v>
      </c>
      <c r="I141">
        <f>Staging!Q132*(Staging!T132*(1+QtyUplift))*(1-MIN(Staging!R132,DiscountCap))</f>
        <v>8474.2504880000015</v>
      </c>
      <c r="J141">
        <f>Staging!P132*(1+CostInflation)*Staging!T132*(1+QtyUplift)</f>
        <v>4728.7701999999999</v>
      </c>
      <c r="K141">
        <f t="shared" si="4"/>
        <v>3745.4802880000016</v>
      </c>
      <c r="L141">
        <v>770.38640800000121</v>
      </c>
      <c r="M141">
        <f t="shared" si="5"/>
        <v>-638.78379199999927</v>
      </c>
    </row>
    <row r="142" spans="2:13" x14ac:dyDescent="0.3">
      <c r="B142" t="s">
        <v>364</v>
      </c>
      <c r="C142" t="s">
        <v>92</v>
      </c>
      <c r="D142" t="s">
        <v>81</v>
      </c>
      <c r="E142" t="s">
        <v>16</v>
      </c>
      <c r="F142">
        <v>4417.8334199999999</v>
      </c>
      <c r="G142">
        <v>6115.4500000000007</v>
      </c>
      <c r="H142">
        <v>-1697.6165800000008</v>
      </c>
      <c r="I142">
        <f>Staging!Q133*(Staging!T133*(1+QtyUplift))*(1-MIN(Staging!R133,DiscountCap))</f>
        <v>4859.6167619999997</v>
      </c>
      <c r="J142">
        <f>Staging!P133*(1+CostInflation)*Staging!T133*(1+QtyUplift)</f>
        <v>8711.458525</v>
      </c>
      <c r="K142">
        <f t="shared" si="4"/>
        <v>-3851.8417630000004</v>
      </c>
      <c r="L142">
        <v>679.66668000000027</v>
      </c>
      <c r="M142">
        <f t="shared" si="5"/>
        <v>-2154.2251829999996</v>
      </c>
    </row>
    <row r="143" spans="2:13" x14ac:dyDescent="0.3">
      <c r="B143" t="s">
        <v>366</v>
      </c>
      <c r="C143" t="s">
        <v>126</v>
      </c>
      <c r="D143" t="s">
        <v>57</v>
      </c>
      <c r="E143" t="s">
        <v>78</v>
      </c>
      <c r="F143">
        <v>8336.8896000000004</v>
      </c>
      <c r="G143">
        <v>15059.2</v>
      </c>
      <c r="H143">
        <v>-6722.3104000000003</v>
      </c>
      <c r="I143">
        <f>Staging!Q134*(Staging!T134*(1+QtyUplift))*(1-MIN(Staging!R134,DiscountCap))</f>
        <v>9170.5785599999999</v>
      </c>
      <c r="J143">
        <f>Staging!P134*(1+CostInflation)*Staging!T134*(1+QtyUplift)</f>
        <v>21451.830400000003</v>
      </c>
      <c r="K143">
        <f t="shared" si="4"/>
        <v>-12281.251840000003</v>
      </c>
      <c r="L143">
        <v>2244.5471999999991</v>
      </c>
      <c r="M143">
        <f t="shared" si="5"/>
        <v>-5558.9414400000023</v>
      </c>
    </row>
    <row r="144" spans="2:13" x14ac:dyDescent="0.3">
      <c r="B144" t="s">
        <v>368</v>
      </c>
      <c r="C144" t="s">
        <v>21</v>
      </c>
      <c r="D144" t="s">
        <v>42</v>
      </c>
      <c r="E144" t="s">
        <v>45</v>
      </c>
      <c r="F144">
        <v>3494.4040799999998</v>
      </c>
      <c r="G144">
        <v>2438.2399999999998</v>
      </c>
      <c r="H144">
        <v>1056.16408</v>
      </c>
      <c r="I144">
        <f>Staging!Q135*(Staging!T135*(1+QtyUplift))*(1-MIN(Staging!R135,DiscountCap))</f>
        <v>3843.8444880000002</v>
      </c>
      <c r="J144">
        <f>Staging!P135*(1+CostInflation)*Staging!T135*(1+QtyUplift)</f>
        <v>3473.2728799999995</v>
      </c>
      <c r="K144">
        <f t="shared" si="4"/>
        <v>370.57160800000065</v>
      </c>
      <c r="L144">
        <v>760.7743200000009</v>
      </c>
      <c r="M144">
        <f t="shared" si="5"/>
        <v>-685.59247199999936</v>
      </c>
    </row>
    <row r="145" spans="2:13" x14ac:dyDescent="0.3">
      <c r="B145" t="s">
        <v>370</v>
      </c>
      <c r="C145" t="s">
        <v>110</v>
      </c>
      <c r="D145" t="s">
        <v>30</v>
      </c>
      <c r="E145" t="s">
        <v>52</v>
      </c>
      <c r="F145">
        <v>12031.491680000001</v>
      </c>
      <c r="G145">
        <v>18188.82</v>
      </c>
      <c r="H145">
        <v>-6157.3283199999987</v>
      </c>
      <c r="I145">
        <f>Staging!Q136*(Staging!T136*(1+QtyUplift))*(1-MIN(Staging!R136,DiscountCap))</f>
        <v>13234.640848000003</v>
      </c>
      <c r="J145">
        <f>Staging!P136*(1+CostInflation)*Staging!T136*(1+QtyUplift)</f>
        <v>25909.974090000003</v>
      </c>
      <c r="K145">
        <f t="shared" si="4"/>
        <v>-12675.333242000001</v>
      </c>
      <c r="L145">
        <v>2710.0637200000001</v>
      </c>
      <c r="M145">
        <f t="shared" si="5"/>
        <v>-6518.0049220000019</v>
      </c>
    </row>
    <row r="146" spans="2:13" x14ac:dyDescent="0.3">
      <c r="B146" t="s">
        <v>372</v>
      </c>
      <c r="C146" t="s">
        <v>63</v>
      </c>
      <c r="D146" t="s">
        <v>64</v>
      </c>
      <c r="E146" t="s">
        <v>78</v>
      </c>
      <c r="F146">
        <v>27370.540859999997</v>
      </c>
      <c r="G146">
        <v>14141.529999999999</v>
      </c>
      <c r="H146">
        <v>13229.010859999999</v>
      </c>
      <c r="I146">
        <f>Staging!Q137*(Staging!T137*(1+QtyUplift))*(1-MIN(Staging!R137,DiscountCap))</f>
        <v>30107.594946000001</v>
      </c>
      <c r="J146">
        <f>Staging!P137*(1+CostInflation)*Staging!T137*(1+QtyUplift)</f>
        <v>20144.609484999997</v>
      </c>
      <c r="K146">
        <f t="shared" si="4"/>
        <v>9962.9854610000039</v>
      </c>
      <c r="L146">
        <v>2737.0540860000037</v>
      </c>
      <c r="M146">
        <f t="shared" si="5"/>
        <v>-3266.0253989999946</v>
      </c>
    </row>
    <row r="147" spans="2:13" x14ac:dyDescent="0.3">
      <c r="B147" t="s">
        <v>374</v>
      </c>
      <c r="C147" t="s">
        <v>29</v>
      </c>
      <c r="D147" t="s">
        <v>22</v>
      </c>
      <c r="E147" t="s">
        <v>45</v>
      </c>
      <c r="F147">
        <v>9698.1638399999993</v>
      </c>
      <c r="G147">
        <v>8472.9000000000015</v>
      </c>
      <c r="H147">
        <v>1225.2638399999978</v>
      </c>
      <c r="I147">
        <f>Staging!Q138*(Staging!T138*(1+QtyUplift))*(1-MIN(Staging!R138,DiscountCap))</f>
        <v>10667.980224000001</v>
      </c>
      <c r="J147">
        <f>Staging!P138*(1+CostInflation)*Staging!T138*(1+QtyUplift)</f>
        <v>12069.646050000001</v>
      </c>
      <c r="K147">
        <f t="shared" si="4"/>
        <v>-1401.6658260000004</v>
      </c>
      <c r="L147">
        <v>969.81638400000156</v>
      </c>
      <c r="M147">
        <f t="shared" si="5"/>
        <v>-2626.9296659999982</v>
      </c>
    </row>
    <row r="148" spans="2:13" x14ac:dyDescent="0.3">
      <c r="B148" t="s">
        <v>376</v>
      </c>
      <c r="C148" t="s">
        <v>21</v>
      </c>
      <c r="D148" t="s">
        <v>42</v>
      </c>
      <c r="E148" t="s">
        <v>16</v>
      </c>
      <c r="F148">
        <v>4336.2427499999994</v>
      </c>
      <c r="G148">
        <v>4563.3</v>
      </c>
      <c r="H148">
        <v>-227.05725000000075</v>
      </c>
      <c r="I148">
        <f>Staging!Q139*(Staging!T139*(1+QtyUplift))*(1-MIN(Staging!R139,DiscountCap))</f>
        <v>4867.2112500000003</v>
      </c>
      <c r="J148">
        <f>Staging!P139*(1+CostInflation)*Staging!T139*(1+QtyUplift)</f>
        <v>6500.4208500000004</v>
      </c>
      <c r="K148">
        <f t="shared" si="4"/>
        <v>-1633.2096000000001</v>
      </c>
      <c r="L148">
        <v>1504.4107500000009</v>
      </c>
      <c r="M148">
        <f t="shared" si="5"/>
        <v>-1406.1523499999994</v>
      </c>
    </row>
    <row r="149" spans="2:13" x14ac:dyDescent="0.3">
      <c r="B149" t="s">
        <v>378</v>
      </c>
      <c r="C149" t="s">
        <v>41</v>
      </c>
      <c r="D149" t="s">
        <v>30</v>
      </c>
      <c r="E149" t="s">
        <v>78</v>
      </c>
      <c r="F149">
        <v>35567.737920000007</v>
      </c>
      <c r="G149">
        <v>26478.76</v>
      </c>
      <c r="H149">
        <v>9088.9779200000085</v>
      </c>
      <c r="I149">
        <f>Staging!Q140*(Staging!T140*(1+QtyUplift))*(1-MIN(Staging!R140,DiscountCap))</f>
        <v>39124.511712000007</v>
      </c>
      <c r="J149">
        <f>Staging!P140*(1+CostInflation)*Staging!T140*(1+QtyUplift)</f>
        <v>37718.993619999994</v>
      </c>
      <c r="K149">
        <f t="shared" si="4"/>
        <v>1405.518092000013</v>
      </c>
      <c r="L149">
        <v>4859.4268799999991</v>
      </c>
      <c r="M149">
        <f t="shared" si="5"/>
        <v>-7683.4598279999955</v>
      </c>
    </row>
    <row r="150" spans="2:13" x14ac:dyDescent="0.3">
      <c r="B150" t="s">
        <v>380</v>
      </c>
      <c r="C150" t="s">
        <v>49</v>
      </c>
      <c r="D150" t="s">
        <v>81</v>
      </c>
      <c r="E150" t="s">
        <v>45</v>
      </c>
      <c r="F150">
        <v>1446.9507000000001</v>
      </c>
      <c r="G150">
        <v>1516.39</v>
      </c>
      <c r="H150">
        <v>-69.439300000000003</v>
      </c>
      <c r="I150">
        <f>Staging!Q141*(Staging!T141*(1+QtyUplift))*(1-MIN(Staging!R141,DiscountCap))</f>
        <v>1610.9775000000002</v>
      </c>
      <c r="J150">
        <f>Staging!P141*(1+CostInflation)*Staging!T141*(1+QtyUplift)</f>
        <v>2160.0975550000003</v>
      </c>
      <c r="K150">
        <f t="shared" si="4"/>
        <v>-549.12005500000009</v>
      </c>
      <c r="L150">
        <v>486.22230000000013</v>
      </c>
      <c r="M150">
        <f t="shared" si="5"/>
        <v>-479.68075500000009</v>
      </c>
    </row>
    <row r="151" spans="2:13" x14ac:dyDescent="0.3">
      <c r="B151" t="s">
        <v>382</v>
      </c>
      <c r="C151" t="s">
        <v>95</v>
      </c>
      <c r="D151" t="s">
        <v>64</v>
      </c>
      <c r="E151" t="s">
        <v>45</v>
      </c>
      <c r="F151">
        <v>87404.929919999995</v>
      </c>
      <c r="G151">
        <v>64412.480000000003</v>
      </c>
      <c r="H151">
        <v>22992.449919999992</v>
      </c>
      <c r="I151">
        <f>Staging!Q142*(Staging!T142*(1+QtyUplift))*(1-MIN(Staging!R142,DiscountCap))</f>
        <v>96145.422911999995</v>
      </c>
      <c r="J151">
        <f>Staging!P142*(1+CostInflation)*Staging!T142*(1+QtyUplift)</f>
        <v>91755.57776</v>
      </c>
      <c r="K151">
        <f t="shared" si="4"/>
        <v>4389.8451519999944</v>
      </c>
      <c r="L151">
        <v>10702.644480000003</v>
      </c>
      <c r="M151">
        <f t="shared" si="5"/>
        <v>-18602.604767999997</v>
      </c>
    </row>
    <row r="152" spans="2:13" x14ac:dyDescent="0.3">
      <c r="B152" t="s">
        <v>384</v>
      </c>
      <c r="C152" t="s">
        <v>95</v>
      </c>
      <c r="D152" t="s">
        <v>42</v>
      </c>
      <c r="E152" t="s">
        <v>78</v>
      </c>
      <c r="F152">
        <v>8211.6342000000004</v>
      </c>
      <c r="G152">
        <v>4516.29</v>
      </c>
      <c r="H152">
        <v>3695.3442000000005</v>
      </c>
      <c r="I152">
        <f>Staging!Q143*(Staging!T143*(1+QtyUplift))*(1-MIN(Staging!R143,DiscountCap))</f>
        <v>9032.7976200000012</v>
      </c>
      <c r="J152">
        <f>Staging!P143*(1+CostInflation)*Staging!T143*(1+QtyUplift)</f>
        <v>6433.4551050000009</v>
      </c>
      <c r="K152">
        <f t="shared" si="4"/>
        <v>2599.3425150000003</v>
      </c>
      <c r="L152">
        <v>821.16342000000077</v>
      </c>
      <c r="M152">
        <f t="shared" si="5"/>
        <v>-1096.0016850000002</v>
      </c>
    </row>
    <row r="153" spans="2:13" x14ac:dyDescent="0.3">
      <c r="B153" t="s">
        <v>386</v>
      </c>
      <c r="C153" t="s">
        <v>110</v>
      </c>
      <c r="D153" t="s">
        <v>81</v>
      </c>
      <c r="E153" t="s">
        <v>52</v>
      </c>
      <c r="F153">
        <v>32086.37586</v>
      </c>
      <c r="G153">
        <v>29014.04</v>
      </c>
      <c r="H153">
        <v>3072.3358599999992</v>
      </c>
      <c r="I153">
        <f>Staging!Q144*(Staging!T144*(1+QtyUplift))*(1-MIN(Staging!R144,DiscountCap))</f>
        <v>35295.013446000004</v>
      </c>
      <c r="J153">
        <f>Staging!P144*(1+CostInflation)*Staging!T144*(1+QtyUplift)</f>
        <v>41330.499980000001</v>
      </c>
      <c r="K153">
        <f t="shared" si="4"/>
        <v>-6035.486533999996</v>
      </c>
      <c r="L153">
        <v>5328.8327400000053</v>
      </c>
      <c r="M153">
        <f t="shared" si="5"/>
        <v>-9107.8223939999953</v>
      </c>
    </row>
    <row r="154" spans="2:13" x14ac:dyDescent="0.3">
      <c r="B154" t="s">
        <v>389</v>
      </c>
      <c r="C154" t="s">
        <v>49</v>
      </c>
      <c r="D154" t="s">
        <v>30</v>
      </c>
      <c r="E154" t="s">
        <v>52</v>
      </c>
      <c r="F154">
        <v>9969.4201499999999</v>
      </c>
      <c r="G154">
        <v>7355.07</v>
      </c>
      <c r="H154">
        <v>2614.3501500000002</v>
      </c>
      <c r="I154">
        <f>Staging!Q145*(Staging!T145*(1+QtyUplift))*(1-MIN(Staging!R145,DiscountCap))</f>
        <v>10966.362165000002</v>
      </c>
      <c r="J154">
        <f>Staging!P145*(1+CostInflation)*Staging!T145*(1+QtyUplift)</f>
        <v>10477.297215000001</v>
      </c>
      <c r="K154">
        <f t="shared" si="4"/>
        <v>489.06495000000177</v>
      </c>
      <c r="L154">
        <v>3103.0645500000028</v>
      </c>
      <c r="M154">
        <f t="shared" si="5"/>
        <v>-2125.2851999999984</v>
      </c>
    </row>
    <row r="155" spans="2:13" x14ac:dyDescent="0.3">
      <c r="B155" t="s">
        <v>391</v>
      </c>
      <c r="C155" t="s">
        <v>56</v>
      </c>
      <c r="D155" t="s">
        <v>35</v>
      </c>
      <c r="E155" t="s">
        <v>52</v>
      </c>
      <c r="F155">
        <v>25672.127039999999</v>
      </c>
      <c r="G155">
        <v>16207.800000000001</v>
      </c>
      <c r="H155">
        <v>9464.3270399999983</v>
      </c>
      <c r="I155">
        <f>Staging!Q146*(Staging!T146*(1+QtyUplift))*(1-MIN(Staging!R146,DiscountCap))</f>
        <v>28239.339744000004</v>
      </c>
      <c r="J155">
        <f>Staging!P146*(1+CostInflation)*Staging!T146*(1+QtyUplift)</f>
        <v>23088.0111</v>
      </c>
      <c r="K155">
        <f t="shared" si="4"/>
        <v>5151.3286440000047</v>
      </c>
      <c r="L155">
        <v>2567.212704000005</v>
      </c>
      <c r="M155">
        <f t="shared" si="5"/>
        <v>-4312.9983959999936</v>
      </c>
    </row>
    <row r="156" spans="2:13" x14ac:dyDescent="0.3">
      <c r="B156" t="s">
        <v>393</v>
      </c>
      <c r="C156" t="s">
        <v>63</v>
      </c>
      <c r="D156" t="s">
        <v>57</v>
      </c>
      <c r="E156" t="s">
        <v>16</v>
      </c>
      <c r="F156">
        <v>12954.358080000002</v>
      </c>
      <c r="G156">
        <v>6337.88</v>
      </c>
      <c r="H156">
        <v>6616.4780800000017</v>
      </c>
      <c r="I156">
        <f>Staging!Q147*(Staging!T147*(1+QtyUplift))*(1-MIN(Staging!R147,DiscountCap))</f>
        <v>14249.793888</v>
      </c>
      <c r="J156">
        <f>Staging!P147*(1+CostInflation)*Staging!T147*(1+QtyUplift)</f>
        <v>9028.3100599999998</v>
      </c>
      <c r="K156">
        <f t="shared" si="4"/>
        <v>5221.4838280000004</v>
      </c>
      <c r="L156">
        <v>1407.1363199999996</v>
      </c>
      <c r="M156">
        <f t="shared" si="5"/>
        <v>-1394.9942520000013</v>
      </c>
    </row>
    <row r="157" spans="2:13" x14ac:dyDescent="0.3">
      <c r="B157" t="s">
        <v>395</v>
      </c>
      <c r="C157" t="s">
        <v>29</v>
      </c>
      <c r="D157" t="s">
        <v>57</v>
      </c>
      <c r="E157" t="s">
        <v>16</v>
      </c>
      <c r="F157">
        <v>3562.9028999999996</v>
      </c>
      <c r="G157">
        <v>5348.76</v>
      </c>
      <c r="H157">
        <v>-1785.8571000000006</v>
      </c>
      <c r="I157">
        <f>Staging!Q148*(Staging!T148*(1+QtyUplift))*(1-MIN(Staging!R148,DiscountCap))</f>
        <v>3919.1931900000004</v>
      </c>
      <c r="J157">
        <f>Staging!P148*(1+CostInflation)*Staging!T148*(1+QtyUplift)</f>
        <v>7619.3086199999989</v>
      </c>
      <c r="K157">
        <f t="shared" si="4"/>
        <v>-3700.1154299999985</v>
      </c>
      <c r="L157">
        <v>765.04050000000143</v>
      </c>
      <c r="M157">
        <f t="shared" si="5"/>
        <v>-1914.2583299999978</v>
      </c>
    </row>
    <row r="158" spans="2:13" x14ac:dyDescent="0.3">
      <c r="B158" t="s">
        <v>397</v>
      </c>
      <c r="C158" t="s">
        <v>68</v>
      </c>
      <c r="D158" t="s">
        <v>81</v>
      </c>
      <c r="E158" t="s">
        <v>78</v>
      </c>
      <c r="F158">
        <v>13321.14</v>
      </c>
      <c r="G158">
        <v>9567.8799999999992</v>
      </c>
      <c r="H158">
        <v>3753.26</v>
      </c>
      <c r="I158">
        <f>Staging!Q149*(Staging!T149*(1+QtyUplift))*(1-MIN(Staging!R149,DiscountCap))</f>
        <v>14653.254000000003</v>
      </c>
      <c r="J158">
        <f>Staging!P149*(1+CostInflation)*Staging!T149*(1+QtyUplift)</f>
        <v>13629.445059999998</v>
      </c>
      <c r="K158">
        <f t="shared" si="4"/>
        <v>1023.8089400000044</v>
      </c>
      <c r="L158">
        <v>1332.1140000000032</v>
      </c>
      <c r="M158">
        <f t="shared" si="5"/>
        <v>-2729.4510599999958</v>
      </c>
    </row>
    <row r="159" spans="2:13" x14ac:dyDescent="0.3">
      <c r="B159" t="s">
        <v>399</v>
      </c>
      <c r="C159" t="s">
        <v>56</v>
      </c>
      <c r="D159" t="s">
        <v>30</v>
      </c>
      <c r="E159" t="s">
        <v>78</v>
      </c>
      <c r="F159">
        <v>14877.464000000002</v>
      </c>
      <c r="G159">
        <v>9420.75</v>
      </c>
      <c r="H159">
        <v>5456.7140000000018</v>
      </c>
      <c r="I159">
        <f>Staging!Q150*(Staging!T150*(1+QtyUplift))*(1-MIN(Staging!R150,DiscountCap))</f>
        <v>16365.210400000002</v>
      </c>
      <c r="J159">
        <f>Staging!P150*(1+CostInflation)*Staging!T150*(1+QtyUplift)</f>
        <v>13419.858375</v>
      </c>
      <c r="K159">
        <f t="shared" si="4"/>
        <v>2945.352025000002</v>
      </c>
      <c r="L159">
        <v>3261.3160000000007</v>
      </c>
      <c r="M159">
        <f t="shared" si="5"/>
        <v>-2511.3619749999998</v>
      </c>
    </row>
    <row r="160" spans="2:13" x14ac:dyDescent="0.3">
      <c r="B160" t="s">
        <v>401</v>
      </c>
      <c r="C160" t="s">
        <v>126</v>
      </c>
      <c r="D160" t="s">
        <v>42</v>
      </c>
      <c r="E160" t="s">
        <v>52</v>
      </c>
      <c r="F160">
        <v>42495.805439999996</v>
      </c>
      <c r="G160">
        <v>23346</v>
      </c>
      <c r="H160">
        <v>19149.805439999996</v>
      </c>
      <c r="I160">
        <f>Staging!Q151*(Staging!T151*(1+QtyUplift))*(1-MIN(Staging!R151,DiscountCap))</f>
        <v>46745.385984</v>
      </c>
      <c r="J160">
        <f>Staging!P151*(1+CostInflation)*Staging!T151*(1+QtyUplift)</f>
        <v>33256.377</v>
      </c>
      <c r="K160">
        <f t="shared" si="4"/>
        <v>13489.008984</v>
      </c>
      <c r="L160">
        <v>4249.580544000004</v>
      </c>
      <c r="M160">
        <f t="shared" si="5"/>
        <v>-5660.7964559999964</v>
      </c>
    </row>
    <row r="161" spans="2:13" x14ac:dyDescent="0.3">
      <c r="B161" t="s">
        <v>403</v>
      </c>
      <c r="C161" t="s">
        <v>95</v>
      </c>
      <c r="D161" t="s">
        <v>30</v>
      </c>
      <c r="E161" t="s">
        <v>52</v>
      </c>
      <c r="F161">
        <v>7901.5041599999995</v>
      </c>
      <c r="G161">
        <v>12213.12</v>
      </c>
      <c r="H161">
        <v>-4311.6158400000013</v>
      </c>
      <c r="I161">
        <f>Staging!Q152*(Staging!T152*(1+QtyUplift))*(1-MIN(Staging!R152,DiscountCap))</f>
        <v>8691.6545760000008</v>
      </c>
      <c r="J161">
        <f>Staging!P152*(1+CostInflation)*Staging!T152*(1+QtyUplift)</f>
        <v>17397.589440000003</v>
      </c>
      <c r="K161">
        <f t="shared" si="4"/>
        <v>-8705.9348640000026</v>
      </c>
      <c r="L161">
        <v>1100.2094400000015</v>
      </c>
      <c r="M161">
        <f t="shared" si="5"/>
        <v>-4394.3190240000013</v>
      </c>
    </row>
    <row r="162" spans="2:13" x14ac:dyDescent="0.3">
      <c r="B162" t="s">
        <v>405</v>
      </c>
      <c r="C162" t="s">
        <v>84</v>
      </c>
      <c r="D162" t="s">
        <v>57</v>
      </c>
      <c r="E162" t="s">
        <v>16</v>
      </c>
      <c r="F162">
        <v>21572.590500000002</v>
      </c>
      <c r="G162">
        <v>18035.28</v>
      </c>
      <c r="H162">
        <v>3537.3105000000032</v>
      </c>
      <c r="I162">
        <f>Staging!Q153*(Staging!T153*(1+QtyUplift))*(1-MIN(Staging!R153,DiscountCap))</f>
        <v>23729.849550000003</v>
      </c>
      <c r="J162">
        <f>Staging!P153*(1+CostInflation)*Staging!T153*(1+QtyUplift)</f>
        <v>25691.256359999999</v>
      </c>
      <c r="K162">
        <f t="shared" si="4"/>
        <v>-1961.4068099999968</v>
      </c>
      <c r="L162">
        <v>2157.2590500000006</v>
      </c>
      <c r="M162">
        <f t="shared" si="5"/>
        <v>-5498.71731</v>
      </c>
    </row>
    <row r="163" spans="2:13" x14ac:dyDescent="0.3">
      <c r="B163" t="s">
        <v>407</v>
      </c>
      <c r="C163" t="s">
        <v>92</v>
      </c>
      <c r="D163" t="s">
        <v>30</v>
      </c>
      <c r="E163" t="s">
        <v>45</v>
      </c>
      <c r="F163">
        <v>4139.8127999999997</v>
      </c>
      <c r="G163">
        <v>6585.5399999999991</v>
      </c>
      <c r="H163">
        <v>-2445.7271999999994</v>
      </c>
      <c r="I163">
        <f>Staging!Q154*(Staging!T154*(1+QtyUplift))*(1-MIN(Staging!R154,DiscountCap))</f>
        <v>4553.7940800000006</v>
      </c>
      <c r="J163">
        <f>Staging!P154*(1+CostInflation)*Staging!T154*(1+QtyUplift)</f>
        <v>9381.1017300000003</v>
      </c>
      <c r="K163">
        <f t="shared" si="4"/>
        <v>-4827.3076499999997</v>
      </c>
      <c r="L163">
        <v>882.75420000000031</v>
      </c>
      <c r="M163">
        <f t="shared" si="5"/>
        <v>-2381.5804500000004</v>
      </c>
    </row>
    <row r="164" spans="2:13" x14ac:dyDescent="0.3">
      <c r="B164" t="s">
        <v>409</v>
      </c>
      <c r="C164" t="s">
        <v>95</v>
      </c>
      <c r="D164" t="s">
        <v>30</v>
      </c>
      <c r="E164" t="s">
        <v>16</v>
      </c>
      <c r="F164">
        <v>29654.83008</v>
      </c>
      <c r="G164">
        <v>14858.88</v>
      </c>
      <c r="H164">
        <v>14795.950080000001</v>
      </c>
      <c r="I164">
        <f>Staging!Q155*(Staging!T155*(1+QtyUplift))*(1-MIN(Staging!R155,DiscountCap))</f>
        <v>32620.313088000006</v>
      </c>
      <c r="J164">
        <f>Staging!P155*(1+CostInflation)*Staging!T155*(1+QtyUplift)</f>
        <v>21166.474560000002</v>
      </c>
      <c r="K164">
        <f t="shared" si="4"/>
        <v>11453.838528000004</v>
      </c>
      <c r="L164">
        <v>4324.6627200000075</v>
      </c>
      <c r="M164">
        <f t="shared" si="5"/>
        <v>-3342.1115519999967</v>
      </c>
    </row>
    <row r="165" spans="2:13" x14ac:dyDescent="0.3">
      <c r="B165" t="s">
        <v>411</v>
      </c>
      <c r="C165" t="s">
        <v>68</v>
      </c>
      <c r="D165" t="s">
        <v>81</v>
      </c>
      <c r="E165" t="s">
        <v>16</v>
      </c>
      <c r="F165">
        <v>11015.510400000003</v>
      </c>
      <c r="G165">
        <v>8678.9</v>
      </c>
      <c r="H165">
        <v>2336.6104000000032</v>
      </c>
      <c r="I165">
        <f>Staging!Q156*(Staging!T156*(1+QtyUplift))*(1-MIN(Staging!R156,DiscountCap))</f>
        <v>12117.061440000001</v>
      </c>
      <c r="J165">
        <f>Staging!P156*(1+CostInflation)*Staging!T156*(1+QtyUplift)</f>
        <v>12363.093049999999</v>
      </c>
      <c r="K165">
        <f t="shared" si="4"/>
        <v>-246.03160999999818</v>
      </c>
      <c r="L165">
        <v>2348.895599999998</v>
      </c>
      <c r="M165">
        <f t="shared" si="5"/>
        <v>-2582.6420100000014</v>
      </c>
    </row>
    <row r="166" spans="2:13" x14ac:dyDescent="0.3">
      <c r="B166" t="s">
        <v>413</v>
      </c>
      <c r="C166" t="s">
        <v>95</v>
      </c>
      <c r="D166" t="s">
        <v>35</v>
      </c>
      <c r="E166" t="s">
        <v>45</v>
      </c>
      <c r="F166">
        <v>8909.6646800000017</v>
      </c>
      <c r="G166">
        <v>8295.02</v>
      </c>
      <c r="H166">
        <v>614.64468000000124</v>
      </c>
      <c r="I166">
        <f>Staging!Q157*(Staging!T157*(1+QtyUplift))*(1-MIN(Staging!R157,DiscountCap))</f>
        <v>9800.6311480000022</v>
      </c>
      <c r="J166">
        <f>Staging!P157*(1+CostInflation)*Staging!T157*(1+QtyUplift)</f>
        <v>11816.25599</v>
      </c>
      <c r="K166">
        <f t="shared" si="4"/>
        <v>-2015.6248419999974</v>
      </c>
      <c r="L166">
        <v>1012.234120000001</v>
      </c>
      <c r="M166">
        <f t="shared" si="5"/>
        <v>-2630.2695219999987</v>
      </c>
    </row>
    <row r="167" spans="2:13" x14ac:dyDescent="0.3">
      <c r="B167" t="s">
        <v>415</v>
      </c>
      <c r="C167" t="s">
        <v>75</v>
      </c>
      <c r="D167" t="s">
        <v>35</v>
      </c>
      <c r="E167" t="s">
        <v>78</v>
      </c>
      <c r="F167">
        <v>7203.8047000000006</v>
      </c>
      <c r="G167">
        <v>3281</v>
      </c>
      <c r="H167">
        <v>3922.8047000000006</v>
      </c>
      <c r="I167">
        <f>Staging!Q158*(Staging!T158*(1+QtyUplift))*(1-MIN(Staging!R158,DiscountCap))</f>
        <v>7924.1851700000007</v>
      </c>
      <c r="J167">
        <f>Staging!P158*(1+CostInflation)*Staging!T158*(1+QtyUplift)</f>
        <v>4673.7845000000007</v>
      </c>
      <c r="K167">
        <f t="shared" si="4"/>
        <v>3250.40067</v>
      </c>
      <c r="L167">
        <v>720.38047000000006</v>
      </c>
      <c r="M167">
        <f t="shared" si="5"/>
        <v>-672.4040300000006</v>
      </c>
    </row>
    <row r="168" spans="2:13" x14ac:dyDescent="0.3">
      <c r="B168" t="s">
        <v>417</v>
      </c>
      <c r="C168" t="s">
        <v>56</v>
      </c>
      <c r="D168" t="s">
        <v>22</v>
      </c>
      <c r="E168" t="s">
        <v>45</v>
      </c>
      <c r="F168">
        <v>24147.922500000001</v>
      </c>
      <c r="G168">
        <v>13451.25</v>
      </c>
      <c r="H168">
        <v>10696.672500000001</v>
      </c>
      <c r="I168">
        <f>Staging!Q159*(Staging!T159*(1+QtyUplift))*(1-MIN(Staging!R159,DiscountCap))</f>
        <v>26562.714749999999</v>
      </c>
      <c r="J168">
        <f>Staging!P159*(1+CostInflation)*Staging!T159*(1+QtyUplift)</f>
        <v>19161.305625000005</v>
      </c>
      <c r="K168">
        <f t="shared" si="4"/>
        <v>7401.4091249999947</v>
      </c>
      <c r="L168">
        <v>2414.7922499999986</v>
      </c>
      <c r="M168">
        <f t="shared" si="5"/>
        <v>-3295.2633750000059</v>
      </c>
    </row>
    <row r="169" spans="2:13" x14ac:dyDescent="0.3">
      <c r="B169" t="s">
        <v>419</v>
      </c>
      <c r="C169" t="s">
        <v>49</v>
      </c>
      <c r="D169" t="s">
        <v>81</v>
      </c>
      <c r="E169" t="s">
        <v>78</v>
      </c>
      <c r="F169">
        <v>10382.65884</v>
      </c>
      <c r="G169">
        <v>4894.9800000000005</v>
      </c>
      <c r="H169">
        <v>5487.6788399999996</v>
      </c>
      <c r="I169">
        <f>Staging!Q160*(Staging!T160*(1+QtyUplift))*(1-MIN(Staging!R160,DiscountCap))</f>
        <v>11420.924724</v>
      </c>
      <c r="J169">
        <f>Staging!P160*(1+CostInflation)*Staging!T160*(1+QtyUplift)</f>
        <v>6972.8990099999992</v>
      </c>
      <c r="K169">
        <f t="shared" si="4"/>
        <v>4448.0257140000012</v>
      </c>
      <c r="L169">
        <v>1391.4903600000016</v>
      </c>
      <c r="M169">
        <f t="shared" si="5"/>
        <v>-1039.6531259999983</v>
      </c>
    </row>
    <row r="170" spans="2:13" x14ac:dyDescent="0.3">
      <c r="B170" t="s">
        <v>421</v>
      </c>
      <c r="C170" t="s">
        <v>34</v>
      </c>
      <c r="D170" t="s">
        <v>42</v>
      </c>
      <c r="E170" t="s">
        <v>45</v>
      </c>
      <c r="F170">
        <v>29263.754519999995</v>
      </c>
      <c r="G170">
        <v>17085.740000000002</v>
      </c>
      <c r="H170">
        <v>12178.014519999993</v>
      </c>
      <c r="I170">
        <f>Staging!Q161*(Staging!T161*(1+QtyUplift))*(1-MIN(Staging!R161,DiscountCap))</f>
        <v>32190.129971999999</v>
      </c>
      <c r="J170">
        <f>Staging!P161*(1+CostInflation)*Staging!T161*(1+QtyUplift)</f>
        <v>24338.636630000001</v>
      </c>
      <c r="K170">
        <f t="shared" si="4"/>
        <v>7851.4933419999979</v>
      </c>
      <c r="L170">
        <v>6110.0146800000075</v>
      </c>
      <c r="M170">
        <f t="shared" si="5"/>
        <v>-4326.5211779999954</v>
      </c>
    </row>
    <row r="171" spans="2:13" x14ac:dyDescent="0.3">
      <c r="B171" t="s">
        <v>423</v>
      </c>
      <c r="C171" t="s">
        <v>110</v>
      </c>
      <c r="D171" t="s">
        <v>64</v>
      </c>
      <c r="E171" t="s">
        <v>45</v>
      </c>
      <c r="F171">
        <v>22044.871499999997</v>
      </c>
      <c r="G171">
        <v>14987.5</v>
      </c>
      <c r="H171">
        <v>7057.3714999999975</v>
      </c>
      <c r="I171">
        <f>Staging!Q162*(Staging!T162*(1+QtyUplift))*(1-MIN(Staging!R162,DiscountCap))</f>
        <v>24249.358650000002</v>
      </c>
      <c r="J171">
        <f>Staging!P162*(1+CostInflation)*Staging!T162*(1+QtyUplift)</f>
        <v>21349.693750000002</v>
      </c>
      <c r="K171">
        <f t="shared" si="4"/>
        <v>2899.6648999999998</v>
      </c>
      <c r="L171">
        <v>3844.1235000000052</v>
      </c>
      <c r="M171">
        <f t="shared" si="5"/>
        <v>-4157.7065999999977</v>
      </c>
    </row>
    <row r="172" spans="2:13" x14ac:dyDescent="0.3">
      <c r="B172" t="s">
        <v>425</v>
      </c>
      <c r="C172" t="s">
        <v>63</v>
      </c>
      <c r="D172" t="s">
        <v>22</v>
      </c>
      <c r="E172" t="s">
        <v>45</v>
      </c>
      <c r="F172">
        <v>5650.1744000000008</v>
      </c>
      <c r="G172">
        <v>4055.25</v>
      </c>
      <c r="H172">
        <v>1594.9244000000008</v>
      </c>
      <c r="I172">
        <f>Staging!Q163*(Staging!T163*(1+QtyUplift))*(1-MIN(Staging!R163,DiscountCap))</f>
        <v>6215.1918400000013</v>
      </c>
      <c r="J172">
        <f>Staging!P163*(1+CostInflation)*Staging!T163*(1+QtyUplift)</f>
        <v>5776.7036250000001</v>
      </c>
      <c r="K172">
        <f t="shared" si="4"/>
        <v>438.48821500000122</v>
      </c>
      <c r="L172">
        <v>565.01744000000053</v>
      </c>
      <c r="M172">
        <f t="shared" si="5"/>
        <v>-1156.4361849999996</v>
      </c>
    </row>
    <row r="173" spans="2:13" x14ac:dyDescent="0.3">
      <c r="B173" t="s">
        <v>427</v>
      </c>
      <c r="C173" t="s">
        <v>126</v>
      </c>
      <c r="D173" t="s">
        <v>42</v>
      </c>
      <c r="E173" t="s">
        <v>52</v>
      </c>
      <c r="F173">
        <v>8154.5511600000009</v>
      </c>
      <c r="G173">
        <v>7162.8899999999994</v>
      </c>
      <c r="H173">
        <v>991.66116000000147</v>
      </c>
      <c r="I173">
        <f>Staging!Q164*(Staging!T164*(1+QtyUplift))*(1-MIN(Staging!R164,DiscountCap))</f>
        <v>8970.0062760000019</v>
      </c>
      <c r="J173">
        <f>Staging!P164*(1+CostInflation)*Staging!T164*(1+QtyUplift)</f>
        <v>10203.536805</v>
      </c>
      <c r="K173">
        <f t="shared" si="4"/>
        <v>-1233.5305289999978</v>
      </c>
      <c r="L173">
        <v>1156.8740400000006</v>
      </c>
      <c r="M173">
        <f t="shared" si="5"/>
        <v>-2225.1916889999993</v>
      </c>
    </row>
    <row r="174" spans="2:13" x14ac:dyDescent="0.3">
      <c r="B174" t="s">
        <v>429</v>
      </c>
      <c r="C174" t="s">
        <v>34</v>
      </c>
      <c r="D174" t="s">
        <v>64</v>
      </c>
      <c r="E174" t="s">
        <v>45</v>
      </c>
      <c r="F174">
        <v>12194.714</v>
      </c>
      <c r="G174">
        <v>6350.64</v>
      </c>
      <c r="H174">
        <v>5844.0739999999996</v>
      </c>
      <c r="I174">
        <f>Staging!Q165*(Staging!T165*(1+QtyUplift))*(1-MIN(Staging!R165,DiscountCap))</f>
        <v>13414.185399999998</v>
      </c>
      <c r="J174">
        <f>Staging!P165*(1+CostInflation)*Staging!T165*(1+QtyUplift)</f>
        <v>9046.48668</v>
      </c>
      <c r="K174">
        <f t="shared" si="4"/>
        <v>4367.6987199999985</v>
      </c>
      <c r="L174">
        <v>1843.3870000000006</v>
      </c>
      <c r="M174">
        <f t="shared" si="5"/>
        <v>-1476.3752800000011</v>
      </c>
    </row>
    <row r="175" spans="2:13" x14ac:dyDescent="0.3">
      <c r="B175" t="s">
        <v>431</v>
      </c>
      <c r="C175" t="s">
        <v>29</v>
      </c>
      <c r="D175" t="s">
        <v>30</v>
      </c>
      <c r="E175" t="s">
        <v>45</v>
      </c>
      <c r="F175">
        <v>11851.806399999999</v>
      </c>
      <c r="G175">
        <v>7347.36</v>
      </c>
      <c r="H175">
        <v>4504.4463999999998</v>
      </c>
      <c r="I175">
        <f>Staging!Q166*(Staging!T166*(1+QtyUplift))*(1-MIN(Staging!R166,DiscountCap))</f>
        <v>13036.98704</v>
      </c>
      <c r="J175">
        <f>Staging!P166*(1+CostInflation)*Staging!T166*(1+QtyUplift)</f>
        <v>10466.314319999999</v>
      </c>
      <c r="K175">
        <f t="shared" si="4"/>
        <v>2570.6727200000005</v>
      </c>
      <c r="L175">
        <v>1185.1806400000005</v>
      </c>
      <c r="M175">
        <f t="shared" si="5"/>
        <v>-1933.7736799999993</v>
      </c>
    </row>
    <row r="176" spans="2:13" x14ac:dyDescent="0.3">
      <c r="B176" t="s">
        <v>433</v>
      </c>
      <c r="C176" t="s">
        <v>49</v>
      </c>
      <c r="D176" t="s">
        <v>64</v>
      </c>
      <c r="E176" t="s">
        <v>78</v>
      </c>
      <c r="F176">
        <v>85637.740319999997</v>
      </c>
      <c r="G176">
        <v>54331.64</v>
      </c>
      <c r="H176">
        <v>31306.100319999998</v>
      </c>
      <c r="I176">
        <f>Staging!Q167*(Staging!T167*(1+QtyUplift))*(1-MIN(Staging!R167,DiscountCap))</f>
        <v>94201.514351999984</v>
      </c>
      <c r="J176">
        <f>Staging!P167*(1+CostInflation)*Staging!T167*(1+QtyUplift)</f>
        <v>77395.421180000005</v>
      </c>
      <c r="K176">
        <f t="shared" si="4"/>
        <v>16806.093171999979</v>
      </c>
      <c r="L176">
        <v>8563.7740319999866</v>
      </c>
      <c r="M176">
        <f t="shared" si="5"/>
        <v>-14500.007148000019</v>
      </c>
    </row>
    <row r="177" spans="2:13" x14ac:dyDescent="0.3">
      <c r="B177" t="s">
        <v>435</v>
      </c>
      <c r="C177" t="s">
        <v>92</v>
      </c>
      <c r="D177" t="s">
        <v>57</v>
      </c>
      <c r="E177" t="s">
        <v>45</v>
      </c>
      <c r="F177">
        <v>14448.298699999998</v>
      </c>
      <c r="G177">
        <v>15135.38</v>
      </c>
      <c r="H177">
        <v>-687.08130000000165</v>
      </c>
      <c r="I177">
        <f>Staging!Q168*(Staging!T168*(1+QtyUplift))*(1-MIN(Staging!R168,DiscountCap))</f>
        <v>15893.128569999997</v>
      </c>
      <c r="J177">
        <f>Staging!P168*(1+CostInflation)*Staging!T168*(1+QtyUplift)</f>
        <v>21560.34881</v>
      </c>
      <c r="K177">
        <f t="shared" si="4"/>
        <v>-5667.2202400000024</v>
      </c>
      <c r="L177">
        <v>3364.6723000000002</v>
      </c>
      <c r="M177">
        <f t="shared" si="5"/>
        <v>-4980.1389400000007</v>
      </c>
    </row>
    <row r="178" spans="2:13" x14ac:dyDescent="0.3">
      <c r="B178" t="s">
        <v>437</v>
      </c>
      <c r="C178" t="s">
        <v>126</v>
      </c>
      <c r="D178" t="s">
        <v>64</v>
      </c>
      <c r="E178" t="s">
        <v>78</v>
      </c>
      <c r="F178">
        <v>12413.98458</v>
      </c>
      <c r="G178">
        <v>13335.66</v>
      </c>
      <c r="H178">
        <v>-921.67541999999958</v>
      </c>
      <c r="I178">
        <f>Staging!Q169*(Staging!T169*(1+QtyUplift))*(1-MIN(Staging!R169,DiscountCap))</f>
        <v>13728.60225</v>
      </c>
      <c r="J178">
        <f>Staging!P169*(1+CostInflation)*Staging!T169*(1+QtyUplift)</f>
        <v>18996.647670000002</v>
      </c>
      <c r="K178">
        <f t="shared" si="4"/>
        <v>-5268.0454200000022</v>
      </c>
      <c r="L178">
        <v>4060.3381200000003</v>
      </c>
      <c r="M178">
        <f t="shared" si="5"/>
        <v>-4346.3700000000026</v>
      </c>
    </row>
    <row r="179" spans="2:13" x14ac:dyDescent="0.3">
      <c r="B179" t="s">
        <v>439</v>
      </c>
      <c r="C179" t="s">
        <v>41</v>
      </c>
      <c r="D179" t="s">
        <v>64</v>
      </c>
      <c r="E179" t="s">
        <v>45</v>
      </c>
      <c r="F179">
        <v>6824.2884000000004</v>
      </c>
      <c r="G179">
        <v>5440.86</v>
      </c>
      <c r="H179">
        <v>1383.4284000000007</v>
      </c>
      <c r="I179">
        <f>Staging!Q170*(Staging!T170*(1+QtyUplift))*(1-MIN(Staging!R170,DiscountCap))</f>
        <v>7506.717239999999</v>
      </c>
      <c r="J179">
        <f>Staging!P170*(1+CostInflation)*Staging!T170*(1+QtyUplift)</f>
        <v>7750.5050699999993</v>
      </c>
      <c r="K179">
        <f t="shared" si="4"/>
        <v>-243.78783000000021</v>
      </c>
      <c r="L179">
        <v>1465.3380000000006</v>
      </c>
      <c r="M179">
        <f t="shared" si="5"/>
        <v>-1627.2162300000009</v>
      </c>
    </row>
    <row r="180" spans="2:13" x14ac:dyDescent="0.3">
      <c r="B180" t="s">
        <v>441</v>
      </c>
      <c r="C180" t="s">
        <v>29</v>
      </c>
      <c r="D180" t="s">
        <v>22</v>
      </c>
      <c r="E180" t="s">
        <v>78</v>
      </c>
      <c r="F180">
        <v>2316.2621999999997</v>
      </c>
      <c r="G180">
        <v>1719.25</v>
      </c>
      <c r="H180">
        <v>597.01219999999967</v>
      </c>
      <c r="I180">
        <f>Staging!Q171*(Staging!T171*(1+QtyUplift))*(1-MIN(Staging!R171,DiscountCap))</f>
        <v>2547.8884199999998</v>
      </c>
      <c r="J180">
        <f>Staging!P171*(1+CostInflation)*Staging!T171*(1+QtyUplift)</f>
        <v>2449.071625</v>
      </c>
      <c r="K180">
        <f t="shared" si="4"/>
        <v>98.816794999999729</v>
      </c>
      <c r="L180">
        <v>347.03580000000011</v>
      </c>
      <c r="M180">
        <f t="shared" si="5"/>
        <v>-498.19540499999994</v>
      </c>
    </row>
    <row r="181" spans="2:13" x14ac:dyDescent="0.3">
      <c r="B181" t="s">
        <v>443</v>
      </c>
      <c r="C181" t="s">
        <v>41</v>
      </c>
      <c r="D181" t="s">
        <v>81</v>
      </c>
      <c r="E181" t="s">
        <v>45</v>
      </c>
      <c r="F181">
        <v>14549.029120000001</v>
      </c>
      <c r="G181">
        <v>12828.32</v>
      </c>
      <c r="H181">
        <v>1720.7091200000013</v>
      </c>
      <c r="I181">
        <f>Staging!Q172*(Staging!T172*(1+QtyUplift))*(1-MIN(Staging!R172,DiscountCap))</f>
        <v>16089.744000000002</v>
      </c>
      <c r="J181">
        <f>Staging!P172*(1+CostInflation)*Staging!T172*(1+QtyUplift)</f>
        <v>18273.941840000003</v>
      </c>
      <c r="K181">
        <f t="shared" si="4"/>
        <v>-2184.1978400000007</v>
      </c>
      <c r="L181">
        <v>4758.6636799999997</v>
      </c>
      <c r="M181">
        <f t="shared" si="5"/>
        <v>-3904.9069600000021</v>
      </c>
    </row>
    <row r="182" spans="2:13" x14ac:dyDescent="0.3">
      <c r="B182" t="s">
        <v>445</v>
      </c>
      <c r="C182" t="s">
        <v>145</v>
      </c>
      <c r="D182" t="s">
        <v>22</v>
      </c>
      <c r="E182" t="s">
        <v>45</v>
      </c>
      <c r="F182">
        <v>8928.9795999999988</v>
      </c>
      <c r="G182">
        <v>4228.1499999999996</v>
      </c>
      <c r="H182">
        <v>4700.8295999999991</v>
      </c>
      <c r="I182">
        <f>Staging!Q173*(Staging!T173*(1+QtyUplift))*(1-MIN(Staging!R173,DiscountCap))</f>
        <v>9821.877559999999</v>
      </c>
      <c r="J182">
        <f>Staging!P173*(1+CostInflation)*Staging!T173*(1+QtyUplift)</f>
        <v>6022.9996750000009</v>
      </c>
      <c r="K182">
        <f t="shared" si="4"/>
        <v>3798.8778849999981</v>
      </c>
      <c r="L182">
        <v>1278.5144000000018</v>
      </c>
      <c r="M182">
        <f t="shared" si="5"/>
        <v>-901.95171500000106</v>
      </c>
    </row>
    <row r="183" spans="2:13" x14ac:dyDescent="0.3">
      <c r="B183" t="s">
        <v>447</v>
      </c>
      <c r="C183" t="s">
        <v>110</v>
      </c>
      <c r="D183" t="s">
        <v>22</v>
      </c>
      <c r="E183" t="s">
        <v>52</v>
      </c>
      <c r="F183">
        <v>97.0154</v>
      </c>
      <c r="G183">
        <v>68.5</v>
      </c>
      <c r="H183">
        <v>28.5154</v>
      </c>
      <c r="I183">
        <f>Staging!Q174*(Staging!T174*(1+QtyUplift))*(1-MIN(Staging!R174,DiscountCap))</f>
        <v>106.71693999999998</v>
      </c>
      <c r="J183">
        <f>Staging!P174*(1+CostInflation)*Staging!T174*(1+QtyUplift)</f>
        <v>97.578249999999997</v>
      </c>
      <c r="K183">
        <f t="shared" si="4"/>
        <v>9.1386899999999827</v>
      </c>
      <c r="L183">
        <v>9.7015399999999801</v>
      </c>
      <c r="M183">
        <f t="shared" si="5"/>
        <v>-19.376710000000017</v>
      </c>
    </row>
    <row r="184" spans="2:13" x14ac:dyDescent="0.3">
      <c r="B184" t="s">
        <v>449</v>
      </c>
      <c r="C184" t="s">
        <v>68</v>
      </c>
      <c r="D184" t="s">
        <v>57</v>
      </c>
      <c r="E184" t="s">
        <v>16</v>
      </c>
      <c r="F184">
        <v>31556.187599999997</v>
      </c>
      <c r="G184">
        <v>18957.599999999999</v>
      </c>
      <c r="H184">
        <v>12598.587599999999</v>
      </c>
      <c r="I184">
        <f>Staging!Q175*(Staging!T175*(1+QtyUplift))*(1-MIN(Staging!R175,DiscountCap))</f>
        <v>34711.806360000002</v>
      </c>
      <c r="J184">
        <f>Staging!P175*(1+CostInflation)*Staging!T175*(1+QtyUplift)</f>
        <v>27005.101199999997</v>
      </c>
      <c r="K184">
        <f t="shared" si="4"/>
        <v>7706.705160000005</v>
      </c>
      <c r="L184">
        <v>3155.6187600000048</v>
      </c>
      <c r="M184">
        <f t="shared" si="5"/>
        <v>-4891.8824399999939</v>
      </c>
    </row>
    <row r="185" spans="2:13" x14ac:dyDescent="0.3">
      <c r="B185" t="s">
        <v>451</v>
      </c>
      <c r="C185" t="s">
        <v>84</v>
      </c>
      <c r="D185" t="s">
        <v>30</v>
      </c>
      <c r="E185" t="s">
        <v>16</v>
      </c>
      <c r="F185">
        <v>1952.6356799999999</v>
      </c>
      <c r="G185">
        <v>1447.12</v>
      </c>
      <c r="H185">
        <v>505.51567999999997</v>
      </c>
      <c r="I185">
        <f>Staging!Q176*(Staging!T176*(1+QtyUplift))*(1-MIN(Staging!R176,DiscountCap))</f>
        <v>2147.8992479999997</v>
      </c>
      <c r="J185">
        <f>Staging!P176*(1+CostInflation)*Staging!T176*(1+QtyUplift)</f>
        <v>2061.4224399999998</v>
      </c>
      <c r="K185">
        <f t="shared" si="4"/>
        <v>86.476807999999892</v>
      </c>
      <c r="L185">
        <v>195.26356799999985</v>
      </c>
      <c r="M185">
        <f t="shared" si="5"/>
        <v>-419.03887200000008</v>
      </c>
    </row>
    <row r="186" spans="2:13" x14ac:dyDescent="0.3">
      <c r="B186" t="s">
        <v>453</v>
      </c>
      <c r="C186" t="s">
        <v>95</v>
      </c>
      <c r="D186" t="s">
        <v>64</v>
      </c>
      <c r="E186" t="s">
        <v>78</v>
      </c>
      <c r="F186">
        <v>92715.25</v>
      </c>
      <c r="G186">
        <v>53727.06</v>
      </c>
      <c r="H186">
        <v>38988.19</v>
      </c>
      <c r="I186">
        <f>Staging!Q177*(Staging!T177*(1+QtyUplift))*(1-MIN(Staging!R177,DiscountCap))</f>
        <v>102671.25</v>
      </c>
      <c r="J186">
        <f>Staging!P177*(1+CostInflation)*Staging!T177*(1+QtyUplift)</f>
        <v>76534.19696999999</v>
      </c>
      <c r="K186">
        <f t="shared" si="4"/>
        <v>26137.05303000001</v>
      </c>
      <c r="L186">
        <v>30490.25</v>
      </c>
      <c r="M186">
        <f t="shared" si="5"/>
        <v>-12851.136969999992</v>
      </c>
    </row>
    <row r="187" spans="2:13" x14ac:dyDescent="0.3">
      <c r="B187" t="s">
        <v>455</v>
      </c>
      <c r="C187" t="s">
        <v>126</v>
      </c>
      <c r="D187" t="s">
        <v>30</v>
      </c>
      <c r="E187" t="s">
        <v>78</v>
      </c>
      <c r="F187">
        <v>15656.47056</v>
      </c>
      <c r="G187">
        <v>8494.11</v>
      </c>
      <c r="H187">
        <v>7162.3605599999992</v>
      </c>
      <c r="I187">
        <f>Staging!Q178*(Staging!T178*(1+QtyUplift))*(1-MIN(Staging!R178,DiscountCap))</f>
        <v>17222.117616000003</v>
      </c>
      <c r="J187">
        <f>Staging!P178*(1+CostInflation)*Staging!T178*(1+QtyUplift)</f>
        <v>12099.859694999999</v>
      </c>
      <c r="K187">
        <f t="shared" si="4"/>
        <v>5122.257921000004</v>
      </c>
      <c r="L187">
        <v>1565.6470560000034</v>
      </c>
      <c r="M187">
        <f t="shared" si="5"/>
        <v>-2040.1026389999952</v>
      </c>
    </row>
    <row r="188" spans="2:13" x14ac:dyDescent="0.3">
      <c r="B188" t="s">
        <v>457</v>
      </c>
      <c r="C188" t="s">
        <v>92</v>
      </c>
      <c r="D188" t="s">
        <v>22</v>
      </c>
      <c r="E188" t="s">
        <v>78</v>
      </c>
      <c r="F188">
        <v>321.93290999999999</v>
      </c>
      <c r="G188">
        <v>509.98999999999995</v>
      </c>
      <c r="H188">
        <v>-188.05708999999996</v>
      </c>
      <c r="I188">
        <f>Staging!Q179*(Staging!T179*(1+QtyUplift))*(1-MIN(Staging!R179,DiscountCap))</f>
        <v>354.12620099999998</v>
      </c>
      <c r="J188">
        <f>Staging!P179*(1+CostInflation)*Staging!T179*(1+QtyUplift)</f>
        <v>726.48075499999993</v>
      </c>
      <c r="K188">
        <f t="shared" si="4"/>
        <v>-372.35455399999995</v>
      </c>
      <c r="L188">
        <v>65.325390000000027</v>
      </c>
      <c r="M188">
        <f t="shared" si="5"/>
        <v>-184.29746399999999</v>
      </c>
    </row>
    <row r="189" spans="2:13" x14ac:dyDescent="0.3">
      <c r="B189" t="s">
        <v>459</v>
      </c>
      <c r="C189" t="s">
        <v>68</v>
      </c>
      <c r="D189" t="s">
        <v>64</v>
      </c>
      <c r="E189" t="s">
        <v>52</v>
      </c>
      <c r="F189">
        <v>7098.5495999999994</v>
      </c>
      <c r="G189">
        <v>3196.5</v>
      </c>
      <c r="H189">
        <v>3902.0495999999994</v>
      </c>
      <c r="I189">
        <f>Staging!Q180*(Staging!T180*(1+QtyUplift))*(1-MIN(Staging!R180,DiscountCap))</f>
        <v>7808.404559999999</v>
      </c>
      <c r="J189">
        <f>Staging!P180*(1+CostInflation)*Staging!T180*(1+QtyUplift)</f>
        <v>4553.4142499999998</v>
      </c>
      <c r="K189">
        <f t="shared" si="4"/>
        <v>3254.9903099999992</v>
      </c>
      <c r="L189">
        <v>709.85495999999966</v>
      </c>
      <c r="M189">
        <f t="shared" si="5"/>
        <v>-647.05929000000015</v>
      </c>
    </row>
    <row r="190" spans="2:13" x14ac:dyDescent="0.3">
      <c r="B190" t="s">
        <v>461</v>
      </c>
      <c r="C190" t="s">
        <v>56</v>
      </c>
      <c r="D190" t="s">
        <v>30</v>
      </c>
      <c r="E190" t="s">
        <v>45</v>
      </c>
      <c r="F190">
        <v>4420.5961799999995</v>
      </c>
      <c r="G190">
        <v>4584.58</v>
      </c>
      <c r="H190">
        <v>-163.98382000000038</v>
      </c>
      <c r="I190">
        <f>Staging!Q181*(Staging!T181*(1+QtyUplift))*(1-MIN(Staging!R181,DiscountCap))</f>
        <v>4862.6557980000007</v>
      </c>
      <c r="J190">
        <f>Staging!P181*(1+CostInflation)*Staging!T181*(1+QtyUplift)</f>
        <v>6530.7342100000005</v>
      </c>
      <c r="K190">
        <f t="shared" si="4"/>
        <v>-1668.0784119999998</v>
      </c>
      <c r="L190">
        <v>871.29042000000118</v>
      </c>
      <c r="M190">
        <f t="shared" si="5"/>
        <v>-1504.0945919999995</v>
      </c>
    </row>
    <row r="191" spans="2:13" x14ac:dyDescent="0.3">
      <c r="B191" t="s">
        <v>463</v>
      </c>
      <c r="C191" t="s">
        <v>49</v>
      </c>
      <c r="D191" t="s">
        <v>81</v>
      </c>
      <c r="E191" t="s">
        <v>52</v>
      </c>
      <c r="F191">
        <v>18.659839999999999</v>
      </c>
      <c r="G191">
        <v>22</v>
      </c>
      <c r="H191">
        <v>-3.3401600000000009</v>
      </c>
      <c r="I191">
        <f>Staging!Q182*(Staging!T182*(1+QtyUplift))*(1-MIN(Staging!R182,DiscountCap))</f>
        <v>20.525824000000004</v>
      </c>
      <c r="J191">
        <f>Staging!P182*(1+CostInflation)*Staging!T182*(1+QtyUplift)</f>
        <v>31.339000000000002</v>
      </c>
      <c r="K191">
        <f t="shared" si="4"/>
        <v>-10.813175999999999</v>
      </c>
      <c r="L191">
        <v>4.7833600000000018</v>
      </c>
      <c r="M191">
        <f t="shared" si="5"/>
        <v>-7.4730159999999977</v>
      </c>
    </row>
    <row r="192" spans="2:13" x14ac:dyDescent="0.3">
      <c r="B192" t="s">
        <v>465</v>
      </c>
      <c r="C192" t="s">
        <v>56</v>
      </c>
      <c r="D192" t="s">
        <v>42</v>
      </c>
      <c r="E192" t="s">
        <v>45</v>
      </c>
      <c r="F192">
        <v>41352.246200000009</v>
      </c>
      <c r="G192">
        <v>22652.199999999997</v>
      </c>
      <c r="H192">
        <v>18700.046200000012</v>
      </c>
      <c r="I192">
        <f>Staging!Q183*(Staging!T183*(1+QtyUplift))*(1-MIN(Staging!R183,DiscountCap))</f>
        <v>45487.470820000002</v>
      </c>
      <c r="J192">
        <f>Staging!P183*(1+CostInflation)*Staging!T183*(1+QtyUplift)</f>
        <v>32268.058899999996</v>
      </c>
      <c r="K192">
        <f t="shared" si="4"/>
        <v>13219.411920000006</v>
      </c>
      <c r="L192">
        <v>4135.2246199999936</v>
      </c>
      <c r="M192">
        <f t="shared" si="5"/>
        <v>-5480.6342800000057</v>
      </c>
    </row>
    <row r="193" spans="2:13" x14ac:dyDescent="0.3">
      <c r="B193" t="s">
        <v>467</v>
      </c>
      <c r="C193" t="s">
        <v>49</v>
      </c>
      <c r="D193" t="s">
        <v>81</v>
      </c>
      <c r="E193" t="s">
        <v>45</v>
      </c>
      <c r="F193">
        <v>7689.4560000000001</v>
      </c>
      <c r="G193">
        <v>3832.9500000000003</v>
      </c>
      <c r="H193">
        <v>3856.5059999999999</v>
      </c>
      <c r="I193">
        <f>Staging!Q184*(Staging!T184*(1+QtyUplift))*(1-MIN(Staging!R184,DiscountCap))</f>
        <v>8458.4016000000011</v>
      </c>
      <c r="J193">
        <f>Staging!P184*(1+CostInflation)*Staging!T184*(1+QtyUplift)</f>
        <v>5460.0372750000006</v>
      </c>
      <c r="K193">
        <f t="shared" si="4"/>
        <v>2998.3643250000005</v>
      </c>
      <c r="L193">
        <v>1778.9040000000005</v>
      </c>
      <c r="M193">
        <f t="shared" si="5"/>
        <v>-858.1416749999994</v>
      </c>
    </row>
    <row r="194" spans="2:13" x14ac:dyDescent="0.3">
      <c r="B194" t="s">
        <v>469</v>
      </c>
      <c r="C194" t="s">
        <v>29</v>
      </c>
      <c r="D194" t="s">
        <v>64</v>
      </c>
      <c r="E194" t="s">
        <v>16</v>
      </c>
      <c r="F194">
        <v>8698.8768300000011</v>
      </c>
      <c r="G194">
        <v>5534.41</v>
      </c>
      <c r="H194">
        <v>3164.4668300000012</v>
      </c>
      <c r="I194">
        <f>Staging!Q185*(Staging!T185*(1+QtyUplift))*(1-MIN(Staging!R185,DiscountCap))</f>
        <v>9568.7645130000001</v>
      </c>
      <c r="J194">
        <f>Staging!P185*(1+CostInflation)*Staging!T185*(1+QtyUplift)</f>
        <v>7883.7670449999996</v>
      </c>
      <c r="K194">
        <f t="shared" si="4"/>
        <v>1684.9974680000005</v>
      </c>
      <c r="L194">
        <v>880.5314699999999</v>
      </c>
      <c r="M194">
        <f t="shared" si="5"/>
        <v>-1479.4693620000007</v>
      </c>
    </row>
    <row r="195" spans="2:13" x14ac:dyDescent="0.3">
      <c r="B195" t="s">
        <v>471</v>
      </c>
      <c r="C195" t="s">
        <v>110</v>
      </c>
      <c r="D195" t="s">
        <v>64</v>
      </c>
      <c r="E195" t="s">
        <v>16</v>
      </c>
      <c r="F195">
        <v>26408.63841</v>
      </c>
      <c r="G195">
        <v>23530.379999999997</v>
      </c>
      <c r="H195">
        <v>2878.2584100000022</v>
      </c>
      <c r="I195">
        <f>Staging!Q186*(Staging!T186*(1+QtyUplift))*(1-MIN(Staging!R186,DiscountCap))</f>
        <v>29049.502250999998</v>
      </c>
      <c r="J195">
        <f>Staging!P186*(1+CostInflation)*Staging!T186*(1+QtyUplift)</f>
        <v>33519.026310000001</v>
      </c>
      <c r="K195">
        <f t="shared" si="4"/>
        <v>-4469.524059000003</v>
      </c>
      <c r="L195">
        <v>4458.6012899999987</v>
      </c>
      <c r="M195">
        <f t="shared" si="5"/>
        <v>-7347.7824690000052</v>
      </c>
    </row>
    <row r="196" spans="2:13" x14ac:dyDescent="0.3">
      <c r="B196" t="s">
        <v>473</v>
      </c>
      <c r="C196" t="s">
        <v>29</v>
      </c>
      <c r="D196" t="s">
        <v>81</v>
      </c>
      <c r="E196" t="s">
        <v>78</v>
      </c>
      <c r="F196">
        <v>10388.429999999998</v>
      </c>
      <c r="G196">
        <v>8812.08</v>
      </c>
      <c r="H196">
        <v>1576.3499999999985</v>
      </c>
      <c r="I196">
        <f>Staging!Q187*(Staging!T187*(1+QtyUplift))*(1-MIN(Staging!R187,DiscountCap))</f>
        <v>11427.273000000001</v>
      </c>
      <c r="J196">
        <f>Staging!P187*(1+CostInflation)*Staging!T187*(1+QtyUplift)</f>
        <v>12552.80796</v>
      </c>
      <c r="K196">
        <f t="shared" si="4"/>
        <v>-1125.534959999999</v>
      </c>
      <c r="L196">
        <v>1038.8430000000026</v>
      </c>
      <c r="M196">
        <f t="shared" si="5"/>
        <v>-2701.8849599999976</v>
      </c>
    </row>
    <row r="197" spans="2:13" x14ac:dyDescent="0.3">
      <c r="B197" t="s">
        <v>475</v>
      </c>
      <c r="C197" t="s">
        <v>63</v>
      </c>
      <c r="D197" t="s">
        <v>64</v>
      </c>
      <c r="E197" t="s">
        <v>78</v>
      </c>
      <c r="F197">
        <v>4831.9464600000001</v>
      </c>
      <c r="G197">
        <v>3568.44</v>
      </c>
      <c r="H197">
        <v>1263.5064600000001</v>
      </c>
      <c r="I197">
        <f>Staging!Q188*(Staging!T188*(1+QtyUplift))*(1-MIN(Staging!R188,DiscountCap))</f>
        <v>5315.1411060000009</v>
      </c>
      <c r="J197">
        <f>Staging!P188*(1+CostInflation)*Staging!T188*(1+QtyUplift)</f>
        <v>5083.2427800000005</v>
      </c>
      <c r="K197">
        <f t="shared" si="4"/>
        <v>231.89832600000045</v>
      </c>
      <c r="L197">
        <v>1230.9521400000012</v>
      </c>
      <c r="M197">
        <f t="shared" si="5"/>
        <v>-1031.6081339999996</v>
      </c>
    </row>
    <row r="198" spans="2:13" x14ac:dyDescent="0.3">
      <c r="B198" t="s">
        <v>360</v>
      </c>
      <c r="C198" t="s">
        <v>56</v>
      </c>
      <c r="D198" t="s">
        <v>81</v>
      </c>
      <c r="E198" t="s">
        <v>45</v>
      </c>
      <c r="F198">
        <v>26759.28775</v>
      </c>
      <c r="G198">
        <v>31552.499999999996</v>
      </c>
      <c r="H198">
        <v>-4793.2122499999969</v>
      </c>
      <c r="I198">
        <f>Staging!Q189*(Staging!T189*(1+QtyUplift))*(1-MIN(Staging!R189,DiscountCap))</f>
        <v>29435.216525000003</v>
      </c>
      <c r="J198">
        <f>Staging!P189*(1+CostInflation)*Staging!T189*(1+QtyUplift)</f>
        <v>44946.536249999997</v>
      </c>
      <c r="K198">
        <f t="shared" si="4"/>
        <v>-15511.319724999994</v>
      </c>
      <c r="L198">
        <v>7780.0797500000081</v>
      </c>
      <c r="M198">
        <f t="shared" si="5"/>
        <v>-10718.107474999997</v>
      </c>
    </row>
    <row r="199" spans="2:13" x14ac:dyDescent="0.3">
      <c r="B199" t="s">
        <v>478</v>
      </c>
      <c r="C199" t="s">
        <v>21</v>
      </c>
      <c r="D199" t="s">
        <v>64</v>
      </c>
      <c r="E199" t="s">
        <v>52</v>
      </c>
      <c r="F199">
        <v>28072.190160000002</v>
      </c>
      <c r="G199">
        <v>18684.960000000003</v>
      </c>
      <c r="H199">
        <v>9387.2301599999992</v>
      </c>
      <c r="I199">
        <f>Staging!Q190*(Staging!T190*(1+QtyUplift))*(1-MIN(Staging!R190,DiscountCap))</f>
        <v>30879.409176000005</v>
      </c>
      <c r="J199">
        <f>Staging!P190*(1+CostInflation)*Staging!T190*(1+QtyUplift)</f>
        <v>26616.72552</v>
      </c>
      <c r="K199">
        <f t="shared" si="4"/>
        <v>4262.6836560000047</v>
      </c>
      <c r="L199">
        <v>3437.4110400000027</v>
      </c>
      <c r="M199">
        <f t="shared" si="5"/>
        <v>-5124.5465039999945</v>
      </c>
    </row>
    <row r="200" spans="2:13" x14ac:dyDescent="0.3">
      <c r="B200" t="s">
        <v>480</v>
      </c>
      <c r="C200" t="s">
        <v>63</v>
      </c>
      <c r="D200" t="s">
        <v>64</v>
      </c>
      <c r="E200" t="s">
        <v>52</v>
      </c>
      <c r="F200">
        <v>8590.7094000000016</v>
      </c>
      <c r="G200">
        <v>7531.3000000000011</v>
      </c>
      <c r="H200">
        <v>1059.4094000000005</v>
      </c>
      <c r="I200">
        <f>Staging!Q191*(Staging!T191*(1+QtyUplift))*(1-MIN(Staging!R191,DiscountCap))</f>
        <v>9449.7803400000012</v>
      </c>
      <c r="J200">
        <f>Staging!P191*(1+CostInflation)*Staging!T191*(1+QtyUplift)</f>
        <v>10728.336850000002</v>
      </c>
      <c r="K200">
        <f t="shared" si="4"/>
        <v>-1278.5565100000003</v>
      </c>
      <c r="L200">
        <v>859.07093999999961</v>
      </c>
      <c r="M200">
        <f t="shared" si="5"/>
        <v>-2337.9659100000008</v>
      </c>
    </row>
    <row r="201" spans="2:13" x14ac:dyDescent="0.3">
      <c r="B201" t="s">
        <v>482</v>
      </c>
      <c r="C201" t="s">
        <v>92</v>
      </c>
      <c r="D201" t="s">
        <v>57</v>
      </c>
      <c r="E201" t="s">
        <v>45</v>
      </c>
      <c r="F201">
        <v>19542.975350000001</v>
      </c>
      <c r="G201">
        <v>18881.25</v>
      </c>
      <c r="H201">
        <v>661.72535000000062</v>
      </c>
      <c r="I201">
        <f>Staging!Q192*(Staging!T192*(1+QtyUplift))*(1-MIN(Staging!R192,DiscountCap))</f>
        <v>21497.272885000002</v>
      </c>
      <c r="J201">
        <f>Staging!P192*(1+CostInflation)*Staging!T192*(1+QtyUplift)</f>
        <v>26896.340625000001</v>
      </c>
      <c r="K201">
        <f t="shared" si="4"/>
        <v>-5399.0677399999986</v>
      </c>
      <c r="L201">
        <v>5103.5795500000022</v>
      </c>
      <c r="M201">
        <f t="shared" si="5"/>
        <v>-6060.7930899999992</v>
      </c>
    </row>
    <row r="202" spans="2:13" x14ac:dyDescent="0.3">
      <c r="B202" t="s">
        <v>484</v>
      </c>
      <c r="C202" t="s">
        <v>126</v>
      </c>
      <c r="D202" t="s">
        <v>64</v>
      </c>
      <c r="E202" t="s">
        <v>78</v>
      </c>
      <c r="F202">
        <v>8763.2849999999999</v>
      </c>
      <c r="G202">
        <v>4466.8999999999996</v>
      </c>
      <c r="H202">
        <v>4296.3850000000002</v>
      </c>
      <c r="I202">
        <f>Staging!Q193*(Staging!T193*(1+QtyUplift))*(1-MIN(Staging!R193,DiscountCap))</f>
        <v>9639.6134999999995</v>
      </c>
      <c r="J202">
        <f>Staging!P193*(1+CostInflation)*Staging!T193*(1+QtyUplift)</f>
        <v>6363.0990499999998</v>
      </c>
      <c r="K202">
        <f t="shared" si="4"/>
        <v>3276.5144499999997</v>
      </c>
      <c r="L202">
        <v>876.32849999999962</v>
      </c>
      <c r="M202">
        <f t="shared" si="5"/>
        <v>-1019.8705500000005</v>
      </c>
    </row>
    <row r="203" spans="2:13" x14ac:dyDescent="0.3">
      <c r="B203" t="s">
        <v>486</v>
      </c>
      <c r="C203" t="s">
        <v>34</v>
      </c>
      <c r="D203" t="s">
        <v>57</v>
      </c>
      <c r="E203" t="s">
        <v>52</v>
      </c>
      <c r="F203">
        <v>24374.594880000001</v>
      </c>
      <c r="G203">
        <v>28720.799999999999</v>
      </c>
      <c r="H203">
        <v>-4346.2051199999987</v>
      </c>
      <c r="I203">
        <f>Staging!Q194*(Staging!T194*(1+QtyUplift))*(1-MIN(Staging!R194,DiscountCap))</f>
        <v>26812.054368000005</v>
      </c>
      <c r="J203">
        <f>Staging!P194*(1+CostInflation)*Staging!T194*(1+QtyUplift)</f>
        <v>40912.779599999994</v>
      </c>
      <c r="K203">
        <f t="shared" si="4"/>
        <v>-14100.72523199999</v>
      </c>
      <c r="L203">
        <v>7210.2859200000057</v>
      </c>
      <c r="M203">
        <f t="shared" si="5"/>
        <v>-9754.5201119999911</v>
      </c>
    </row>
    <row r="204" spans="2:13" x14ac:dyDescent="0.3">
      <c r="B204" t="s">
        <v>488</v>
      </c>
      <c r="C204" t="s">
        <v>29</v>
      </c>
      <c r="D204" t="s">
        <v>30</v>
      </c>
      <c r="E204" t="s">
        <v>45</v>
      </c>
      <c r="F204">
        <v>4402.1164799999997</v>
      </c>
      <c r="G204">
        <v>5918.64</v>
      </c>
      <c r="H204">
        <v>-1516.5235200000006</v>
      </c>
      <c r="I204">
        <f>Staging!Q195*(Staging!T195*(1+QtyUplift))*(1-MIN(Staging!R195,DiscountCap))</f>
        <v>4842.328128000001</v>
      </c>
      <c r="J204">
        <f>Staging!P195*(1+CostInflation)*Staging!T195*(1+QtyUplift)</f>
        <v>8431.1026800000018</v>
      </c>
      <c r="K204">
        <f t="shared" ref="K204:K267" si="6">I204-J204</f>
        <v>-3588.7745520000008</v>
      </c>
      <c r="L204">
        <v>440.21164800000133</v>
      </c>
      <c r="M204">
        <f t="shared" ref="M204:M267" si="7">K204-H204</f>
        <v>-2072.2510320000001</v>
      </c>
    </row>
    <row r="205" spans="2:13" x14ac:dyDescent="0.3">
      <c r="B205" t="s">
        <v>490</v>
      </c>
      <c r="C205" t="s">
        <v>29</v>
      </c>
      <c r="D205" t="s">
        <v>35</v>
      </c>
      <c r="E205" t="s">
        <v>52</v>
      </c>
      <c r="F205">
        <v>3928.3797600000003</v>
      </c>
      <c r="G205">
        <v>2996.52</v>
      </c>
      <c r="H205">
        <v>931.85976000000028</v>
      </c>
      <c r="I205">
        <f>Staging!Q196*(Staging!T196*(1+QtyUplift))*(1-MIN(Staging!R196,DiscountCap))</f>
        <v>4321.2177360000005</v>
      </c>
      <c r="J205">
        <f>Staging!P196*(1+CostInflation)*Staging!T196*(1+QtyUplift)</f>
        <v>4268.5427399999999</v>
      </c>
      <c r="K205">
        <f t="shared" si="6"/>
        <v>52.674996000000647</v>
      </c>
      <c r="L205">
        <v>392.83797600000025</v>
      </c>
      <c r="M205">
        <f t="shared" si="7"/>
        <v>-879.18476399999963</v>
      </c>
    </row>
    <row r="206" spans="2:13" x14ac:dyDescent="0.3">
      <c r="B206" t="s">
        <v>492</v>
      </c>
      <c r="C206" t="s">
        <v>95</v>
      </c>
      <c r="D206" t="s">
        <v>64</v>
      </c>
      <c r="E206" t="s">
        <v>52</v>
      </c>
      <c r="F206">
        <v>31191.64716</v>
      </c>
      <c r="G206">
        <v>26197.200000000001</v>
      </c>
      <c r="H206">
        <v>4994.4471599999997</v>
      </c>
      <c r="I206">
        <f>Staging!Q197*(Staging!T197*(1+QtyUplift))*(1-MIN(Staging!R197,DiscountCap))</f>
        <v>34310.811876000007</v>
      </c>
      <c r="J206">
        <f>Staging!P197*(1+CostInflation)*Staging!T197*(1+QtyUplift)</f>
        <v>37317.911399999997</v>
      </c>
      <c r="K206">
        <f t="shared" si="6"/>
        <v>-3007.0995239999902</v>
      </c>
      <c r="L206">
        <v>5526.225240000007</v>
      </c>
      <c r="M206">
        <f t="shared" si="7"/>
        <v>-8001.5466839999899</v>
      </c>
    </row>
    <row r="207" spans="2:13" x14ac:dyDescent="0.3">
      <c r="B207" t="s">
        <v>494</v>
      </c>
      <c r="C207" t="s">
        <v>56</v>
      </c>
      <c r="D207" t="s">
        <v>42</v>
      </c>
      <c r="E207" t="s">
        <v>45</v>
      </c>
      <c r="F207">
        <v>21679.749799999998</v>
      </c>
      <c r="G207">
        <v>23908.800000000003</v>
      </c>
      <c r="H207">
        <v>-2229.0502000000051</v>
      </c>
      <c r="I207">
        <f>Staging!Q198*(Staging!T198*(1+QtyUplift))*(1-MIN(Staging!R198,DiscountCap))</f>
        <v>23847.724780000004</v>
      </c>
      <c r="J207">
        <f>Staging!P198*(1+CostInflation)*Staging!T198*(1+QtyUplift)</f>
        <v>34058.085600000006</v>
      </c>
      <c r="K207">
        <f t="shared" si="6"/>
        <v>-10210.360820000002</v>
      </c>
      <c r="L207">
        <v>4655.1610000000073</v>
      </c>
      <c r="M207">
        <f t="shared" si="7"/>
        <v>-7981.3106199999966</v>
      </c>
    </row>
    <row r="208" spans="2:13" x14ac:dyDescent="0.3">
      <c r="B208" t="s">
        <v>496</v>
      </c>
      <c r="C208" t="s">
        <v>56</v>
      </c>
      <c r="D208" t="s">
        <v>42</v>
      </c>
      <c r="E208" t="s">
        <v>16</v>
      </c>
      <c r="F208">
        <v>11326.846439999999</v>
      </c>
      <c r="G208">
        <v>7236.04</v>
      </c>
      <c r="H208">
        <v>4090.8064399999994</v>
      </c>
      <c r="I208">
        <f>Staging!Q199*(Staging!T199*(1+QtyUplift))*(1-MIN(Staging!R199,DiscountCap))</f>
        <v>12459.531084000002</v>
      </c>
      <c r="J208">
        <f>Staging!P199*(1+CostInflation)*Staging!T199*(1+QtyUplift)</f>
        <v>10307.73898</v>
      </c>
      <c r="K208">
        <f t="shared" si="6"/>
        <v>2151.7921040000019</v>
      </c>
      <c r="L208">
        <v>1132.6846440000027</v>
      </c>
      <c r="M208">
        <f t="shared" si="7"/>
        <v>-1939.0143359999975</v>
      </c>
    </row>
    <row r="209" spans="2:13" x14ac:dyDescent="0.3">
      <c r="B209" t="s">
        <v>498</v>
      </c>
      <c r="C209" t="s">
        <v>41</v>
      </c>
      <c r="D209" t="s">
        <v>35</v>
      </c>
      <c r="E209" t="s">
        <v>78</v>
      </c>
      <c r="F209">
        <v>8349.2224200000001</v>
      </c>
      <c r="G209">
        <v>8000.1600000000008</v>
      </c>
      <c r="H209">
        <v>349.06241999999929</v>
      </c>
      <c r="I209">
        <f>Staging!Q200*(Staging!T200*(1+QtyUplift))*(1-MIN(Staging!R200,DiscountCap))</f>
        <v>9184.1446620000024</v>
      </c>
      <c r="J209">
        <f>Staging!P200*(1+CostInflation)*Staging!T200*(1+QtyUplift)</f>
        <v>11396.227920000001</v>
      </c>
      <c r="K209">
        <f t="shared" si="6"/>
        <v>-2212.0832579999988</v>
      </c>
      <c r="L209">
        <v>1805.2372800000012</v>
      </c>
      <c r="M209">
        <f t="shared" si="7"/>
        <v>-2561.145677999998</v>
      </c>
    </row>
    <row r="210" spans="2:13" x14ac:dyDescent="0.3">
      <c r="B210" t="s">
        <v>500</v>
      </c>
      <c r="C210" t="s">
        <v>29</v>
      </c>
      <c r="D210" t="s">
        <v>30</v>
      </c>
      <c r="E210" t="s">
        <v>78</v>
      </c>
      <c r="F210">
        <v>55880.483749999999</v>
      </c>
      <c r="G210">
        <v>33008.25</v>
      </c>
      <c r="H210">
        <v>22872.233749999999</v>
      </c>
      <c r="I210">
        <f>Staging!Q201*(Staging!T201*(1+QtyUplift))*(1-MIN(Staging!R201,DiscountCap))</f>
        <v>61468.532125000005</v>
      </c>
      <c r="J210">
        <f>Staging!P201*(1+CostInflation)*Staging!T201*(1+QtyUplift)</f>
        <v>47020.252124999999</v>
      </c>
      <c r="K210">
        <f t="shared" si="6"/>
        <v>14448.280000000006</v>
      </c>
      <c r="L210">
        <v>9588.9587500000125</v>
      </c>
      <c r="M210">
        <f t="shared" si="7"/>
        <v>-8423.9537499999933</v>
      </c>
    </row>
    <row r="211" spans="2:13" x14ac:dyDescent="0.3">
      <c r="B211" t="s">
        <v>502</v>
      </c>
      <c r="C211" t="s">
        <v>92</v>
      </c>
      <c r="D211" t="s">
        <v>42</v>
      </c>
      <c r="E211" t="s">
        <v>52</v>
      </c>
      <c r="F211">
        <v>14963.769179999999</v>
      </c>
      <c r="G211">
        <v>15004.26</v>
      </c>
      <c r="H211">
        <v>-40.490820000000895</v>
      </c>
      <c r="I211">
        <f>Staging!Q202*(Staging!T202*(1+QtyUplift))*(1-MIN(Staging!R202,DiscountCap))</f>
        <v>16460.146098000001</v>
      </c>
      <c r="J211">
        <f>Staging!P202*(1+CostInflation)*Staging!T202*(1+QtyUplift)</f>
        <v>21373.568370000001</v>
      </c>
      <c r="K211">
        <f t="shared" si="6"/>
        <v>-4913.4222719999998</v>
      </c>
      <c r="L211">
        <v>1496.3769180000018</v>
      </c>
      <c r="M211">
        <f t="shared" si="7"/>
        <v>-4872.9314519999989</v>
      </c>
    </row>
    <row r="212" spans="2:13" x14ac:dyDescent="0.3">
      <c r="B212" t="s">
        <v>504</v>
      </c>
      <c r="C212" t="s">
        <v>75</v>
      </c>
      <c r="D212" t="s">
        <v>30</v>
      </c>
      <c r="E212" t="s">
        <v>52</v>
      </c>
      <c r="F212">
        <v>4637.7968000000001</v>
      </c>
      <c r="G212">
        <v>4937.6000000000004</v>
      </c>
      <c r="H212">
        <v>-299.80320000000029</v>
      </c>
      <c r="I212">
        <f>Staging!Q203*(Staging!T203*(1+QtyUplift))*(1-MIN(Staging!R203,DiscountCap))</f>
        <v>5156.58</v>
      </c>
      <c r="J212">
        <f>Staging!P203*(1+CostInflation)*Staging!T203*(1+QtyUplift)</f>
        <v>7033.6111999999994</v>
      </c>
      <c r="K212">
        <f t="shared" si="6"/>
        <v>-1877.0311999999994</v>
      </c>
      <c r="L212">
        <v>1550.0991999999997</v>
      </c>
      <c r="M212">
        <f t="shared" si="7"/>
        <v>-1577.2279999999992</v>
      </c>
    </row>
    <row r="213" spans="2:13" x14ac:dyDescent="0.3">
      <c r="B213" t="s">
        <v>506</v>
      </c>
      <c r="C213" t="s">
        <v>95</v>
      </c>
      <c r="D213" t="s">
        <v>42</v>
      </c>
      <c r="E213" t="s">
        <v>52</v>
      </c>
      <c r="F213">
        <v>25299.040000000001</v>
      </c>
      <c r="G213">
        <v>15348.580000000002</v>
      </c>
      <c r="H213">
        <v>9950.4599999999991</v>
      </c>
      <c r="I213">
        <f>Staging!Q204*(Staging!T204*(1+QtyUplift))*(1-MIN(Staging!R204,DiscountCap))</f>
        <v>27828.944</v>
      </c>
      <c r="J213">
        <f>Staging!P204*(1+CostInflation)*Staging!T204*(1+QtyUplift)</f>
        <v>21864.052210000002</v>
      </c>
      <c r="K213">
        <f t="shared" si="6"/>
        <v>5964.8917899999979</v>
      </c>
      <c r="L213">
        <v>2529.9039999999986</v>
      </c>
      <c r="M213">
        <f t="shared" si="7"/>
        <v>-3985.5682100000013</v>
      </c>
    </row>
    <row r="214" spans="2:13" x14ac:dyDescent="0.3">
      <c r="B214" t="s">
        <v>508</v>
      </c>
      <c r="C214" t="s">
        <v>110</v>
      </c>
      <c r="D214" t="s">
        <v>35</v>
      </c>
      <c r="E214" t="s">
        <v>16</v>
      </c>
      <c r="F214">
        <v>47962.717579999997</v>
      </c>
      <c r="G214">
        <v>36258.76</v>
      </c>
      <c r="H214">
        <v>11703.957579999995</v>
      </c>
      <c r="I214">
        <f>Staging!Q205*(Staging!T205*(1+QtyUplift))*(1-MIN(Staging!R205,DiscountCap))</f>
        <v>52758.989337999999</v>
      </c>
      <c r="J214">
        <f>Staging!P205*(1+CostInflation)*Staging!T205*(1+QtyUplift)</f>
        <v>51650.603620000002</v>
      </c>
      <c r="K214">
        <f t="shared" si="6"/>
        <v>1108.3857179999977</v>
      </c>
      <c r="L214">
        <v>14762.633020000008</v>
      </c>
      <c r="M214">
        <f t="shared" si="7"/>
        <v>-10595.571861999997</v>
      </c>
    </row>
    <row r="215" spans="2:13" x14ac:dyDescent="0.3">
      <c r="B215" t="s">
        <v>510</v>
      </c>
      <c r="C215" t="s">
        <v>145</v>
      </c>
      <c r="D215" t="s">
        <v>64</v>
      </c>
      <c r="E215" t="s">
        <v>78</v>
      </c>
      <c r="F215">
        <v>25553.782800000001</v>
      </c>
      <c r="G215">
        <v>12195.84</v>
      </c>
      <c r="H215">
        <v>13357.942800000001</v>
      </c>
      <c r="I215">
        <f>Staging!Q206*(Staging!T206*(1+QtyUplift))*(1-MIN(Staging!R206,DiscountCap))</f>
        <v>28109.161080000002</v>
      </c>
      <c r="J215">
        <f>Staging!P206*(1+CostInflation)*Staging!T206*(1+QtyUplift)</f>
        <v>17372.97408</v>
      </c>
      <c r="K215">
        <f t="shared" si="6"/>
        <v>10736.187000000002</v>
      </c>
      <c r="L215">
        <v>2555.3782800000008</v>
      </c>
      <c r="M215">
        <f t="shared" si="7"/>
        <v>-2621.755799999999</v>
      </c>
    </row>
    <row r="216" spans="2:13" x14ac:dyDescent="0.3">
      <c r="B216" t="s">
        <v>512</v>
      </c>
      <c r="C216" t="s">
        <v>63</v>
      </c>
      <c r="D216" t="s">
        <v>64</v>
      </c>
      <c r="E216" t="s">
        <v>78</v>
      </c>
      <c r="F216">
        <v>26131.70736</v>
      </c>
      <c r="G216">
        <v>12962.62</v>
      </c>
      <c r="H216">
        <v>13169.08736</v>
      </c>
      <c r="I216">
        <f>Staging!Q207*(Staging!T207*(1+QtyUplift))*(1-MIN(Staging!R207,DiscountCap))</f>
        <v>28744.878096000004</v>
      </c>
      <c r="J216">
        <f>Staging!P207*(1+CostInflation)*Staging!T207*(1+QtyUplift)</f>
        <v>18465.252190000003</v>
      </c>
      <c r="K216">
        <f t="shared" si="6"/>
        <v>10279.625906000001</v>
      </c>
      <c r="L216">
        <v>2613.1707360000037</v>
      </c>
      <c r="M216">
        <f t="shared" si="7"/>
        <v>-2889.4614539999984</v>
      </c>
    </row>
    <row r="217" spans="2:13" x14ac:dyDescent="0.3">
      <c r="B217" t="s">
        <v>514</v>
      </c>
      <c r="C217" t="s">
        <v>56</v>
      </c>
      <c r="D217" t="s">
        <v>22</v>
      </c>
      <c r="E217" t="s">
        <v>78</v>
      </c>
      <c r="F217">
        <v>6702.3501999999999</v>
      </c>
      <c r="G217">
        <v>5086.0200000000004</v>
      </c>
      <c r="H217">
        <v>1616.3301999999994</v>
      </c>
      <c r="I217">
        <f>Staging!Q208*(Staging!T208*(1+QtyUplift))*(1-MIN(Staging!R208,DiscountCap))</f>
        <v>7372.5852200000008</v>
      </c>
      <c r="J217">
        <f>Staging!P208*(1+CostInflation)*Staging!T208*(1+QtyUplift)</f>
        <v>7245.0354900000011</v>
      </c>
      <c r="K217">
        <f t="shared" si="6"/>
        <v>127.54972999999973</v>
      </c>
      <c r="L217">
        <v>670.23502000000099</v>
      </c>
      <c r="M217">
        <f t="shared" si="7"/>
        <v>-1488.7804699999997</v>
      </c>
    </row>
    <row r="218" spans="2:13" x14ac:dyDescent="0.3">
      <c r="B218" t="s">
        <v>516</v>
      </c>
      <c r="C218" t="s">
        <v>29</v>
      </c>
      <c r="D218" t="s">
        <v>81</v>
      </c>
      <c r="E218" t="s">
        <v>16</v>
      </c>
      <c r="F218">
        <v>28386.015839999996</v>
      </c>
      <c r="G218">
        <v>13395.720000000001</v>
      </c>
      <c r="H218">
        <v>14990.295839999995</v>
      </c>
      <c r="I218">
        <f>Staging!Q209*(Staging!T209*(1+QtyUplift))*(1-MIN(Staging!R209,DiscountCap))</f>
        <v>31224.617424</v>
      </c>
      <c r="J218">
        <f>Staging!P209*(1+CostInflation)*Staging!T209*(1+QtyUplift)</f>
        <v>19082.203140000001</v>
      </c>
      <c r="K218">
        <f t="shared" si="6"/>
        <v>12142.414283999999</v>
      </c>
      <c r="L218">
        <v>4597.7349600000052</v>
      </c>
      <c r="M218">
        <f t="shared" si="7"/>
        <v>-2847.8815559999966</v>
      </c>
    </row>
    <row r="219" spans="2:13" x14ac:dyDescent="0.3">
      <c r="B219" t="s">
        <v>518</v>
      </c>
      <c r="C219" t="s">
        <v>49</v>
      </c>
      <c r="D219" t="s">
        <v>30</v>
      </c>
      <c r="E219" t="s">
        <v>16</v>
      </c>
      <c r="F219">
        <v>15825.399369999997</v>
      </c>
      <c r="G219">
        <v>13732.29</v>
      </c>
      <c r="H219">
        <v>2093.1093699999965</v>
      </c>
      <c r="I219">
        <f>Staging!Q210*(Staging!T210*(1+QtyUplift))*(1-MIN(Staging!R210,DiscountCap))</f>
        <v>17407.939307000001</v>
      </c>
      <c r="J219">
        <f>Staging!P210*(1+CostInflation)*Staging!T210*(1+QtyUplift)</f>
        <v>19561.647105</v>
      </c>
      <c r="K219">
        <f t="shared" si="6"/>
        <v>-2153.7077979999995</v>
      </c>
      <c r="L219">
        <v>3832.2485300000062</v>
      </c>
      <c r="M219">
        <f t="shared" si="7"/>
        <v>-4246.8171679999959</v>
      </c>
    </row>
    <row r="220" spans="2:13" x14ac:dyDescent="0.3">
      <c r="B220" t="s">
        <v>520</v>
      </c>
      <c r="C220" t="s">
        <v>110</v>
      </c>
      <c r="D220" t="s">
        <v>81</v>
      </c>
      <c r="E220" t="s">
        <v>16</v>
      </c>
      <c r="F220">
        <v>17847.907199999998</v>
      </c>
      <c r="G220">
        <v>12049.5</v>
      </c>
      <c r="H220">
        <v>5798.4071999999978</v>
      </c>
      <c r="I220">
        <f>Staging!Q211*(Staging!T211*(1+QtyUplift))*(1-MIN(Staging!R211,DiscountCap))</f>
        <v>19632.697919999999</v>
      </c>
      <c r="J220">
        <f>Staging!P211*(1+CostInflation)*Staging!T211*(1+QtyUplift)</f>
        <v>17164.512750000002</v>
      </c>
      <c r="K220">
        <f t="shared" si="6"/>
        <v>2468.185169999997</v>
      </c>
      <c r="L220">
        <v>2602.8198000000011</v>
      </c>
      <c r="M220">
        <f t="shared" si="7"/>
        <v>-3330.2220300000008</v>
      </c>
    </row>
    <row r="221" spans="2:13" x14ac:dyDescent="0.3">
      <c r="B221" t="s">
        <v>522</v>
      </c>
      <c r="C221" t="s">
        <v>75</v>
      </c>
      <c r="D221" t="s">
        <v>22</v>
      </c>
      <c r="E221" t="s">
        <v>16</v>
      </c>
      <c r="F221">
        <v>18061.204320000004</v>
      </c>
      <c r="G221">
        <v>9860.49</v>
      </c>
      <c r="H221">
        <v>8200.7143200000046</v>
      </c>
      <c r="I221">
        <f>Staging!Q212*(Staging!T212*(1+QtyUplift))*(1-MIN(Staging!R212,DiscountCap))</f>
        <v>19867.324752000004</v>
      </c>
      <c r="J221">
        <f>Staging!P212*(1+CostInflation)*Staging!T212*(1+QtyUplift)</f>
        <v>14046.268004999998</v>
      </c>
      <c r="K221">
        <f t="shared" si="6"/>
        <v>5821.056747000006</v>
      </c>
      <c r="L221">
        <v>3024.3997799999997</v>
      </c>
      <c r="M221">
        <f t="shared" si="7"/>
        <v>-2379.6575729999986</v>
      </c>
    </row>
    <row r="222" spans="2:13" x14ac:dyDescent="0.3">
      <c r="B222" t="s">
        <v>524</v>
      </c>
      <c r="C222" t="s">
        <v>92</v>
      </c>
      <c r="D222" t="s">
        <v>64</v>
      </c>
      <c r="E222" t="s">
        <v>52</v>
      </c>
      <c r="F222">
        <v>1774.8072</v>
      </c>
      <c r="G222">
        <v>1354.5</v>
      </c>
      <c r="H222">
        <v>420.30719999999997</v>
      </c>
      <c r="I222">
        <f>Staging!Q213*(Staging!T213*(1+QtyUplift))*(1-MIN(Staging!R213,DiscountCap))</f>
        <v>1952.28792</v>
      </c>
      <c r="J222">
        <f>Staging!P213*(1+CostInflation)*Staging!T213*(1+QtyUplift)</f>
        <v>1929.48525</v>
      </c>
      <c r="K222">
        <f t="shared" si="6"/>
        <v>22.802670000000035</v>
      </c>
      <c r="L222">
        <v>181.8288</v>
      </c>
      <c r="M222">
        <f t="shared" si="7"/>
        <v>-397.50452999999993</v>
      </c>
    </row>
    <row r="223" spans="2:13" x14ac:dyDescent="0.3">
      <c r="B223" t="s">
        <v>526</v>
      </c>
      <c r="C223" t="s">
        <v>49</v>
      </c>
      <c r="D223" t="s">
        <v>30</v>
      </c>
      <c r="E223" t="s">
        <v>45</v>
      </c>
      <c r="F223">
        <v>6984.8246399999998</v>
      </c>
      <c r="G223">
        <v>6997.08</v>
      </c>
      <c r="H223">
        <v>-12.25536000000011</v>
      </c>
      <c r="I223">
        <f>Staging!Q214*(Staging!T214*(1+QtyUplift))*(1-MIN(Staging!R214,DiscountCap))</f>
        <v>7683.3071040000013</v>
      </c>
      <c r="J223">
        <f>Staging!P214*(1+CostInflation)*Staging!T214*(1+QtyUplift)</f>
        <v>9967.3404600000013</v>
      </c>
      <c r="K223">
        <f t="shared" si="6"/>
        <v>-2284.0333559999999</v>
      </c>
      <c r="L223">
        <v>945.19416000000183</v>
      </c>
      <c r="M223">
        <f t="shared" si="7"/>
        <v>-2271.7779959999998</v>
      </c>
    </row>
    <row r="224" spans="2:13" x14ac:dyDescent="0.3">
      <c r="B224" t="s">
        <v>528</v>
      </c>
      <c r="C224" t="s">
        <v>56</v>
      </c>
      <c r="D224" t="s">
        <v>42</v>
      </c>
      <c r="E224" t="s">
        <v>16</v>
      </c>
      <c r="F224">
        <v>24223.05</v>
      </c>
      <c r="G224">
        <v>13007.43</v>
      </c>
      <c r="H224">
        <v>11215.619999999999</v>
      </c>
      <c r="I224">
        <f>Staging!Q215*(Staging!T215*(1+QtyUplift))*(1-MIN(Staging!R215,DiscountCap))</f>
        <v>26645.355</v>
      </c>
      <c r="J224">
        <f>Staging!P215*(1+CostInflation)*Staging!T215*(1+QtyUplift)</f>
        <v>18529.084035</v>
      </c>
      <c r="K224">
        <f t="shared" si="6"/>
        <v>8116.2709649999997</v>
      </c>
      <c r="L224">
        <v>2422.3050000000003</v>
      </c>
      <c r="M224">
        <f t="shared" si="7"/>
        <v>-3099.3490349999993</v>
      </c>
    </row>
    <row r="225" spans="2:13" x14ac:dyDescent="0.3">
      <c r="B225" t="s">
        <v>530</v>
      </c>
      <c r="C225" t="s">
        <v>49</v>
      </c>
      <c r="D225" t="s">
        <v>81</v>
      </c>
      <c r="E225" t="s">
        <v>52</v>
      </c>
      <c r="F225">
        <v>7854.6693599999999</v>
      </c>
      <c r="G225">
        <v>4662.12</v>
      </c>
      <c r="H225">
        <v>3192.54936</v>
      </c>
      <c r="I225">
        <f>Staging!Q216*(Staging!T216*(1+QtyUplift))*(1-MIN(Staging!R216,DiscountCap))</f>
        <v>8640.1362960000006</v>
      </c>
      <c r="J225">
        <f>Staging!P216*(1+CostInflation)*Staging!T216*(1+QtyUplift)</f>
        <v>6641.1899400000002</v>
      </c>
      <c r="K225">
        <f t="shared" si="6"/>
        <v>1998.9463560000004</v>
      </c>
      <c r="L225">
        <v>1369.6754400000009</v>
      </c>
      <c r="M225">
        <f t="shared" si="7"/>
        <v>-1193.6030039999996</v>
      </c>
    </row>
    <row r="226" spans="2:13" x14ac:dyDescent="0.3">
      <c r="B226" t="s">
        <v>532</v>
      </c>
      <c r="C226" t="s">
        <v>34</v>
      </c>
      <c r="D226" t="s">
        <v>35</v>
      </c>
      <c r="E226" t="s">
        <v>45</v>
      </c>
      <c r="F226">
        <v>15253.069799999999</v>
      </c>
      <c r="G226">
        <v>13866.6</v>
      </c>
      <c r="H226">
        <v>1386.4697999999989</v>
      </c>
      <c r="I226">
        <f>Staging!Q217*(Staging!T217*(1+QtyUplift))*(1-MIN(Staging!R217,DiscountCap))</f>
        <v>16778.376779999999</v>
      </c>
      <c r="J226">
        <f>Staging!P217*(1+CostInflation)*Staging!T217*(1+QtyUplift)</f>
        <v>19752.971700000002</v>
      </c>
      <c r="K226">
        <f t="shared" si="6"/>
        <v>-2974.5949200000032</v>
      </c>
      <c r="L226">
        <v>3646.2282000000032</v>
      </c>
      <c r="M226">
        <f t="shared" si="7"/>
        <v>-4361.0647200000021</v>
      </c>
    </row>
    <row r="227" spans="2:13" x14ac:dyDescent="0.3">
      <c r="B227" t="s">
        <v>534</v>
      </c>
      <c r="C227" t="s">
        <v>49</v>
      </c>
      <c r="D227" t="s">
        <v>64</v>
      </c>
      <c r="E227" t="s">
        <v>45</v>
      </c>
      <c r="F227">
        <v>7738.9596900000006</v>
      </c>
      <c r="G227">
        <v>7599.2699999999995</v>
      </c>
      <c r="H227">
        <v>139.68969000000106</v>
      </c>
      <c r="I227">
        <f>Staging!Q218*(Staging!T218*(1+QtyUplift))*(1-MIN(Staging!R218,DiscountCap))</f>
        <v>8512.8556590000026</v>
      </c>
      <c r="J227">
        <f>Staging!P218*(1+CostInflation)*Staging!T218*(1+QtyUplift)</f>
        <v>10825.160114999999</v>
      </c>
      <c r="K227">
        <f t="shared" si="6"/>
        <v>-2312.3044559999962</v>
      </c>
      <c r="L227">
        <v>898.66161000000193</v>
      </c>
      <c r="M227">
        <f t="shared" si="7"/>
        <v>-2451.9941459999973</v>
      </c>
    </row>
    <row r="228" spans="2:13" x14ac:dyDescent="0.3">
      <c r="B228" t="s">
        <v>536</v>
      </c>
      <c r="C228" t="s">
        <v>84</v>
      </c>
      <c r="D228" t="s">
        <v>64</v>
      </c>
      <c r="E228" t="s">
        <v>78</v>
      </c>
      <c r="F228">
        <v>2231.6467200000002</v>
      </c>
      <c r="G228">
        <v>1206.8800000000001</v>
      </c>
      <c r="H228">
        <v>1024.7667200000001</v>
      </c>
      <c r="I228">
        <f>Staging!Q219*(Staging!T219*(1+QtyUplift))*(1-MIN(Staging!R219,DiscountCap))</f>
        <v>2454.8113920000001</v>
      </c>
      <c r="J228">
        <f>Staging!P219*(1+CostInflation)*Staging!T219*(1+QtyUplift)</f>
        <v>1719.20056</v>
      </c>
      <c r="K228">
        <f t="shared" si="6"/>
        <v>735.61083200000007</v>
      </c>
      <c r="L228">
        <v>516.27647999999999</v>
      </c>
      <c r="M228">
        <f t="shared" si="7"/>
        <v>-289.155888</v>
      </c>
    </row>
    <row r="229" spans="2:13" x14ac:dyDescent="0.3">
      <c r="B229" t="s">
        <v>538</v>
      </c>
      <c r="C229" t="s">
        <v>84</v>
      </c>
      <c r="D229" t="s">
        <v>30</v>
      </c>
      <c r="E229" t="s">
        <v>45</v>
      </c>
      <c r="F229">
        <v>6535.6324800000002</v>
      </c>
      <c r="G229">
        <v>5091.32</v>
      </c>
      <c r="H229">
        <v>1444.3124800000005</v>
      </c>
      <c r="I229">
        <f>Staging!Q220*(Staging!T220*(1+QtyUplift))*(1-MIN(Staging!R220,DiscountCap))</f>
        <v>7189.1957280000006</v>
      </c>
      <c r="J229">
        <f>Staging!P220*(1+CostInflation)*Staging!T220*(1+QtyUplift)</f>
        <v>7252.5853400000005</v>
      </c>
      <c r="K229">
        <f t="shared" si="6"/>
        <v>-63.389611999999943</v>
      </c>
      <c r="L229">
        <v>653.56324800000039</v>
      </c>
      <c r="M229">
        <f t="shared" si="7"/>
        <v>-1507.7020920000004</v>
      </c>
    </row>
    <row r="230" spans="2:13" x14ac:dyDescent="0.3">
      <c r="B230" t="s">
        <v>540</v>
      </c>
      <c r="C230" t="s">
        <v>95</v>
      </c>
      <c r="D230" t="s">
        <v>30</v>
      </c>
      <c r="E230" t="s">
        <v>52</v>
      </c>
      <c r="F230">
        <v>28211.92124</v>
      </c>
      <c r="G230">
        <v>15865.359999999999</v>
      </c>
      <c r="H230">
        <v>12346.561240000001</v>
      </c>
      <c r="I230">
        <f>Staging!Q221*(Staging!T221*(1+QtyUplift))*(1-MIN(Staging!R221,DiscountCap))</f>
        <v>31709.584500000004</v>
      </c>
      <c r="J230">
        <f>Staging!P221*(1+CostInflation)*Staging!T221*(1+QtyUplift)</f>
        <v>22600.205320000001</v>
      </c>
      <c r="K230">
        <f t="shared" si="6"/>
        <v>9109.3791800000035</v>
      </c>
      <c r="L230">
        <v>9839.5801600000013</v>
      </c>
      <c r="M230">
        <f t="shared" si="7"/>
        <v>-3237.1820599999974</v>
      </c>
    </row>
    <row r="231" spans="2:13" x14ac:dyDescent="0.3">
      <c r="B231" t="s">
        <v>542</v>
      </c>
      <c r="C231" t="s">
        <v>56</v>
      </c>
      <c r="D231" t="s">
        <v>22</v>
      </c>
      <c r="E231" t="s">
        <v>16</v>
      </c>
      <c r="F231">
        <v>13519.529099999998</v>
      </c>
      <c r="G231">
        <v>6480.54</v>
      </c>
      <c r="H231">
        <v>7038.989099999998</v>
      </c>
      <c r="I231">
        <f>Staging!Q222*(Staging!T222*(1+QtyUplift))*(1-MIN(Staging!R222,DiscountCap))</f>
        <v>14871.482010000002</v>
      </c>
      <c r="J231">
        <f>Staging!P222*(1+CostInflation)*Staging!T222*(1+QtyUplift)</f>
        <v>9231.5292300000001</v>
      </c>
      <c r="K231">
        <f t="shared" si="6"/>
        <v>5639.9527800000014</v>
      </c>
      <c r="L231">
        <v>1351.9529100000036</v>
      </c>
      <c r="M231">
        <f t="shared" si="7"/>
        <v>-1399.0363199999965</v>
      </c>
    </row>
    <row r="232" spans="2:13" x14ac:dyDescent="0.3">
      <c r="B232" t="s">
        <v>544</v>
      </c>
      <c r="C232" t="s">
        <v>34</v>
      </c>
      <c r="D232" t="s">
        <v>81</v>
      </c>
      <c r="E232" t="s">
        <v>52</v>
      </c>
      <c r="F232">
        <v>908.03700000000003</v>
      </c>
      <c r="G232">
        <v>727.90000000000009</v>
      </c>
      <c r="H232">
        <v>180.13699999999994</v>
      </c>
      <c r="I232">
        <f>Staging!Q223*(Staging!T223*(1+QtyUplift))*(1-MIN(Staging!R223,DiscountCap))</f>
        <v>998.84070000000008</v>
      </c>
      <c r="J232">
        <f>Staging!P223*(1+CostInflation)*Staging!T223*(1+QtyUplift)</f>
        <v>1036.8935500000002</v>
      </c>
      <c r="K232">
        <f t="shared" si="6"/>
        <v>-38.052850000000149</v>
      </c>
      <c r="L232">
        <v>221.30549999999994</v>
      </c>
      <c r="M232">
        <f t="shared" si="7"/>
        <v>-218.18985000000009</v>
      </c>
    </row>
    <row r="233" spans="2:13" x14ac:dyDescent="0.3">
      <c r="B233" t="s">
        <v>546</v>
      </c>
      <c r="C233" t="s">
        <v>126</v>
      </c>
      <c r="D233" t="s">
        <v>22</v>
      </c>
      <c r="E233" t="s">
        <v>16</v>
      </c>
      <c r="F233">
        <v>4503.4363999999996</v>
      </c>
      <c r="G233">
        <v>2411.3999999999996</v>
      </c>
      <c r="H233">
        <v>2092.0364</v>
      </c>
      <c r="I233">
        <f>Staging!Q224*(Staging!T224*(1+QtyUplift))*(1-MIN(Staging!R224,DiscountCap))</f>
        <v>4953.7800399999996</v>
      </c>
      <c r="J233">
        <f>Staging!P224*(1+CostInflation)*Staging!T224*(1+QtyUplift)</f>
        <v>3435.0393000000004</v>
      </c>
      <c r="K233">
        <f t="shared" si="6"/>
        <v>1518.7407399999993</v>
      </c>
      <c r="L233">
        <v>450.34364000000005</v>
      </c>
      <c r="M233">
        <f t="shared" si="7"/>
        <v>-573.29566000000068</v>
      </c>
    </row>
    <row r="234" spans="2:13" x14ac:dyDescent="0.3">
      <c r="B234" t="s">
        <v>548</v>
      </c>
      <c r="C234" t="s">
        <v>56</v>
      </c>
      <c r="D234" t="s">
        <v>35</v>
      </c>
      <c r="E234" t="s">
        <v>16</v>
      </c>
      <c r="F234">
        <v>66988.771199999988</v>
      </c>
      <c r="G234">
        <v>28773.600000000002</v>
      </c>
      <c r="H234">
        <v>38215.171199999982</v>
      </c>
      <c r="I234">
        <f>Staging!Q225*(Staging!T225*(1+QtyUplift))*(1-MIN(Staging!R225,DiscountCap))</f>
        <v>73687.648320000008</v>
      </c>
      <c r="J234">
        <f>Staging!P225*(1+CostInflation)*Staging!T225*(1+QtyUplift)</f>
        <v>40987.993200000004</v>
      </c>
      <c r="K234">
        <f t="shared" si="6"/>
        <v>32699.655120000003</v>
      </c>
      <c r="L234">
        <v>6698.8771200000192</v>
      </c>
      <c r="M234">
        <f t="shared" si="7"/>
        <v>-5515.5160799999794</v>
      </c>
    </row>
    <row r="235" spans="2:13" x14ac:dyDescent="0.3">
      <c r="B235" t="s">
        <v>550</v>
      </c>
      <c r="C235" t="s">
        <v>126</v>
      </c>
      <c r="D235" t="s">
        <v>57</v>
      </c>
      <c r="E235" t="s">
        <v>78</v>
      </c>
      <c r="F235">
        <v>15490.527</v>
      </c>
      <c r="G235">
        <v>16337.250000000002</v>
      </c>
      <c r="H235">
        <v>-846.72300000000178</v>
      </c>
      <c r="I235">
        <f>Staging!Q226*(Staging!T226*(1+QtyUplift))*(1-MIN(Staging!R226,DiscountCap))</f>
        <v>17039.579699999998</v>
      </c>
      <c r="J235">
        <f>Staging!P226*(1+CostInflation)*Staging!T226*(1+QtyUplift)</f>
        <v>23272.412625000001</v>
      </c>
      <c r="K235">
        <f t="shared" si="6"/>
        <v>-6232.8329250000024</v>
      </c>
      <c r="L235">
        <v>1549.0526999999984</v>
      </c>
      <c r="M235">
        <f t="shared" si="7"/>
        <v>-5386.1099250000007</v>
      </c>
    </row>
    <row r="236" spans="2:13" x14ac:dyDescent="0.3">
      <c r="B236" t="s">
        <v>552</v>
      </c>
      <c r="C236" t="s">
        <v>29</v>
      </c>
      <c r="D236" t="s">
        <v>42</v>
      </c>
      <c r="E236" t="s">
        <v>52</v>
      </c>
      <c r="F236">
        <v>21573.6495</v>
      </c>
      <c r="G236">
        <v>10804.300000000001</v>
      </c>
      <c r="H236">
        <v>10769.349499999998</v>
      </c>
      <c r="I236">
        <f>Staging!Q227*(Staging!T227*(1+QtyUplift))*(1-MIN(Staging!R227,DiscountCap))</f>
        <v>23731.014450000002</v>
      </c>
      <c r="J236">
        <f>Staging!P227*(1+CostInflation)*Staging!T227*(1+QtyUplift)</f>
        <v>15390.725350000002</v>
      </c>
      <c r="K236">
        <f t="shared" si="6"/>
        <v>8340.2891</v>
      </c>
      <c r="L236">
        <v>3464.9355000000032</v>
      </c>
      <c r="M236">
        <f t="shared" si="7"/>
        <v>-2429.0603999999985</v>
      </c>
    </row>
    <row r="237" spans="2:13" x14ac:dyDescent="0.3">
      <c r="B237" t="s">
        <v>554</v>
      </c>
      <c r="C237" t="s">
        <v>75</v>
      </c>
      <c r="D237" t="s">
        <v>35</v>
      </c>
      <c r="E237" t="s">
        <v>45</v>
      </c>
      <c r="F237">
        <v>30479.418970000002</v>
      </c>
      <c r="G237">
        <v>17581.72</v>
      </c>
      <c r="H237">
        <v>12897.698970000001</v>
      </c>
      <c r="I237">
        <f>Staging!Q228*(Staging!T228*(1+QtyUplift))*(1-MIN(Staging!R228,DiscountCap))</f>
        <v>33527.360867000003</v>
      </c>
      <c r="J237">
        <f>Staging!P228*(1+CostInflation)*Staging!T228*(1+QtyUplift)</f>
        <v>25045.16014</v>
      </c>
      <c r="K237">
        <f t="shared" si="6"/>
        <v>8482.2007270000031</v>
      </c>
      <c r="L237">
        <v>4243.9697300000007</v>
      </c>
      <c r="M237">
        <f t="shared" si="7"/>
        <v>-4415.4982429999982</v>
      </c>
    </row>
    <row r="238" spans="2:13" x14ac:dyDescent="0.3">
      <c r="B238" t="s">
        <v>556</v>
      </c>
      <c r="C238" t="s">
        <v>68</v>
      </c>
      <c r="D238" t="s">
        <v>81</v>
      </c>
      <c r="E238" t="s">
        <v>52</v>
      </c>
      <c r="F238">
        <v>5533.6230000000005</v>
      </c>
      <c r="G238">
        <v>4959.3599999999997</v>
      </c>
      <c r="H238">
        <v>574.26300000000083</v>
      </c>
      <c r="I238">
        <f>Staging!Q229*(Staging!T229*(1+QtyUplift))*(1-MIN(Staging!R229,DiscountCap))</f>
        <v>6086.9853000000003</v>
      </c>
      <c r="J238">
        <f>Staging!P229*(1+CostInflation)*Staging!T229*(1+QtyUplift)</f>
        <v>7064.6083200000003</v>
      </c>
      <c r="K238">
        <f t="shared" si="6"/>
        <v>-977.62302</v>
      </c>
      <c r="L238">
        <v>553.36229999999978</v>
      </c>
      <c r="M238">
        <f t="shared" si="7"/>
        <v>-1551.8860200000008</v>
      </c>
    </row>
    <row r="239" spans="2:13" x14ac:dyDescent="0.3">
      <c r="B239" t="s">
        <v>558</v>
      </c>
      <c r="C239" t="s">
        <v>95</v>
      </c>
      <c r="D239" t="s">
        <v>30</v>
      </c>
      <c r="E239" t="s">
        <v>52</v>
      </c>
      <c r="F239">
        <v>16609.090809999998</v>
      </c>
      <c r="G239">
        <v>12132.77</v>
      </c>
      <c r="H239">
        <v>4476.3208099999974</v>
      </c>
      <c r="I239">
        <f>Staging!Q230*(Staging!T230*(1+QtyUplift))*(1-MIN(Staging!R230,DiscountCap))</f>
        <v>18269.999891000003</v>
      </c>
      <c r="J239">
        <f>Staging!P230*(1+CostInflation)*Staging!T230*(1+QtyUplift)</f>
        <v>17283.130864999999</v>
      </c>
      <c r="K239">
        <f t="shared" si="6"/>
        <v>986.86902600000394</v>
      </c>
      <c r="L239">
        <v>2140.0538900000029</v>
      </c>
      <c r="M239">
        <f t="shared" si="7"/>
        <v>-3489.4517839999935</v>
      </c>
    </row>
    <row r="240" spans="2:13" x14ac:dyDescent="0.3">
      <c r="B240" t="s">
        <v>560</v>
      </c>
      <c r="C240" t="s">
        <v>145</v>
      </c>
      <c r="D240" t="s">
        <v>30</v>
      </c>
      <c r="E240" t="s">
        <v>16</v>
      </c>
      <c r="F240">
        <v>7446.5209000000004</v>
      </c>
      <c r="G240">
        <v>10241</v>
      </c>
      <c r="H240">
        <v>-2794.4790999999996</v>
      </c>
      <c r="I240">
        <f>Staging!Q231*(Staging!T231*(1+QtyUplift))*(1-MIN(Staging!R231,DiscountCap))</f>
        <v>8191.1729899999991</v>
      </c>
      <c r="J240">
        <f>Staging!P231*(1+CostInflation)*Staging!T231*(1+QtyUplift)</f>
        <v>14588.304499999998</v>
      </c>
      <c r="K240">
        <f t="shared" si="6"/>
        <v>-6397.1315099999993</v>
      </c>
      <c r="L240">
        <v>1643.5600999999997</v>
      </c>
      <c r="M240">
        <f t="shared" si="7"/>
        <v>-3602.6524099999997</v>
      </c>
    </row>
    <row r="241" spans="2:13" x14ac:dyDescent="0.3">
      <c r="B241" t="s">
        <v>562</v>
      </c>
      <c r="C241" t="s">
        <v>63</v>
      </c>
      <c r="D241" t="s">
        <v>22</v>
      </c>
      <c r="E241" t="s">
        <v>45</v>
      </c>
      <c r="F241">
        <v>667.15008</v>
      </c>
      <c r="G241">
        <v>873.92</v>
      </c>
      <c r="H241">
        <v>-206.76991999999996</v>
      </c>
      <c r="I241">
        <f>Staging!Q232*(Staging!T232*(1+QtyUplift))*(1-MIN(Staging!R232,DiscountCap))</f>
        <v>733.86508800000001</v>
      </c>
      <c r="J241">
        <f>Staging!P232*(1+CostInflation)*Staging!T232*(1+QtyUplift)</f>
        <v>1244.8990399999998</v>
      </c>
      <c r="K241">
        <f t="shared" si="6"/>
        <v>-511.03395199999977</v>
      </c>
      <c r="L241">
        <v>108.05952000000002</v>
      </c>
      <c r="M241">
        <f t="shared" si="7"/>
        <v>-304.26403199999982</v>
      </c>
    </row>
    <row r="242" spans="2:13" x14ac:dyDescent="0.3">
      <c r="B242" t="s">
        <v>564</v>
      </c>
      <c r="C242" t="s">
        <v>21</v>
      </c>
      <c r="D242" t="s">
        <v>42</v>
      </c>
      <c r="E242" t="s">
        <v>52</v>
      </c>
      <c r="F242">
        <v>5814.6927299999998</v>
      </c>
      <c r="G242">
        <v>2758.91</v>
      </c>
      <c r="H242">
        <v>3055.7827299999999</v>
      </c>
      <c r="I242">
        <f>Staging!Q233*(Staging!T233*(1+QtyUplift))*(1-MIN(Staging!R233,DiscountCap))</f>
        <v>6396.1620030000004</v>
      </c>
      <c r="J242">
        <f>Staging!P233*(1+CostInflation)*Staging!T233*(1+QtyUplift)</f>
        <v>3930.0672950000003</v>
      </c>
      <c r="K242">
        <f t="shared" si="6"/>
        <v>2466.0947080000001</v>
      </c>
      <c r="L242">
        <v>646.07697000000098</v>
      </c>
      <c r="M242">
        <f t="shared" si="7"/>
        <v>-589.68802199999982</v>
      </c>
    </row>
    <row r="243" spans="2:13" x14ac:dyDescent="0.3">
      <c r="B243" t="s">
        <v>566</v>
      </c>
      <c r="C243" t="s">
        <v>95</v>
      </c>
      <c r="D243" t="s">
        <v>30</v>
      </c>
      <c r="E243" t="s">
        <v>16</v>
      </c>
      <c r="F243">
        <v>2879.9836</v>
      </c>
      <c r="G243">
        <v>1976.3</v>
      </c>
      <c r="H243">
        <v>903.68360000000007</v>
      </c>
      <c r="I243">
        <f>Staging!Q234*(Staging!T234*(1+QtyUplift))*(1-MIN(Staging!R234,DiscountCap))</f>
        <v>3167.9819600000001</v>
      </c>
      <c r="J243">
        <f>Staging!P234*(1+CostInflation)*Staging!T234*(1+QtyUplift)</f>
        <v>2815.2393500000003</v>
      </c>
      <c r="K243">
        <f t="shared" si="6"/>
        <v>352.74260999999979</v>
      </c>
      <c r="L243">
        <v>345.33739999999989</v>
      </c>
      <c r="M243">
        <f t="shared" si="7"/>
        <v>-550.94099000000028</v>
      </c>
    </row>
    <row r="244" spans="2:13" x14ac:dyDescent="0.3">
      <c r="B244" t="s">
        <v>568</v>
      </c>
      <c r="C244" t="s">
        <v>145</v>
      </c>
      <c r="D244" t="s">
        <v>64</v>
      </c>
      <c r="E244" t="s">
        <v>45</v>
      </c>
      <c r="F244">
        <v>5280.8577599999999</v>
      </c>
      <c r="G244">
        <v>3128.64</v>
      </c>
      <c r="H244">
        <v>2152.21776</v>
      </c>
      <c r="I244">
        <f>Staging!Q235*(Staging!T235*(1+QtyUplift))*(1-MIN(Staging!R235,DiscountCap))</f>
        <v>5808.9435360000007</v>
      </c>
      <c r="J244">
        <f>Staging!P235*(1+CostInflation)*Staging!T235*(1+QtyUplift)</f>
        <v>4456.7476799999995</v>
      </c>
      <c r="K244">
        <f t="shared" si="6"/>
        <v>1352.1958560000012</v>
      </c>
      <c r="L244">
        <v>1149.7070400000011</v>
      </c>
      <c r="M244">
        <f t="shared" si="7"/>
        <v>-800.02190399999881</v>
      </c>
    </row>
    <row r="245" spans="2:13" x14ac:dyDescent="0.3">
      <c r="B245" t="s">
        <v>570</v>
      </c>
      <c r="C245" t="s">
        <v>95</v>
      </c>
      <c r="D245" t="s">
        <v>22</v>
      </c>
      <c r="E245" t="s">
        <v>16</v>
      </c>
      <c r="F245">
        <v>14269.848599999999</v>
      </c>
      <c r="G245">
        <v>13097.7</v>
      </c>
      <c r="H245">
        <v>1172.1485999999986</v>
      </c>
      <c r="I245">
        <f>Staging!Q236*(Staging!T236*(1+QtyUplift))*(1-MIN(Staging!R236,DiscountCap))</f>
        <v>15696.833460000002</v>
      </c>
      <c r="J245">
        <f>Staging!P236*(1+CostInflation)*Staging!T236*(1+QtyUplift)</f>
        <v>18657.673650000001</v>
      </c>
      <c r="K245">
        <f t="shared" si="6"/>
        <v>-2960.840189999999</v>
      </c>
      <c r="L245">
        <v>1461.9444000000021</v>
      </c>
      <c r="M245">
        <f t="shared" si="7"/>
        <v>-4132.9887899999976</v>
      </c>
    </row>
    <row r="246" spans="2:13" x14ac:dyDescent="0.3">
      <c r="B246" t="s">
        <v>572</v>
      </c>
      <c r="C246" t="s">
        <v>29</v>
      </c>
      <c r="D246" t="s">
        <v>30</v>
      </c>
      <c r="E246" t="s">
        <v>45</v>
      </c>
      <c r="F246">
        <v>17359.804799999998</v>
      </c>
      <c r="G246">
        <v>16089.84</v>
      </c>
      <c r="H246">
        <v>1269.9647999999979</v>
      </c>
      <c r="I246">
        <f>Staging!Q237*(Staging!T237*(1+QtyUplift))*(1-MIN(Staging!R237,DiscountCap))</f>
        <v>19095.78528</v>
      </c>
      <c r="J246">
        <f>Staging!P237*(1+CostInflation)*Staging!T237*(1+QtyUplift)</f>
        <v>22919.977080000001</v>
      </c>
      <c r="K246">
        <f t="shared" si="6"/>
        <v>-3824.1918000000005</v>
      </c>
      <c r="L246">
        <v>1735.980480000002</v>
      </c>
      <c r="M246">
        <f t="shared" si="7"/>
        <v>-5094.1565999999984</v>
      </c>
    </row>
    <row r="247" spans="2:13" x14ac:dyDescent="0.3">
      <c r="B247" t="s">
        <v>574</v>
      </c>
      <c r="C247" t="s">
        <v>110</v>
      </c>
      <c r="D247" t="s">
        <v>42</v>
      </c>
      <c r="E247" t="s">
        <v>16</v>
      </c>
      <c r="F247">
        <v>37038.581760000001</v>
      </c>
      <c r="G247">
        <v>32135.760000000002</v>
      </c>
      <c r="H247">
        <v>4902.8217599999989</v>
      </c>
      <c r="I247">
        <f>Staging!Q238*(Staging!T238*(1+QtyUplift))*(1-MIN(Staging!R238,DiscountCap))</f>
        <v>40742.439936000002</v>
      </c>
      <c r="J247">
        <f>Staging!P238*(1+CostInflation)*Staging!T238*(1+QtyUplift)</f>
        <v>45777.390119999996</v>
      </c>
      <c r="K247">
        <f t="shared" si="6"/>
        <v>-5034.9501839999939</v>
      </c>
      <c r="L247">
        <v>4915.8758400000079</v>
      </c>
      <c r="M247">
        <f t="shared" si="7"/>
        <v>-9937.7719439999928</v>
      </c>
    </row>
    <row r="248" spans="2:13" x14ac:dyDescent="0.3">
      <c r="B248" t="s">
        <v>576</v>
      </c>
      <c r="C248" t="s">
        <v>92</v>
      </c>
      <c r="D248" t="s">
        <v>22</v>
      </c>
      <c r="E248" t="s">
        <v>52</v>
      </c>
      <c r="F248">
        <v>139277.83032000001</v>
      </c>
      <c r="G248">
        <v>83258.290000000008</v>
      </c>
      <c r="H248">
        <v>56019.54032</v>
      </c>
      <c r="I248">
        <f>Staging!Q239*(Staging!T239*(1+QtyUplift))*(1-MIN(Staging!R239,DiscountCap))</f>
        <v>153205.61335200001</v>
      </c>
      <c r="J248">
        <f>Staging!P239*(1+CostInflation)*Staging!T239*(1+QtyUplift)</f>
        <v>118601.43410500002</v>
      </c>
      <c r="K248">
        <f t="shared" si="6"/>
        <v>34604.179246999993</v>
      </c>
      <c r="L248">
        <v>27250.010280000017</v>
      </c>
      <c r="M248">
        <f t="shared" si="7"/>
        <v>-21415.361073000007</v>
      </c>
    </row>
    <row r="249" spans="2:13" x14ac:dyDescent="0.3">
      <c r="B249" t="s">
        <v>578</v>
      </c>
      <c r="C249" t="s">
        <v>49</v>
      </c>
      <c r="D249" t="s">
        <v>42</v>
      </c>
      <c r="E249" t="s">
        <v>45</v>
      </c>
      <c r="F249">
        <v>6684.1875</v>
      </c>
      <c r="G249">
        <v>6993.3</v>
      </c>
      <c r="H249">
        <v>-309.11250000000018</v>
      </c>
      <c r="I249">
        <f>Staging!Q240*(Staging!T240*(1+QtyUplift))*(1-MIN(Staging!R240,DiscountCap))</f>
        <v>7352.6062499999998</v>
      </c>
      <c r="J249">
        <f>Staging!P240*(1+CostInflation)*Staging!T240*(1+QtyUplift)</f>
        <v>9961.9558500000021</v>
      </c>
      <c r="K249">
        <f t="shared" si="6"/>
        <v>-2609.3496000000023</v>
      </c>
      <c r="L249">
        <v>1965.9375</v>
      </c>
      <c r="M249">
        <f t="shared" si="7"/>
        <v>-2300.2371000000021</v>
      </c>
    </row>
    <row r="250" spans="2:13" x14ac:dyDescent="0.3">
      <c r="B250" t="s">
        <v>580</v>
      </c>
      <c r="C250" t="s">
        <v>41</v>
      </c>
      <c r="D250" t="s">
        <v>57</v>
      </c>
      <c r="E250" t="s">
        <v>52</v>
      </c>
      <c r="F250">
        <v>3823.5108</v>
      </c>
      <c r="G250">
        <v>2733.94</v>
      </c>
      <c r="H250">
        <v>1089.5708</v>
      </c>
      <c r="I250">
        <f>Staging!Q241*(Staging!T241*(1+QtyUplift))*(1-MIN(Staging!R241,DiscountCap))</f>
        <v>4205.8618800000004</v>
      </c>
      <c r="J250">
        <f>Staging!P241*(1+CostInflation)*Staging!T241*(1+QtyUplift)</f>
        <v>3894.4975299999996</v>
      </c>
      <c r="K250">
        <f t="shared" si="6"/>
        <v>311.36435000000074</v>
      </c>
      <c r="L250">
        <v>527.38080000000082</v>
      </c>
      <c r="M250">
        <f t="shared" si="7"/>
        <v>-778.20644999999922</v>
      </c>
    </row>
    <row r="251" spans="2:13" x14ac:dyDescent="0.3">
      <c r="B251" t="s">
        <v>582</v>
      </c>
      <c r="C251" t="s">
        <v>29</v>
      </c>
      <c r="D251" t="s">
        <v>30</v>
      </c>
      <c r="E251" t="s">
        <v>45</v>
      </c>
      <c r="F251">
        <v>4436.6291200000005</v>
      </c>
      <c r="G251">
        <v>3082.56</v>
      </c>
      <c r="H251">
        <v>1354.0691200000006</v>
      </c>
      <c r="I251">
        <f>Staging!Q242*(Staging!T242*(1+QtyUplift))*(1-MIN(Staging!R242,DiscountCap))</f>
        <v>4880.2920320000003</v>
      </c>
      <c r="J251">
        <f>Staging!P242*(1+CostInflation)*Staging!T242*(1+QtyUplift)</f>
        <v>4391.1067200000007</v>
      </c>
      <c r="K251">
        <f t="shared" si="6"/>
        <v>489.18531199999961</v>
      </c>
      <c r="L251">
        <v>443.66291199999978</v>
      </c>
      <c r="M251">
        <f t="shared" si="7"/>
        <v>-864.88380800000095</v>
      </c>
    </row>
    <row r="252" spans="2:13" x14ac:dyDescent="0.3">
      <c r="B252" t="s">
        <v>584</v>
      </c>
      <c r="C252" t="s">
        <v>84</v>
      </c>
      <c r="D252" t="s">
        <v>42</v>
      </c>
      <c r="E252" t="s">
        <v>45</v>
      </c>
      <c r="F252">
        <v>9684.8756000000012</v>
      </c>
      <c r="G252">
        <v>7344.96</v>
      </c>
      <c r="H252">
        <v>2339.9156000000012</v>
      </c>
      <c r="I252">
        <f>Staging!Q243*(Staging!T243*(1+QtyUplift))*(1-MIN(Staging!R243,DiscountCap))</f>
        <v>10653.363160000003</v>
      </c>
      <c r="J252">
        <f>Staging!P243*(1+CostInflation)*Staging!T243*(1+QtyUplift)</f>
        <v>10462.895520000002</v>
      </c>
      <c r="K252">
        <f t="shared" si="6"/>
        <v>190.46764000000076</v>
      </c>
      <c r="L252">
        <v>968.48756000000139</v>
      </c>
      <c r="M252">
        <f t="shared" si="7"/>
        <v>-2149.4479600000004</v>
      </c>
    </row>
    <row r="253" spans="2:13" x14ac:dyDescent="0.3">
      <c r="B253" t="s">
        <v>586</v>
      </c>
      <c r="C253" t="s">
        <v>126</v>
      </c>
      <c r="D253" t="s">
        <v>57</v>
      </c>
      <c r="E253" t="s">
        <v>45</v>
      </c>
      <c r="F253">
        <v>34082.864639999993</v>
      </c>
      <c r="G253">
        <v>26970.68</v>
      </c>
      <c r="H253">
        <v>7112.1846399999922</v>
      </c>
      <c r="I253">
        <f>Staging!Q244*(Staging!T244*(1+QtyUplift))*(1-MIN(Staging!R244,DiscountCap))</f>
        <v>37491.151103999997</v>
      </c>
      <c r="J253">
        <f>Staging!P244*(1+CostInflation)*Staging!T244*(1+QtyUplift)</f>
        <v>38419.733659999998</v>
      </c>
      <c r="K253">
        <f t="shared" si="6"/>
        <v>-928.5825560000012</v>
      </c>
      <c r="L253">
        <v>4970.4177600000112</v>
      </c>
      <c r="M253">
        <f t="shared" si="7"/>
        <v>-8040.7671959999934</v>
      </c>
    </row>
    <row r="254" spans="2:13" x14ac:dyDescent="0.3">
      <c r="B254" t="s">
        <v>588</v>
      </c>
      <c r="C254" t="s">
        <v>56</v>
      </c>
      <c r="D254" t="s">
        <v>30</v>
      </c>
      <c r="E254" t="s">
        <v>78</v>
      </c>
      <c r="F254">
        <v>748.22303999999997</v>
      </c>
      <c r="G254">
        <v>576.48</v>
      </c>
      <c r="H254">
        <v>171.74303999999995</v>
      </c>
      <c r="I254">
        <f>Staging!Q245*(Staging!T245*(1+QtyUplift))*(1-MIN(Staging!R245,DiscountCap))</f>
        <v>823.04534400000011</v>
      </c>
      <c r="J254">
        <f>Staging!P245*(1+CostInflation)*Staging!T245*(1+QtyUplift)</f>
        <v>821.19576000000006</v>
      </c>
      <c r="K254">
        <f t="shared" si="6"/>
        <v>1.8495840000000499</v>
      </c>
      <c r="L254">
        <v>223.87776000000008</v>
      </c>
      <c r="M254">
        <f t="shared" si="7"/>
        <v>-169.8934559999999</v>
      </c>
    </row>
    <row r="255" spans="2:13" x14ac:dyDescent="0.3">
      <c r="B255" t="s">
        <v>590</v>
      </c>
      <c r="C255" t="s">
        <v>110</v>
      </c>
      <c r="D255" t="s">
        <v>42</v>
      </c>
      <c r="E255" t="s">
        <v>52</v>
      </c>
      <c r="F255">
        <v>12248.675999999999</v>
      </c>
      <c r="G255">
        <v>16216.64</v>
      </c>
      <c r="H255">
        <v>-3967.9639999999999</v>
      </c>
      <c r="I255">
        <f>Staging!Q246*(Staging!T246*(1+QtyUplift))*(1-MIN(Staging!R246,DiscountCap))</f>
        <v>13473.543600000001</v>
      </c>
      <c r="J255">
        <f>Staging!P246*(1+CostInflation)*Staging!T246*(1+QtyUplift)</f>
        <v>23100.60368</v>
      </c>
      <c r="K255">
        <f t="shared" si="6"/>
        <v>-9627.0600799999993</v>
      </c>
      <c r="L255">
        <v>2449.735200000001</v>
      </c>
      <c r="M255">
        <f t="shared" si="7"/>
        <v>-5659.0960799999993</v>
      </c>
    </row>
    <row r="256" spans="2:13" x14ac:dyDescent="0.3">
      <c r="B256" t="s">
        <v>592</v>
      </c>
      <c r="C256" t="s">
        <v>34</v>
      </c>
      <c r="D256" t="s">
        <v>42</v>
      </c>
      <c r="E256" t="s">
        <v>16</v>
      </c>
      <c r="F256">
        <v>2909.8689199999999</v>
      </c>
      <c r="G256">
        <v>1509.72</v>
      </c>
      <c r="H256">
        <v>1400.1489199999999</v>
      </c>
      <c r="I256">
        <f>Staging!Q247*(Staging!T247*(1+QtyUplift))*(1-MIN(Staging!R247,DiscountCap))</f>
        <v>3200.8558119999998</v>
      </c>
      <c r="J256">
        <f>Staging!P247*(1+CostInflation)*Staging!T247*(1+QtyUplift)</f>
        <v>2150.5961400000001</v>
      </c>
      <c r="K256">
        <f t="shared" si="6"/>
        <v>1050.2596719999997</v>
      </c>
      <c r="L256">
        <v>548.4386800000002</v>
      </c>
      <c r="M256">
        <f t="shared" si="7"/>
        <v>-349.88924800000018</v>
      </c>
    </row>
    <row r="257" spans="2:13" x14ac:dyDescent="0.3">
      <c r="B257" t="s">
        <v>594</v>
      </c>
      <c r="C257" t="s">
        <v>145</v>
      </c>
      <c r="D257" t="s">
        <v>57</v>
      </c>
      <c r="E257" t="s">
        <v>52</v>
      </c>
      <c r="F257">
        <v>9774.3888000000006</v>
      </c>
      <c r="G257">
        <v>8105.88</v>
      </c>
      <c r="H257">
        <v>1668.5088000000005</v>
      </c>
      <c r="I257">
        <f>Staging!Q248*(Staging!T248*(1+QtyUplift))*(1-MIN(Staging!R248,DiscountCap))</f>
        <v>10941.480000000001</v>
      </c>
      <c r="J257">
        <f>Staging!P248*(1+CostInflation)*Staging!T248*(1+QtyUplift)</f>
        <v>11546.826060000001</v>
      </c>
      <c r="K257">
        <f t="shared" si="6"/>
        <v>-605.34605999999985</v>
      </c>
      <c r="L257">
        <v>3355.387200000001</v>
      </c>
      <c r="M257">
        <f t="shared" si="7"/>
        <v>-2273.8548600000004</v>
      </c>
    </row>
    <row r="258" spans="2:13" x14ac:dyDescent="0.3">
      <c r="B258" t="s">
        <v>596</v>
      </c>
      <c r="C258" t="s">
        <v>21</v>
      </c>
      <c r="D258" t="s">
        <v>64</v>
      </c>
      <c r="E258" t="s">
        <v>78</v>
      </c>
      <c r="F258">
        <v>607.30668000000003</v>
      </c>
      <c r="G258">
        <v>362.7</v>
      </c>
      <c r="H258">
        <v>244.60668000000004</v>
      </c>
      <c r="I258">
        <f>Staging!Q249*(Staging!T249*(1+QtyUplift))*(1-MIN(Staging!R249,DiscountCap))</f>
        <v>668.03734800000007</v>
      </c>
      <c r="J258">
        <f>Staging!P249*(1+CostInflation)*Staging!T249*(1+QtyUplift)</f>
        <v>516.6661499999999</v>
      </c>
      <c r="K258">
        <f t="shared" si="6"/>
        <v>151.37119800000016</v>
      </c>
      <c r="L258">
        <v>100.86012000000005</v>
      </c>
      <c r="M258">
        <f t="shared" si="7"/>
        <v>-93.235481999999877</v>
      </c>
    </row>
    <row r="259" spans="2:13" x14ac:dyDescent="0.3">
      <c r="B259" t="s">
        <v>598</v>
      </c>
      <c r="C259" t="s">
        <v>110</v>
      </c>
      <c r="D259" t="s">
        <v>35</v>
      </c>
      <c r="E259" t="s">
        <v>16</v>
      </c>
      <c r="F259">
        <v>3592.04</v>
      </c>
      <c r="G259">
        <v>3213.12</v>
      </c>
      <c r="H259">
        <v>378.92000000000007</v>
      </c>
      <c r="I259">
        <f>Staging!Q250*(Staging!T250*(1+QtyUplift))*(1-MIN(Staging!R250,DiscountCap))</f>
        <v>3951.2440000000006</v>
      </c>
      <c r="J259">
        <f>Staging!P250*(1+CostInflation)*Staging!T250*(1+QtyUplift)</f>
        <v>4577.0894399999997</v>
      </c>
      <c r="K259">
        <f t="shared" si="6"/>
        <v>-625.84543999999914</v>
      </c>
      <c r="L259">
        <v>403.60000000000036</v>
      </c>
      <c r="M259">
        <f t="shared" si="7"/>
        <v>-1004.7654399999992</v>
      </c>
    </row>
    <row r="260" spans="2:13" x14ac:dyDescent="0.3">
      <c r="B260" t="s">
        <v>600</v>
      </c>
      <c r="C260" t="s">
        <v>84</v>
      </c>
      <c r="D260" t="s">
        <v>64</v>
      </c>
      <c r="E260" t="s">
        <v>45</v>
      </c>
      <c r="F260">
        <v>11813.604160000001</v>
      </c>
      <c r="G260">
        <v>9703.92</v>
      </c>
      <c r="H260">
        <v>2109.6841600000007</v>
      </c>
      <c r="I260">
        <f>Staging!Q251*(Staging!T251*(1+QtyUplift))*(1-MIN(Staging!R251,DiscountCap))</f>
        <v>12994.964576000002</v>
      </c>
      <c r="J260">
        <f>Staging!P251*(1+CostInflation)*Staging!T251*(1+QtyUplift)</f>
        <v>13823.234040000001</v>
      </c>
      <c r="K260">
        <f t="shared" si="6"/>
        <v>-828.26946399999906</v>
      </c>
      <c r="L260">
        <v>1283.2246400000022</v>
      </c>
      <c r="M260">
        <f t="shared" si="7"/>
        <v>-2937.9536239999998</v>
      </c>
    </row>
    <row r="261" spans="2:13" x14ac:dyDescent="0.3">
      <c r="B261" t="s">
        <v>602</v>
      </c>
      <c r="C261" t="s">
        <v>92</v>
      </c>
      <c r="D261" t="s">
        <v>22</v>
      </c>
      <c r="E261" t="s">
        <v>52</v>
      </c>
      <c r="F261">
        <v>12186.368600000002</v>
      </c>
      <c r="G261">
        <v>6481.16</v>
      </c>
      <c r="H261">
        <v>5705.2086000000018</v>
      </c>
      <c r="I261">
        <f>Staging!Q252*(Staging!T252*(1+QtyUplift))*(1-MIN(Staging!R252,DiscountCap))</f>
        <v>13405.005460000002</v>
      </c>
      <c r="J261">
        <f>Staging!P252*(1+CostInflation)*Staging!T252*(1+QtyUplift)</f>
        <v>9232.4124200000006</v>
      </c>
      <c r="K261">
        <f t="shared" si="6"/>
        <v>4172.5930400000016</v>
      </c>
      <c r="L261">
        <v>1891.233400000001</v>
      </c>
      <c r="M261">
        <f t="shared" si="7"/>
        <v>-1532.6155600000002</v>
      </c>
    </row>
    <row r="262" spans="2:13" x14ac:dyDescent="0.3">
      <c r="B262" t="s">
        <v>604</v>
      </c>
      <c r="C262" t="s">
        <v>34</v>
      </c>
      <c r="D262" t="s">
        <v>57</v>
      </c>
      <c r="E262" t="s">
        <v>52</v>
      </c>
      <c r="F262">
        <v>17453.3436</v>
      </c>
      <c r="G262">
        <v>11561.039999999999</v>
      </c>
      <c r="H262">
        <v>5892.3036000000011</v>
      </c>
      <c r="I262">
        <f>Staging!Q253*(Staging!T253*(1+QtyUplift))*(1-MIN(Staging!R253,DiscountCap))</f>
        <v>19198.677960000001</v>
      </c>
      <c r="J262">
        <f>Staging!P253*(1+CostInflation)*Staging!T253*(1+QtyUplift)</f>
        <v>16468.70148</v>
      </c>
      <c r="K262">
        <f t="shared" si="6"/>
        <v>2729.9764800000012</v>
      </c>
      <c r="L262">
        <v>4226.4684000000052</v>
      </c>
      <c r="M262">
        <f t="shared" si="7"/>
        <v>-3162.3271199999999</v>
      </c>
    </row>
    <row r="263" spans="2:13" x14ac:dyDescent="0.3">
      <c r="B263" t="s">
        <v>606</v>
      </c>
      <c r="C263" t="s">
        <v>84</v>
      </c>
      <c r="D263" t="s">
        <v>64</v>
      </c>
      <c r="E263" t="s">
        <v>52</v>
      </c>
      <c r="F263">
        <v>17689.623</v>
      </c>
      <c r="G263">
        <v>18161.919999999998</v>
      </c>
      <c r="H263">
        <v>-472.29699999999866</v>
      </c>
      <c r="I263">
        <f>Staging!Q254*(Staging!T254*(1+QtyUplift))*(1-MIN(Staging!R254,DiscountCap))</f>
        <v>19458.585300000006</v>
      </c>
      <c r="J263">
        <f>Staging!P254*(1+CostInflation)*Staging!T254*(1+QtyUplift)</f>
        <v>25871.655040000001</v>
      </c>
      <c r="K263">
        <f t="shared" si="6"/>
        <v>-6413.0697399999954</v>
      </c>
      <c r="L263">
        <v>4907.4438000000082</v>
      </c>
      <c r="M263">
        <f t="shared" si="7"/>
        <v>-5940.7727399999967</v>
      </c>
    </row>
    <row r="264" spans="2:13" x14ac:dyDescent="0.3">
      <c r="B264" t="s">
        <v>608</v>
      </c>
      <c r="C264" t="s">
        <v>34</v>
      </c>
      <c r="D264" t="s">
        <v>30</v>
      </c>
      <c r="E264" t="s">
        <v>52</v>
      </c>
      <c r="F264">
        <v>25483.91488</v>
      </c>
      <c r="G264">
        <v>12783.52</v>
      </c>
      <c r="H264">
        <v>12700.39488</v>
      </c>
      <c r="I264">
        <f>Staging!Q255*(Staging!T255*(1+QtyUplift))*(1-MIN(Staging!R255,DiscountCap))</f>
        <v>28032.306368000001</v>
      </c>
      <c r="J264">
        <f>Staging!P255*(1+CostInflation)*Staging!T255*(1+QtyUplift)</f>
        <v>18210.124240000001</v>
      </c>
      <c r="K264">
        <f t="shared" si="6"/>
        <v>9822.1821280000004</v>
      </c>
      <c r="L264">
        <v>3250.7955200000033</v>
      </c>
      <c r="M264">
        <f t="shared" si="7"/>
        <v>-2878.2127519999995</v>
      </c>
    </row>
    <row r="265" spans="2:13" x14ac:dyDescent="0.3">
      <c r="B265" t="s">
        <v>610</v>
      </c>
      <c r="C265" t="s">
        <v>92</v>
      </c>
      <c r="D265" t="s">
        <v>64</v>
      </c>
      <c r="E265" t="s">
        <v>45</v>
      </c>
      <c r="F265">
        <v>6468.2751599999992</v>
      </c>
      <c r="G265">
        <v>2855.25</v>
      </c>
      <c r="H265">
        <v>3613.0251599999992</v>
      </c>
      <c r="I265">
        <f>Staging!Q256*(Staging!T256*(1+QtyUplift))*(1-MIN(Staging!R256,DiscountCap))</f>
        <v>7115.1026759999995</v>
      </c>
      <c r="J265">
        <f>Staging!P256*(1+CostInflation)*Staging!T256*(1+QtyUplift)</f>
        <v>4067.3036250000005</v>
      </c>
      <c r="K265">
        <f t="shared" si="6"/>
        <v>3047.7990509999991</v>
      </c>
      <c r="L265">
        <v>646.82751600000029</v>
      </c>
      <c r="M265">
        <f t="shared" si="7"/>
        <v>-565.22610900000018</v>
      </c>
    </row>
    <row r="266" spans="2:13" x14ac:dyDescent="0.3">
      <c r="B266" t="s">
        <v>612</v>
      </c>
      <c r="C266" t="s">
        <v>21</v>
      </c>
      <c r="D266" t="s">
        <v>57</v>
      </c>
      <c r="E266" t="s">
        <v>78</v>
      </c>
      <c r="F266">
        <v>24161.205600000001</v>
      </c>
      <c r="G266">
        <v>10034.550000000001</v>
      </c>
      <c r="H266">
        <v>14126.6556</v>
      </c>
      <c r="I266">
        <f>Staging!Q257*(Staging!T257*(1+QtyUplift))*(1-MIN(Staging!R257,DiscountCap))</f>
        <v>26577.326160000001</v>
      </c>
      <c r="J266">
        <f>Staging!P257*(1+CostInflation)*Staging!T257*(1+QtyUplift)</f>
        <v>14294.216475000001</v>
      </c>
      <c r="K266">
        <f t="shared" si="6"/>
        <v>12283.109684999999</v>
      </c>
      <c r="L266">
        <v>2416.1205599999994</v>
      </c>
      <c r="M266">
        <f t="shared" si="7"/>
        <v>-1843.5459150000006</v>
      </c>
    </row>
    <row r="267" spans="2:13" x14ac:dyDescent="0.3">
      <c r="B267" t="s">
        <v>614</v>
      </c>
      <c r="C267" t="s">
        <v>34</v>
      </c>
      <c r="D267" t="s">
        <v>22</v>
      </c>
      <c r="E267" t="s">
        <v>45</v>
      </c>
      <c r="F267">
        <v>19073.059649999999</v>
      </c>
      <c r="G267">
        <v>13232.34</v>
      </c>
      <c r="H267">
        <v>5840.7196499999991</v>
      </c>
      <c r="I267">
        <f>Staging!Q258*(Staging!T258*(1+QtyUplift))*(1-MIN(Staging!R258,DiscountCap))</f>
        <v>20980.365615000002</v>
      </c>
      <c r="J267">
        <f>Staging!P258*(1+CostInflation)*Staging!T258*(1+QtyUplift)</f>
        <v>18849.468330000003</v>
      </c>
      <c r="K267">
        <f t="shared" si="6"/>
        <v>2130.8972849999991</v>
      </c>
      <c r="L267">
        <v>3759.2608500000024</v>
      </c>
      <c r="M267">
        <f t="shared" si="7"/>
        <v>-3709.822365</v>
      </c>
    </row>
    <row r="268" spans="2:13" x14ac:dyDescent="0.3">
      <c r="B268" t="s">
        <v>616</v>
      </c>
      <c r="C268" t="s">
        <v>92</v>
      </c>
      <c r="D268" t="s">
        <v>35</v>
      </c>
      <c r="E268" t="s">
        <v>78</v>
      </c>
      <c r="F268">
        <v>2394.1605599999998</v>
      </c>
      <c r="G268">
        <v>2067.84</v>
      </c>
      <c r="H268">
        <v>326.32055999999966</v>
      </c>
      <c r="I268">
        <f>Staging!Q259*(Staging!T259*(1+QtyUplift))*(1-MIN(Staging!R259,DiscountCap))</f>
        <v>2633.5766159999998</v>
      </c>
      <c r="J268">
        <f>Staging!P259*(1+CostInflation)*Staging!T259*(1+QtyUplift)</f>
        <v>2945.6380800000002</v>
      </c>
      <c r="K268">
        <f t="shared" ref="K268:K331" si="8">I268-J268</f>
        <v>-312.06146400000034</v>
      </c>
      <c r="L268">
        <v>557.54424000000017</v>
      </c>
      <c r="M268">
        <f t="shared" ref="M268:M331" si="9">K268-H268</f>
        <v>-638.382024</v>
      </c>
    </row>
    <row r="269" spans="2:13" x14ac:dyDescent="0.3">
      <c r="B269" t="s">
        <v>618</v>
      </c>
      <c r="C269" t="s">
        <v>41</v>
      </c>
      <c r="D269" t="s">
        <v>64</v>
      </c>
      <c r="E269" t="s">
        <v>78</v>
      </c>
      <c r="F269">
        <v>4375.3620000000001</v>
      </c>
      <c r="G269">
        <v>2519.44</v>
      </c>
      <c r="H269">
        <v>1855.922</v>
      </c>
      <c r="I269">
        <f>Staging!Q260*(Staging!T260*(1+QtyUplift))*(1-MIN(Staging!R260,DiscountCap))</f>
        <v>4812.8982000000005</v>
      </c>
      <c r="J269">
        <f>Staging!P260*(1+CostInflation)*Staging!T260*(1+QtyUplift)</f>
        <v>3588.9422800000002</v>
      </c>
      <c r="K269">
        <f t="shared" si="8"/>
        <v>1223.9559200000003</v>
      </c>
      <c r="L269">
        <v>1073.2020000000011</v>
      </c>
      <c r="M269">
        <f t="shared" si="9"/>
        <v>-631.96607999999969</v>
      </c>
    </row>
    <row r="270" spans="2:13" x14ac:dyDescent="0.3">
      <c r="B270" t="s">
        <v>620</v>
      </c>
      <c r="C270" t="s">
        <v>84</v>
      </c>
      <c r="D270" t="s">
        <v>81</v>
      </c>
      <c r="E270" t="s">
        <v>52</v>
      </c>
      <c r="F270">
        <v>7568.9632000000001</v>
      </c>
      <c r="G270">
        <v>11455.04</v>
      </c>
      <c r="H270">
        <v>-3886.0768000000007</v>
      </c>
      <c r="I270">
        <f>Staging!Q261*(Staging!T261*(1+QtyUplift))*(1-MIN(Staging!R261,DiscountCap))</f>
        <v>8325.8595200000018</v>
      </c>
      <c r="J270">
        <f>Staging!P261*(1+CostInflation)*Staging!T261*(1+QtyUplift)</f>
        <v>16317.70448</v>
      </c>
      <c r="K270">
        <f t="shared" si="8"/>
        <v>-7991.8449599999985</v>
      </c>
      <c r="L270">
        <v>1144.1456000000017</v>
      </c>
      <c r="M270">
        <f t="shared" si="9"/>
        <v>-4105.7681599999978</v>
      </c>
    </row>
    <row r="271" spans="2:13" x14ac:dyDescent="0.3">
      <c r="B271" t="s">
        <v>622</v>
      </c>
      <c r="C271" t="s">
        <v>63</v>
      </c>
      <c r="D271" t="s">
        <v>22</v>
      </c>
      <c r="E271" t="s">
        <v>16</v>
      </c>
      <c r="F271">
        <v>22882.675440000003</v>
      </c>
      <c r="G271">
        <v>13440.72</v>
      </c>
      <c r="H271">
        <v>9441.9554400000034</v>
      </c>
      <c r="I271">
        <f>Staging!Q262*(Staging!T262*(1+QtyUplift))*(1-MIN(Staging!R262,DiscountCap))</f>
        <v>25170.942984000005</v>
      </c>
      <c r="J271">
        <f>Staging!P262*(1+CostInflation)*Staging!T262*(1+QtyUplift)</f>
        <v>19146.305640000002</v>
      </c>
      <c r="K271">
        <f t="shared" si="8"/>
        <v>6024.6373440000025</v>
      </c>
      <c r="L271">
        <v>2288.2675440000021</v>
      </c>
      <c r="M271">
        <f t="shared" si="9"/>
        <v>-3417.3180960000009</v>
      </c>
    </row>
    <row r="272" spans="2:13" x14ac:dyDescent="0.3">
      <c r="B272" t="s">
        <v>624</v>
      </c>
      <c r="C272" t="s">
        <v>68</v>
      </c>
      <c r="D272" t="s">
        <v>81</v>
      </c>
      <c r="E272" t="s">
        <v>78</v>
      </c>
      <c r="F272">
        <v>17964.4038</v>
      </c>
      <c r="G272">
        <v>10301.06</v>
      </c>
      <c r="H272">
        <v>7663.3438000000006</v>
      </c>
      <c r="I272">
        <f>Staging!Q263*(Staging!T263*(1+QtyUplift))*(1-MIN(Staging!R263,DiscountCap))</f>
        <v>19760.84418</v>
      </c>
      <c r="J272">
        <f>Staging!P263*(1+CostInflation)*Staging!T263*(1+QtyUplift)</f>
        <v>14673.859970000001</v>
      </c>
      <c r="K272">
        <f t="shared" si="8"/>
        <v>5086.9842099999987</v>
      </c>
      <c r="L272">
        <v>1796.44038</v>
      </c>
      <c r="M272">
        <f t="shared" si="9"/>
        <v>-2576.3595900000018</v>
      </c>
    </row>
    <row r="273" spans="2:13" x14ac:dyDescent="0.3">
      <c r="B273" t="s">
        <v>626</v>
      </c>
      <c r="C273" t="s">
        <v>84</v>
      </c>
      <c r="D273" t="s">
        <v>35</v>
      </c>
      <c r="E273" t="s">
        <v>52</v>
      </c>
      <c r="F273">
        <v>8186.057600000001</v>
      </c>
      <c r="G273">
        <v>5828.8</v>
      </c>
      <c r="H273">
        <v>2357.2576000000008</v>
      </c>
      <c r="I273">
        <f>Staging!Q264*(Staging!T264*(1+QtyUplift))*(1-MIN(Staging!R264,DiscountCap))</f>
        <v>9004.6633600000005</v>
      </c>
      <c r="J273">
        <f>Staging!P264*(1+CostInflation)*Staging!T264*(1+QtyUplift)</f>
        <v>8303.1255999999994</v>
      </c>
      <c r="K273">
        <f t="shared" si="8"/>
        <v>701.53776000000107</v>
      </c>
      <c r="L273">
        <v>2150.9283999999998</v>
      </c>
      <c r="M273">
        <f t="shared" si="9"/>
        <v>-1655.7198399999997</v>
      </c>
    </row>
    <row r="274" spans="2:13" x14ac:dyDescent="0.3">
      <c r="B274" t="s">
        <v>628</v>
      </c>
      <c r="C274" t="s">
        <v>126</v>
      </c>
      <c r="D274" t="s">
        <v>42</v>
      </c>
      <c r="E274" t="s">
        <v>16</v>
      </c>
      <c r="F274">
        <v>560.36831999999993</v>
      </c>
      <c r="G274">
        <v>563.46</v>
      </c>
      <c r="H274">
        <v>-3.0916800000001103</v>
      </c>
      <c r="I274">
        <f>Staging!Q265*(Staging!T265*(1+QtyUplift))*(1-MIN(Staging!R265,DiscountCap))</f>
        <v>616.40515200000004</v>
      </c>
      <c r="J274">
        <f>Staging!P265*(1+CostInflation)*Staging!T265*(1+QtyUplift)</f>
        <v>802.6487699999999</v>
      </c>
      <c r="K274">
        <f t="shared" si="8"/>
        <v>-186.24361799999986</v>
      </c>
      <c r="L274">
        <v>56.036832000000118</v>
      </c>
      <c r="M274">
        <f t="shared" si="9"/>
        <v>-183.15193799999975</v>
      </c>
    </row>
    <row r="275" spans="2:13" x14ac:dyDescent="0.3">
      <c r="B275" t="s">
        <v>630</v>
      </c>
      <c r="C275" t="s">
        <v>84</v>
      </c>
      <c r="D275" t="s">
        <v>57</v>
      </c>
      <c r="E275" t="s">
        <v>16</v>
      </c>
      <c r="F275">
        <v>40139.874619999995</v>
      </c>
      <c r="G275">
        <v>33521.120000000003</v>
      </c>
      <c r="H275">
        <v>6618.7546199999924</v>
      </c>
      <c r="I275">
        <f>Staging!Q266*(Staging!T266*(1+QtyUplift))*(1-MIN(Staging!R266,DiscountCap))</f>
        <v>44153.862082</v>
      </c>
      <c r="J275">
        <f>Staging!P266*(1+CostInflation)*Staging!T266*(1+QtyUplift)</f>
        <v>47750.83544000001</v>
      </c>
      <c r="K275">
        <f t="shared" si="8"/>
        <v>-3596.9733580000102</v>
      </c>
      <c r="L275">
        <v>5327.4890800000067</v>
      </c>
      <c r="M275">
        <f t="shared" si="9"/>
        <v>-10215.727978000003</v>
      </c>
    </row>
    <row r="276" spans="2:13" x14ac:dyDescent="0.3">
      <c r="B276" t="s">
        <v>632</v>
      </c>
      <c r="C276" t="s">
        <v>110</v>
      </c>
      <c r="D276" t="s">
        <v>30</v>
      </c>
      <c r="E276" t="s">
        <v>52</v>
      </c>
      <c r="F276">
        <v>12597.52224</v>
      </c>
      <c r="G276">
        <v>20529.710000000003</v>
      </c>
      <c r="H276">
        <v>-7932.1877600000025</v>
      </c>
      <c r="I276">
        <f>Staging!Q267*(Staging!T267*(1+QtyUplift))*(1-MIN(Staging!R267,DiscountCap))</f>
        <v>13857.274464000002</v>
      </c>
      <c r="J276">
        <f>Staging!P267*(1+CostInflation)*Staging!T267*(1+QtyUplift)</f>
        <v>29244.571895000005</v>
      </c>
      <c r="K276">
        <f t="shared" si="8"/>
        <v>-15387.297431000003</v>
      </c>
      <c r="L276">
        <v>2914.3521600000004</v>
      </c>
      <c r="M276">
        <f t="shared" si="9"/>
        <v>-7455.1096710000002</v>
      </c>
    </row>
    <row r="277" spans="2:13" x14ac:dyDescent="0.3">
      <c r="B277" t="s">
        <v>634</v>
      </c>
      <c r="C277" t="s">
        <v>63</v>
      </c>
      <c r="D277" t="s">
        <v>64</v>
      </c>
      <c r="E277" t="s">
        <v>78</v>
      </c>
      <c r="F277">
        <v>38818.760160000005</v>
      </c>
      <c r="G277">
        <v>21054.089999999997</v>
      </c>
      <c r="H277">
        <v>17764.670160000009</v>
      </c>
      <c r="I277">
        <f>Staging!Q268*(Staging!T268*(1+QtyUplift))*(1-MIN(Staging!R268,DiscountCap))</f>
        <v>42700.636176000007</v>
      </c>
      <c r="J277">
        <f>Staging!P268*(1+CostInflation)*Staging!T268*(1+QtyUplift)</f>
        <v>29991.551204999996</v>
      </c>
      <c r="K277">
        <f t="shared" si="8"/>
        <v>12709.084971000011</v>
      </c>
      <c r="L277">
        <v>8277.5297399999981</v>
      </c>
      <c r="M277">
        <f t="shared" si="9"/>
        <v>-5055.5851889999976</v>
      </c>
    </row>
    <row r="278" spans="2:13" x14ac:dyDescent="0.3">
      <c r="B278" t="s">
        <v>636</v>
      </c>
      <c r="C278" t="s">
        <v>75</v>
      </c>
      <c r="D278" t="s">
        <v>22</v>
      </c>
      <c r="E278" t="s">
        <v>16</v>
      </c>
      <c r="F278">
        <v>17594.028880000002</v>
      </c>
      <c r="G278">
        <v>10157.200000000001</v>
      </c>
      <c r="H278">
        <v>7436.8288800000009</v>
      </c>
      <c r="I278">
        <f>Staging!Q269*(Staging!T269*(1+QtyUplift))*(1-MIN(Staging!R269,DiscountCap))</f>
        <v>19353.431768000002</v>
      </c>
      <c r="J278">
        <f>Staging!P269*(1+CostInflation)*Staging!T269*(1+QtyUplift)</f>
        <v>14468.931400000001</v>
      </c>
      <c r="K278">
        <f t="shared" si="8"/>
        <v>4884.5003680000009</v>
      </c>
      <c r="L278">
        <v>1911.1095199999982</v>
      </c>
      <c r="M278">
        <f t="shared" si="9"/>
        <v>-2552.328512</v>
      </c>
    </row>
    <row r="279" spans="2:13" x14ac:dyDescent="0.3">
      <c r="B279" t="s">
        <v>638</v>
      </c>
      <c r="C279" t="s">
        <v>21</v>
      </c>
      <c r="D279" t="s">
        <v>42</v>
      </c>
      <c r="E279" t="s">
        <v>52</v>
      </c>
      <c r="F279">
        <v>6946.8</v>
      </c>
      <c r="G279">
        <v>7370.8600000000006</v>
      </c>
      <c r="H279">
        <v>-424.0600000000004</v>
      </c>
      <c r="I279">
        <f>Staging!Q270*(Staging!T270*(1+QtyUplift))*(1-MIN(Staging!R270,DiscountCap))</f>
        <v>7641.4800000000005</v>
      </c>
      <c r="J279">
        <f>Staging!P270*(1+CostInflation)*Staging!T270*(1+QtyUplift)</f>
        <v>10499.790070000001</v>
      </c>
      <c r="K279">
        <f t="shared" si="8"/>
        <v>-2858.3100700000005</v>
      </c>
      <c r="L279">
        <v>694.68000000000029</v>
      </c>
      <c r="M279">
        <f t="shared" si="9"/>
        <v>-2434.2500700000001</v>
      </c>
    </row>
    <row r="280" spans="2:13" x14ac:dyDescent="0.3">
      <c r="B280" t="s">
        <v>640</v>
      </c>
      <c r="C280" t="s">
        <v>75</v>
      </c>
      <c r="D280" t="s">
        <v>30</v>
      </c>
      <c r="E280" t="s">
        <v>78</v>
      </c>
      <c r="F280">
        <v>7678.2113999999992</v>
      </c>
      <c r="G280">
        <v>7200</v>
      </c>
      <c r="H280">
        <v>478.21139999999923</v>
      </c>
      <c r="I280">
        <f>Staging!Q271*(Staging!T271*(1+QtyUplift))*(1-MIN(Staging!R271,DiscountCap))</f>
        <v>8446.0325400000002</v>
      </c>
      <c r="J280">
        <f>Staging!P271*(1+CostInflation)*Staging!T271*(1+QtyUplift)</f>
        <v>10256.400000000001</v>
      </c>
      <c r="K280">
        <f t="shared" si="8"/>
        <v>-1810.3674600000013</v>
      </c>
      <c r="L280">
        <v>1306.9296000000004</v>
      </c>
      <c r="M280">
        <f t="shared" si="9"/>
        <v>-2288.5788600000005</v>
      </c>
    </row>
    <row r="281" spans="2:13" x14ac:dyDescent="0.3">
      <c r="B281" t="s">
        <v>642</v>
      </c>
      <c r="C281" t="s">
        <v>29</v>
      </c>
      <c r="D281" t="s">
        <v>81</v>
      </c>
      <c r="E281" t="s">
        <v>52</v>
      </c>
      <c r="F281">
        <v>7235.2134999999998</v>
      </c>
      <c r="G281">
        <v>5818.25</v>
      </c>
      <c r="H281">
        <v>1416.9634999999998</v>
      </c>
      <c r="I281">
        <f>Staging!Q272*(Staging!T272*(1+QtyUplift))*(1-MIN(Staging!R272,DiscountCap))</f>
        <v>7958.7348499999998</v>
      </c>
      <c r="J281">
        <f>Staging!P272*(1+CostInflation)*Staging!T272*(1+QtyUplift)</f>
        <v>8288.0971250000002</v>
      </c>
      <c r="K281">
        <f t="shared" si="8"/>
        <v>-329.36227500000041</v>
      </c>
      <c r="L281">
        <v>1035.9890000000014</v>
      </c>
      <c r="M281">
        <f t="shared" si="9"/>
        <v>-1746.3257750000002</v>
      </c>
    </row>
    <row r="282" spans="2:13" x14ac:dyDescent="0.3">
      <c r="B282" t="s">
        <v>644</v>
      </c>
      <c r="C282" t="s">
        <v>68</v>
      </c>
      <c r="D282" t="s">
        <v>64</v>
      </c>
      <c r="E282" t="s">
        <v>45</v>
      </c>
      <c r="F282">
        <v>7120.6486400000003</v>
      </c>
      <c r="G282">
        <v>5213.92</v>
      </c>
      <c r="H282">
        <v>1906.7286400000003</v>
      </c>
      <c r="I282">
        <f>Staging!Q273*(Staging!T273*(1+QtyUplift))*(1-MIN(Staging!R273,DiscountCap))</f>
        <v>7832.7135040000003</v>
      </c>
      <c r="J282">
        <f>Staging!P273*(1+CostInflation)*Staging!T273*(1+QtyUplift)</f>
        <v>7427.2290400000002</v>
      </c>
      <c r="K282">
        <f t="shared" si="8"/>
        <v>405.48446400000012</v>
      </c>
      <c r="L282">
        <v>1413.78496</v>
      </c>
      <c r="M282">
        <f t="shared" si="9"/>
        <v>-1501.2441760000002</v>
      </c>
    </row>
    <row r="283" spans="2:13" x14ac:dyDescent="0.3">
      <c r="B283" t="s">
        <v>646</v>
      </c>
      <c r="C283" t="s">
        <v>92</v>
      </c>
      <c r="D283" t="s">
        <v>64</v>
      </c>
      <c r="E283" t="s">
        <v>78</v>
      </c>
      <c r="F283">
        <v>34632.106319999999</v>
      </c>
      <c r="G283">
        <v>28714.28</v>
      </c>
      <c r="H283">
        <v>5917.8263200000001</v>
      </c>
      <c r="I283">
        <f>Staging!Q274*(Staging!T274*(1+QtyUplift))*(1-MIN(Staging!R274,DiscountCap))</f>
        <v>38095.316952000008</v>
      </c>
      <c r="J283">
        <f>Staging!P274*(1+CostInflation)*Staging!T274*(1+QtyUplift)</f>
        <v>40903.491860000002</v>
      </c>
      <c r="K283">
        <f t="shared" si="8"/>
        <v>-2808.1749079999936</v>
      </c>
      <c r="L283">
        <v>5188.7824800000089</v>
      </c>
      <c r="M283">
        <f t="shared" si="9"/>
        <v>-8726.0012279999937</v>
      </c>
    </row>
    <row r="284" spans="2:13" x14ac:dyDescent="0.3">
      <c r="B284" t="s">
        <v>648</v>
      </c>
      <c r="C284" t="s">
        <v>21</v>
      </c>
      <c r="D284" t="s">
        <v>64</v>
      </c>
      <c r="E284" t="s">
        <v>52</v>
      </c>
      <c r="F284">
        <v>29536.716</v>
      </c>
      <c r="G284">
        <v>21647.600000000002</v>
      </c>
      <c r="H284">
        <v>7889.1159999999982</v>
      </c>
      <c r="I284">
        <f>Staging!Q275*(Staging!T275*(1+QtyUplift))*(1-MIN(Staging!R275,DiscountCap))</f>
        <v>32490.387599999998</v>
      </c>
      <c r="J284">
        <f>Staging!P275*(1+CostInflation)*Staging!T275*(1+QtyUplift)</f>
        <v>30837.006200000003</v>
      </c>
      <c r="K284">
        <f t="shared" si="8"/>
        <v>1653.3813999999948</v>
      </c>
      <c r="L284">
        <v>5440.974000000002</v>
      </c>
      <c r="M284">
        <f t="shared" si="9"/>
        <v>-6235.7346000000034</v>
      </c>
    </row>
    <row r="285" spans="2:13" x14ac:dyDescent="0.3">
      <c r="B285" t="s">
        <v>650</v>
      </c>
      <c r="C285" t="s">
        <v>95</v>
      </c>
      <c r="D285" t="s">
        <v>30</v>
      </c>
      <c r="E285" t="s">
        <v>78</v>
      </c>
      <c r="F285">
        <v>11417.429099999999</v>
      </c>
      <c r="G285">
        <v>6039.81</v>
      </c>
      <c r="H285">
        <v>5377.619099999999</v>
      </c>
      <c r="I285">
        <f>Staging!Q276*(Staging!T276*(1+QtyUplift))*(1-MIN(Staging!R276,DiscountCap))</f>
        <v>12559.17201</v>
      </c>
      <c r="J285">
        <f>Staging!P276*(1+CostInflation)*Staging!T276*(1+QtyUplift)</f>
        <v>8603.7093449999993</v>
      </c>
      <c r="K285">
        <f t="shared" si="8"/>
        <v>3955.4626650000009</v>
      </c>
      <c r="L285">
        <v>1649.9174999999996</v>
      </c>
      <c r="M285">
        <f t="shared" si="9"/>
        <v>-1422.1564349999981</v>
      </c>
    </row>
    <row r="286" spans="2:13" x14ac:dyDescent="0.3">
      <c r="B286" t="s">
        <v>652</v>
      </c>
      <c r="C286" t="s">
        <v>126</v>
      </c>
      <c r="D286" t="s">
        <v>57</v>
      </c>
      <c r="E286" t="s">
        <v>52</v>
      </c>
      <c r="F286">
        <v>8567.3924999999999</v>
      </c>
      <c r="G286">
        <v>8465.82</v>
      </c>
      <c r="H286">
        <v>101.57250000000022</v>
      </c>
      <c r="I286">
        <f>Staging!Q277*(Staging!T277*(1+QtyUplift))*(1-MIN(Staging!R277,DiscountCap))</f>
        <v>9424.1317500000005</v>
      </c>
      <c r="J286">
        <f>Staging!P277*(1+CostInflation)*Staging!T277*(1+QtyUplift)</f>
        <v>12059.560590000001</v>
      </c>
      <c r="K286">
        <f t="shared" si="8"/>
        <v>-2635.4288400000005</v>
      </c>
      <c r="L286">
        <v>1238.0625000000018</v>
      </c>
      <c r="M286">
        <f t="shared" si="9"/>
        <v>-2737.0013400000007</v>
      </c>
    </row>
    <row r="287" spans="2:13" x14ac:dyDescent="0.3">
      <c r="B287" t="s">
        <v>654</v>
      </c>
      <c r="C287" t="s">
        <v>68</v>
      </c>
      <c r="D287" t="s">
        <v>35</v>
      </c>
      <c r="E287" t="s">
        <v>52</v>
      </c>
      <c r="F287">
        <v>79548.755999999994</v>
      </c>
      <c r="G287">
        <v>53534</v>
      </c>
      <c r="H287">
        <v>26014.755999999994</v>
      </c>
      <c r="I287">
        <f>Staging!Q278*(Staging!T278*(1+QtyUplift))*(1-MIN(Staging!R278,DiscountCap))</f>
        <v>87503.631599999993</v>
      </c>
      <c r="J287">
        <f>Staging!P278*(1+CostInflation)*Staging!T278*(1+QtyUplift)</f>
        <v>76259.183000000005</v>
      </c>
      <c r="K287">
        <f t="shared" si="8"/>
        <v>11244.448599999989</v>
      </c>
      <c r="L287">
        <v>9437.9879999999976</v>
      </c>
      <c r="M287">
        <f t="shared" si="9"/>
        <v>-14770.307400000005</v>
      </c>
    </row>
    <row r="288" spans="2:13" x14ac:dyDescent="0.3">
      <c r="B288" t="s">
        <v>656</v>
      </c>
      <c r="C288" t="s">
        <v>68</v>
      </c>
      <c r="D288" t="s">
        <v>81</v>
      </c>
      <c r="E288" t="s">
        <v>78</v>
      </c>
      <c r="F288">
        <v>6066.54648</v>
      </c>
      <c r="G288">
        <v>3080.64</v>
      </c>
      <c r="H288">
        <v>2985.9064800000001</v>
      </c>
      <c r="I288">
        <f>Staging!Q279*(Staging!T279*(1+QtyUplift))*(1-MIN(Staging!R279,DiscountCap))</f>
        <v>6673.2011280000006</v>
      </c>
      <c r="J288">
        <f>Staging!P279*(1+CostInflation)*Staging!T279*(1+QtyUplift)</f>
        <v>4388.3716800000002</v>
      </c>
      <c r="K288">
        <f t="shared" si="8"/>
        <v>2284.8294480000004</v>
      </c>
      <c r="L288">
        <v>1007.518320000001</v>
      </c>
      <c r="M288">
        <f t="shared" si="9"/>
        <v>-701.07703199999969</v>
      </c>
    </row>
    <row r="289" spans="2:13" x14ac:dyDescent="0.3">
      <c r="B289" t="s">
        <v>658</v>
      </c>
      <c r="C289" t="s">
        <v>84</v>
      </c>
      <c r="D289" t="s">
        <v>42</v>
      </c>
      <c r="E289" t="s">
        <v>16</v>
      </c>
      <c r="F289">
        <v>34840.344000000005</v>
      </c>
      <c r="G289">
        <v>19955.11</v>
      </c>
      <c r="H289">
        <v>14885.234000000004</v>
      </c>
      <c r="I289">
        <f>Staging!Q280*(Staging!T280*(1+QtyUplift))*(1-MIN(Staging!R280,DiscountCap))</f>
        <v>38324.378400000009</v>
      </c>
      <c r="J289">
        <f>Staging!P280*(1+CostInflation)*Staging!T280*(1+QtyUplift)</f>
        <v>28426.054195000001</v>
      </c>
      <c r="K289">
        <f t="shared" si="8"/>
        <v>9898.3242050000081</v>
      </c>
      <c r="L289">
        <v>4355.0430000000051</v>
      </c>
      <c r="M289">
        <f t="shared" si="9"/>
        <v>-4986.9097949999959</v>
      </c>
    </row>
    <row r="290" spans="2:13" x14ac:dyDescent="0.3">
      <c r="B290" t="s">
        <v>660</v>
      </c>
      <c r="C290" t="s">
        <v>84</v>
      </c>
      <c r="D290" t="s">
        <v>57</v>
      </c>
      <c r="E290" t="s">
        <v>45</v>
      </c>
      <c r="F290">
        <v>8907.6924999999992</v>
      </c>
      <c r="G290">
        <v>4767.3</v>
      </c>
      <c r="H290">
        <v>4140.392499999999</v>
      </c>
      <c r="I290">
        <f>Staging!Q281*(Staging!T281*(1+QtyUplift))*(1-MIN(Staging!R281,DiscountCap))</f>
        <v>9798.4617500000004</v>
      </c>
      <c r="J290">
        <f>Staging!P281*(1+CostInflation)*Staging!T281*(1+QtyUplift)</f>
        <v>6791.0188500000013</v>
      </c>
      <c r="K290">
        <f t="shared" si="8"/>
        <v>3007.4428999999991</v>
      </c>
      <c r="L290">
        <v>1322.7200000000012</v>
      </c>
      <c r="M290">
        <f t="shared" si="9"/>
        <v>-1132.9495999999999</v>
      </c>
    </row>
    <row r="291" spans="2:13" x14ac:dyDescent="0.3">
      <c r="B291" t="s">
        <v>662</v>
      </c>
      <c r="C291" t="s">
        <v>68</v>
      </c>
      <c r="D291" t="s">
        <v>64</v>
      </c>
      <c r="E291" t="s">
        <v>52</v>
      </c>
      <c r="F291">
        <v>17441.021520000002</v>
      </c>
      <c r="G291">
        <v>9873.81</v>
      </c>
      <c r="H291">
        <v>7567.2115200000026</v>
      </c>
      <c r="I291">
        <f>Staging!Q282*(Staging!T282*(1+QtyUplift))*(1-MIN(Staging!R282,DiscountCap))</f>
        <v>19185.123671999998</v>
      </c>
      <c r="J291">
        <f>Staging!P282*(1+CostInflation)*Staging!T282*(1+QtyUplift)</f>
        <v>14065.242344999999</v>
      </c>
      <c r="K291">
        <f t="shared" si="8"/>
        <v>5119.8813269999991</v>
      </c>
      <c r="L291">
        <v>2003.3605799999968</v>
      </c>
      <c r="M291">
        <f t="shared" si="9"/>
        <v>-2447.3301930000034</v>
      </c>
    </row>
    <row r="292" spans="2:13" x14ac:dyDescent="0.3">
      <c r="B292" t="s">
        <v>664</v>
      </c>
      <c r="C292" t="s">
        <v>92</v>
      </c>
      <c r="D292" t="s">
        <v>35</v>
      </c>
      <c r="E292" t="s">
        <v>45</v>
      </c>
      <c r="F292">
        <v>13360.438</v>
      </c>
      <c r="G292">
        <v>7748.72</v>
      </c>
      <c r="H292">
        <v>5611.7179999999998</v>
      </c>
      <c r="I292">
        <f>Staging!Q283*(Staging!T283*(1+QtyUplift))*(1-MIN(Staging!R283,DiscountCap))</f>
        <v>15746.230500000001</v>
      </c>
      <c r="J292">
        <f>Staging!P283*(1+CostInflation)*Staging!T283*(1+QtyUplift)</f>
        <v>11038.05164</v>
      </c>
      <c r="K292">
        <f t="shared" si="8"/>
        <v>4708.1788600000018</v>
      </c>
      <c r="L292">
        <v>5535.0386000000017</v>
      </c>
      <c r="M292">
        <f t="shared" si="9"/>
        <v>-903.53913999999804</v>
      </c>
    </row>
    <row r="293" spans="2:13" x14ac:dyDescent="0.3">
      <c r="B293" t="s">
        <v>666</v>
      </c>
      <c r="C293" t="s">
        <v>126</v>
      </c>
      <c r="D293" t="s">
        <v>42</v>
      </c>
      <c r="E293" t="s">
        <v>16</v>
      </c>
      <c r="F293">
        <v>667.74</v>
      </c>
      <c r="G293">
        <v>551.09999999999991</v>
      </c>
      <c r="H293">
        <v>116.6400000000001</v>
      </c>
      <c r="I293">
        <f>Staging!Q284*(Staging!T284*(1+QtyUplift))*(1-MIN(Staging!R284,DiscountCap))</f>
        <v>734.51400000000012</v>
      </c>
      <c r="J293">
        <f>Staging!P284*(1+CostInflation)*Staging!T284*(1+QtyUplift)</f>
        <v>785.04195000000004</v>
      </c>
      <c r="K293">
        <f t="shared" si="8"/>
        <v>-50.527949999999919</v>
      </c>
      <c r="L293">
        <v>66.774000000000115</v>
      </c>
      <c r="M293">
        <f t="shared" si="9"/>
        <v>-167.16795000000002</v>
      </c>
    </row>
    <row r="294" spans="2:13" x14ac:dyDescent="0.3">
      <c r="B294" t="s">
        <v>668</v>
      </c>
      <c r="C294" t="s">
        <v>56</v>
      </c>
      <c r="D294" t="s">
        <v>57</v>
      </c>
      <c r="E294" t="s">
        <v>45</v>
      </c>
      <c r="F294">
        <v>11696.156879999999</v>
      </c>
      <c r="G294">
        <v>7480.7999999999993</v>
      </c>
      <c r="H294">
        <v>4215.3568799999994</v>
      </c>
      <c r="I294">
        <f>Staging!Q285*(Staging!T285*(1+QtyUplift))*(1-MIN(Staging!R285,DiscountCap))</f>
        <v>12865.772568</v>
      </c>
      <c r="J294">
        <f>Staging!P285*(1+CostInflation)*Staging!T285*(1+QtyUplift)</f>
        <v>10656.399599999999</v>
      </c>
      <c r="K294">
        <f t="shared" si="8"/>
        <v>2209.3729680000015</v>
      </c>
      <c r="L294">
        <v>1372.9123200000013</v>
      </c>
      <c r="M294">
        <f t="shared" si="9"/>
        <v>-2005.9839119999979</v>
      </c>
    </row>
    <row r="295" spans="2:13" x14ac:dyDescent="0.3">
      <c r="B295" t="s">
        <v>670</v>
      </c>
      <c r="C295" t="s">
        <v>56</v>
      </c>
      <c r="D295" t="s">
        <v>57</v>
      </c>
      <c r="E295" t="s">
        <v>78</v>
      </c>
      <c r="F295">
        <v>15505.479600000001</v>
      </c>
      <c r="G295">
        <v>12215.16</v>
      </c>
      <c r="H295">
        <v>3290.3196000000007</v>
      </c>
      <c r="I295">
        <f>Staging!Q286*(Staging!T286*(1+QtyUplift))*(1-MIN(Staging!R286,DiscountCap))</f>
        <v>17056.027560000002</v>
      </c>
      <c r="J295">
        <f>Staging!P286*(1+CostInflation)*Staging!T286*(1+QtyUplift)</f>
        <v>17400.495419999999</v>
      </c>
      <c r="K295">
        <f t="shared" si="8"/>
        <v>-344.46785999999702</v>
      </c>
      <c r="L295">
        <v>2660.7036000000026</v>
      </c>
      <c r="M295">
        <f t="shared" si="9"/>
        <v>-3634.7874599999977</v>
      </c>
    </row>
    <row r="296" spans="2:13" x14ac:dyDescent="0.3">
      <c r="B296" t="s">
        <v>672</v>
      </c>
      <c r="C296" t="s">
        <v>29</v>
      </c>
      <c r="D296" t="s">
        <v>42</v>
      </c>
      <c r="E296" t="s">
        <v>45</v>
      </c>
      <c r="F296">
        <v>3978.6474000000003</v>
      </c>
      <c r="G296">
        <v>3883.3199999999997</v>
      </c>
      <c r="H296">
        <v>95.32740000000058</v>
      </c>
      <c r="I296">
        <f>Staging!Q287*(Staging!T287*(1+QtyUplift))*(1-MIN(Staging!R287,DiscountCap))</f>
        <v>4376.5121400000016</v>
      </c>
      <c r="J296">
        <f>Staging!P287*(1+CostInflation)*Staging!T287*(1+QtyUplift)</f>
        <v>5531.7893399999994</v>
      </c>
      <c r="K296">
        <f t="shared" si="8"/>
        <v>-1155.2771999999977</v>
      </c>
      <c r="L296">
        <v>1071.174300000001</v>
      </c>
      <c r="M296">
        <f t="shared" si="9"/>
        <v>-1250.6045999999983</v>
      </c>
    </row>
    <row r="297" spans="2:13" x14ac:dyDescent="0.3">
      <c r="B297" t="s">
        <v>674</v>
      </c>
      <c r="C297" t="s">
        <v>84</v>
      </c>
      <c r="D297" t="s">
        <v>42</v>
      </c>
      <c r="E297" t="s">
        <v>78</v>
      </c>
      <c r="F297">
        <v>76.138720000000006</v>
      </c>
      <c r="G297">
        <v>98.28</v>
      </c>
      <c r="H297">
        <v>-22.141279999999995</v>
      </c>
      <c r="I297">
        <f>Staging!Q288*(Staging!T288*(1+QtyUplift))*(1-MIN(Staging!R288,DiscountCap))</f>
        <v>83.752592000000021</v>
      </c>
      <c r="J297">
        <f>Staging!P288*(1+CostInflation)*Staging!T288*(1+QtyUplift)</f>
        <v>139.99986000000001</v>
      </c>
      <c r="K297">
        <f t="shared" si="8"/>
        <v>-56.247267999999991</v>
      </c>
      <c r="L297">
        <v>10.902080000000012</v>
      </c>
      <c r="M297">
        <f t="shared" si="9"/>
        <v>-34.105987999999996</v>
      </c>
    </row>
    <row r="298" spans="2:13" x14ac:dyDescent="0.3">
      <c r="B298" t="s">
        <v>676</v>
      </c>
      <c r="C298" t="s">
        <v>56</v>
      </c>
      <c r="D298" t="s">
        <v>35</v>
      </c>
      <c r="E298" t="s">
        <v>45</v>
      </c>
      <c r="F298">
        <v>20028.787380000002</v>
      </c>
      <c r="G298">
        <v>9599.85</v>
      </c>
      <c r="H298">
        <v>10428.937380000001</v>
      </c>
      <c r="I298">
        <f>Staging!Q289*(Staging!T289*(1+QtyUplift))*(1-MIN(Staging!R289,DiscountCap))</f>
        <v>22031.666118000001</v>
      </c>
      <c r="J298">
        <f>Staging!P289*(1+CostInflation)*Staging!T289*(1+QtyUplift)</f>
        <v>13674.986325000003</v>
      </c>
      <c r="K298">
        <f t="shared" si="8"/>
        <v>8356.6797929999975</v>
      </c>
      <c r="L298">
        <v>2867.8633200000004</v>
      </c>
      <c r="M298">
        <f t="shared" si="9"/>
        <v>-2072.2575870000037</v>
      </c>
    </row>
    <row r="299" spans="2:13" x14ac:dyDescent="0.3">
      <c r="B299" t="s">
        <v>678</v>
      </c>
      <c r="C299" t="s">
        <v>84</v>
      </c>
      <c r="D299" t="s">
        <v>81</v>
      </c>
      <c r="E299" t="s">
        <v>16</v>
      </c>
      <c r="F299">
        <v>26765.040239999998</v>
      </c>
      <c r="G299">
        <v>14372.1</v>
      </c>
      <c r="H299">
        <v>12392.940239999998</v>
      </c>
      <c r="I299">
        <f>Staging!Q290*(Staging!T290*(1+QtyUplift))*(1-MIN(Staging!R290,DiscountCap))</f>
        <v>29441.544263999996</v>
      </c>
      <c r="J299">
        <f>Staging!P290*(1+CostInflation)*Staging!T290*(1+QtyUplift)</f>
        <v>20473.056450000004</v>
      </c>
      <c r="K299">
        <f t="shared" si="8"/>
        <v>8968.4878139999928</v>
      </c>
      <c r="L299">
        <v>2676.504023999998</v>
      </c>
      <c r="M299">
        <f t="shared" si="9"/>
        <v>-3424.4524260000053</v>
      </c>
    </row>
    <row r="300" spans="2:13" x14ac:dyDescent="0.3">
      <c r="B300" t="s">
        <v>680</v>
      </c>
      <c r="C300" t="s">
        <v>49</v>
      </c>
      <c r="D300" t="s">
        <v>22</v>
      </c>
      <c r="E300" t="s">
        <v>16</v>
      </c>
      <c r="F300">
        <v>10456.416880000001</v>
      </c>
      <c r="G300">
        <v>16530.28</v>
      </c>
      <c r="H300">
        <v>-6073.8631199999982</v>
      </c>
      <c r="I300">
        <f>Staging!Q291*(Staging!T291*(1+QtyUplift))*(1-MIN(Staging!R291,DiscountCap))</f>
        <v>11502.058568000002</v>
      </c>
      <c r="J300">
        <f>Staging!P291*(1+CostInflation)*Staging!T291*(1+QtyUplift)</f>
        <v>23547.383860000002</v>
      </c>
      <c r="K300">
        <f t="shared" si="8"/>
        <v>-12045.325292</v>
      </c>
      <c r="L300">
        <v>2355.2820200000006</v>
      </c>
      <c r="M300">
        <f t="shared" si="9"/>
        <v>-5971.4621720000014</v>
      </c>
    </row>
    <row r="301" spans="2:13" x14ac:dyDescent="0.3">
      <c r="B301" t="s">
        <v>682</v>
      </c>
      <c r="C301" t="s">
        <v>75</v>
      </c>
      <c r="D301" t="s">
        <v>81</v>
      </c>
      <c r="E301" t="s">
        <v>16</v>
      </c>
      <c r="F301">
        <v>19066.045319999997</v>
      </c>
      <c r="G301">
        <v>9379.0799999999981</v>
      </c>
      <c r="H301">
        <v>9686.9653199999993</v>
      </c>
      <c r="I301">
        <f>Staging!Q292*(Staging!T292*(1+QtyUplift))*(1-MIN(Staging!R292,DiscountCap))</f>
        <v>20972.649851999999</v>
      </c>
      <c r="J301">
        <f>Staging!P292*(1+CostInflation)*Staging!T292*(1+QtyUplift)</f>
        <v>13360.499459999997</v>
      </c>
      <c r="K301">
        <f t="shared" si="8"/>
        <v>7612.1503920000014</v>
      </c>
      <c r="L301">
        <v>3036.2788800000017</v>
      </c>
      <c r="M301">
        <f t="shared" si="9"/>
        <v>-2074.814927999998</v>
      </c>
    </row>
    <row r="302" spans="2:13" x14ac:dyDescent="0.3">
      <c r="B302" t="s">
        <v>684</v>
      </c>
      <c r="C302" t="s">
        <v>49</v>
      </c>
      <c r="D302" t="s">
        <v>30</v>
      </c>
      <c r="E302" t="s">
        <v>52</v>
      </c>
      <c r="F302">
        <v>1098.9470800000001</v>
      </c>
      <c r="G302">
        <v>787.82</v>
      </c>
      <c r="H302">
        <v>311.12708000000009</v>
      </c>
      <c r="I302">
        <f>Staging!Q293*(Staging!T293*(1+QtyUplift))*(1-MIN(Staging!R293,DiscountCap))</f>
        <v>1208.8417880000002</v>
      </c>
      <c r="J302">
        <f>Staging!P293*(1+CostInflation)*Staging!T293*(1+QtyUplift)</f>
        <v>1122.2495900000001</v>
      </c>
      <c r="K302">
        <f t="shared" si="8"/>
        <v>86.592198000000053</v>
      </c>
      <c r="L302">
        <v>190.10222000000022</v>
      </c>
      <c r="M302">
        <f t="shared" si="9"/>
        <v>-224.53488200000004</v>
      </c>
    </row>
    <row r="303" spans="2:13" x14ac:dyDescent="0.3">
      <c r="B303" t="s">
        <v>686</v>
      </c>
      <c r="C303" t="s">
        <v>75</v>
      </c>
      <c r="D303" t="s">
        <v>81</v>
      </c>
      <c r="E303" t="s">
        <v>78</v>
      </c>
      <c r="F303">
        <v>23375.594060000003</v>
      </c>
      <c r="G303">
        <v>15994.720000000001</v>
      </c>
      <c r="H303">
        <v>7380.8740600000019</v>
      </c>
      <c r="I303">
        <f>Staging!Q294*(Staging!T294*(1+QtyUplift))*(1-MIN(Staging!R294,DiscountCap))</f>
        <v>25713.153466000007</v>
      </c>
      <c r="J303">
        <f>Staging!P294*(1+CostInflation)*Staging!T294*(1+QtyUplift)</f>
        <v>22784.478640000005</v>
      </c>
      <c r="K303">
        <f t="shared" si="8"/>
        <v>2928.6748260000022</v>
      </c>
      <c r="L303">
        <v>5807.0517400000026</v>
      </c>
      <c r="M303">
        <f t="shared" si="9"/>
        <v>-4452.1992339999997</v>
      </c>
    </row>
    <row r="304" spans="2:13" x14ac:dyDescent="0.3">
      <c r="B304" t="s">
        <v>688</v>
      </c>
      <c r="C304" t="s">
        <v>68</v>
      </c>
      <c r="D304" t="s">
        <v>81</v>
      </c>
      <c r="E304" t="s">
        <v>78</v>
      </c>
      <c r="F304">
        <v>7382.1450000000004</v>
      </c>
      <c r="G304">
        <v>3147.15</v>
      </c>
      <c r="H304">
        <v>4234.9950000000008</v>
      </c>
      <c r="I304">
        <f>Staging!Q295*(Staging!T295*(1+QtyUplift))*(1-MIN(Staging!R295,DiscountCap))</f>
        <v>8120.3595000000005</v>
      </c>
      <c r="J304">
        <f>Staging!P295*(1+CostInflation)*Staging!T295*(1+QtyUplift)</f>
        <v>4483.1151749999999</v>
      </c>
      <c r="K304">
        <f t="shared" si="8"/>
        <v>3637.2443250000006</v>
      </c>
      <c r="L304">
        <v>738.21450000000004</v>
      </c>
      <c r="M304">
        <f t="shared" si="9"/>
        <v>-597.75067500000023</v>
      </c>
    </row>
    <row r="305" spans="2:13" x14ac:dyDescent="0.3">
      <c r="B305" t="s">
        <v>690</v>
      </c>
      <c r="C305" t="s">
        <v>110</v>
      </c>
      <c r="D305" t="s">
        <v>22</v>
      </c>
      <c r="E305" t="s">
        <v>45</v>
      </c>
      <c r="F305">
        <v>8903.4839999999986</v>
      </c>
      <c r="G305">
        <v>7075.8</v>
      </c>
      <c r="H305">
        <v>1827.6839999999984</v>
      </c>
      <c r="I305">
        <f>Staging!Q296*(Staging!T296*(1+QtyUplift))*(1-MIN(Staging!R296,DiscountCap))</f>
        <v>9793.8323999999993</v>
      </c>
      <c r="J305">
        <f>Staging!P296*(1+CostInflation)*Staging!T296*(1+QtyUplift)</f>
        <v>10079.4771</v>
      </c>
      <c r="K305">
        <f t="shared" si="8"/>
        <v>-285.64470000000074</v>
      </c>
      <c r="L305">
        <v>890.34840000000077</v>
      </c>
      <c r="M305">
        <f t="shared" si="9"/>
        <v>-2113.3286999999991</v>
      </c>
    </row>
    <row r="306" spans="2:13" x14ac:dyDescent="0.3">
      <c r="B306" t="s">
        <v>692</v>
      </c>
      <c r="C306" t="s">
        <v>63</v>
      </c>
      <c r="D306" t="s">
        <v>57</v>
      </c>
      <c r="E306" t="s">
        <v>78</v>
      </c>
      <c r="F306">
        <v>20455.985130000001</v>
      </c>
      <c r="G306">
        <v>9536.17</v>
      </c>
      <c r="H306">
        <v>10919.815130000001</v>
      </c>
      <c r="I306">
        <f>Staging!Q297*(Staging!T297*(1+QtyUplift))*(1-MIN(Staging!R297,DiscountCap))</f>
        <v>22501.583643000005</v>
      </c>
      <c r="J306">
        <f>Staging!P297*(1+CostInflation)*Staging!T297*(1+QtyUplift)</f>
        <v>13584.274164999999</v>
      </c>
      <c r="K306">
        <f t="shared" si="8"/>
        <v>8917.3094780000065</v>
      </c>
      <c r="L306">
        <v>2375.3849700000064</v>
      </c>
      <c r="M306">
        <f t="shared" si="9"/>
        <v>-2002.5056519999944</v>
      </c>
    </row>
    <row r="307" spans="2:13" x14ac:dyDescent="0.3">
      <c r="B307" t="s">
        <v>694</v>
      </c>
      <c r="C307" t="s">
        <v>68</v>
      </c>
      <c r="D307" t="s">
        <v>30</v>
      </c>
      <c r="E307" t="s">
        <v>52</v>
      </c>
      <c r="F307">
        <v>4241.88105</v>
      </c>
      <c r="G307">
        <v>2730.6400000000003</v>
      </c>
      <c r="H307">
        <v>1511.2410499999996</v>
      </c>
      <c r="I307">
        <f>Staging!Q298*(Staging!T298*(1+QtyUplift))*(1-MIN(Staging!R298,DiscountCap))</f>
        <v>4666.069155000001</v>
      </c>
      <c r="J307">
        <f>Staging!P298*(1+CostInflation)*Staging!T298*(1+QtyUplift)</f>
        <v>3889.7966800000004</v>
      </c>
      <c r="K307">
        <f t="shared" si="8"/>
        <v>776.27247500000067</v>
      </c>
      <c r="L307">
        <v>811.62345000000096</v>
      </c>
      <c r="M307">
        <f t="shared" si="9"/>
        <v>-734.96857499999896</v>
      </c>
    </row>
    <row r="308" spans="2:13" x14ac:dyDescent="0.3">
      <c r="B308" t="s">
        <v>696</v>
      </c>
      <c r="C308" t="s">
        <v>84</v>
      </c>
      <c r="D308" t="s">
        <v>64</v>
      </c>
      <c r="E308" t="s">
        <v>52</v>
      </c>
      <c r="F308">
        <v>3190.8713200000002</v>
      </c>
      <c r="G308">
        <v>2359</v>
      </c>
      <c r="H308">
        <v>831.8713200000002</v>
      </c>
      <c r="I308">
        <f>Staging!Q299*(Staging!T299*(1+QtyUplift))*(1-MIN(Staging!R299,DiscountCap))</f>
        <v>3509.9584520000003</v>
      </c>
      <c r="J308">
        <f>Staging!P299*(1+CostInflation)*Staging!T299*(1+QtyUplift)</f>
        <v>3360.3955000000001</v>
      </c>
      <c r="K308">
        <f t="shared" si="8"/>
        <v>149.56295200000022</v>
      </c>
      <c r="L308">
        <v>350.56658000000016</v>
      </c>
      <c r="M308">
        <f t="shared" si="9"/>
        <v>-682.30836799999997</v>
      </c>
    </row>
    <row r="309" spans="2:13" x14ac:dyDescent="0.3">
      <c r="B309" t="s">
        <v>698</v>
      </c>
      <c r="C309" t="s">
        <v>29</v>
      </c>
      <c r="D309" t="s">
        <v>64</v>
      </c>
      <c r="E309" t="s">
        <v>52</v>
      </c>
      <c r="F309">
        <v>66.920760000000001</v>
      </c>
      <c r="G309">
        <v>101.88</v>
      </c>
      <c r="H309">
        <v>-34.959239999999994</v>
      </c>
      <c r="I309">
        <f>Staging!Q300*(Staging!T300*(1+QtyUplift))*(1-MIN(Staging!R300,DiscountCap))</f>
        <v>73.612836000000001</v>
      </c>
      <c r="J309">
        <f>Staging!P300*(1+CostInflation)*Staging!T300*(1+QtyUplift)</f>
        <v>145.12806</v>
      </c>
      <c r="K309">
        <f t="shared" si="8"/>
        <v>-71.515224000000003</v>
      </c>
      <c r="L309">
        <v>8.2796400000000006</v>
      </c>
      <c r="M309">
        <f t="shared" si="9"/>
        <v>-36.555984000000009</v>
      </c>
    </row>
    <row r="310" spans="2:13" x14ac:dyDescent="0.3">
      <c r="B310" t="s">
        <v>700</v>
      </c>
      <c r="C310" t="s">
        <v>56</v>
      </c>
      <c r="D310" t="s">
        <v>81</v>
      </c>
      <c r="E310" t="s">
        <v>78</v>
      </c>
      <c r="F310">
        <v>12699.28</v>
      </c>
      <c r="G310">
        <v>13017.84</v>
      </c>
      <c r="H310">
        <v>-318.55999999999949</v>
      </c>
      <c r="I310">
        <f>Staging!Q301*(Staging!T301*(1+QtyUplift))*(1-MIN(Staging!R301,DiscountCap))</f>
        <v>13969.208000000002</v>
      </c>
      <c r="J310">
        <f>Staging!P301*(1+CostInflation)*Staging!T301*(1+QtyUplift)</f>
        <v>18543.913080000002</v>
      </c>
      <c r="K310">
        <f t="shared" si="8"/>
        <v>-4574.7050799999997</v>
      </c>
      <c r="L310">
        <v>1269.9280000000017</v>
      </c>
      <c r="M310">
        <f t="shared" si="9"/>
        <v>-4256.1450800000002</v>
      </c>
    </row>
    <row r="311" spans="2:13" x14ac:dyDescent="0.3">
      <c r="B311" t="s">
        <v>702</v>
      </c>
      <c r="C311" t="s">
        <v>21</v>
      </c>
      <c r="D311" t="s">
        <v>22</v>
      </c>
      <c r="E311" t="s">
        <v>52</v>
      </c>
      <c r="F311">
        <v>25577.274079999999</v>
      </c>
      <c r="G311">
        <v>16394.91</v>
      </c>
      <c r="H311">
        <v>9182.3640799999994</v>
      </c>
      <c r="I311">
        <f>Staging!Q302*(Staging!T302*(1+QtyUplift))*(1-MIN(Staging!R302,DiscountCap))</f>
        <v>28135.001488000002</v>
      </c>
      <c r="J311">
        <f>Staging!P302*(1+CostInflation)*Staging!T302*(1+QtyUplift)</f>
        <v>23354.549295000001</v>
      </c>
      <c r="K311">
        <f t="shared" si="8"/>
        <v>4780.452193000001</v>
      </c>
      <c r="L311">
        <v>2557.7274080000025</v>
      </c>
      <c r="M311">
        <f t="shared" si="9"/>
        <v>-4401.9118869999984</v>
      </c>
    </row>
    <row r="312" spans="2:13" x14ac:dyDescent="0.3">
      <c r="B312" t="s">
        <v>704</v>
      </c>
      <c r="C312" t="s">
        <v>29</v>
      </c>
      <c r="D312" t="s">
        <v>30</v>
      </c>
      <c r="E312" t="s">
        <v>45</v>
      </c>
      <c r="F312">
        <v>9866.3104799999983</v>
      </c>
      <c r="G312">
        <v>5849.19</v>
      </c>
      <c r="H312">
        <v>4017.1204799999987</v>
      </c>
      <c r="I312">
        <f>Staging!Q303*(Staging!T303*(1+QtyUplift))*(1-MIN(Staging!R303,DiscountCap))</f>
        <v>10852.941528000001</v>
      </c>
      <c r="J312">
        <f>Staging!P303*(1+CostInflation)*Staging!T303*(1+QtyUplift)</f>
        <v>8332.171155</v>
      </c>
      <c r="K312">
        <f t="shared" si="8"/>
        <v>2520.7703730000012</v>
      </c>
      <c r="L312">
        <v>2252.358720000002</v>
      </c>
      <c r="M312">
        <f t="shared" si="9"/>
        <v>-1496.3501069999975</v>
      </c>
    </row>
    <row r="313" spans="2:13" x14ac:dyDescent="0.3">
      <c r="B313" t="s">
        <v>706</v>
      </c>
      <c r="C313" t="s">
        <v>84</v>
      </c>
      <c r="D313" t="s">
        <v>35</v>
      </c>
      <c r="E313" t="s">
        <v>52</v>
      </c>
      <c r="F313">
        <v>39686.4182</v>
      </c>
      <c r="G313">
        <v>27930.1</v>
      </c>
      <c r="H313">
        <v>11756.318200000002</v>
      </c>
      <c r="I313">
        <f>Staging!Q304*(Staging!T304*(1+QtyUplift))*(1-MIN(Staging!R304,DiscountCap))</f>
        <v>43655.060020000004</v>
      </c>
      <c r="J313">
        <f>Staging!P304*(1+CostInflation)*Staging!T304*(1+QtyUplift)</f>
        <v>39786.427449999996</v>
      </c>
      <c r="K313">
        <f t="shared" si="8"/>
        <v>3868.6325700000089</v>
      </c>
      <c r="L313">
        <v>5422.1398000000045</v>
      </c>
      <c r="M313">
        <f t="shared" si="9"/>
        <v>-7887.6856299999927</v>
      </c>
    </row>
    <row r="314" spans="2:13" x14ac:dyDescent="0.3">
      <c r="B314" t="s">
        <v>708</v>
      </c>
      <c r="C314" t="s">
        <v>75</v>
      </c>
      <c r="D314" t="s">
        <v>42</v>
      </c>
      <c r="E314" t="s">
        <v>78</v>
      </c>
      <c r="F314">
        <v>8093.4784</v>
      </c>
      <c r="G314">
        <v>8927.2999999999993</v>
      </c>
      <c r="H314">
        <v>-833.82159999999931</v>
      </c>
      <c r="I314">
        <f>Staging!Q305*(Staging!T305*(1+QtyUplift))*(1-MIN(Staging!R305,DiscountCap))</f>
        <v>8902.8262400000003</v>
      </c>
      <c r="J314">
        <f>Staging!P305*(1+CostInflation)*Staging!T305*(1+QtyUplift)</f>
        <v>12716.938850000002</v>
      </c>
      <c r="K314">
        <f t="shared" si="8"/>
        <v>-3814.112610000002</v>
      </c>
      <c r="L314">
        <v>1606.9375999999993</v>
      </c>
      <c r="M314">
        <f t="shared" si="9"/>
        <v>-2980.2910100000026</v>
      </c>
    </row>
    <row r="315" spans="2:13" x14ac:dyDescent="0.3">
      <c r="B315" t="s">
        <v>710</v>
      </c>
      <c r="C315" t="s">
        <v>29</v>
      </c>
      <c r="D315" t="s">
        <v>57</v>
      </c>
      <c r="E315" t="s">
        <v>16</v>
      </c>
      <c r="F315">
        <v>5932.7856000000002</v>
      </c>
      <c r="G315">
        <v>2779.56</v>
      </c>
      <c r="H315">
        <v>3153.2256000000002</v>
      </c>
      <c r="I315">
        <f>Staging!Q306*(Staging!T306*(1+QtyUplift))*(1-MIN(Staging!R306,DiscountCap))</f>
        <v>6526.0641600000008</v>
      </c>
      <c r="J315">
        <f>Staging!P306*(1+CostInflation)*Staging!T306*(1+QtyUplift)</f>
        <v>3959.4832200000005</v>
      </c>
      <c r="K315">
        <f t="shared" si="8"/>
        <v>2566.5809400000003</v>
      </c>
      <c r="L315">
        <v>593.27856000000065</v>
      </c>
      <c r="M315">
        <f t="shared" si="9"/>
        <v>-586.64465999999993</v>
      </c>
    </row>
    <row r="316" spans="2:13" x14ac:dyDescent="0.3">
      <c r="B316" t="s">
        <v>712</v>
      </c>
      <c r="C316" t="s">
        <v>92</v>
      </c>
      <c r="D316" t="s">
        <v>64</v>
      </c>
      <c r="E316" t="s">
        <v>78</v>
      </c>
      <c r="F316">
        <v>1641.7107199999998</v>
      </c>
      <c r="G316">
        <v>693.44</v>
      </c>
      <c r="H316">
        <v>948.27071999999976</v>
      </c>
      <c r="I316">
        <f>Staging!Q307*(Staging!T307*(1+QtyUplift))*(1-MIN(Staging!R307,DiscountCap))</f>
        <v>1805.8817920000001</v>
      </c>
      <c r="J316">
        <f>Staging!P307*(1+CostInflation)*Staging!T307*(1+QtyUplift)</f>
        <v>987.80528000000015</v>
      </c>
      <c r="K316">
        <f t="shared" si="8"/>
        <v>818.07651199999998</v>
      </c>
      <c r="L316">
        <v>164.17107200000032</v>
      </c>
      <c r="M316">
        <f t="shared" si="9"/>
        <v>-130.19420799999978</v>
      </c>
    </row>
    <row r="317" spans="2:13" x14ac:dyDescent="0.3">
      <c r="B317" t="s">
        <v>714</v>
      </c>
      <c r="C317" t="s">
        <v>41</v>
      </c>
      <c r="D317" t="s">
        <v>81</v>
      </c>
      <c r="E317" t="s">
        <v>16</v>
      </c>
      <c r="F317">
        <v>43084.872000000003</v>
      </c>
      <c r="G317">
        <v>34810.32</v>
      </c>
      <c r="H317">
        <v>8274.5520000000033</v>
      </c>
      <c r="I317">
        <f>Staging!Q308*(Staging!T308*(1+QtyUplift))*(1-MIN(Staging!R308,DiscountCap))</f>
        <v>47393.359200000006</v>
      </c>
      <c r="J317">
        <f>Staging!P308*(1+CostInflation)*Staging!T308*(1+QtyUplift)</f>
        <v>49587.300840000004</v>
      </c>
      <c r="K317">
        <f t="shared" si="8"/>
        <v>-2193.9416399999973</v>
      </c>
      <c r="L317">
        <v>4308.4872000000032</v>
      </c>
      <c r="M317">
        <f t="shared" si="9"/>
        <v>-10468.493640000001</v>
      </c>
    </row>
    <row r="318" spans="2:13" x14ac:dyDescent="0.3">
      <c r="B318" t="s">
        <v>716</v>
      </c>
      <c r="C318" t="s">
        <v>92</v>
      </c>
      <c r="D318" t="s">
        <v>35</v>
      </c>
      <c r="E318" t="s">
        <v>52</v>
      </c>
      <c r="F318">
        <v>3644.3212800000006</v>
      </c>
      <c r="G318">
        <v>3063.68</v>
      </c>
      <c r="H318">
        <v>580.64128000000073</v>
      </c>
      <c r="I318">
        <f>Staging!Q309*(Staging!T309*(1+QtyUplift))*(1-MIN(Staging!R309,DiscountCap))</f>
        <v>4008.7534080000014</v>
      </c>
      <c r="J318">
        <f>Staging!P309*(1+CostInflation)*Staging!T309*(1+QtyUplift)</f>
        <v>4364.21216</v>
      </c>
      <c r="K318">
        <f t="shared" si="8"/>
        <v>-355.45875199999864</v>
      </c>
      <c r="L318">
        <v>734.17152000000033</v>
      </c>
      <c r="M318">
        <f t="shared" si="9"/>
        <v>-936.10003199999937</v>
      </c>
    </row>
    <row r="319" spans="2:13" x14ac:dyDescent="0.3">
      <c r="B319" t="s">
        <v>718</v>
      </c>
      <c r="C319" t="s">
        <v>49</v>
      </c>
      <c r="D319" t="s">
        <v>30</v>
      </c>
      <c r="E319" t="s">
        <v>45</v>
      </c>
      <c r="F319">
        <v>5334.9141999999993</v>
      </c>
      <c r="G319">
        <v>3424.1200000000003</v>
      </c>
      <c r="H319">
        <v>1910.7941999999989</v>
      </c>
      <c r="I319">
        <f>Staging!Q310*(Staging!T310*(1+QtyUplift))*(1-MIN(Staging!R310,DiscountCap))</f>
        <v>5868.4056200000005</v>
      </c>
      <c r="J319">
        <f>Staging!P310*(1+CostInflation)*Staging!T310*(1+QtyUplift)</f>
        <v>4877.6589400000012</v>
      </c>
      <c r="K319">
        <f t="shared" si="8"/>
        <v>990.74667999999929</v>
      </c>
      <c r="L319">
        <v>900.69980000000214</v>
      </c>
      <c r="M319">
        <f t="shared" si="9"/>
        <v>-920.04751999999962</v>
      </c>
    </row>
    <row r="320" spans="2:13" x14ac:dyDescent="0.3">
      <c r="B320" t="s">
        <v>720</v>
      </c>
      <c r="C320" t="s">
        <v>145</v>
      </c>
      <c r="D320" t="s">
        <v>57</v>
      </c>
      <c r="E320" t="s">
        <v>78</v>
      </c>
      <c r="F320">
        <v>9847.2358600000007</v>
      </c>
      <c r="G320">
        <v>5623.2400000000007</v>
      </c>
      <c r="H320">
        <v>4223.99586</v>
      </c>
      <c r="I320">
        <f>Staging!Q311*(Staging!T311*(1+QtyUplift))*(1-MIN(Staging!R311,DiscountCap))</f>
        <v>10831.959446000003</v>
      </c>
      <c r="J320">
        <f>Staging!P311*(1+CostInflation)*Staging!T311*(1+QtyUplift)</f>
        <v>8010.3053800000016</v>
      </c>
      <c r="K320">
        <f t="shared" si="8"/>
        <v>2821.654066000001</v>
      </c>
      <c r="L320">
        <v>984.72358600000189</v>
      </c>
      <c r="M320">
        <f t="shared" si="9"/>
        <v>-1402.341793999999</v>
      </c>
    </row>
    <row r="321" spans="2:13" x14ac:dyDescent="0.3">
      <c r="B321" t="s">
        <v>722</v>
      </c>
      <c r="C321" t="s">
        <v>56</v>
      </c>
      <c r="D321" t="s">
        <v>64</v>
      </c>
      <c r="E321" t="s">
        <v>78</v>
      </c>
      <c r="F321">
        <v>30799.273800000003</v>
      </c>
      <c r="G321">
        <v>16796.64</v>
      </c>
      <c r="H321">
        <v>14002.633800000003</v>
      </c>
      <c r="I321">
        <f>Staging!Q312*(Staging!T312*(1+QtyUplift))*(1-MIN(Staging!R312,DiscountCap))</f>
        <v>33879.201180000004</v>
      </c>
      <c r="J321">
        <f>Staging!P312*(1+CostInflation)*Staging!T312*(1+QtyUplift)</f>
        <v>23926.813679999999</v>
      </c>
      <c r="K321">
        <f t="shared" si="8"/>
        <v>9952.3875000000044</v>
      </c>
      <c r="L321">
        <v>6613.3410000000076</v>
      </c>
      <c r="M321">
        <f t="shared" si="9"/>
        <v>-4050.2462999999989</v>
      </c>
    </row>
    <row r="322" spans="2:13" x14ac:dyDescent="0.3">
      <c r="B322" t="s">
        <v>724</v>
      </c>
      <c r="C322" t="s">
        <v>34</v>
      </c>
      <c r="D322" t="s">
        <v>35</v>
      </c>
      <c r="E322" t="s">
        <v>52</v>
      </c>
      <c r="F322">
        <v>879.05840000000001</v>
      </c>
      <c r="G322">
        <v>818.08</v>
      </c>
      <c r="H322">
        <v>60.978399999999965</v>
      </c>
      <c r="I322">
        <f>Staging!Q313*(Staging!T313*(1+QtyUplift))*(1-MIN(Staging!R313,DiscountCap))</f>
        <v>966.96424000000013</v>
      </c>
      <c r="J322">
        <f>Staging!P313*(1+CostInflation)*Staging!T313*(1+QtyUplift)</f>
        <v>1165.3549600000001</v>
      </c>
      <c r="K322">
        <f t="shared" si="8"/>
        <v>-198.39071999999999</v>
      </c>
      <c r="L322">
        <v>87.905840000000126</v>
      </c>
      <c r="M322">
        <f t="shared" si="9"/>
        <v>-259.36911999999995</v>
      </c>
    </row>
    <row r="323" spans="2:13" x14ac:dyDescent="0.3">
      <c r="B323" t="s">
        <v>726</v>
      </c>
      <c r="C323" t="s">
        <v>110</v>
      </c>
      <c r="D323" t="s">
        <v>81</v>
      </c>
      <c r="E323" t="s">
        <v>52</v>
      </c>
      <c r="F323">
        <v>11283.400799999999</v>
      </c>
      <c r="G323">
        <v>7071.3</v>
      </c>
      <c r="H323">
        <v>4212.1007999999993</v>
      </c>
      <c r="I323">
        <f>Staging!Q314*(Staging!T314*(1+QtyUplift))*(1-MIN(Staging!R314,DiscountCap))</f>
        <v>12411.740879999999</v>
      </c>
      <c r="J323">
        <f>Staging!P314*(1+CostInflation)*Staging!T314*(1+QtyUplift)</f>
        <v>10073.066849999999</v>
      </c>
      <c r="K323">
        <f t="shared" si="8"/>
        <v>2338.6740300000001</v>
      </c>
      <c r="L323">
        <v>1128.3400799999999</v>
      </c>
      <c r="M323">
        <f t="shared" si="9"/>
        <v>-1873.4267699999991</v>
      </c>
    </row>
    <row r="324" spans="2:13" x14ac:dyDescent="0.3">
      <c r="B324" t="s">
        <v>728</v>
      </c>
      <c r="C324" t="s">
        <v>110</v>
      </c>
      <c r="D324" t="s">
        <v>30</v>
      </c>
      <c r="E324" t="s">
        <v>78</v>
      </c>
      <c r="F324">
        <v>40325.31</v>
      </c>
      <c r="G324">
        <v>22698.359999999997</v>
      </c>
      <c r="H324">
        <v>17626.95</v>
      </c>
      <c r="I324">
        <f>Staging!Q315*(Staging!T315*(1+QtyUplift))*(1-MIN(Staging!R315,DiscountCap))</f>
        <v>44357.841</v>
      </c>
      <c r="J324">
        <f>Staging!P315*(1+CostInflation)*Staging!T315*(1+QtyUplift)</f>
        <v>32333.813820000003</v>
      </c>
      <c r="K324">
        <f t="shared" si="8"/>
        <v>12024.027179999997</v>
      </c>
      <c r="L324">
        <v>4032.5310000000027</v>
      </c>
      <c r="M324">
        <f t="shared" si="9"/>
        <v>-5602.9228200000034</v>
      </c>
    </row>
    <row r="325" spans="2:13" x14ac:dyDescent="0.3">
      <c r="B325" t="s">
        <v>730</v>
      </c>
      <c r="C325" t="s">
        <v>92</v>
      </c>
      <c r="D325" t="s">
        <v>64</v>
      </c>
      <c r="E325" t="s">
        <v>16</v>
      </c>
      <c r="F325">
        <v>5032.4433599999993</v>
      </c>
      <c r="G325">
        <v>4184.95</v>
      </c>
      <c r="H325">
        <v>847.49335999999948</v>
      </c>
      <c r="I325">
        <f>Staging!Q316*(Staging!T316*(1+QtyUplift))*(1-MIN(Staging!R316,DiscountCap))</f>
        <v>5535.687696</v>
      </c>
      <c r="J325">
        <f>Staging!P316*(1+CostInflation)*Staging!T316*(1+QtyUplift)</f>
        <v>5961.4612749999997</v>
      </c>
      <c r="K325">
        <f t="shared" si="8"/>
        <v>-425.7735789999997</v>
      </c>
      <c r="L325">
        <v>503.24433600000066</v>
      </c>
      <c r="M325">
        <f t="shared" si="9"/>
        <v>-1273.2669389999992</v>
      </c>
    </row>
    <row r="326" spans="2:13" x14ac:dyDescent="0.3">
      <c r="B326" t="s">
        <v>732</v>
      </c>
      <c r="C326" t="s">
        <v>41</v>
      </c>
      <c r="D326" t="s">
        <v>22</v>
      </c>
      <c r="E326" t="s">
        <v>78</v>
      </c>
      <c r="F326">
        <v>8780.5809000000008</v>
      </c>
      <c r="G326">
        <v>4932.8499999999995</v>
      </c>
      <c r="H326">
        <v>3847.7309000000014</v>
      </c>
      <c r="I326">
        <f>Staging!Q317*(Staging!T317*(1+QtyUplift))*(1-MIN(Staging!R317,DiscountCap))</f>
        <v>9658.6389900000013</v>
      </c>
      <c r="J326">
        <f>Staging!P317*(1+CostInflation)*Staging!T317*(1+QtyUplift)</f>
        <v>7026.844825000001</v>
      </c>
      <c r="K326">
        <f t="shared" si="8"/>
        <v>2631.7941650000002</v>
      </c>
      <c r="L326">
        <v>878.05809000000045</v>
      </c>
      <c r="M326">
        <f t="shared" si="9"/>
        <v>-1215.9367350000011</v>
      </c>
    </row>
    <row r="327" spans="2:13" x14ac:dyDescent="0.3">
      <c r="B327" t="s">
        <v>734</v>
      </c>
      <c r="C327" t="s">
        <v>56</v>
      </c>
      <c r="D327" t="s">
        <v>42</v>
      </c>
      <c r="E327" t="s">
        <v>45</v>
      </c>
      <c r="F327">
        <v>9062.34692</v>
      </c>
      <c r="G327">
        <v>6405.96</v>
      </c>
      <c r="H327">
        <v>2656.3869199999999</v>
      </c>
      <c r="I327">
        <f>Staging!Q318*(Staging!T318*(1+QtyUplift))*(1-MIN(Staging!R318,DiscountCap))</f>
        <v>9968.5816120000018</v>
      </c>
      <c r="J327">
        <f>Staging!P318*(1+CostInflation)*Staging!T318*(1+QtyUplift)</f>
        <v>9125.2900200000004</v>
      </c>
      <c r="K327">
        <f t="shared" si="8"/>
        <v>843.2915920000014</v>
      </c>
      <c r="L327">
        <v>1382.0342800000017</v>
      </c>
      <c r="M327">
        <f t="shared" si="9"/>
        <v>-1813.0953279999985</v>
      </c>
    </row>
    <row r="328" spans="2:13" x14ac:dyDescent="0.3">
      <c r="B328" t="s">
        <v>736</v>
      </c>
      <c r="C328" t="s">
        <v>95</v>
      </c>
      <c r="D328" t="s">
        <v>35</v>
      </c>
      <c r="E328" t="s">
        <v>52</v>
      </c>
      <c r="F328">
        <v>16306.59375</v>
      </c>
      <c r="G328">
        <v>15268.8</v>
      </c>
      <c r="H328">
        <v>1037.7937500000007</v>
      </c>
      <c r="I328">
        <f>Staging!Q319*(Staging!T319*(1+QtyUplift))*(1-MIN(Staging!R319,DiscountCap))</f>
        <v>17937.253124999999</v>
      </c>
      <c r="J328">
        <f>Staging!P319*(1+CostInflation)*Staging!T319*(1+QtyUplift)</f>
        <v>21750.405599999998</v>
      </c>
      <c r="K328">
        <f t="shared" si="8"/>
        <v>-3813.152474999999</v>
      </c>
      <c r="L328">
        <v>1630.6593749999993</v>
      </c>
      <c r="M328">
        <f t="shared" si="9"/>
        <v>-4850.9462249999997</v>
      </c>
    </row>
    <row r="329" spans="2:13" x14ac:dyDescent="0.3">
      <c r="B329" t="s">
        <v>738</v>
      </c>
      <c r="C329" t="s">
        <v>34</v>
      </c>
      <c r="D329" t="s">
        <v>64</v>
      </c>
      <c r="E329" t="s">
        <v>52</v>
      </c>
      <c r="F329">
        <v>2915.4540999999999</v>
      </c>
      <c r="G329">
        <v>2035.15</v>
      </c>
      <c r="H329">
        <v>880.30409999999983</v>
      </c>
      <c r="I329">
        <f>Staging!Q320*(Staging!T320*(1+QtyUplift))*(1-MIN(Staging!R320,DiscountCap))</f>
        <v>3206.9995099999996</v>
      </c>
      <c r="J329">
        <f>Staging!P320*(1+CostInflation)*Staging!T320*(1+QtyUplift)</f>
        <v>2899.071175</v>
      </c>
      <c r="K329">
        <f t="shared" si="8"/>
        <v>307.92833499999961</v>
      </c>
      <c r="L329">
        <v>291.54540999999972</v>
      </c>
      <c r="M329">
        <f t="shared" si="9"/>
        <v>-572.37576500000023</v>
      </c>
    </row>
    <row r="330" spans="2:13" x14ac:dyDescent="0.3">
      <c r="B330" t="s">
        <v>740</v>
      </c>
      <c r="C330" t="s">
        <v>21</v>
      </c>
      <c r="D330" t="s">
        <v>81</v>
      </c>
      <c r="E330" t="s">
        <v>16</v>
      </c>
      <c r="F330">
        <v>53034.364139999991</v>
      </c>
      <c r="G330">
        <v>46394.080000000002</v>
      </c>
      <c r="H330">
        <v>6640.2841399999888</v>
      </c>
      <c r="I330">
        <f>Staging!Q321*(Staging!T321*(1+QtyUplift))*(1-MIN(Staging!R321,DiscountCap))</f>
        <v>58337.800554000001</v>
      </c>
      <c r="J330">
        <f>Staging!P321*(1+CostInflation)*Staging!T321*(1+QtyUplift)</f>
        <v>66088.366959999999</v>
      </c>
      <c r="K330">
        <f t="shared" si="8"/>
        <v>-7750.5664059999981</v>
      </c>
      <c r="L330">
        <v>8807.8272600000128</v>
      </c>
      <c r="M330">
        <f t="shared" si="9"/>
        <v>-14390.850545999987</v>
      </c>
    </row>
    <row r="331" spans="2:13" x14ac:dyDescent="0.3">
      <c r="B331" t="s">
        <v>742</v>
      </c>
      <c r="C331" t="s">
        <v>63</v>
      </c>
      <c r="D331" t="s">
        <v>42</v>
      </c>
      <c r="E331" t="s">
        <v>78</v>
      </c>
      <c r="F331">
        <v>22380.204000000002</v>
      </c>
      <c r="G331">
        <v>9868.5</v>
      </c>
      <c r="H331">
        <v>12511.704000000002</v>
      </c>
      <c r="I331">
        <f>Staging!Q322*(Staging!T322*(1+QtyUplift))*(1-MIN(Staging!R322,DiscountCap))</f>
        <v>24618.224399999999</v>
      </c>
      <c r="J331">
        <f>Staging!P322*(1+CostInflation)*Staging!T322*(1+QtyUplift)</f>
        <v>14057.678250000001</v>
      </c>
      <c r="K331">
        <f t="shared" si="8"/>
        <v>10560.546149999998</v>
      </c>
      <c r="L331">
        <v>2238.0203999999976</v>
      </c>
      <c r="M331">
        <f t="shared" si="9"/>
        <v>-1951.1578500000032</v>
      </c>
    </row>
    <row r="332" spans="2:13" x14ac:dyDescent="0.3">
      <c r="B332" t="s">
        <v>744</v>
      </c>
      <c r="C332" t="s">
        <v>56</v>
      </c>
      <c r="D332" t="s">
        <v>35</v>
      </c>
      <c r="E332" t="s">
        <v>52</v>
      </c>
      <c r="F332">
        <v>7493.1076000000012</v>
      </c>
      <c r="G332">
        <v>8904.9399999999987</v>
      </c>
      <c r="H332">
        <v>-1411.8323999999975</v>
      </c>
      <c r="I332">
        <f>Staging!Q323*(Staging!T323*(1+QtyUplift))*(1-MIN(Staging!R323,DiscountCap))</f>
        <v>8242.4183600000015</v>
      </c>
      <c r="J332">
        <f>Staging!P323*(1+CostInflation)*Staging!T323*(1+QtyUplift)</f>
        <v>12685.087030000002</v>
      </c>
      <c r="K332">
        <f t="shared" ref="K332:K395" si="10">I332-J332</f>
        <v>-4442.6686700000009</v>
      </c>
      <c r="L332">
        <v>1956.7988000000005</v>
      </c>
      <c r="M332">
        <f t="shared" ref="M332:M395" si="11">K332-H332</f>
        <v>-3030.8362700000034</v>
      </c>
    </row>
    <row r="333" spans="2:13" x14ac:dyDescent="0.3">
      <c r="B333" t="s">
        <v>746</v>
      </c>
      <c r="C333" t="s">
        <v>95</v>
      </c>
      <c r="D333" t="s">
        <v>35</v>
      </c>
      <c r="E333" t="s">
        <v>78</v>
      </c>
      <c r="F333">
        <v>39546.774539999999</v>
      </c>
      <c r="G333">
        <v>18197.34</v>
      </c>
      <c r="H333">
        <v>21349.434539999998</v>
      </c>
      <c r="I333">
        <f>Staging!Q324*(Staging!T324*(1+QtyUplift))*(1-MIN(Staging!R324,DiscountCap))</f>
        <v>43501.45199400001</v>
      </c>
      <c r="J333">
        <f>Staging!P324*(1+CostInflation)*Staging!T324*(1+QtyUplift)</f>
        <v>25922.110829999998</v>
      </c>
      <c r="K333">
        <f t="shared" si="10"/>
        <v>17579.341164000012</v>
      </c>
      <c r="L333">
        <v>4100.1672600000093</v>
      </c>
      <c r="M333">
        <f t="shared" si="11"/>
        <v>-3770.0933759999862</v>
      </c>
    </row>
    <row r="334" spans="2:13" x14ac:dyDescent="0.3">
      <c r="B334" t="s">
        <v>748</v>
      </c>
      <c r="C334" t="s">
        <v>75</v>
      </c>
      <c r="D334" t="s">
        <v>22</v>
      </c>
      <c r="E334" t="s">
        <v>52</v>
      </c>
      <c r="F334">
        <v>703.2428000000001</v>
      </c>
      <c r="G334">
        <v>1046.24</v>
      </c>
      <c r="H334">
        <v>-342.99719999999991</v>
      </c>
      <c r="I334">
        <f>Staging!Q325*(Staging!T325*(1+QtyUplift))*(1-MIN(Staging!R325,DiscountCap))</f>
        <v>773.56708000000015</v>
      </c>
      <c r="J334">
        <f>Staging!P325*(1+CostInflation)*Staging!T325*(1+QtyUplift)</f>
        <v>1490.36888</v>
      </c>
      <c r="K334">
        <f t="shared" si="10"/>
        <v>-716.80179999999984</v>
      </c>
      <c r="L334">
        <v>141.67269999999996</v>
      </c>
      <c r="M334">
        <f t="shared" si="11"/>
        <v>-373.80459999999994</v>
      </c>
    </row>
    <row r="335" spans="2:13" x14ac:dyDescent="0.3">
      <c r="B335" t="s">
        <v>750</v>
      </c>
      <c r="C335" t="s">
        <v>29</v>
      </c>
      <c r="D335" t="s">
        <v>22</v>
      </c>
      <c r="E335" t="s">
        <v>52</v>
      </c>
      <c r="F335">
        <v>26015.449459999996</v>
      </c>
      <c r="G335">
        <v>11113.630000000001</v>
      </c>
      <c r="H335">
        <v>14901.819459999995</v>
      </c>
      <c r="I335">
        <f>Staging!Q326*(Staging!T326*(1+QtyUplift))*(1-MIN(Staging!R326,DiscountCap))</f>
        <v>28616.994405999998</v>
      </c>
      <c r="J335">
        <f>Staging!P326*(1+CostInflation)*Staging!T326*(1+QtyUplift)</f>
        <v>15831.365935000002</v>
      </c>
      <c r="K335">
        <f t="shared" si="10"/>
        <v>12785.628470999996</v>
      </c>
      <c r="L335">
        <v>2601.5449460000018</v>
      </c>
      <c r="M335">
        <f t="shared" si="11"/>
        <v>-2116.1909889999988</v>
      </c>
    </row>
    <row r="336" spans="2:13" x14ac:dyDescent="0.3">
      <c r="B336" t="s">
        <v>752</v>
      </c>
      <c r="C336" t="s">
        <v>95</v>
      </c>
      <c r="D336" t="s">
        <v>81</v>
      </c>
      <c r="E336" t="s">
        <v>16</v>
      </c>
      <c r="F336">
        <v>9829.0483199999999</v>
      </c>
      <c r="G336">
        <v>7846.32</v>
      </c>
      <c r="H336">
        <v>1982.7283200000002</v>
      </c>
      <c r="I336">
        <f>Staging!Q327*(Staging!T327*(1+QtyUplift))*(1-MIN(Staging!R327,DiscountCap))</f>
        <v>10811.953152000002</v>
      </c>
      <c r="J336">
        <f>Staging!P327*(1+CostInflation)*Staging!T327*(1+QtyUplift)</f>
        <v>11177.082840000001</v>
      </c>
      <c r="K336">
        <f t="shared" si="10"/>
        <v>-365.12968799999908</v>
      </c>
      <c r="L336">
        <v>1241.2108800000024</v>
      </c>
      <c r="M336">
        <f t="shared" si="11"/>
        <v>-2347.8580079999992</v>
      </c>
    </row>
    <row r="337" spans="2:13" x14ac:dyDescent="0.3">
      <c r="B337" t="s">
        <v>754</v>
      </c>
      <c r="C337" t="s">
        <v>56</v>
      </c>
      <c r="D337" t="s">
        <v>22</v>
      </c>
      <c r="E337" t="s">
        <v>45</v>
      </c>
      <c r="F337">
        <v>2373.9623200000001</v>
      </c>
      <c r="G337">
        <v>1240.08</v>
      </c>
      <c r="H337">
        <v>1133.8823200000002</v>
      </c>
      <c r="I337">
        <f>Staging!Q328*(Staging!T328*(1+QtyUplift))*(1-MIN(Staging!R328,DiscountCap))</f>
        <v>2611.3585520000001</v>
      </c>
      <c r="J337">
        <f>Staging!P328*(1+CostInflation)*Staging!T328*(1+QtyUplift)</f>
        <v>1766.49396</v>
      </c>
      <c r="K337">
        <f t="shared" si="10"/>
        <v>844.86459200000013</v>
      </c>
      <c r="L337">
        <v>237.39623200000005</v>
      </c>
      <c r="M337">
        <f t="shared" si="11"/>
        <v>-289.01772800000003</v>
      </c>
    </row>
    <row r="338" spans="2:13" x14ac:dyDescent="0.3">
      <c r="B338" t="s">
        <v>756</v>
      </c>
      <c r="C338" t="s">
        <v>92</v>
      </c>
      <c r="D338" t="s">
        <v>42</v>
      </c>
      <c r="E338" t="s">
        <v>16</v>
      </c>
      <c r="F338">
        <v>3799.8031499999997</v>
      </c>
      <c r="G338">
        <v>2682.69</v>
      </c>
      <c r="H338">
        <v>1117.1131499999997</v>
      </c>
      <c r="I338">
        <f>Staging!Q329*(Staging!T329*(1+QtyUplift))*(1-MIN(Staging!R329,DiscountCap))</f>
        <v>4179.7834649999995</v>
      </c>
      <c r="J338">
        <f>Staging!P329*(1+CostInflation)*Staging!T329*(1+QtyUplift)</f>
        <v>3821.4919050000003</v>
      </c>
      <c r="K338">
        <f t="shared" si="10"/>
        <v>358.29155999999921</v>
      </c>
      <c r="L338">
        <v>422.20035000000007</v>
      </c>
      <c r="M338">
        <f t="shared" si="11"/>
        <v>-758.82159000000047</v>
      </c>
    </row>
    <row r="339" spans="2:13" x14ac:dyDescent="0.3">
      <c r="B339" t="s">
        <v>758</v>
      </c>
      <c r="C339" t="s">
        <v>49</v>
      </c>
      <c r="D339" t="s">
        <v>64</v>
      </c>
      <c r="E339" t="s">
        <v>52</v>
      </c>
      <c r="F339">
        <v>6667.9199999999983</v>
      </c>
      <c r="G339">
        <v>3837.7</v>
      </c>
      <c r="H339">
        <v>2830.2199999999984</v>
      </c>
      <c r="I339">
        <f>Staging!Q330*(Staging!T330*(1+QtyUplift))*(1-MIN(Staging!R330,DiscountCap))</f>
        <v>7858.62</v>
      </c>
      <c r="J339">
        <f>Staging!P330*(1+CostInflation)*Staging!T330*(1+QtyUplift)</f>
        <v>5466.8036499999998</v>
      </c>
      <c r="K339">
        <f t="shared" si="10"/>
        <v>2391.8163500000001</v>
      </c>
      <c r="L339">
        <v>2762.4240000000027</v>
      </c>
      <c r="M339">
        <f t="shared" si="11"/>
        <v>-438.40364999999838</v>
      </c>
    </row>
    <row r="340" spans="2:13" x14ac:dyDescent="0.3">
      <c r="B340" t="s">
        <v>760</v>
      </c>
      <c r="C340" t="s">
        <v>34</v>
      </c>
      <c r="D340" t="s">
        <v>57</v>
      </c>
      <c r="E340" t="s">
        <v>52</v>
      </c>
      <c r="F340">
        <v>27756.432000000001</v>
      </c>
      <c r="G340">
        <v>15106.41</v>
      </c>
      <c r="H340">
        <v>12650.022000000001</v>
      </c>
      <c r="I340">
        <f>Staging!Q331*(Staging!T331*(1+QtyUplift))*(1-MIN(Staging!R331,DiscountCap))</f>
        <v>30532.075200000007</v>
      </c>
      <c r="J340">
        <f>Staging!P331*(1+CostInflation)*Staging!T331*(1+QtyUplift)</f>
        <v>21519.081045000003</v>
      </c>
      <c r="K340">
        <f t="shared" si="10"/>
        <v>9012.994155000004</v>
      </c>
      <c r="L340">
        <v>6592.1526000000013</v>
      </c>
      <c r="M340">
        <f t="shared" si="11"/>
        <v>-3637.0278449999969</v>
      </c>
    </row>
    <row r="341" spans="2:13" x14ac:dyDescent="0.3">
      <c r="B341" t="s">
        <v>762</v>
      </c>
      <c r="C341" t="s">
        <v>92</v>
      </c>
      <c r="D341" t="s">
        <v>42</v>
      </c>
      <c r="E341" t="s">
        <v>52</v>
      </c>
      <c r="F341">
        <v>2537.2908000000002</v>
      </c>
      <c r="G341">
        <v>1208.28</v>
      </c>
      <c r="H341">
        <v>1329.0108000000002</v>
      </c>
      <c r="I341">
        <f>Staging!Q332*(Staging!T332*(1+QtyUplift))*(1-MIN(Staging!R332,DiscountCap))</f>
        <v>2791.0198800000003</v>
      </c>
      <c r="J341">
        <f>Staging!P332*(1+CostInflation)*Staging!T332*(1+QtyUplift)</f>
        <v>1721.1948599999996</v>
      </c>
      <c r="K341">
        <f t="shared" si="10"/>
        <v>1069.8250200000007</v>
      </c>
      <c r="L341">
        <v>253.72908000000007</v>
      </c>
      <c r="M341">
        <f t="shared" si="11"/>
        <v>-259.18577999999957</v>
      </c>
    </row>
    <row r="342" spans="2:13" x14ac:dyDescent="0.3">
      <c r="B342" t="s">
        <v>764</v>
      </c>
      <c r="C342" t="s">
        <v>126</v>
      </c>
      <c r="D342" t="s">
        <v>35</v>
      </c>
      <c r="E342" t="s">
        <v>78</v>
      </c>
      <c r="F342">
        <v>8764.4065599999994</v>
      </c>
      <c r="G342">
        <v>5526.95</v>
      </c>
      <c r="H342">
        <v>3237.4565599999996</v>
      </c>
      <c r="I342">
        <f>Staging!Q333*(Staging!T333*(1+QtyUplift))*(1-MIN(Staging!R333,DiscountCap))</f>
        <v>9640.8472160000001</v>
      </c>
      <c r="J342">
        <f>Staging!P333*(1+CostInflation)*Staging!T333*(1+QtyUplift)</f>
        <v>7873.1402749999988</v>
      </c>
      <c r="K342">
        <f t="shared" si="10"/>
        <v>1767.7069410000013</v>
      </c>
      <c r="L342">
        <v>2637.3838400000022</v>
      </c>
      <c r="M342">
        <f t="shared" si="11"/>
        <v>-1469.7496189999983</v>
      </c>
    </row>
    <row r="343" spans="2:13" x14ac:dyDescent="0.3">
      <c r="B343" t="s">
        <v>766</v>
      </c>
      <c r="C343" t="s">
        <v>49</v>
      </c>
      <c r="D343" t="s">
        <v>81</v>
      </c>
      <c r="E343" t="s">
        <v>45</v>
      </c>
      <c r="F343">
        <v>7105.3528000000006</v>
      </c>
      <c r="G343">
        <v>4329</v>
      </c>
      <c r="H343">
        <v>2776.3528000000006</v>
      </c>
      <c r="I343">
        <f>Staging!Q334*(Staging!T334*(1+QtyUplift))*(1-MIN(Staging!R334,DiscountCap))</f>
        <v>8030.0220000000008</v>
      </c>
      <c r="J343">
        <f>Staging!P334*(1+CostInflation)*Staging!T334*(1+QtyUplift)</f>
        <v>6166.6605</v>
      </c>
      <c r="K343">
        <f t="shared" si="10"/>
        <v>1863.3615000000009</v>
      </c>
      <c r="L343">
        <v>2530.6736000000019</v>
      </c>
      <c r="M343">
        <f t="shared" si="11"/>
        <v>-912.99129999999968</v>
      </c>
    </row>
    <row r="344" spans="2:13" x14ac:dyDescent="0.3">
      <c r="B344" t="s">
        <v>768</v>
      </c>
      <c r="C344" t="s">
        <v>92</v>
      </c>
      <c r="D344" t="s">
        <v>81</v>
      </c>
      <c r="E344" t="s">
        <v>78</v>
      </c>
      <c r="F344">
        <v>5610.0923999999995</v>
      </c>
      <c r="G344">
        <v>5924.95</v>
      </c>
      <c r="H344">
        <v>-314.85760000000028</v>
      </c>
      <c r="I344">
        <f>Staging!Q335*(Staging!T335*(1+QtyUplift))*(1-MIN(Staging!R335,DiscountCap))</f>
        <v>6171.1016399999999</v>
      </c>
      <c r="J344">
        <f>Staging!P335*(1+CostInflation)*Staging!T335*(1+QtyUplift)</f>
        <v>8440.0912750000007</v>
      </c>
      <c r="K344">
        <f t="shared" si="10"/>
        <v>-2268.9896350000008</v>
      </c>
      <c r="L344">
        <v>561.00924000000032</v>
      </c>
      <c r="M344">
        <f t="shared" si="11"/>
        <v>-1954.1320350000005</v>
      </c>
    </row>
    <row r="345" spans="2:13" x14ac:dyDescent="0.3">
      <c r="B345" t="s">
        <v>770</v>
      </c>
      <c r="C345" t="s">
        <v>92</v>
      </c>
      <c r="D345" t="s">
        <v>42</v>
      </c>
      <c r="E345" t="s">
        <v>45</v>
      </c>
      <c r="F345">
        <v>4856.35725</v>
      </c>
      <c r="G345">
        <v>2406.6</v>
      </c>
      <c r="H345">
        <v>2449.7572500000001</v>
      </c>
      <c r="I345">
        <f>Staging!Q336*(Staging!T336*(1+QtyUplift))*(1-MIN(Staging!R336,DiscountCap))</f>
        <v>5341.9929749999992</v>
      </c>
      <c r="J345">
        <f>Staging!P336*(1+CostInflation)*Staging!T336*(1+QtyUplift)</f>
        <v>3428.2017000000005</v>
      </c>
      <c r="K345">
        <f t="shared" si="10"/>
        <v>1913.7912749999987</v>
      </c>
      <c r="L345">
        <v>766.79324999999972</v>
      </c>
      <c r="M345">
        <f t="shared" si="11"/>
        <v>-535.96597500000144</v>
      </c>
    </row>
    <row r="346" spans="2:13" x14ac:dyDescent="0.3">
      <c r="B346" t="s">
        <v>772</v>
      </c>
      <c r="C346" t="s">
        <v>63</v>
      </c>
      <c r="D346" t="s">
        <v>30</v>
      </c>
      <c r="E346" t="s">
        <v>78</v>
      </c>
      <c r="F346">
        <v>16219.34496</v>
      </c>
      <c r="G346">
        <v>9021.9499999999989</v>
      </c>
      <c r="H346">
        <v>7197.3949600000014</v>
      </c>
      <c r="I346">
        <f>Staging!Q337*(Staging!T337*(1+QtyUplift))*(1-MIN(Staging!R337,DiscountCap))</f>
        <v>17841.279456000004</v>
      </c>
      <c r="J346">
        <f>Staging!P337*(1+CostInflation)*Staging!T337*(1+QtyUplift)</f>
        <v>12851.767774999998</v>
      </c>
      <c r="K346">
        <f t="shared" si="10"/>
        <v>4989.5116810000054</v>
      </c>
      <c r="L346">
        <v>2850.9062400000057</v>
      </c>
      <c r="M346">
        <f t="shared" si="11"/>
        <v>-2207.883278999996</v>
      </c>
    </row>
    <row r="347" spans="2:13" x14ac:dyDescent="0.3">
      <c r="B347" t="s">
        <v>774</v>
      </c>
      <c r="C347" t="s">
        <v>41</v>
      </c>
      <c r="D347" t="s">
        <v>42</v>
      </c>
      <c r="E347" t="s">
        <v>45</v>
      </c>
      <c r="F347">
        <v>28247.74656</v>
      </c>
      <c r="G347">
        <v>14239.72</v>
      </c>
      <c r="H347">
        <v>14008.02656</v>
      </c>
      <c r="I347">
        <f>Staging!Q338*(Staging!T338*(1+QtyUplift))*(1-MIN(Staging!R338,DiscountCap))</f>
        <v>31072.521216000001</v>
      </c>
      <c r="J347">
        <f>Staging!P338*(1+CostInflation)*Staging!T338*(1+QtyUplift)</f>
        <v>20284.48114</v>
      </c>
      <c r="K347">
        <f t="shared" si="10"/>
        <v>10788.040076000001</v>
      </c>
      <c r="L347">
        <v>2824.7746560000014</v>
      </c>
      <c r="M347">
        <f t="shared" si="11"/>
        <v>-3219.9864839999991</v>
      </c>
    </row>
    <row r="348" spans="2:13" x14ac:dyDescent="0.3">
      <c r="B348" t="s">
        <v>776</v>
      </c>
      <c r="C348" t="s">
        <v>75</v>
      </c>
      <c r="D348" t="s">
        <v>30</v>
      </c>
      <c r="E348" t="s">
        <v>52</v>
      </c>
      <c r="F348">
        <v>38535.955099999999</v>
      </c>
      <c r="G348">
        <v>23096.510000000002</v>
      </c>
      <c r="H348">
        <v>15439.445099999997</v>
      </c>
      <c r="I348">
        <f>Staging!Q339*(Staging!T339*(1+QtyUplift))*(1-MIN(Staging!R339,DiscountCap))</f>
        <v>42389.550609999998</v>
      </c>
      <c r="J348">
        <f>Staging!P339*(1+CostInflation)*Staging!T339*(1+QtyUplift)</f>
        <v>32900.978495000003</v>
      </c>
      <c r="K348">
        <f t="shared" si="10"/>
        <v>9488.5721149999954</v>
      </c>
      <c r="L348">
        <v>9755.9380000000019</v>
      </c>
      <c r="M348">
        <f t="shared" si="11"/>
        <v>-5950.8729850000018</v>
      </c>
    </row>
    <row r="349" spans="2:13" x14ac:dyDescent="0.3">
      <c r="B349" t="s">
        <v>778</v>
      </c>
      <c r="C349" t="s">
        <v>34</v>
      </c>
      <c r="D349" t="s">
        <v>81</v>
      </c>
      <c r="E349" t="s">
        <v>16</v>
      </c>
      <c r="F349">
        <v>3021.5016000000001</v>
      </c>
      <c r="G349">
        <v>4561.47</v>
      </c>
      <c r="H349">
        <v>-1539.9684000000002</v>
      </c>
      <c r="I349">
        <f>Staging!Q340*(Staging!T340*(1+QtyUplift))*(1-MIN(Staging!R340,DiscountCap))</f>
        <v>3323.6517600000006</v>
      </c>
      <c r="J349">
        <f>Staging!P340*(1+CostInflation)*Staging!T340*(1+QtyUplift)</f>
        <v>6497.8140149999999</v>
      </c>
      <c r="K349">
        <f t="shared" si="10"/>
        <v>-3174.1622549999993</v>
      </c>
      <c r="L349">
        <v>914.40180000000055</v>
      </c>
      <c r="M349">
        <f t="shared" si="11"/>
        <v>-1634.1938549999991</v>
      </c>
    </row>
    <row r="350" spans="2:13" x14ac:dyDescent="0.3">
      <c r="B350" t="s">
        <v>780</v>
      </c>
      <c r="C350" t="s">
        <v>75</v>
      </c>
      <c r="D350" t="s">
        <v>64</v>
      </c>
      <c r="E350" t="s">
        <v>16</v>
      </c>
      <c r="F350">
        <v>26106.613960000002</v>
      </c>
      <c r="G350">
        <v>17380.72</v>
      </c>
      <c r="H350">
        <v>8725.8939600000012</v>
      </c>
      <c r="I350">
        <f>Staging!Q341*(Staging!T341*(1+QtyUplift))*(1-MIN(Staging!R341,DiscountCap))</f>
        <v>30724.617000000002</v>
      </c>
      <c r="J350">
        <f>Staging!P341*(1+CostInflation)*Staging!T341*(1+QtyUplift)</f>
        <v>24758.835640000001</v>
      </c>
      <c r="K350">
        <f t="shared" si="10"/>
        <v>5965.7813600000009</v>
      </c>
      <c r="L350">
        <v>10762.926440000003</v>
      </c>
      <c r="M350">
        <f t="shared" si="11"/>
        <v>-2760.1126000000004</v>
      </c>
    </row>
    <row r="351" spans="2:13" x14ac:dyDescent="0.3">
      <c r="B351" t="s">
        <v>782</v>
      </c>
      <c r="C351" t="s">
        <v>110</v>
      </c>
      <c r="D351" t="s">
        <v>81</v>
      </c>
      <c r="E351" t="s">
        <v>16</v>
      </c>
      <c r="F351">
        <v>27465.647999999997</v>
      </c>
      <c r="G351">
        <v>15874.800000000001</v>
      </c>
      <c r="H351">
        <v>11590.847999999996</v>
      </c>
      <c r="I351">
        <f>Staging!Q342*(Staging!T342*(1+QtyUplift))*(1-MIN(Staging!R342,DiscountCap))</f>
        <v>32370.228000000003</v>
      </c>
      <c r="J351">
        <f>Staging!P342*(1+CostInflation)*Staging!T342*(1+QtyUplift)</f>
        <v>22613.652600000005</v>
      </c>
      <c r="K351">
        <f t="shared" si="10"/>
        <v>9756.5753999999979</v>
      </c>
      <c r="L351">
        <v>11378.62560000001</v>
      </c>
      <c r="M351">
        <f t="shared" si="11"/>
        <v>-1834.2725999999984</v>
      </c>
    </row>
    <row r="352" spans="2:13" x14ac:dyDescent="0.3">
      <c r="B352" t="s">
        <v>784</v>
      </c>
      <c r="C352" t="s">
        <v>41</v>
      </c>
      <c r="D352" t="s">
        <v>35</v>
      </c>
      <c r="E352" t="s">
        <v>52</v>
      </c>
      <c r="F352">
        <v>1115.1975999999997</v>
      </c>
      <c r="G352">
        <v>706.2</v>
      </c>
      <c r="H352">
        <v>408.99759999999969</v>
      </c>
      <c r="I352">
        <f>Staging!Q343*(Staging!T343*(1+QtyUplift))*(1-MIN(Staging!R343,DiscountCap))</f>
        <v>1281.3899999999999</v>
      </c>
      <c r="J352">
        <f>Staging!P343*(1+CostInflation)*Staging!T343*(1+QtyUplift)</f>
        <v>1005.9819000000001</v>
      </c>
      <c r="K352">
        <f t="shared" si="10"/>
        <v>275.40809999999976</v>
      </c>
      <c r="L352">
        <v>422.47040000000038</v>
      </c>
      <c r="M352">
        <f t="shared" si="11"/>
        <v>-133.58949999999993</v>
      </c>
    </row>
    <row r="353" spans="2:13" x14ac:dyDescent="0.3">
      <c r="B353" t="s">
        <v>786</v>
      </c>
      <c r="C353" t="s">
        <v>110</v>
      </c>
      <c r="D353" t="s">
        <v>30</v>
      </c>
      <c r="E353" t="s">
        <v>16</v>
      </c>
      <c r="F353">
        <v>20053.439999999999</v>
      </c>
      <c r="G353">
        <v>8863.91</v>
      </c>
      <c r="H353">
        <v>11189.529999999999</v>
      </c>
      <c r="I353">
        <f>Staging!Q344*(Staging!T344*(1+QtyUplift))*(1-MIN(Staging!R344,DiscountCap))</f>
        <v>22058.784000000003</v>
      </c>
      <c r="J353">
        <f>Staging!P344*(1+CostInflation)*Staging!T344*(1+QtyUplift)</f>
        <v>12626.639794999999</v>
      </c>
      <c r="K353">
        <f t="shared" si="10"/>
        <v>9432.1442050000041</v>
      </c>
      <c r="L353">
        <v>2005.3440000000046</v>
      </c>
      <c r="M353">
        <f t="shared" si="11"/>
        <v>-1757.3857949999947</v>
      </c>
    </row>
    <row r="354" spans="2:13" x14ac:dyDescent="0.3">
      <c r="B354" t="s">
        <v>788</v>
      </c>
      <c r="C354" t="s">
        <v>84</v>
      </c>
      <c r="D354" t="s">
        <v>42</v>
      </c>
      <c r="E354" t="s">
        <v>45</v>
      </c>
      <c r="F354">
        <v>8938.8996600000009</v>
      </c>
      <c r="G354">
        <v>7390.7999999999993</v>
      </c>
      <c r="H354">
        <v>1548.0996600000017</v>
      </c>
      <c r="I354">
        <f>Staging!Q345*(Staging!T345*(1+QtyUplift))*(1-MIN(Staging!R345,DiscountCap))</f>
        <v>9979.1505000000016</v>
      </c>
      <c r="J354">
        <f>Staging!P345*(1+CostInflation)*Staging!T345*(1+QtyUplift)</f>
        <v>10528.194600000001</v>
      </c>
      <c r="K354">
        <f t="shared" si="10"/>
        <v>-549.04409999999916</v>
      </c>
      <c r="L354">
        <v>3036.0809399999998</v>
      </c>
      <c r="M354">
        <f t="shared" si="11"/>
        <v>-2097.1437600000008</v>
      </c>
    </row>
    <row r="355" spans="2:13" x14ac:dyDescent="0.3">
      <c r="B355" t="s">
        <v>790</v>
      </c>
      <c r="C355" t="s">
        <v>84</v>
      </c>
      <c r="D355" t="s">
        <v>35</v>
      </c>
      <c r="E355" t="s">
        <v>45</v>
      </c>
      <c r="F355">
        <v>3175.1547799999998</v>
      </c>
      <c r="G355">
        <v>1471.82</v>
      </c>
      <c r="H355">
        <v>1703.3347799999999</v>
      </c>
      <c r="I355">
        <f>Staging!Q346*(Staging!T346*(1+QtyUplift))*(1-MIN(Staging!R346,DiscountCap))</f>
        <v>3492.6702580000006</v>
      </c>
      <c r="J355">
        <f>Staging!P346*(1+CostInflation)*Staging!T346*(1+QtyUplift)</f>
        <v>2096.6075900000001</v>
      </c>
      <c r="K355">
        <f t="shared" si="10"/>
        <v>1396.0626680000005</v>
      </c>
      <c r="L355">
        <v>317.51547800000071</v>
      </c>
      <c r="M355">
        <f t="shared" si="11"/>
        <v>-307.27211199999942</v>
      </c>
    </row>
    <row r="356" spans="2:13" x14ac:dyDescent="0.3">
      <c r="B356" t="s">
        <v>792</v>
      </c>
      <c r="C356" t="s">
        <v>126</v>
      </c>
      <c r="D356" t="s">
        <v>57</v>
      </c>
      <c r="E356" t="s">
        <v>45</v>
      </c>
      <c r="F356">
        <v>13637.287999999999</v>
      </c>
      <c r="G356">
        <v>7478.95</v>
      </c>
      <c r="H356">
        <v>6158.3379999999988</v>
      </c>
      <c r="I356">
        <f>Staging!Q347*(Staging!T347*(1+QtyUplift))*(1-MIN(Staging!R347,DiscountCap))</f>
        <v>15001.016799999999</v>
      </c>
      <c r="J356">
        <f>Staging!P347*(1+CostInflation)*Staging!T347*(1+QtyUplift)</f>
        <v>10653.764275</v>
      </c>
      <c r="K356">
        <f t="shared" si="10"/>
        <v>4347.2525249999999</v>
      </c>
      <c r="L356">
        <v>1363.7288000000008</v>
      </c>
      <c r="M356">
        <f t="shared" si="11"/>
        <v>-1811.085474999999</v>
      </c>
    </row>
    <row r="357" spans="2:13" x14ac:dyDescent="0.3">
      <c r="B357" t="s">
        <v>794</v>
      </c>
      <c r="C357" t="s">
        <v>29</v>
      </c>
      <c r="D357" t="s">
        <v>81</v>
      </c>
      <c r="E357" t="s">
        <v>52</v>
      </c>
      <c r="F357">
        <v>79082.507010000001</v>
      </c>
      <c r="G357">
        <v>42432.829999999994</v>
      </c>
      <c r="H357">
        <v>36649.677010000007</v>
      </c>
      <c r="I357">
        <f>Staging!Q348*(Staging!T348*(1+QtyUplift))*(1-MIN(Staging!R348,DiscountCap))</f>
        <v>86990.757710999998</v>
      </c>
      <c r="J357">
        <f>Staging!P348*(1+CostInflation)*Staging!T348*(1+QtyUplift)</f>
        <v>60445.566334999996</v>
      </c>
      <c r="K357">
        <f t="shared" si="10"/>
        <v>26545.191376000002</v>
      </c>
      <c r="L357">
        <v>8199.1896899999992</v>
      </c>
      <c r="M357">
        <f t="shared" si="11"/>
        <v>-10104.485634000004</v>
      </c>
    </row>
    <row r="358" spans="2:13" x14ac:dyDescent="0.3">
      <c r="B358" t="s">
        <v>796</v>
      </c>
      <c r="C358" t="s">
        <v>29</v>
      </c>
      <c r="D358" t="s">
        <v>42</v>
      </c>
      <c r="E358" t="s">
        <v>16</v>
      </c>
      <c r="F358">
        <v>2206.8000000000002</v>
      </c>
      <c r="G358">
        <v>1166.0999999999999</v>
      </c>
      <c r="H358">
        <v>1040.7000000000003</v>
      </c>
      <c r="I358">
        <f>Staging!Q349*(Staging!T349*(1+QtyUplift))*(1-MIN(Staging!R349,DiscountCap))</f>
        <v>2427.48</v>
      </c>
      <c r="J358">
        <f>Staging!P349*(1+CostInflation)*Staging!T349*(1+QtyUplift)</f>
        <v>1661.1094499999999</v>
      </c>
      <c r="K358">
        <f t="shared" si="10"/>
        <v>766.37055000000009</v>
      </c>
      <c r="L358">
        <v>220.67999999999984</v>
      </c>
      <c r="M358">
        <f t="shared" si="11"/>
        <v>-274.32945000000018</v>
      </c>
    </row>
    <row r="359" spans="2:13" x14ac:dyDescent="0.3">
      <c r="B359" t="s">
        <v>798</v>
      </c>
      <c r="C359" t="s">
        <v>95</v>
      </c>
      <c r="D359" t="s">
        <v>22</v>
      </c>
      <c r="E359" t="s">
        <v>16</v>
      </c>
      <c r="F359">
        <v>27158.894079999998</v>
      </c>
      <c r="G359">
        <v>14921.76</v>
      </c>
      <c r="H359">
        <v>12237.134079999998</v>
      </c>
      <c r="I359">
        <f>Staging!Q350*(Staging!T350*(1+QtyUplift))*(1-MIN(Staging!R350,DiscountCap))</f>
        <v>29874.783488000005</v>
      </c>
      <c r="J359">
        <f>Staging!P350*(1+CostInflation)*Staging!T350*(1+QtyUplift)</f>
        <v>21256.047119999999</v>
      </c>
      <c r="K359">
        <f t="shared" si="10"/>
        <v>8618.7363680000053</v>
      </c>
      <c r="L359">
        <v>4251.5091200000061</v>
      </c>
      <c r="M359">
        <f t="shared" si="11"/>
        <v>-3618.3977119999927</v>
      </c>
    </row>
    <row r="360" spans="2:13" x14ac:dyDescent="0.3">
      <c r="B360" t="s">
        <v>800</v>
      </c>
      <c r="C360" t="s">
        <v>49</v>
      </c>
      <c r="D360" t="s">
        <v>57</v>
      </c>
      <c r="E360" t="s">
        <v>45</v>
      </c>
      <c r="F360">
        <v>12236.874600000001</v>
      </c>
      <c r="G360">
        <v>5897.58</v>
      </c>
      <c r="H360">
        <v>6339.2946000000011</v>
      </c>
      <c r="I360">
        <f>Staging!Q351*(Staging!T351*(1+QtyUplift))*(1-MIN(Staging!R351,DiscountCap))</f>
        <v>13460.562060000002</v>
      </c>
      <c r="J360">
        <f>Staging!P351*(1+CostInflation)*Staging!T351*(1+QtyUplift)</f>
        <v>8401.1027099999992</v>
      </c>
      <c r="K360">
        <f t="shared" si="10"/>
        <v>5059.4593500000028</v>
      </c>
      <c r="L360">
        <v>1420.9674000000014</v>
      </c>
      <c r="M360">
        <f t="shared" si="11"/>
        <v>-1279.8352499999983</v>
      </c>
    </row>
    <row r="361" spans="2:13" x14ac:dyDescent="0.3">
      <c r="B361" t="s">
        <v>802</v>
      </c>
      <c r="C361" t="s">
        <v>21</v>
      </c>
      <c r="D361" t="s">
        <v>30</v>
      </c>
      <c r="E361" t="s">
        <v>78</v>
      </c>
      <c r="F361">
        <v>4132.0325200000007</v>
      </c>
      <c r="G361">
        <v>3381.07</v>
      </c>
      <c r="H361">
        <v>750.9625200000005</v>
      </c>
      <c r="I361">
        <f>Staging!Q352*(Staging!T352*(1+QtyUplift))*(1-MIN(Staging!R352,DiscountCap))</f>
        <v>4545.2357720000009</v>
      </c>
      <c r="J361">
        <f>Staging!P352*(1+CostInflation)*Staging!T352*(1+QtyUplift)</f>
        <v>4816.3342149999999</v>
      </c>
      <c r="K361">
        <f t="shared" si="10"/>
        <v>-271.09844299999895</v>
      </c>
      <c r="L361">
        <v>905.79038000000037</v>
      </c>
      <c r="M361">
        <f t="shared" si="11"/>
        <v>-1022.0609629999994</v>
      </c>
    </row>
    <row r="362" spans="2:13" x14ac:dyDescent="0.3">
      <c r="B362" t="s">
        <v>804</v>
      </c>
      <c r="C362" t="s">
        <v>126</v>
      </c>
      <c r="D362" t="s">
        <v>64</v>
      </c>
      <c r="E362" t="s">
        <v>78</v>
      </c>
      <c r="F362">
        <v>16487.22781</v>
      </c>
      <c r="G362">
        <v>14944.36</v>
      </c>
      <c r="H362">
        <v>1542.8678099999997</v>
      </c>
      <c r="I362">
        <f>Staging!Q353*(Staging!T353*(1+QtyUplift))*(1-MIN(Staging!R353,DiscountCap))</f>
        <v>18135.950591000004</v>
      </c>
      <c r="J362">
        <f>Staging!P353*(1+CostInflation)*Staging!T353*(1+QtyUplift)</f>
        <v>21288.240819999999</v>
      </c>
      <c r="K362">
        <f t="shared" si="10"/>
        <v>-3152.2902289999947</v>
      </c>
      <c r="L362">
        <v>1914.5258900000044</v>
      </c>
      <c r="M362">
        <f t="shared" si="11"/>
        <v>-4695.1580389999945</v>
      </c>
    </row>
    <row r="363" spans="2:13" x14ac:dyDescent="0.3">
      <c r="B363" t="s">
        <v>806</v>
      </c>
      <c r="C363" t="s">
        <v>34</v>
      </c>
      <c r="D363" t="s">
        <v>81</v>
      </c>
      <c r="E363" t="s">
        <v>16</v>
      </c>
      <c r="F363">
        <v>26552.60298</v>
      </c>
      <c r="G363">
        <v>18171.22</v>
      </c>
      <c r="H363">
        <v>8381.3829799999985</v>
      </c>
      <c r="I363">
        <f>Staging!Q354*(Staging!T354*(1+QtyUplift))*(1-MIN(Staging!R354,DiscountCap))</f>
        <v>29207.863278000004</v>
      </c>
      <c r="J363">
        <f>Staging!P354*(1+CostInflation)*Staging!T354*(1+QtyUplift)</f>
        <v>25884.902890000001</v>
      </c>
      <c r="K363">
        <f t="shared" si="10"/>
        <v>3322.9603880000031</v>
      </c>
      <c r="L363">
        <v>2655.2602980000047</v>
      </c>
      <c r="M363">
        <f t="shared" si="11"/>
        <v>-5058.4225919999953</v>
      </c>
    </row>
    <row r="364" spans="2:13" x14ac:dyDescent="0.3">
      <c r="B364" t="s">
        <v>808</v>
      </c>
      <c r="C364" t="s">
        <v>92</v>
      </c>
      <c r="D364" t="s">
        <v>35</v>
      </c>
      <c r="E364" t="s">
        <v>45</v>
      </c>
      <c r="F364">
        <v>34816.968000000001</v>
      </c>
      <c r="G364">
        <v>24667.199999999997</v>
      </c>
      <c r="H364">
        <v>10149.768000000004</v>
      </c>
      <c r="I364">
        <f>Staging!Q355*(Staging!T355*(1+QtyUplift))*(1-MIN(Staging!R355,DiscountCap))</f>
        <v>38298.664799999999</v>
      </c>
      <c r="J364">
        <f>Staging!P355*(1+CostInflation)*Staging!T355*(1+QtyUplift)</f>
        <v>35138.426399999997</v>
      </c>
      <c r="K364">
        <f t="shared" si="10"/>
        <v>3160.238400000002</v>
      </c>
      <c r="L364">
        <v>7166.9520000000048</v>
      </c>
      <c r="M364">
        <f t="shared" si="11"/>
        <v>-6989.5296000000017</v>
      </c>
    </row>
    <row r="365" spans="2:13" x14ac:dyDescent="0.3">
      <c r="B365" t="s">
        <v>810</v>
      </c>
      <c r="C365" t="s">
        <v>29</v>
      </c>
      <c r="D365" t="s">
        <v>30</v>
      </c>
      <c r="E365" t="s">
        <v>52</v>
      </c>
      <c r="F365">
        <v>1122.0896000000002</v>
      </c>
      <c r="G365">
        <v>553.5</v>
      </c>
      <c r="H365">
        <v>568.58960000000025</v>
      </c>
      <c r="I365">
        <f>Staging!Q356*(Staging!T356*(1+QtyUplift))*(1-MIN(Staging!R356,DiscountCap))</f>
        <v>1234.29856</v>
      </c>
      <c r="J365">
        <f>Staging!P356*(1+CostInflation)*Staging!T356*(1+QtyUplift)</f>
        <v>788.46074999999996</v>
      </c>
      <c r="K365">
        <f t="shared" si="10"/>
        <v>445.83780999999999</v>
      </c>
      <c r="L365">
        <v>151.84239999999977</v>
      </c>
      <c r="M365">
        <f t="shared" si="11"/>
        <v>-122.75179000000026</v>
      </c>
    </row>
    <row r="366" spans="2:13" x14ac:dyDescent="0.3">
      <c r="B366" t="s">
        <v>812</v>
      </c>
      <c r="C366" t="s">
        <v>145</v>
      </c>
      <c r="D366" t="s">
        <v>81</v>
      </c>
      <c r="E366" t="s">
        <v>78</v>
      </c>
      <c r="F366">
        <v>23195.01828</v>
      </c>
      <c r="G366">
        <v>13806.45</v>
      </c>
      <c r="H366">
        <v>9388.5682799999995</v>
      </c>
      <c r="I366">
        <f>Staging!Q357*(Staging!T357*(1+QtyUplift))*(1-MIN(Staging!R357,DiscountCap))</f>
        <v>25514.520108000001</v>
      </c>
      <c r="J366">
        <f>Staging!P357*(1+CostInflation)*Staging!T357*(1+QtyUplift)</f>
        <v>19667.288024999998</v>
      </c>
      <c r="K366">
        <f t="shared" si="10"/>
        <v>5847.2320830000026</v>
      </c>
      <c r="L366">
        <v>4371.6901200000029</v>
      </c>
      <c r="M366">
        <f t="shared" si="11"/>
        <v>-3541.3361969999969</v>
      </c>
    </row>
    <row r="367" spans="2:13" x14ac:dyDescent="0.3">
      <c r="B367" t="s">
        <v>814</v>
      </c>
      <c r="C367" t="s">
        <v>84</v>
      </c>
      <c r="D367" t="s">
        <v>30</v>
      </c>
      <c r="E367" t="s">
        <v>52</v>
      </c>
      <c r="F367">
        <v>43907.94</v>
      </c>
      <c r="G367">
        <v>21654.36</v>
      </c>
      <c r="H367">
        <v>22253.58</v>
      </c>
      <c r="I367">
        <f>Staging!Q358*(Staging!T358*(1+QtyUplift))*(1-MIN(Staging!R358,DiscountCap))</f>
        <v>48298.733999999997</v>
      </c>
      <c r="J367">
        <f>Staging!P358*(1+CostInflation)*Staging!T358*(1+QtyUplift)</f>
        <v>30846.635819999996</v>
      </c>
      <c r="K367">
        <f t="shared" si="10"/>
        <v>17452.098180000001</v>
      </c>
      <c r="L367">
        <v>4390.7939999999944</v>
      </c>
      <c r="M367">
        <f t="shared" si="11"/>
        <v>-4801.4818200000009</v>
      </c>
    </row>
    <row r="368" spans="2:13" x14ac:dyDescent="0.3">
      <c r="B368" t="s">
        <v>816</v>
      </c>
      <c r="C368" t="s">
        <v>56</v>
      </c>
      <c r="D368" t="s">
        <v>35</v>
      </c>
      <c r="E368" t="s">
        <v>52</v>
      </c>
      <c r="F368">
        <v>49336.511399999996</v>
      </c>
      <c r="G368">
        <v>31770.63</v>
      </c>
      <c r="H368">
        <v>17565.881399999995</v>
      </c>
      <c r="I368">
        <f>Staging!Q359*(Staging!T359*(1+QtyUplift))*(1-MIN(Staging!R359,DiscountCap))</f>
        <v>54270.162540000005</v>
      </c>
      <c r="J368">
        <f>Staging!P359*(1+CostInflation)*Staging!T359*(1+QtyUplift)</f>
        <v>45257.262435000004</v>
      </c>
      <c r="K368">
        <f t="shared" si="10"/>
        <v>9012.9001050000006</v>
      </c>
      <c r="L368">
        <v>9510.6528000000108</v>
      </c>
      <c r="M368">
        <f t="shared" si="11"/>
        <v>-8552.9812949999941</v>
      </c>
    </row>
    <row r="369" spans="2:13" x14ac:dyDescent="0.3">
      <c r="B369" t="s">
        <v>818</v>
      </c>
      <c r="C369" t="s">
        <v>75</v>
      </c>
      <c r="D369" t="s">
        <v>81</v>
      </c>
      <c r="E369" t="s">
        <v>45</v>
      </c>
      <c r="F369">
        <v>4071.8</v>
      </c>
      <c r="G369">
        <v>3849.5</v>
      </c>
      <c r="H369">
        <v>222.30000000000018</v>
      </c>
      <c r="I369">
        <f>Staging!Q360*(Staging!T360*(1+QtyUplift))*(1-MIN(Staging!R360,DiscountCap))</f>
        <v>4478.9800000000005</v>
      </c>
      <c r="J369">
        <f>Staging!P360*(1+CostInflation)*Staging!T360*(1+QtyUplift)</f>
        <v>5483.6127500000002</v>
      </c>
      <c r="K369">
        <f t="shared" si="10"/>
        <v>-1004.6327499999998</v>
      </c>
      <c r="L369">
        <v>407.18000000000029</v>
      </c>
      <c r="M369">
        <f t="shared" si="11"/>
        <v>-1226.9327499999999</v>
      </c>
    </row>
    <row r="370" spans="2:13" x14ac:dyDescent="0.3">
      <c r="B370" t="s">
        <v>820</v>
      </c>
      <c r="C370" t="s">
        <v>49</v>
      </c>
      <c r="D370" t="s">
        <v>30</v>
      </c>
      <c r="E370" t="s">
        <v>16</v>
      </c>
      <c r="F370">
        <v>14813.731920000002</v>
      </c>
      <c r="G370">
        <v>8660.99</v>
      </c>
      <c r="H370">
        <v>6152.7419200000022</v>
      </c>
      <c r="I370">
        <f>Staging!Q361*(Staging!T361*(1+QtyUplift))*(1-MIN(Staging!R361,DiscountCap))</f>
        <v>16295.105112000003</v>
      </c>
      <c r="J370">
        <f>Staging!P361*(1+CostInflation)*Staging!T361*(1+QtyUplift)</f>
        <v>12337.580254999999</v>
      </c>
      <c r="K370">
        <f t="shared" si="10"/>
        <v>3957.524857000004</v>
      </c>
      <c r="L370">
        <v>2984.319779999998</v>
      </c>
      <c r="M370">
        <f t="shared" si="11"/>
        <v>-2195.2170629999982</v>
      </c>
    </row>
    <row r="371" spans="2:13" x14ac:dyDescent="0.3">
      <c r="B371" t="s">
        <v>822</v>
      </c>
      <c r="C371" t="s">
        <v>49</v>
      </c>
      <c r="D371" t="s">
        <v>81</v>
      </c>
      <c r="E371" t="s">
        <v>78</v>
      </c>
      <c r="F371">
        <v>35167.7448</v>
      </c>
      <c r="G371">
        <v>22834.560000000001</v>
      </c>
      <c r="H371">
        <v>12333.184799999999</v>
      </c>
      <c r="I371">
        <f>Staging!Q362*(Staging!T362*(1+QtyUplift))*(1-MIN(Staging!R362,DiscountCap))</f>
        <v>38684.519280000008</v>
      </c>
      <c r="J371">
        <f>Staging!P362*(1+CostInflation)*Staging!T362*(1+QtyUplift)</f>
        <v>32527.830720000002</v>
      </c>
      <c r="K371">
        <f t="shared" si="10"/>
        <v>6156.688560000006</v>
      </c>
      <c r="L371">
        <v>3951.432000000008</v>
      </c>
      <c r="M371">
        <f t="shared" si="11"/>
        <v>-6176.4962399999931</v>
      </c>
    </row>
    <row r="372" spans="2:13" x14ac:dyDescent="0.3">
      <c r="B372" t="s">
        <v>824</v>
      </c>
      <c r="C372" t="s">
        <v>145</v>
      </c>
      <c r="D372" t="s">
        <v>42</v>
      </c>
      <c r="E372" t="s">
        <v>78</v>
      </c>
      <c r="F372">
        <v>4804.4682400000002</v>
      </c>
      <c r="G372">
        <v>7108.7900000000009</v>
      </c>
      <c r="H372">
        <v>-2304.3217600000007</v>
      </c>
      <c r="I372">
        <f>Staging!Q363*(Staging!T363*(1+QtyUplift))*(1-MIN(Staging!R363,DiscountCap))</f>
        <v>5284.9150639999998</v>
      </c>
      <c r="J372">
        <f>Staging!P363*(1+CostInflation)*Staging!T363*(1+QtyUplift)</f>
        <v>10126.471355000001</v>
      </c>
      <c r="K372">
        <f t="shared" si="10"/>
        <v>-4841.5562910000017</v>
      </c>
      <c r="L372">
        <v>480.44682399999965</v>
      </c>
      <c r="M372">
        <f t="shared" si="11"/>
        <v>-2537.234531000001</v>
      </c>
    </row>
    <row r="373" spans="2:13" x14ac:dyDescent="0.3">
      <c r="B373" t="s">
        <v>826</v>
      </c>
      <c r="C373" t="s">
        <v>75</v>
      </c>
      <c r="D373" t="s">
        <v>57</v>
      </c>
      <c r="E373" t="s">
        <v>16</v>
      </c>
      <c r="F373">
        <v>82514.711519999997</v>
      </c>
      <c r="G373">
        <v>39210.22</v>
      </c>
      <c r="H373">
        <v>43304.491519999996</v>
      </c>
      <c r="I373">
        <f>Staging!Q364*(Staging!T364*(1+QtyUplift))*(1-MIN(Staging!R364,DiscountCap))</f>
        <v>90766.18267200001</v>
      </c>
      <c r="J373">
        <f>Staging!P364*(1+CostInflation)*Staging!T364*(1+QtyUplift)</f>
        <v>55854.958390000007</v>
      </c>
      <c r="K373">
        <f t="shared" si="10"/>
        <v>34911.224282000003</v>
      </c>
      <c r="L373">
        <v>8251.4711520000128</v>
      </c>
      <c r="M373">
        <f t="shared" si="11"/>
        <v>-8393.2672379999931</v>
      </c>
    </row>
    <row r="374" spans="2:13" x14ac:dyDescent="0.3">
      <c r="B374" t="s">
        <v>828</v>
      </c>
      <c r="C374" t="s">
        <v>95</v>
      </c>
      <c r="D374" t="s">
        <v>64</v>
      </c>
      <c r="E374" t="s">
        <v>45</v>
      </c>
      <c r="F374">
        <v>7327.9533600000004</v>
      </c>
      <c r="G374">
        <v>9267.0300000000007</v>
      </c>
      <c r="H374">
        <v>-1939.0766400000002</v>
      </c>
      <c r="I374">
        <f>Staging!Q365*(Staging!T365*(1+QtyUplift))*(1-MIN(Staging!R365,DiscountCap))</f>
        <v>8304.3427499999998</v>
      </c>
      <c r="J374">
        <f>Staging!P365*(1+CostInflation)*Staging!T365*(1+QtyUplift)</f>
        <v>13200.884235000001</v>
      </c>
      <c r="K374">
        <f t="shared" si="10"/>
        <v>-4896.5414850000016</v>
      </c>
      <c r="L374">
        <v>2637.2579400000004</v>
      </c>
      <c r="M374">
        <f t="shared" si="11"/>
        <v>-2957.4648450000013</v>
      </c>
    </row>
    <row r="375" spans="2:13" x14ac:dyDescent="0.3">
      <c r="B375" t="s">
        <v>830</v>
      </c>
      <c r="C375" t="s">
        <v>95</v>
      </c>
      <c r="D375" t="s">
        <v>30</v>
      </c>
      <c r="E375" t="s">
        <v>78</v>
      </c>
      <c r="F375">
        <v>12717.311040000001</v>
      </c>
      <c r="G375">
        <v>11510.580000000002</v>
      </c>
      <c r="H375">
        <v>1206.7310399999988</v>
      </c>
      <c r="I375">
        <f>Staging!Q366*(Staging!T366*(1+QtyUplift))*(1-MIN(Staging!R366,DiscountCap))</f>
        <v>13989.042144000001</v>
      </c>
      <c r="J375">
        <f>Staging!P366*(1+CostInflation)*Staging!T366*(1+QtyUplift)</f>
        <v>16396.821210000002</v>
      </c>
      <c r="K375">
        <f t="shared" si="10"/>
        <v>-2407.779066000001</v>
      </c>
      <c r="L375">
        <v>1787.4561600000015</v>
      </c>
      <c r="M375">
        <f t="shared" si="11"/>
        <v>-3614.5101059999997</v>
      </c>
    </row>
    <row r="376" spans="2:13" x14ac:dyDescent="0.3">
      <c r="B376" t="s">
        <v>832</v>
      </c>
      <c r="C376" t="s">
        <v>63</v>
      </c>
      <c r="D376" t="s">
        <v>22</v>
      </c>
      <c r="E376" t="s">
        <v>45</v>
      </c>
      <c r="F376">
        <v>21584.693520000001</v>
      </c>
      <c r="G376">
        <v>18998.100000000002</v>
      </c>
      <c r="H376">
        <v>2586.5935199999985</v>
      </c>
      <c r="I376">
        <f>Staging!Q367*(Staging!T367*(1+QtyUplift))*(1-MIN(Staging!R367,DiscountCap))</f>
        <v>23743.162872000001</v>
      </c>
      <c r="J376">
        <f>Staging!P367*(1+CostInflation)*Staging!T367*(1+QtyUplift)</f>
        <v>27062.793450000001</v>
      </c>
      <c r="K376">
        <f t="shared" si="10"/>
        <v>-3319.6305780000002</v>
      </c>
      <c r="L376">
        <v>2158.4693520000001</v>
      </c>
      <c r="M376">
        <f t="shared" si="11"/>
        <v>-5906.2240979999988</v>
      </c>
    </row>
    <row r="377" spans="2:13" x14ac:dyDescent="0.3">
      <c r="B377" t="s">
        <v>834</v>
      </c>
      <c r="C377" t="s">
        <v>68</v>
      </c>
      <c r="D377" t="s">
        <v>42</v>
      </c>
      <c r="E377" t="s">
        <v>16</v>
      </c>
      <c r="F377">
        <v>19547.329920000004</v>
      </c>
      <c r="G377">
        <v>10361.44</v>
      </c>
      <c r="H377">
        <v>9185.8899200000033</v>
      </c>
      <c r="I377">
        <f>Staging!Q368*(Staging!T368*(1+QtyUplift))*(1-MIN(Staging!R368,DiscountCap))</f>
        <v>21502.062912000005</v>
      </c>
      <c r="J377">
        <f>Staging!P368*(1+CostInflation)*Staging!T368*(1+QtyUplift)</f>
        <v>14759.871280000001</v>
      </c>
      <c r="K377">
        <f t="shared" si="10"/>
        <v>6742.1916320000037</v>
      </c>
      <c r="L377">
        <v>4402.9876799999984</v>
      </c>
      <c r="M377">
        <f t="shared" si="11"/>
        <v>-2443.6982879999996</v>
      </c>
    </row>
    <row r="378" spans="2:13" x14ac:dyDescent="0.3">
      <c r="B378" t="s">
        <v>836</v>
      </c>
      <c r="C378" t="s">
        <v>21</v>
      </c>
      <c r="D378" t="s">
        <v>22</v>
      </c>
      <c r="E378" t="s">
        <v>45</v>
      </c>
      <c r="F378">
        <v>18554.370299999999</v>
      </c>
      <c r="G378">
        <v>8422.4700000000012</v>
      </c>
      <c r="H378">
        <v>10131.900299999998</v>
      </c>
      <c r="I378">
        <f>Staging!Q369*(Staging!T369*(1+QtyUplift))*(1-MIN(Staging!R369,DiscountCap))</f>
        <v>20409.80733</v>
      </c>
      <c r="J378">
        <f>Staging!P369*(1+CostInflation)*Staging!T369*(1+QtyUplift)</f>
        <v>11997.808515000001</v>
      </c>
      <c r="K378">
        <f t="shared" si="10"/>
        <v>8411.998814999999</v>
      </c>
      <c r="L378">
        <v>1969.4583000000021</v>
      </c>
      <c r="M378">
        <f t="shared" si="11"/>
        <v>-1719.9014849999985</v>
      </c>
    </row>
    <row r="379" spans="2:13" x14ac:dyDescent="0.3">
      <c r="B379" t="s">
        <v>838</v>
      </c>
      <c r="C379" t="s">
        <v>29</v>
      </c>
      <c r="D379" t="s">
        <v>57</v>
      </c>
      <c r="E379" t="s">
        <v>52</v>
      </c>
      <c r="F379">
        <v>13784.586000000001</v>
      </c>
      <c r="G379">
        <v>6397.7999999999993</v>
      </c>
      <c r="H379">
        <v>7386.7860000000019</v>
      </c>
      <c r="I379">
        <f>Staging!Q370*(Staging!T370*(1+QtyUplift))*(1-MIN(Staging!R370,DiscountCap))</f>
        <v>15163.044600000001</v>
      </c>
      <c r="J379">
        <f>Staging!P370*(1+CostInflation)*Staging!T370*(1+QtyUplift)</f>
        <v>9113.6661000000004</v>
      </c>
      <c r="K379">
        <f t="shared" si="10"/>
        <v>6049.3785000000007</v>
      </c>
      <c r="L379">
        <v>1480.2240000000002</v>
      </c>
      <c r="M379">
        <f t="shared" si="11"/>
        <v>-1337.4075000000012</v>
      </c>
    </row>
    <row r="380" spans="2:13" x14ac:dyDescent="0.3">
      <c r="B380" t="s">
        <v>840</v>
      </c>
      <c r="C380" t="s">
        <v>34</v>
      </c>
      <c r="D380" t="s">
        <v>30</v>
      </c>
      <c r="E380" t="s">
        <v>52</v>
      </c>
      <c r="F380">
        <v>4569.5735999999997</v>
      </c>
      <c r="G380">
        <v>4086.4</v>
      </c>
      <c r="H380">
        <v>483.17359999999962</v>
      </c>
      <c r="I380">
        <f>Staging!Q371*(Staging!T371*(1+QtyUplift))*(1-MIN(Staging!R371,DiscountCap))</f>
        <v>5026.5309600000001</v>
      </c>
      <c r="J380">
        <f>Staging!P371*(1+CostInflation)*Staging!T371*(1+QtyUplift)</f>
        <v>5821.0768000000007</v>
      </c>
      <c r="K380">
        <f t="shared" si="10"/>
        <v>-794.54584000000068</v>
      </c>
      <c r="L380">
        <v>542.15280000000075</v>
      </c>
      <c r="M380">
        <f t="shared" si="11"/>
        <v>-1277.7194400000003</v>
      </c>
    </row>
    <row r="381" spans="2:13" x14ac:dyDescent="0.3">
      <c r="B381" t="s">
        <v>842</v>
      </c>
      <c r="C381" t="s">
        <v>110</v>
      </c>
      <c r="D381" t="s">
        <v>57</v>
      </c>
      <c r="E381" t="s">
        <v>78</v>
      </c>
      <c r="F381">
        <v>4133.25108</v>
      </c>
      <c r="G381">
        <v>2956.5</v>
      </c>
      <c r="H381">
        <v>1176.75108</v>
      </c>
      <c r="I381">
        <f>Staging!Q372*(Staging!T372*(1+QtyUplift))*(1-MIN(Staging!R372,DiscountCap))</f>
        <v>4546.576188</v>
      </c>
      <c r="J381">
        <f>Staging!P372*(1+CostInflation)*Staging!T372*(1+QtyUplift)</f>
        <v>4211.5342499999997</v>
      </c>
      <c r="K381">
        <f t="shared" si="10"/>
        <v>335.0419380000003</v>
      </c>
      <c r="L381">
        <v>413.325108</v>
      </c>
      <c r="M381">
        <f t="shared" si="11"/>
        <v>-841.7091419999997</v>
      </c>
    </row>
    <row r="382" spans="2:13" x14ac:dyDescent="0.3">
      <c r="B382" t="s">
        <v>844</v>
      </c>
      <c r="C382" t="s">
        <v>49</v>
      </c>
      <c r="D382" t="s">
        <v>42</v>
      </c>
      <c r="E382" t="s">
        <v>52</v>
      </c>
      <c r="F382">
        <v>16873.45</v>
      </c>
      <c r="G382">
        <v>13359.39</v>
      </c>
      <c r="H382">
        <v>3514.0600000000013</v>
      </c>
      <c r="I382">
        <f>Staging!Q373*(Staging!T373*(1+QtyUplift))*(1-MIN(Staging!R373,DiscountCap))</f>
        <v>18560.795000000002</v>
      </c>
      <c r="J382">
        <f>Staging!P373*(1+CostInflation)*Staging!T373*(1+QtyUplift)</f>
        <v>19030.451055000001</v>
      </c>
      <c r="K382">
        <f t="shared" si="10"/>
        <v>-469.65605499999947</v>
      </c>
      <c r="L382">
        <v>1687.3450000000012</v>
      </c>
      <c r="M382">
        <f t="shared" si="11"/>
        <v>-3983.7160550000008</v>
      </c>
    </row>
    <row r="383" spans="2:13" x14ac:dyDescent="0.3">
      <c r="B383" t="s">
        <v>846</v>
      </c>
      <c r="C383" t="s">
        <v>95</v>
      </c>
      <c r="D383" t="s">
        <v>64</v>
      </c>
      <c r="E383" t="s">
        <v>16</v>
      </c>
      <c r="F383">
        <v>32280.32474</v>
      </c>
      <c r="G383">
        <v>16568.05</v>
      </c>
      <c r="H383">
        <v>15712.274740000001</v>
      </c>
      <c r="I383">
        <f>Staging!Q374*(Staging!T374*(1+QtyUplift))*(1-MIN(Staging!R374,DiscountCap))</f>
        <v>35508.357214000003</v>
      </c>
      <c r="J383">
        <f>Staging!P374*(1+CostInflation)*Staging!T374*(1+QtyUplift)</f>
        <v>23601.187225000001</v>
      </c>
      <c r="K383">
        <f t="shared" si="10"/>
        <v>11907.169989000002</v>
      </c>
      <c r="L383">
        <v>3506.3734599999989</v>
      </c>
      <c r="M383">
        <f t="shared" si="11"/>
        <v>-3805.1047509999989</v>
      </c>
    </row>
    <row r="384" spans="2:13" x14ac:dyDescent="0.3">
      <c r="B384" t="s">
        <v>848</v>
      </c>
      <c r="C384" t="s">
        <v>126</v>
      </c>
      <c r="D384" t="s">
        <v>30</v>
      </c>
      <c r="E384" t="s">
        <v>78</v>
      </c>
      <c r="F384">
        <v>4117.4880599999997</v>
      </c>
      <c r="G384">
        <v>4932.38</v>
      </c>
      <c r="H384">
        <v>-814.89194000000043</v>
      </c>
      <c r="I384">
        <f>Staging!Q375*(Staging!T375*(1+QtyUplift))*(1-MIN(Staging!R375,DiscountCap))</f>
        <v>4529.2368660000002</v>
      </c>
      <c r="J384">
        <f>Staging!P375*(1+CostInflation)*Staging!T375*(1+QtyUplift)</f>
        <v>7026.1753100000005</v>
      </c>
      <c r="K384">
        <f t="shared" si="10"/>
        <v>-2496.9384440000003</v>
      </c>
      <c r="L384">
        <v>411.74880600000051</v>
      </c>
      <c r="M384">
        <f t="shared" si="11"/>
        <v>-1682.0465039999999</v>
      </c>
    </row>
    <row r="385" spans="2:13" x14ac:dyDescent="0.3">
      <c r="B385" t="s">
        <v>850</v>
      </c>
      <c r="C385" t="s">
        <v>21</v>
      </c>
      <c r="D385" t="s">
        <v>42</v>
      </c>
      <c r="E385" t="s">
        <v>52</v>
      </c>
      <c r="F385">
        <v>31005.24768</v>
      </c>
      <c r="G385">
        <v>17810.760000000002</v>
      </c>
      <c r="H385">
        <v>13194.487679999998</v>
      </c>
      <c r="I385">
        <f>Staging!Q376*(Staging!T376*(1+QtyUplift))*(1-MIN(Staging!R376,DiscountCap))</f>
        <v>34380.819000000003</v>
      </c>
      <c r="J385">
        <f>Staging!P376*(1+CostInflation)*Staging!T376*(1+QtyUplift)</f>
        <v>25371.427620000002</v>
      </c>
      <c r="K385">
        <f t="shared" si="10"/>
        <v>9009.3913800000009</v>
      </c>
      <c r="L385">
        <v>10251.735120000005</v>
      </c>
      <c r="M385">
        <f t="shared" si="11"/>
        <v>-4185.0962999999974</v>
      </c>
    </row>
    <row r="386" spans="2:13" x14ac:dyDescent="0.3">
      <c r="B386" t="s">
        <v>852</v>
      </c>
      <c r="C386" t="s">
        <v>41</v>
      </c>
      <c r="D386" t="s">
        <v>42</v>
      </c>
      <c r="E386" t="s">
        <v>45</v>
      </c>
      <c r="F386">
        <v>38422.022320000004</v>
      </c>
      <c r="G386">
        <v>33620.22</v>
      </c>
      <c r="H386">
        <v>4801.8023200000025</v>
      </c>
      <c r="I386">
        <f>Staging!Q377*(Staging!T377*(1+QtyUplift))*(1-MIN(Staging!R377,DiscountCap))</f>
        <v>42264.224552000007</v>
      </c>
      <c r="J386">
        <f>Staging!P377*(1+CostInflation)*Staging!T377*(1+QtyUplift)</f>
        <v>47892.003390000005</v>
      </c>
      <c r="K386">
        <f t="shared" si="10"/>
        <v>-5627.7788379999984</v>
      </c>
      <c r="L386">
        <v>3842.2022320000033</v>
      </c>
      <c r="M386">
        <f t="shared" si="11"/>
        <v>-10429.581158000001</v>
      </c>
    </row>
    <row r="387" spans="2:13" x14ac:dyDescent="0.3">
      <c r="B387" t="s">
        <v>854</v>
      </c>
      <c r="C387" t="s">
        <v>49</v>
      </c>
      <c r="D387" t="s">
        <v>35</v>
      </c>
      <c r="E387" t="s">
        <v>45</v>
      </c>
      <c r="F387">
        <v>43553.493060000001</v>
      </c>
      <c r="G387">
        <v>27009.4</v>
      </c>
      <c r="H387">
        <v>16544.093059999999</v>
      </c>
      <c r="I387">
        <f>Staging!Q378*(Staging!T378*(1+QtyUplift))*(1-MIN(Staging!R378,DiscountCap))</f>
        <v>47908.842366000012</v>
      </c>
      <c r="J387">
        <f>Staging!P378*(1+CostInflation)*Staging!T378*(1+QtyUplift)</f>
        <v>38474.890300000006</v>
      </c>
      <c r="K387">
        <f t="shared" si="10"/>
        <v>9433.9520660000053</v>
      </c>
      <c r="L387">
        <v>4355.349306000011</v>
      </c>
      <c r="M387">
        <f t="shared" si="11"/>
        <v>-7110.140993999994</v>
      </c>
    </row>
    <row r="388" spans="2:13" x14ac:dyDescent="0.3">
      <c r="B388" t="s">
        <v>856</v>
      </c>
      <c r="C388" t="s">
        <v>75</v>
      </c>
      <c r="D388" t="s">
        <v>22</v>
      </c>
      <c r="E388" t="s">
        <v>16</v>
      </c>
      <c r="F388">
        <v>15348.702599999999</v>
      </c>
      <c r="G388">
        <v>12250.7</v>
      </c>
      <c r="H388">
        <v>3098.002599999998</v>
      </c>
      <c r="I388">
        <f>Staging!Q379*(Staging!T379*(1+QtyUplift))*(1-MIN(Staging!R379,DiscountCap))</f>
        <v>16883.57286</v>
      </c>
      <c r="J388">
        <f>Staging!P379*(1+CostInflation)*Staging!T379*(1+QtyUplift)</f>
        <v>17451.122150000003</v>
      </c>
      <c r="K388">
        <f t="shared" si="10"/>
        <v>-567.54929000000266</v>
      </c>
      <c r="L388">
        <v>2299.6314000000039</v>
      </c>
      <c r="M388">
        <f t="shared" si="11"/>
        <v>-3665.5518900000006</v>
      </c>
    </row>
    <row r="389" spans="2:13" x14ac:dyDescent="0.3">
      <c r="B389" t="s">
        <v>858</v>
      </c>
      <c r="C389" t="s">
        <v>95</v>
      </c>
      <c r="D389" t="s">
        <v>35</v>
      </c>
      <c r="E389" t="s">
        <v>16</v>
      </c>
      <c r="F389">
        <v>6576.298960000001</v>
      </c>
      <c r="G389">
        <v>3024.91</v>
      </c>
      <c r="H389">
        <v>3551.3889600000011</v>
      </c>
      <c r="I389">
        <f>Staging!Q380*(Staging!T380*(1+QtyUplift))*(1-MIN(Staging!R380,DiscountCap))</f>
        <v>7233.9288560000014</v>
      </c>
      <c r="J389">
        <f>Staging!P380*(1+CostInflation)*Staging!T380*(1+QtyUplift)</f>
        <v>4308.9842950000002</v>
      </c>
      <c r="K389">
        <f t="shared" si="10"/>
        <v>2924.9445610000012</v>
      </c>
      <c r="L389">
        <v>657.62989600000037</v>
      </c>
      <c r="M389">
        <f t="shared" si="11"/>
        <v>-626.44439899999998</v>
      </c>
    </row>
    <row r="390" spans="2:13" x14ac:dyDescent="0.3">
      <c r="B390" t="s">
        <v>860</v>
      </c>
      <c r="C390" t="s">
        <v>84</v>
      </c>
      <c r="D390" t="s">
        <v>35</v>
      </c>
      <c r="E390" t="s">
        <v>52</v>
      </c>
      <c r="F390">
        <v>33200.038079999998</v>
      </c>
      <c r="G390">
        <v>15073.02</v>
      </c>
      <c r="H390">
        <v>18127.018079999998</v>
      </c>
      <c r="I390">
        <f>Staging!Q381*(Staging!T381*(1+QtyUplift))*(1-MIN(Staging!R381,DiscountCap))</f>
        <v>36520.041888000007</v>
      </c>
      <c r="J390">
        <f>Staging!P381*(1+CostInflation)*Staging!T381*(1+QtyUplift)</f>
        <v>21471.516990000004</v>
      </c>
      <c r="K390">
        <f t="shared" si="10"/>
        <v>15048.524898000003</v>
      </c>
      <c r="L390">
        <v>3320.0038080000086</v>
      </c>
      <c r="M390">
        <f t="shared" si="11"/>
        <v>-3078.4931819999947</v>
      </c>
    </row>
    <row r="391" spans="2:13" x14ac:dyDescent="0.3">
      <c r="B391" t="s">
        <v>862</v>
      </c>
      <c r="C391" t="s">
        <v>92</v>
      </c>
      <c r="D391" t="s">
        <v>22</v>
      </c>
      <c r="E391" t="s">
        <v>78</v>
      </c>
      <c r="F391">
        <v>11332.142999999998</v>
      </c>
      <c r="G391">
        <v>9456.5</v>
      </c>
      <c r="H391">
        <v>1875.6429999999982</v>
      </c>
      <c r="I391">
        <f>Staging!Q382*(Staging!T382*(1+QtyUplift))*(1-MIN(Staging!R382,DiscountCap))</f>
        <v>12465.3573</v>
      </c>
      <c r="J391">
        <f>Staging!P382*(1+CostInflation)*Staging!T382*(1+QtyUplift)</f>
        <v>13470.784249999999</v>
      </c>
      <c r="K391">
        <f t="shared" si="10"/>
        <v>-1005.4269499999991</v>
      </c>
      <c r="L391">
        <v>2071.4670000000024</v>
      </c>
      <c r="M391">
        <f t="shared" si="11"/>
        <v>-2881.0699499999973</v>
      </c>
    </row>
    <row r="392" spans="2:13" x14ac:dyDescent="0.3">
      <c r="B392" t="s">
        <v>863</v>
      </c>
      <c r="C392" t="s">
        <v>110</v>
      </c>
      <c r="D392" t="s">
        <v>35</v>
      </c>
      <c r="E392" t="s">
        <v>52</v>
      </c>
      <c r="F392">
        <v>12881.097599999999</v>
      </c>
      <c r="G392">
        <v>11672.220000000001</v>
      </c>
      <c r="H392">
        <v>1208.877599999998</v>
      </c>
      <c r="I392">
        <f>Staging!Q383*(Staging!T383*(1+QtyUplift))*(1-MIN(Staging!R383,DiscountCap))</f>
        <v>14169.20736</v>
      </c>
      <c r="J392">
        <f>Staging!P383*(1+CostInflation)*Staging!T383*(1+QtyUplift)</f>
        <v>16627.077389999999</v>
      </c>
      <c r="K392">
        <f t="shared" si="10"/>
        <v>-2457.8700299999982</v>
      </c>
      <c r="L392">
        <v>2594.9784</v>
      </c>
      <c r="M392">
        <f t="shared" si="11"/>
        <v>-3666.7476299999962</v>
      </c>
    </row>
    <row r="393" spans="2:13" x14ac:dyDescent="0.3">
      <c r="B393" t="s">
        <v>865</v>
      </c>
      <c r="C393" t="s">
        <v>34</v>
      </c>
      <c r="D393" t="s">
        <v>30</v>
      </c>
      <c r="E393" t="s">
        <v>78</v>
      </c>
      <c r="F393">
        <v>37562.28</v>
      </c>
      <c r="G393">
        <v>31977.68</v>
      </c>
      <c r="H393">
        <v>5584.5999999999985</v>
      </c>
      <c r="I393">
        <f>Staging!Q384*(Staging!T384*(1+QtyUplift))*(1-MIN(Staging!R384,DiscountCap))</f>
        <v>41318.508000000009</v>
      </c>
      <c r="J393">
        <f>Staging!P384*(1+CostInflation)*Staging!T384*(1+QtyUplift)</f>
        <v>45552.205160000005</v>
      </c>
      <c r="K393">
        <f t="shared" si="10"/>
        <v>-4233.6971599999961</v>
      </c>
      <c r="L393">
        <v>3756.2280000000101</v>
      </c>
      <c r="M393">
        <f t="shared" si="11"/>
        <v>-9818.2971599999946</v>
      </c>
    </row>
    <row r="394" spans="2:13" x14ac:dyDescent="0.3">
      <c r="B394" t="s">
        <v>867</v>
      </c>
      <c r="C394" t="s">
        <v>68</v>
      </c>
      <c r="D394" t="s">
        <v>35</v>
      </c>
      <c r="E394" t="s">
        <v>52</v>
      </c>
      <c r="F394">
        <v>47693.373</v>
      </c>
      <c r="G394">
        <v>46966.729999999996</v>
      </c>
      <c r="H394">
        <v>726.64300000000367</v>
      </c>
      <c r="I394">
        <f>Staging!Q385*(Staging!T385*(1+QtyUplift))*(1-MIN(Staging!R385,DiscountCap))</f>
        <v>52462.710300000006</v>
      </c>
      <c r="J394">
        <f>Staging!P385*(1+CostInflation)*Staging!T385*(1+QtyUplift)</f>
        <v>66904.106885000001</v>
      </c>
      <c r="K394">
        <f t="shared" si="10"/>
        <v>-14441.396584999995</v>
      </c>
      <c r="L394">
        <v>4769.3373000000065</v>
      </c>
      <c r="M394">
        <f t="shared" si="11"/>
        <v>-15168.039584999999</v>
      </c>
    </row>
    <row r="395" spans="2:13" x14ac:dyDescent="0.3">
      <c r="B395" t="s">
        <v>869</v>
      </c>
      <c r="C395" t="s">
        <v>84</v>
      </c>
      <c r="D395" t="s">
        <v>64</v>
      </c>
      <c r="E395" t="s">
        <v>78</v>
      </c>
      <c r="F395">
        <v>15257.51748</v>
      </c>
      <c r="G395">
        <v>16944.3</v>
      </c>
      <c r="H395">
        <v>-1686.7825199999988</v>
      </c>
      <c r="I395">
        <f>Staging!Q386*(Staging!T386*(1+QtyUplift))*(1-MIN(Staging!R386,DiscountCap))</f>
        <v>16783.269228000001</v>
      </c>
      <c r="J395">
        <f>Staging!P386*(1+CostInflation)*Staging!T386*(1+QtyUplift)</f>
        <v>24137.155350000001</v>
      </c>
      <c r="K395">
        <f t="shared" si="10"/>
        <v>-7353.8861219999999</v>
      </c>
      <c r="L395">
        <v>1525.7517480000006</v>
      </c>
      <c r="M395">
        <f t="shared" si="11"/>
        <v>-5667.103602000001</v>
      </c>
    </row>
    <row r="396" spans="2:13" x14ac:dyDescent="0.3">
      <c r="B396" t="s">
        <v>871</v>
      </c>
      <c r="C396" t="s">
        <v>92</v>
      </c>
      <c r="D396" t="s">
        <v>57</v>
      </c>
      <c r="E396" t="s">
        <v>45</v>
      </c>
      <c r="F396">
        <v>22064.910300000003</v>
      </c>
      <c r="G396">
        <v>35997.200000000004</v>
      </c>
      <c r="H396">
        <v>-13932.289700000001</v>
      </c>
      <c r="I396">
        <f>Staging!Q387*(Staging!T387*(1+QtyUplift))*(1-MIN(Staging!R387,DiscountCap))</f>
        <v>24271.401330000004</v>
      </c>
      <c r="J396">
        <f>Staging!P387*(1+CostInflation)*Staging!T387*(1+QtyUplift)</f>
        <v>51278.011400000003</v>
      </c>
      <c r="K396">
        <f t="shared" ref="K396:K459" si="12">I396-J396</f>
        <v>-27006.610069999999</v>
      </c>
      <c r="L396">
        <v>4903.3133999999991</v>
      </c>
      <c r="M396">
        <f t="shared" ref="M396:M459" si="13">K396-H396</f>
        <v>-13074.320369999998</v>
      </c>
    </row>
    <row r="397" spans="2:13" x14ac:dyDescent="0.3">
      <c r="B397" t="s">
        <v>873</v>
      </c>
      <c r="C397" t="s">
        <v>41</v>
      </c>
      <c r="D397" t="s">
        <v>30</v>
      </c>
      <c r="E397" t="s">
        <v>45</v>
      </c>
      <c r="F397">
        <v>9586.8057599999993</v>
      </c>
      <c r="G397">
        <v>5762.16</v>
      </c>
      <c r="H397">
        <v>3824.6457599999994</v>
      </c>
      <c r="I397">
        <f>Staging!Q388*(Staging!T388*(1+QtyUplift))*(1-MIN(Staging!R388,DiscountCap))</f>
        <v>10545.486336</v>
      </c>
      <c r="J397">
        <f>Staging!P388*(1+CostInflation)*Staging!T388*(1+QtyUplift)</f>
        <v>8208.1969200000003</v>
      </c>
      <c r="K397">
        <f t="shared" si="12"/>
        <v>2337.2894159999996</v>
      </c>
      <c r="L397">
        <v>1005.75864</v>
      </c>
      <c r="M397">
        <f t="shared" si="13"/>
        <v>-1487.3563439999998</v>
      </c>
    </row>
    <row r="398" spans="2:13" x14ac:dyDescent="0.3">
      <c r="B398" t="s">
        <v>875</v>
      </c>
      <c r="C398" t="s">
        <v>49</v>
      </c>
      <c r="D398" t="s">
        <v>57</v>
      </c>
      <c r="E398" t="s">
        <v>16</v>
      </c>
      <c r="F398">
        <v>19773.362699999998</v>
      </c>
      <c r="G398">
        <v>16295.86</v>
      </c>
      <c r="H398">
        <v>3477.5026999999973</v>
      </c>
      <c r="I398">
        <f>Staging!Q389*(Staging!T389*(1+QtyUplift))*(1-MIN(Staging!R389,DiscountCap))</f>
        <v>21750.698970000001</v>
      </c>
      <c r="J398">
        <f>Staging!P389*(1+CostInflation)*Staging!T389*(1+QtyUplift)</f>
        <v>23213.452569999998</v>
      </c>
      <c r="K398">
        <f t="shared" si="12"/>
        <v>-1462.7535999999964</v>
      </c>
      <c r="L398">
        <v>2650.0383000000038</v>
      </c>
      <c r="M398">
        <f t="shared" si="13"/>
        <v>-4940.2562999999936</v>
      </c>
    </row>
    <row r="399" spans="2:13" x14ac:dyDescent="0.3">
      <c r="B399" t="s">
        <v>877</v>
      </c>
      <c r="C399" t="s">
        <v>29</v>
      </c>
      <c r="D399" t="s">
        <v>57</v>
      </c>
      <c r="E399" t="s">
        <v>45</v>
      </c>
      <c r="F399">
        <v>14108.16791</v>
      </c>
      <c r="G399">
        <v>17329.12</v>
      </c>
      <c r="H399">
        <v>-3220.9520899999989</v>
      </c>
      <c r="I399">
        <f>Staging!Q390*(Staging!T390*(1+QtyUplift))*(1-MIN(Staging!R390,DiscountCap))</f>
        <v>15518.984701000001</v>
      </c>
      <c r="J399">
        <f>Staging!P390*(1+CostInflation)*Staging!T390*(1+QtyUplift)</f>
        <v>24685.331439999998</v>
      </c>
      <c r="K399">
        <f t="shared" si="12"/>
        <v>-9166.3467389999969</v>
      </c>
      <c r="L399">
        <v>2265.9073900000021</v>
      </c>
      <c r="M399">
        <f t="shared" si="13"/>
        <v>-5945.394648999998</v>
      </c>
    </row>
    <row r="400" spans="2:13" x14ac:dyDescent="0.3">
      <c r="B400" t="s">
        <v>879</v>
      </c>
      <c r="C400" t="s">
        <v>34</v>
      </c>
      <c r="D400" t="s">
        <v>57</v>
      </c>
      <c r="E400" t="s">
        <v>16</v>
      </c>
      <c r="F400">
        <v>434.45248000000004</v>
      </c>
      <c r="G400">
        <v>224.17999999999998</v>
      </c>
      <c r="H400">
        <v>210.27248000000006</v>
      </c>
      <c r="I400">
        <f>Staging!Q391*(Staging!T391*(1+QtyUplift))*(1-MIN(Staging!R391,DiscountCap))</f>
        <v>477.89772800000014</v>
      </c>
      <c r="J400">
        <f>Staging!P391*(1+CostInflation)*Staging!T391*(1+QtyUplift)</f>
        <v>319.34440999999998</v>
      </c>
      <c r="K400">
        <f t="shared" si="12"/>
        <v>158.55331800000016</v>
      </c>
      <c r="L400">
        <v>43.445248000000106</v>
      </c>
      <c r="M400">
        <f t="shared" si="13"/>
        <v>-51.719161999999898</v>
      </c>
    </row>
    <row r="401" spans="2:13" x14ac:dyDescent="0.3">
      <c r="B401" t="s">
        <v>881</v>
      </c>
      <c r="C401" t="s">
        <v>21</v>
      </c>
      <c r="D401" t="s">
        <v>64</v>
      </c>
      <c r="E401" t="s">
        <v>16</v>
      </c>
      <c r="F401">
        <v>16142.527829999999</v>
      </c>
      <c r="G401">
        <v>16363.49</v>
      </c>
      <c r="H401">
        <v>-220.9621700000007</v>
      </c>
      <c r="I401">
        <f>Staging!Q392*(Staging!T392*(1+QtyUplift))*(1-MIN(Staging!R392,DiscountCap))</f>
        <v>17756.780613000003</v>
      </c>
      <c r="J401">
        <f>Staging!P392*(1+CostInflation)*Staging!T392*(1+QtyUplift)</f>
        <v>23309.791505000001</v>
      </c>
      <c r="K401">
        <f t="shared" si="12"/>
        <v>-5553.0108919999984</v>
      </c>
      <c r="L401">
        <v>1614.2527830000035</v>
      </c>
      <c r="M401">
        <f t="shared" si="13"/>
        <v>-5332.0487219999977</v>
      </c>
    </row>
    <row r="402" spans="2:13" x14ac:dyDescent="0.3">
      <c r="B402" t="s">
        <v>883</v>
      </c>
      <c r="C402" t="s">
        <v>84</v>
      </c>
      <c r="D402" t="s">
        <v>30</v>
      </c>
      <c r="E402" t="s">
        <v>78</v>
      </c>
      <c r="F402">
        <v>2525.0635000000002</v>
      </c>
      <c r="G402">
        <v>1149.8</v>
      </c>
      <c r="H402">
        <v>1375.2635000000002</v>
      </c>
      <c r="I402">
        <f>Staging!Q393*(Staging!T393*(1+QtyUplift))*(1-MIN(Staging!R393,DiscountCap))</f>
        <v>2777.5698499999999</v>
      </c>
      <c r="J402">
        <f>Staging!P393*(1+CostInflation)*Staging!T393*(1+QtyUplift)</f>
        <v>1637.8901000000001</v>
      </c>
      <c r="K402">
        <f t="shared" si="12"/>
        <v>1139.6797499999998</v>
      </c>
      <c r="L402">
        <v>268.02349999999979</v>
      </c>
      <c r="M402">
        <f t="shared" si="13"/>
        <v>-235.58375000000046</v>
      </c>
    </row>
    <row r="403" spans="2:13" x14ac:dyDescent="0.3">
      <c r="B403" t="s">
        <v>885</v>
      </c>
      <c r="C403" t="s">
        <v>21</v>
      </c>
      <c r="D403" t="s">
        <v>22</v>
      </c>
      <c r="E403" t="s">
        <v>45</v>
      </c>
      <c r="F403">
        <v>52361.645000000004</v>
      </c>
      <c r="G403">
        <v>39621.049999999996</v>
      </c>
      <c r="H403">
        <v>12740.595000000008</v>
      </c>
      <c r="I403">
        <f>Staging!Q394*(Staging!T394*(1+QtyUplift))*(1-MIN(Staging!R394,DiscountCap))</f>
        <v>61711.938750000001</v>
      </c>
      <c r="J403">
        <f>Staging!P394*(1+CostInflation)*Staging!T394*(1+QtyUplift)</f>
        <v>56440.185725000003</v>
      </c>
      <c r="K403">
        <f t="shared" si="12"/>
        <v>5271.7530249999982</v>
      </c>
      <c r="L403">
        <v>21692.681500000006</v>
      </c>
      <c r="M403">
        <f t="shared" si="13"/>
        <v>-7468.8419750000103</v>
      </c>
    </row>
    <row r="404" spans="2:13" x14ac:dyDescent="0.3">
      <c r="B404" t="s">
        <v>887</v>
      </c>
      <c r="C404" t="s">
        <v>34</v>
      </c>
      <c r="D404" t="s">
        <v>42</v>
      </c>
      <c r="E404" t="s">
        <v>52</v>
      </c>
      <c r="F404">
        <v>11285.764020000001</v>
      </c>
      <c r="G404">
        <v>10236.69</v>
      </c>
      <c r="H404">
        <v>1049.07402</v>
      </c>
      <c r="I404">
        <f>Staging!Q395*(Staging!T395*(1+QtyUplift))*(1-MIN(Staging!R395,DiscountCap))</f>
        <v>12480.905250000002</v>
      </c>
      <c r="J404">
        <f>Staging!P395*(1+CostInflation)*Staging!T395*(1+QtyUplift)</f>
        <v>14582.164905000001</v>
      </c>
      <c r="K404">
        <f t="shared" si="12"/>
        <v>-2101.2596549999998</v>
      </c>
      <c r="L404">
        <v>3691.3222800000021</v>
      </c>
      <c r="M404">
        <f t="shared" si="13"/>
        <v>-3150.3336749999999</v>
      </c>
    </row>
    <row r="405" spans="2:13" x14ac:dyDescent="0.3">
      <c r="B405" t="s">
        <v>889</v>
      </c>
      <c r="C405" t="s">
        <v>95</v>
      </c>
      <c r="D405" t="s">
        <v>22</v>
      </c>
      <c r="E405" t="s">
        <v>78</v>
      </c>
      <c r="F405">
        <v>19800.88896</v>
      </c>
      <c r="G405">
        <v>10363.120000000001</v>
      </c>
      <c r="H405">
        <v>9437.7689599999994</v>
      </c>
      <c r="I405">
        <f>Staging!Q396*(Staging!T396*(1+QtyUplift))*(1-MIN(Staging!R396,DiscountCap))</f>
        <v>21780.977856000001</v>
      </c>
      <c r="J405">
        <f>Staging!P396*(1+CostInflation)*Staging!T396*(1+QtyUplift)</f>
        <v>14762.264440000003</v>
      </c>
      <c r="K405">
        <f t="shared" si="12"/>
        <v>7018.7134159999987</v>
      </c>
      <c r="L405">
        <v>3207.1862400000027</v>
      </c>
      <c r="M405">
        <f t="shared" si="13"/>
        <v>-2419.0555440000007</v>
      </c>
    </row>
    <row r="406" spans="2:13" x14ac:dyDescent="0.3">
      <c r="B406" t="s">
        <v>891</v>
      </c>
      <c r="C406" t="s">
        <v>92</v>
      </c>
      <c r="D406" t="s">
        <v>81</v>
      </c>
      <c r="E406" t="s">
        <v>45</v>
      </c>
      <c r="F406">
        <v>14431.738420000001</v>
      </c>
      <c r="G406">
        <v>12418.4</v>
      </c>
      <c r="H406">
        <v>2013.3384200000019</v>
      </c>
      <c r="I406">
        <f>Staging!Q397*(Staging!T397*(1+QtyUplift))*(1-MIN(Staging!R397,DiscountCap))</f>
        <v>15874.912262000003</v>
      </c>
      <c r="J406">
        <f>Staging!P397*(1+CostInflation)*Staging!T397*(1+QtyUplift)</f>
        <v>17690.010800000004</v>
      </c>
      <c r="K406">
        <f t="shared" si="12"/>
        <v>-1815.0985380000002</v>
      </c>
      <c r="L406">
        <v>1443.173842000002</v>
      </c>
      <c r="M406">
        <f t="shared" si="13"/>
        <v>-3828.4369580000021</v>
      </c>
    </row>
    <row r="407" spans="2:13" x14ac:dyDescent="0.3">
      <c r="B407" t="s">
        <v>893</v>
      </c>
      <c r="C407" t="s">
        <v>75</v>
      </c>
      <c r="D407" t="s">
        <v>64</v>
      </c>
      <c r="E407" t="s">
        <v>78</v>
      </c>
      <c r="F407">
        <v>56176.777799999996</v>
      </c>
      <c r="G407">
        <v>27953.4</v>
      </c>
      <c r="H407">
        <v>28223.377799999995</v>
      </c>
      <c r="I407">
        <f>Staging!Q398*(Staging!T398*(1+QtyUplift))*(1-MIN(Staging!R398,DiscountCap))</f>
        <v>61794.455580000002</v>
      </c>
      <c r="J407">
        <f>Staging!P398*(1+CostInflation)*Staging!T398*(1+QtyUplift)</f>
        <v>39819.618300000002</v>
      </c>
      <c r="K407">
        <f t="shared" si="12"/>
        <v>21974.83728</v>
      </c>
      <c r="L407">
        <v>5824.3482000000076</v>
      </c>
      <c r="M407">
        <f t="shared" si="13"/>
        <v>-6248.540519999995</v>
      </c>
    </row>
    <row r="408" spans="2:13" x14ac:dyDescent="0.3">
      <c r="B408" t="s">
        <v>895</v>
      </c>
      <c r="C408" t="s">
        <v>56</v>
      </c>
      <c r="D408" t="s">
        <v>57</v>
      </c>
      <c r="E408" t="s">
        <v>45</v>
      </c>
      <c r="F408">
        <v>18641.222160000001</v>
      </c>
      <c r="G408">
        <v>20441.990000000002</v>
      </c>
      <c r="H408">
        <v>-1800.7678400000004</v>
      </c>
      <c r="I408">
        <f>Staging!Q399*(Staging!T399*(1+QtyUplift))*(1-MIN(Staging!R399,DiscountCap))</f>
        <v>20505.344376000001</v>
      </c>
      <c r="J408">
        <f>Staging!P399*(1+CostInflation)*Staging!T399*(1+QtyUplift)</f>
        <v>29119.614755000002</v>
      </c>
      <c r="K408">
        <f t="shared" si="12"/>
        <v>-8614.2703790000014</v>
      </c>
      <c r="L408">
        <v>5673.4154400000007</v>
      </c>
      <c r="M408">
        <f t="shared" si="13"/>
        <v>-6813.502539000001</v>
      </c>
    </row>
    <row r="409" spans="2:13" x14ac:dyDescent="0.3">
      <c r="B409" t="s">
        <v>897</v>
      </c>
      <c r="C409" t="s">
        <v>145</v>
      </c>
      <c r="D409" t="s">
        <v>22</v>
      </c>
      <c r="E409" t="s">
        <v>16</v>
      </c>
      <c r="F409">
        <v>13185.543</v>
      </c>
      <c r="G409">
        <v>6551.5</v>
      </c>
      <c r="H409">
        <v>6634.0429999999997</v>
      </c>
      <c r="I409">
        <f>Staging!Q400*(Staging!T400*(1+QtyUplift))*(1-MIN(Staging!R400,DiscountCap))</f>
        <v>14504.097300000001</v>
      </c>
      <c r="J409">
        <f>Staging!P400*(1+CostInflation)*Staging!T400*(1+QtyUplift)</f>
        <v>9332.61175</v>
      </c>
      <c r="K409">
        <f t="shared" si="12"/>
        <v>5171.4855500000012</v>
      </c>
      <c r="L409">
        <v>1318.5543000000016</v>
      </c>
      <c r="M409">
        <f t="shared" si="13"/>
        <v>-1462.5574499999984</v>
      </c>
    </row>
    <row r="410" spans="2:13" x14ac:dyDescent="0.3">
      <c r="B410" t="s">
        <v>899</v>
      </c>
      <c r="C410" t="s">
        <v>145</v>
      </c>
      <c r="D410" t="s">
        <v>64</v>
      </c>
      <c r="E410" t="s">
        <v>16</v>
      </c>
      <c r="F410">
        <v>12972.00222</v>
      </c>
      <c r="G410">
        <v>10567.53</v>
      </c>
      <c r="H410">
        <v>2404.4722199999997</v>
      </c>
      <c r="I410">
        <f>Staging!Q401*(Staging!T401*(1+QtyUplift))*(1-MIN(Staging!R401,DiscountCap))</f>
        <v>14269.202442</v>
      </c>
      <c r="J410">
        <f>Staging!P401*(1+CostInflation)*Staging!T401*(1+QtyUplift)</f>
        <v>15053.446485</v>
      </c>
      <c r="K410">
        <f t="shared" si="12"/>
        <v>-784.2440430000006</v>
      </c>
      <c r="L410">
        <v>1654.7428799999998</v>
      </c>
      <c r="M410">
        <f t="shared" si="13"/>
        <v>-3188.7162630000003</v>
      </c>
    </row>
    <row r="411" spans="2:13" x14ac:dyDescent="0.3">
      <c r="B411" t="s">
        <v>901</v>
      </c>
      <c r="C411" t="s">
        <v>84</v>
      </c>
      <c r="D411" t="s">
        <v>35</v>
      </c>
      <c r="E411" t="s">
        <v>16</v>
      </c>
      <c r="F411">
        <v>17731.623</v>
      </c>
      <c r="G411">
        <v>15666.56</v>
      </c>
      <c r="H411">
        <v>2065.0630000000001</v>
      </c>
      <c r="I411">
        <f>Staging!Q402*(Staging!T402*(1+QtyUplift))*(1-MIN(Staging!R402,DiscountCap))</f>
        <v>19504.785300000003</v>
      </c>
      <c r="J411">
        <f>Staging!P402*(1+CostInflation)*Staging!T402*(1+QtyUplift)</f>
        <v>22317.014719999999</v>
      </c>
      <c r="K411">
        <f t="shared" si="12"/>
        <v>-2812.229419999996</v>
      </c>
      <c r="L411">
        <v>1773.1623000000036</v>
      </c>
      <c r="M411">
        <f t="shared" si="13"/>
        <v>-4877.2924199999961</v>
      </c>
    </row>
    <row r="412" spans="2:13" x14ac:dyDescent="0.3">
      <c r="B412" t="s">
        <v>903</v>
      </c>
      <c r="C412" t="s">
        <v>145</v>
      </c>
      <c r="D412" t="s">
        <v>30</v>
      </c>
      <c r="E412" t="s">
        <v>52</v>
      </c>
      <c r="F412">
        <v>17427.164800000002</v>
      </c>
      <c r="G412">
        <v>16163.300000000001</v>
      </c>
      <c r="H412">
        <v>1263.8648000000012</v>
      </c>
      <c r="I412">
        <f>Staging!Q403*(Staging!T403*(1+QtyUplift))*(1-MIN(Staging!R403,DiscountCap))</f>
        <v>19169.881280000005</v>
      </c>
      <c r="J412">
        <f>Staging!P403*(1+CostInflation)*Staging!T403*(1+QtyUplift)</f>
        <v>23024.620850000003</v>
      </c>
      <c r="K412">
        <f t="shared" si="12"/>
        <v>-3854.7395699999979</v>
      </c>
      <c r="L412">
        <v>3612.9488000000019</v>
      </c>
      <c r="M412">
        <f t="shared" si="13"/>
        <v>-5118.6043699999991</v>
      </c>
    </row>
    <row r="413" spans="2:13" x14ac:dyDescent="0.3">
      <c r="B413" t="s">
        <v>905</v>
      </c>
      <c r="C413" t="s">
        <v>68</v>
      </c>
      <c r="D413" t="s">
        <v>22</v>
      </c>
      <c r="E413" t="s">
        <v>52</v>
      </c>
      <c r="F413">
        <v>16946.091840000001</v>
      </c>
      <c r="G413">
        <v>16326.4</v>
      </c>
      <c r="H413">
        <v>619.69184000000132</v>
      </c>
      <c r="I413">
        <f>Staging!Q404*(Staging!T404*(1+QtyUplift))*(1-MIN(Staging!R404,DiscountCap))</f>
        <v>18640.701024000002</v>
      </c>
      <c r="J413">
        <f>Staging!P404*(1+CostInflation)*Staging!T404*(1+QtyUplift)</f>
        <v>23256.9568</v>
      </c>
      <c r="K413">
        <f t="shared" si="12"/>
        <v>-4616.2557759999981</v>
      </c>
      <c r="L413">
        <v>1819.7145600000003</v>
      </c>
      <c r="M413">
        <f t="shared" si="13"/>
        <v>-5235.9476159999995</v>
      </c>
    </row>
    <row r="414" spans="2:13" x14ac:dyDescent="0.3">
      <c r="B414" t="s">
        <v>907</v>
      </c>
      <c r="C414" t="s">
        <v>92</v>
      </c>
      <c r="D414" t="s">
        <v>57</v>
      </c>
      <c r="E414" t="s">
        <v>78</v>
      </c>
      <c r="F414">
        <v>5250.4239000000007</v>
      </c>
      <c r="G414">
        <v>2507.5</v>
      </c>
      <c r="H414">
        <v>2742.9239000000007</v>
      </c>
      <c r="I414">
        <f>Staging!Q405*(Staging!T405*(1+QtyUplift))*(1-MIN(Staging!R405,DiscountCap))</f>
        <v>5775.4662900000003</v>
      </c>
      <c r="J414">
        <f>Staging!P405*(1+CostInflation)*Staging!T405*(1+QtyUplift)</f>
        <v>3571.9337500000006</v>
      </c>
      <c r="K414">
        <f t="shared" si="12"/>
        <v>2203.5325399999997</v>
      </c>
      <c r="L414">
        <v>696.85259999999926</v>
      </c>
      <c r="M414">
        <f t="shared" si="13"/>
        <v>-539.39136000000099</v>
      </c>
    </row>
    <row r="415" spans="2:13" x14ac:dyDescent="0.3">
      <c r="B415" t="s">
        <v>909</v>
      </c>
      <c r="C415" t="s">
        <v>84</v>
      </c>
      <c r="D415" t="s">
        <v>22</v>
      </c>
      <c r="E415" t="s">
        <v>52</v>
      </c>
      <c r="F415">
        <v>7832.0010999999995</v>
      </c>
      <c r="G415">
        <v>9741.1</v>
      </c>
      <c r="H415">
        <v>-1909.0989000000009</v>
      </c>
      <c r="I415">
        <f>Staging!Q406*(Staging!T406*(1+QtyUplift))*(1-MIN(Staging!R406,DiscountCap))</f>
        <v>8615.2012099999993</v>
      </c>
      <c r="J415">
        <f>Staging!P406*(1+CostInflation)*Staging!T406*(1+QtyUplift)</f>
        <v>13876.196950000001</v>
      </c>
      <c r="K415">
        <f t="shared" si="12"/>
        <v>-5260.9957400000021</v>
      </c>
      <c r="L415">
        <v>889.79989999999998</v>
      </c>
      <c r="M415">
        <f t="shared" si="13"/>
        <v>-3351.8968400000012</v>
      </c>
    </row>
    <row r="416" spans="2:13" x14ac:dyDescent="0.3">
      <c r="B416" t="s">
        <v>911</v>
      </c>
      <c r="C416" t="s">
        <v>21</v>
      </c>
      <c r="D416" t="s">
        <v>64</v>
      </c>
      <c r="E416" t="s">
        <v>45</v>
      </c>
      <c r="F416">
        <v>13437.300239999999</v>
      </c>
      <c r="G416">
        <v>7884.03</v>
      </c>
      <c r="H416">
        <v>5553.2702399999989</v>
      </c>
      <c r="I416">
        <f>Staging!Q407*(Staging!T407*(1+QtyUplift))*(1-MIN(Staging!R407,DiscountCap))</f>
        <v>14781.030263999999</v>
      </c>
      <c r="J416">
        <f>Staging!P407*(1+CostInflation)*Staging!T407*(1+QtyUplift)</f>
        <v>11230.800735000001</v>
      </c>
      <c r="K416">
        <f t="shared" si="12"/>
        <v>3550.2295289999984</v>
      </c>
      <c r="L416">
        <v>1343.7300240000004</v>
      </c>
      <c r="M416">
        <f t="shared" si="13"/>
        <v>-2003.0407110000006</v>
      </c>
    </row>
    <row r="417" spans="2:13" x14ac:dyDescent="0.3">
      <c r="B417" t="s">
        <v>913</v>
      </c>
      <c r="C417" t="s">
        <v>110</v>
      </c>
      <c r="D417" t="s">
        <v>30</v>
      </c>
      <c r="E417" t="s">
        <v>45</v>
      </c>
      <c r="F417">
        <v>22457.143800000002</v>
      </c>
      <c r="G417">
        <v>19058.759999999998</v>
      </c>
      <c r="H417">
        <v>3398.3838000000032</v>
      </c>
      <c r="I417">
        <f>Staging!Q408*(Staging!T408*(1+QtyUplift))*(1-MIN(Staging!R408,DiscountCap))</f>
        <v>24702.858180000003</v>
      </c>
      <c r="J417">
        <f>Staging!P408*(1+CostInflation)*Staging!T408*(1+QtyUplift)</f>
        <v>27149.20362</v>
      </c>
      <c r="K417">
        <f t="shared" si="12"/>
        <v>-2446.3454399999973</v>
      </c>
      <c r="L417">
        <v>2245.7143800000013</v>
      </c>
      <c r="M417">
        <f t="shared" si="13"/>
        <v>-5844.7292400000006</v>
      </c>
    </row>
    <row r="418" spans="2:13" x14ac:dyDescent="0.3">
      <c r="B418" t="s">
        <v>915</v>
      </c>
      <c r="C418" t="s">
        <v>34</v>
      </c>
      <c r="D418" t="s">
        <v>42</v>
      </c>
      <c r="E418" t="s">
        <v>16</v>
      </c>
      <c r="F418">
        <v>21541.017959999997</v>
      </c>
      <c r="G418">
        <v>25873.02</v>
      </c>
      <c r="H418">
        <v>-4332.002040000003</v>
      </c>
      <c r="I418">
        <f>Staging!Q409*(Staging!T409*(1+QtyUplift))*(1-MIN(Staging!R409,DiscountCap))</f>
        <v>23695.119756</v>
      </c>
      <c r="J418">
        <f>Staging!P409*(1+CostInflation)*Staging!T409*(1+QtyUplift)</f>
        <v>36856.116990000002</v>
      </c>
      <c r="K418">
        <f t="shared" si="12"/>
        <v>-13160.997234000002</v>
      </c>
      <c r="L418">
        <v>3198.6662400000023</v>
      </c>
      <c r="M418">
        <f t="shared" si="13"/>
        <v>-8828.9951939999992</v>
      </c>
    </row>
    <row r="419" spans="2:13" x14ac:dyDescent="0.3">
      <c r="B419" t="s">
        <v>917</v>
      </c>
      <c r="C419" t="s">
        <v>95</v>
      </c>
      <c r="D419" t="s">
        <v>57</v>
      </c>
      <c r="E419" t="s">
        <v>45</v>
      </c>
      <c r="F419">
        <v>4679.7141600000004</v>
      </c>
      <c r="G419">
        <v>5232.26</v>
      </c>
      <c r="H419">
        <v>-552.54583999999977</v>
      </c>
      <c r="I419">
        <f>Staging!Q410*(Staging!T410*(1+QtyUplift))*(1-MIN(Staging!R410,DiscountCap))</f>
        <v>5147.6855760000008</v>
      </c>
      <c r="J419">
        <f>Staging!P410*(1+CostInflation)*Staging!T410*(1+QtyUplift)</f>
        <v>7453.35437</v>
      </c>
      <c r="K419">
        <f t="shared" si="12"/>
        <v>-2305.6687939999993</v>
      </c>
      <c r="L419">
        <v>1082.6204400000006</v>
      </c>
      <c r="M419">
        <f t="shared" si="13"/>
        <v>-1753.1229539999995</v>
      </c>
    </row>
    <row r="420" spans="2:13" x14ac:dyDescent="0.3">
      <c r="B420" t="s">
        <v>919</v>
      </c>
      <c r="C420" t="s">
        <v>75</v>
      </c>
      <c r="D420" t="s">
        <v>81</v>
      </c>
      <c r="E420" t="s">
        <v>45</v>
      </c>
      <c r="F420">
        <v>23668.560000000001</v>
      </c>
      <c r="G420">
        <v>16980.599999999999</v>
      </c>
      <c r="H420">
        <v>6687.9600000000028</v>
      </c>
      <c r="I420">
        <f>Staging!Q411*(Staging!T411*(1+QtyUplift))*(1-MIN(Staging!R411,DiscountCap))</f>
        <v>26035.416000000005</v>
      </c>
      <c r="J420">
        <f>Staging!P411*(1+CostInflation)*Staging!T411*(1+QtyUplift)</f>
        <v>24188.864699999998</v>
      </c>
      <c r="K420">
        <f t="shared" si="12"/>
        <v>1846.5513000000064</v>
      </c>
      <c r="L420">
        <v>2366.8560000000034</v>
      </c>
      <c r="M420">
        <f t="shared" si="13"/>
        <v>-4841.4086999999963</v>
      </c>
    </row>
    <row r="421" spans="2:13" x14ac:dyDescent="0.3">
      <c r="B421" t="s">
        <v>921</v>
      </c>
      <c r="C421" t="s">
        <v>126</v>
      </c>
      <c r="D421" t="s">
        <v>57</v>
      </c>
      <c r="E421" t="s">
        <v>45</v>
      </c>
      <c r="F421">
        <v>5323.9903199999999</v>
      </c>
      <c r="G421">
        <v>3729.28</v>
      </c>
      <c r="H421">
        <v>1594.7103199999997</v>
      </c>
      <c r="I421">
        <f>Staging!Q412*(Staging!T412*(1+QtyUplift))*(1-MIN(Staging!R412,DiscountCap))</f>
        <v>5856.3893520000001</v>
      </c>
      <c r="J421">
        <f>Staging!P412*(1+CostInflation)*Staging!T412*(1+QtyUplift)</f>
        <v>5312.3593600000004</v>
      </c>
      <c r="K421">
        <f t="shared" si="12"/>
        <v>544.02999199999977</v>
      </c>
      <c r="L421">
        <v>1620.3448800000006</v>
      </c>
      <c r="M421">
        <f t="shared" si="13"/>
        <v>-1050.6803279999999</v>
      </c>
    </row>
    <row r="422" spans="2:13" x14ac:dyDescent="0.3">
      <c r="B422" t="s">
        <v>923</v>
      </c>
      <c r="C422" t="s">
        <v>145</v>
      </c>
      <c r="D422" t="s">
        <v>30</v>
      </c>
      <c r="E422" t="s">
        <v>78</v>
      </c>
      <c r="F422">
        <v>6899.8804600000003</v>
      </c>
      <c r="G422">
        <v>7300.2599999999993</v>
      </c>
      <c r="H422">
        <v>-400.379539999999</v>
      </c>
      <c r="I422">
        <f>Staging!Q413*(Staging!T413*(1+QtyUplift))*(1-MIN(Staging!R413,DiscountCap))</f>
        <v>7589.8685060000007</v>
      </c>
      <c r="J422">
        <f>Staging!P413*(1+CostInflation)*Staging!T413*(1+QtyUplift)</f>
        <v>10399.220370000001</v>
      </c>
      <c r="K422">
        <f t="shared" si="12"/>
        <v>-2809.3518640000002</v>
      </c>
      <c r="L422">
        <v>2076.3109399999994</v>
      </c>
      <c r="M422">
        <f t="shared" si="13"/>
        <v>-2408.9723240000012</v>
      </c>
    </row>
    <row r="423" spans="2:13" x14ac:dyDescent="0.3">
      <c r="B423" t="s">
        <v>925</v>
      </c>
      <c r="C423" t="s">
        <v>68</v>
      </c>
      <c r="D423" t="s">
        <v>42</v>
      </c>
      <c r="E423" t="s">
        <v>78</v>
      </c>
      <c r="F423">
        <v>2059.0056</v>
      </c>
      <c r="G423">
        <v>1384.36</v>
      </c>
      <c r="H423">
        <v>674.64560000000006</v>
      </c>
      <c r="I423">
        <f>Staging!Q414*(Staging!T414*(1+QtyUplift))*(1-MIN(Staging!R414,DiscountCap))</f>
        <v>2264.90616</v>
      </c>
      <c r="J423">
        <f>Staging!P414*(1+CostInflation)*Staging!T414*(1+QtyUplift)</f>
        <v>1972.02082</v>
      </c>
      <c r="K423">
        <f t="shared" si="12"/>
        <v>292.88534000000004</v>
      </c>
      <c r="L423">
        <v>236.50740000000042</v>
      </c>
      <c r="M423">
        <f t="shared" si="13"/>
        <v>-381.76026000000002</v>
      </c>
    </row>
    <row r="424" spans="2:13" x14ac:dyDescent="0.3">
      <c r="B424" t="s">
        <v>927</v>
      </c>
      <c r="C424" t="s">
        <v>49</v>
      </c>
      <c r="D424" t="s">
        <v>42</v>
      </c>
      <c r="E424" t="s">
        <v>16</v>
      </c>
      <c r="F424">
        <v>16134.22069</v>
      </c>
      <c r="G424">
        <v>8377.81</v>
      </c>
      <c r="H424">
        <v>7756.4106900000006</v>
      </c>
      <c r="I424">
        <f>Staging!Q415*(Staging!T415*(1+QtyUplift))*(1-MIN(Staging!R415,DiscountCap))</f>
        <v>17747.642759000006</v>
      </c>
      <c r="J424">
        <f>Staging!P415*(1+CostInflation)*Staging!T415*(1+QtyUplift)</f>
        <v>11934.190344999999</v>
      </c>
      <c r="K424">
        <f t="shared" si="12"/>
        <v>5813.4524140000067</v>
      </c>
      <c r="L424">
        <v>1613.4220690000056</v>
      </c>
      <c r="M424">
        <f t="shared" si="13"/>
        <v>-1942.9582759999939</v>
      </c>
    </row>
    <row r="425" spans="2:13" x14ac:dyDescent="0.3">
      <c r="B425" t="s">
        <v>929</v>
      </c>
      <c r="C425" t="s">
        <v>92</v>
      </c>
      <c r="D425" t="s">
        <v>35</v>
      </c>
      <c r="E425" t="s">
        <v>45</v>
      </c>
      <c r="F425">
        <v>31513.423040000001</v>
      </c>
      <c r="G425">
        <v>13785.75</v>
      </c>
      <c r="H425">
        <v>17727.673040000001</v>
      </c>
      <c r="I425">
        <f>Staging!Q416*(Staging!T416*(1+QtyUplift))*(1-MIN(Staging!R416,DiscountCap))</f>
        <v>34664.765344000007</v>
      </c>
      <c r="J425">
        <f>Staging!P416*(1+CostInflation)*Staging!T416*(1+QtyUplift)</f>
        <v>19637.800875000001</v>
      </c>
      <c r="K425">
        <f t="shared" si="12"/>
        <v>15026.964469000006</v>
      </c>
      <c r="L425">
        <v>3151.3423040000052</v>
      </c>
      <c r="M425">
        <f t="shared" si="13"/>
        <v>-2700.7085709999956</v>
      </c>
    </row>
    <row r="426" spans="2:13" x14ac:dyDescent="0.3">
      <c r="B426" t="s">
        <v>931</v>
      </c>
      <c r="C426" t="s">
        <v>68</v>
      </c>
      <c r="D426" t="s">
        <v>30</v>
      </c>
      <c r="E426" t="s">
        <v>52</v>
      </c>
      <c r="F426">
        <v>18411.4084</v>
      </c>
      <c r="G426">
        <v>9013.4800000000014</v>
      </c>
      <c r="H426">
        <v>9397.9283999999989</v>
      </c>
      <c r="I426">
        <f>Staging!Q417*(Staging!T417*(1+QtyUplift))*(1-MIN(Staging!R417,DiscountCap))</f>
        <v>20252.549240000004</v>
      </c>
      <c r="J426">
        <f>Staging!P417*(1+CostInflation)*Staging!T417*(1+QtyUplift)</f>
        <v>12839.70226</v>
      </c>
      <c r="K426">
        <f t="shared" si="12"/>
        <v>7412.8469800000039</v>
      </c>
      <c r="L426">
        <v>1841.1408400000037</v>
      </c>
      <c r="M426">
        <f t="shared" si="13"/>
        <v>-1985.081419999995</v>
      </c>
    </row>
    <row r="427" spans="2:13" x14ac:dyDescent="0.3">
      <c r="B427" t="s">
        <v>933</v>
      </c>
      <c r="C427" t="s">
        <v>84</v>
      </c>
      <c r="D427" t="s">
        <v>81</v>
      </c>
      <c r="E427" t="s">
        <v>45</v>
      </c>
      <c r="F427">
        <v>10893.6232</v>
      </c>
      <c r="G427">
        <v>13623.84</v>
      </c>
      <c r="H427">
        <v>-2730.2168000000001</v>
      </c>
      <c r="I427">
        <f>Staging!Q418*(Staging!T418*(1+QtyUplift))*(1-MIN(Staging!R418,DiscountCap))</f>
        <v>11982.98552</v>
      </c>
      <c r="J427">
        <f>Staging!P418*(1+CostInflation)*Staging!T418*(1+QtyUplift)</f>
        <v>19407.160080000001</v>
      </c>
      <c r="K427">
        <f t="shared" si="12"/>
        <v>-7424.1745600000013</v>
      </c>
      <c r="L427">
        <v>3390.7304000000004</v>
      </c>
      <c r="M427">
        <f t="shared" si="13"/>
        <v>-4693.9577600000011</v>
      </c>
    </row>
    <row r="428" spans="2:13" x14ac:dyDescent="0.3">
      <c r="B428" t="s">
        <v>935</v>
      </c>
      <c r="C428" t="s">
        <v>75</v>
      </c>
      <c r="D428" t="s">
        <v>81</v>
      </c>
      <c r="E428" t="s">
        <v>45</v>
      </c>
      <c r="F428">
        <v>7969.4615000000003</v>
      </c>
      <c r="G428">
        <v>6805.59</v>
      </c>
      <c r="H428">
        <v>1163.8715000000002</v>
      </c>
      <c r="I428">
        <f>Staging!Q419*(Staging!T419*(1+QtyUplift))*(1-MIN(Staging!R419,DiscountCap))</f>
        <v>8766.407650000001</v>
      </c>
      <c r="J428">
        <f>Staging!P419*(1+CostInflation)*Staging!T419*(1+QtyUplift)</f>
        <v>9694.5629550000012</v>
      </c>
      <c r="K428">
        <f t="shared" si="12"/>
        <v>-928.15530500000023</v>
      </c>
      <c r="L428">
        <v>796.94615000000067</v>
      </c>
      <c r="M428">
        <f t="shared" si="13"/>
        <v>-2092.0268050000004</v>
      </c>
    </row>
    <row r="429" spans="2:13" x14ac:dyDescent="0.3">
      <c r="B429" t="s">
        <v>937</v>
      </c>
      <c r="C429" t="s">
        <v>145</v>
      </c>
      <c r="D429" t="s">
        <v>30</v>
      </c>
      <c r="E429" t="s">
        <v>45</v>
      </c>
      <c r="F429">
        <v>741.43835999999999</v>
      </c>
      <c r="G429">
        <v>483.54</v>
      </c>
      <c r="H429">
        <v>257.89835999999997</v>
      </c>
      <c r="I429">
        <f>Staging!Q420*(Staging!T420*(1+QtyUplift))*(1-MIN(Staging!R420,DiscountCap))</f>
        <v>815.58219600000007</v>
      </c>
      <c r="J429">
        <f>Staging!P420*(1+CostInflation)*Staging!T420*(1+QtyUplift)</f>
        <v>688.80272999999988</v>
      </c>
      <c r="K429">
        <f t="shared" si="12"/>
        <v>126.77946600000018</v>
      </c>
      <c r="L429">
        <v>196.01244000000008</v>
      </c>
      <c r="M429">
        <f t="shared" si="13"/>
        <v>-131.11889399999978</v>
      </c>
    </row>
    <row r="430" spans="2:13" x14ac:dyDescent="0.3">
      <c r="B430" t="s">
        <v>939</v>
      </c>
      <c r="C430" t="s">
        <v>63</v>
      </c>
      <c r="D430" t="s">
        <v>64</v>
      </c>
      <c r="E430" t="s">
        <v>78</v>
      </c>
      <c r="F430">
        <v>9509.2865999999995</v>
      </c>
      <c r="G430">
        <v>7573.95</v>
      </c>
      <c r="H430">
        <v>1935.3365999999996</v>
      </c>
      <c r="I430">
        <f>Staging!Q421*(Staging!T421*(1+QtyUplift))*(1-MIN(Staging!R421,DiscountCap))</f>
        <v>10460.215260000001</v>
      </c>
      <c r="J430">
        <f>Staging!P421*(1+CostInflation)*Staging!T421*(1+QtyUplift)</f>
        <v>10789.091774999999</v>
      </c>
      <c r="K430">
        <f t="shared" si="12"/>
        <v>-328.87651499999811</v>
      </c>
      <c r="L430">
        <v>2653.7543999999998</v>
      </c>
      <c r="M430">
        <f t="shared" si="13"/>
        <v>-2264.2131149999977</v>
      </c>
    </row>
    <row r="431" spans="2:13" x14ac:dyDescent="0.3">
      <c r="B431" t="s">
        <v>941</v>
      </c>
      <c r="C431" t="s">
        <v>92</v>
      </c>
      <c r="D431" t="s">
        <v>42</v>
      </c>
      <c r="E431" t="s">
        <v>45</v>
      </c>
      <c r="F431">
        <v>14527.748400000002</v>
      </c>
      <c r="G431">
        <v>11021.900000000001</v>
      </c>
      <c r="H431">
        <v>3505.8484000000008</v>
      </c>
      <c r="I431">
        <f>Staging!Q422*(Staging!T422*(1+QtyUplift))*(1-MIN(Staging!R422,DiscountCap))</f>
        <v>15980.52324</v>
      </c>
      <c r="J431">
        <f>Staging!P422*(1+CostInflation)*Staging!T422*(1+QtyUplift)</f>
        <v>15700.696550000001</v>
      </c>
      <c r="K431">
        <f t="shared" si="12"/>
        <v>279.82668999999987</v>
      </c>
      <c r="L431">
        <v>2412.7356000000018</v>
      </c>
      <c r="M431">
        <f t="shared" si="13"/>
        <v>-3226.0217100000009</v>
      </c>
    </row>
    <row r="432" spans="2:13" x14ac:dyDescent="0.3">
      <c r="B432" t="s">
        <v>943</v>
      </c>
      <c r="C432" t="s">
        <v>92</v>
      </c>
      <c r="D432" t="s">
        <v>42</v>
      </c>
      <c r="E432" t="s">
        <v>52</v>
      </c>
      <c r="F432">
        <v>9984.7160999999978</v>
      </c>
      <c r="G432">
        <v>7231.5599999999995</v>
      </c>
      <c r="H432">
        <v>2753.1560999999983</v>
      </c>
      <c r="I432">
        <f>Staging!Q423*(Staging!T423*(1+QtyUplift))*(1-MIN(Staging!R423,DiscountCap))</f>
        <v>10983.18771</v>
      </c>
      <c r="J432">
        <f>Staging!P423*(1+CostInflation)*Staging!T423*(1+QtyUplift)</f>
        <v>10301.35722</v>
      </c>
      <c r="K432">
        <f t="shared" si="12"/>
        <v>681.83049000000028</v>
      </c>
      <c r="L432">
        <v>998.47161000000233</v>
      </c>
      <c r="M432">
        <f t="shared" si="13"/>
        <v>-2071.3256099999981</v>
      </c>
    </row>
    <row r="433" spans="2:13" x14ac:dyDescent="0.3">
      <c r="B433" t="s">
        <v>945</v>
      </c>
      <c r="C433" t="s">
        <v>110</v>
      </c>
      <c r="D433" t="s">
        <v>57</v>
      </c>
      <c r="E433" t="s">
        <v>16</v>
      </c>
      <c r="F433">
        <v>102122.94203999999</v>
      </c>
      <c r="G433">
        <v>55158.6</v>
      </c>
      <c r="H433">
        <v>46964.342039999996</v>
      </c>
      <c r="I433">
        <f>Staging!Q424*(Staging!T424*(1+QtyUplift))*(1-MIN(Staging!R424,DiscountCap))</f>
        <v>112335.236244</v>
      </c>
      <c r="J433">
        <f>Staging!P424*(1+CostInflation)*Staging!T424*(1+QtyUplift)</f>
        <v>78573.425699999993</v>
      </c>
      <c r="K433">
        <f t="shared" si="12"/>
        <v>33761.810544000007</v>
      </c>
      <c r="L433">
        <v>17807.915160000004</v>
      </c>
      <c r="M433">
        <f t="shared" si="13"/>
        <v>-13202.531495999989</v>
      </c>
    </row>
    <row r="434" spans="2:13" x14ac:dyDescent="0.3">
      <c r="B434" t="s">
        <v>947</v>
      </c>
      <c r="C434" t="s">
        <v>75</v>
      </c>
      <c r="D434" t="s">
        <v>42</v>
      </c>
      <c r="E434" t="s">
        <v>45</v>
      </c>
      <c r="F434">
        <v>29627.320319999999</v>
      </c>
      <c r="G434">
        <v>35733.840000000004</v>
      </c>
      <c r="H434">
        <v>-6106.5196800000049</v>
      </c>
      <c r="I434">
        <f>Staging!Q425*(Staging!T425*(1+QtyUplift))*(1-MIN(Staging!R425,DiscountCap))</f>
        <v>32590.052352000002</v>
      </c>
      <c r="J434">
        <f>Staging!P425*(1+CostInflation)*Staging!T425*(1+QtyUplift)</f>
        <v>50902.855080000001</v>
      </c>
      <c r="K434">
        <f t="shared" si="12"/>
        <v>-18312.802727999999</v>
      </c>
      <c r="L434">
        <v>5626.3420800000094</v>
      </c>
      <c r="M434">
        <f t="shared" si="13"/>
        <v>-12206.283047999994</v>
      </c>
    </row>
    <row r="435" spans="2:13" x14ac:dyDescent="0.3">
      <c r="B435" t="s">
        <v>949</v>
      </c>
      <c r="C435" t="s">
        <v>68</v>
      </c>
      <c r="D435" t="s">
        <v>30</v>
      </c>
      <c r="E435" t="s">
        <v>45</v>
      </c>
      <c r="F435">
        <v>58091.634960000003</v>
      </c>
      <c r="G435">
        <v>35468.159999999996</v>
      </c>
      <c r="H435">
        <v>22623.474960000007</v>
      </c>
      <c r="I435">
        <f>Staging!Q426*(Staging!T426*(1+QtyUplift))*(1-MIN(Staging!R426,DiscountCap))</f>
        <v>63900.798455999997</v>
      </c>
      <c r="J435">
        <f>Staging!P426*(1+CostInflation)*Staging!T426*(1+QtyUplift)</f>
        <v>50524.393919999995</v>
      </c>
      <c r="K435">
        <f t="shared" si="12"/>
        <v>13376.404536000002</v>
      </c>
      <c r="L435">
        <v>17880.252239999994</v>
      </c>
      <c r="M435">
        <f t="shared" si="13"/>
        <v>-9247.070424000005</v>
      </c>
    </row>
    <row r="436" spans="2:13" x14ac:dyDescent="0.3">
      <c r="B436" t="s">
        <v>951</v>
      </c>
      <c r="C436" t="s">
        <v>41</v>
      </c>
      <c r="D436" t="s">
        <v>57</v>
      </c>
      <c r="E436" t="s">
        <v>45</v>
      </c>
      <c r="F436">
        <v>15366.983199999999</v>
      </c>
      <c r="G436">
        <v>8281.52</v>
      </c>
      <c r="H436">
        <v>7085.4631999999983</v>
      </c>
      <c r="I436">
        <f>Staging!Q427*(Staging!T427*(1+QtyUplift))*(1-MIN(Staging!R427,DiscountCap))</f>
        <v>16903.681519999998</v>
      </c>
      <c r="J436">
        <f>Staging!P427*(1+CostInflation)*Staging!T427*(1+QtyUplift)</f>
        <v>11797.025240000001</v>
      </c>
      <c r="K436">
        <f t="shared" si="12"/>
        <v>5106.6562799999974</v>
      </c>
      <c r="L436">
        <v>3028.8008000000009</v>
      </c>
      <c r="M436">
        <f t="shared" si="13"/>
        <v>-1978.8069200000009</v>
      </c>
    </row>
    <row r="437" spans="2:13" x14ac:dyDescent="0.3">
      <c r="B437" t="s">
        <v>953</v>
      </c>
      <c r="C437" t="s">
        <v>63</v>
      </c>
      <c r="D437" t="s">
        <v>57</v>
      </c>
      <c r="E437" t="s">
        <v>16</v>
      </c>
      <c r="F437">
        <v>30435.614999999998</v>
      </c>
      <c r="G437">
        <v>26693.1</v>
      </c>
      <c r="H437">
        <v>3742.5149999999994</v>
      </c>
      <c r="I437">
        <f>Staging!Q428*(Staging!T428*(1+QtyUplift))*(1-MIN(Staging!R428,DiscountCap))</f>
        <v>33479.176500000001</v>
      </c>
      <c r="J437">
        <f>Staging!P428*(1+CostInflation)*Staging!T428*(1+QtyUplift)</f>
        <v>38024.320949999994</v>
      </c>
      <c r="K437">
        <f t="shared" si="12"/>
        <v>-4545.1444499999925</v>
      </c>
      <c r="L437">
        <v>9739.3968000000023</v>
      </c>
      <c r="M437">
        <f t="shared" si="13"/>
        <v>-8287.6594499999919</v>
      </c>
    </row>
    <row r="438" spans="2:13" x14ac:dyDescent="0.3">
      <c r="B438" t="s">
        <v>955</v>
      </c>
      <c r="C438" t="s">
        <v>21</v>
      </c>
      <c r="D438" t="s">
        <v>42</v>
      </c>
      <c r="E438" t="s">
        <v>45</v>
      </c>
      <c r="F438">
        <v>20038.536</v>
      </c>
      <c r="G438">
        <v>20772.54</v>
      </c>
      <c r="H438">
        <v>-734.00400000000081</v>
      </c>
      <c r="I438">
        <f>Staging!Q429*(Staging!T429*(1+QtyUplift))*(1-MIN(Staging!R429,DiscountCap))</f>
        <v>23616.846000000001</v>
      </c>
      <c r="J438">
        <f>Staging!P429*(1+CostInflation)*Staging!T429*(1+QtyUplift)</f>
        <v>29590.483230000002</v>
      </c>
      <c r="K438">
        <f t="shared" si="12"/>
        <v>-5973.6372300000003</v>
      </c>
      <c r="L438">
        <v>8301.6792000000023</v>
      </c>
      <c r="M438">
        <f t="shared" si="13"/>
        <v>-5239.6332299999995</v>
      </c>
    </row>
    <row r="439" spans="2:13" x14ac:dyDescent="0.3">
      <c r="B439" t="s">
        <v>957</v>
      </c>
      <c r="C439" t="s">
        <v>63</v>
      </c>
      <c r="D439" t="s">
        <v>64</v>
      </c>
      <c r="E439" t="s">
        <v>78</v>
      </c>
      <c r="F439">
        <v>13450.74</v>
      </c>
      <c r="G439">
        <v>10962.96</v>
      </c>
      <c r="H439">
        <v>2487.7800000000007</v>
      </c>
      <c r="I439">
        <f>Staging!Q430*(Staging!T430*(1+QtyUplift))*(1-MIN(Staging!R430,DiscountCap))</f>
        <v>14795.814000000002</v>
      </c>
      <c r="J439">
        <f>Staging!P430*(1+CostInflation)*Staging!T430*(1+QtyUplift)</f>
        <v>15616.73652</v>
      </c>
      <c r="K439">
        <f t="shared" si="12"/>
        <v>-820.92251999999826</v>
      </c>
      <c r="L439">
        <v>1345.0740000000023</v>
      </c>
      <c r="M439">
        <f t="shared" si="13"/>
        <v>-3308.7025199999989</v>
      </c>
    </row>
    <row r="440" spans="2:13" x14ac:dyDescent="0.3">
      <c r="B440" t="s">
        <v>959</v>
      </c>
      <c r="C440" t="s">
        <v>29</v>
      </c>
      <c r="D440" t="s">
        <v>42</v>
      </c>
      <c r="E440" t="s">
        <v>45</v>
      </c>
      <c r="F440">
        <v>41138.261999999995</v>
      </c>
      <c r="G440">
        <v>22463.52</v>
      </c>
      <c r="H440">
        <v>18674.741999999995</v>
      </c>
      <c r="I440">
        <f>Staging!Q431*(Staging!T431*(1+QtyUplift))*(1-MIN(Staging!R431,DiscountCap))</f>
        <v>45252.088199999998</v>
      </c>
      <c r="J440">
        <f>Staging!P431*(1+CostInflation)*Staging!T431*(1+QtyUplift)</f>
        <v>31999.284240000001</v>
      </c>
      <c r="K440">
        <f t="shared" si="12"/>
        <v>13252.803959999997</v>
      </c>
      <c r="L440">
        <v>8227.6524000000063</v>
      </c>
      <c r="M440">
        <f t="shared" si="13"/>
        <v>-5421.9380399999973</v>
      </c>
    </row>
    <row r="441" spans="2:13" x14ac:dyDescent="0.3">
      <c r="B441" t="s">
        <v>961</v>
      </c>
      <c r="C441" t="s">
        <v>56</v>
      </c>
      <c r="D441" t="s">
        <v>30</v>
      </c>
      <c r="E441" t="s">
        <v>78</v>
      </c>
      <c r="F441">
        <v>12955.824749999998</v>
      </c>
      <c r="G441">
        <v>6598.2400000000007</v>
      </c>
      <c r="H441">
        <v>6357.5847499999973</v>
      </c>
      <c r="I441">
        <f>Staging!Q432*(Staging!T432*(1+QtyUplift))*(1-MIN(Staging!R432,DiscountCap))</f>
        <v>14251.407225000001</v>
      </c>
      <c r="J441">
        <f>Staging!P432*(1+CostInflation)*Staging!T432*(1+QtyUplift)</f>
        <v>9399.1928800000005</v>
      </c>
      <c r="K441">
        <f t="shared" si="12"/>
        <v>4852.2143450000003</v>
      </c>
      <c r="L441">
        <v>1537.1317500000041</v>
      </c>
      <c r="M441">
        <f t="shared" si="13"/>
        <v>-1505.3704049999969</v>
      </c>
    </row>
    <row r="442" spans="2:13" x14ac:dyDescent="0.3">
      <c r="B442" t="s">
        <v>963</v>
      </c>
      <c r="C442" t="s">
        <v>95</v>
      </c>
      <c r="D442" t="s">
        <v>57</v>
      </c>
      <c r="E442" t="s">
        <v>45</v>
      </c>
      <c r="F442">
        <v>58057.65</v>
      </c>
      <c r="G442">
        <v>25227.51</v>
      </c>
      <c r="H442">
        <v>32830.14</v>
      </c>
      <c r="I442">
        <f>Staging!Q433*(Staging!T433*(1+QtyUplift))*(1-MIN(Staging!R433,DiscountCap))</f>
        <v>63863.415000000008</v>
      </c>
      <c r="J442">
        <f>Staging!P433*(1+CostInflation)*Staging!T433*(1+QtyUplift)</f>
        <v>35936.587995000002</v>
      </c>
      <c r="K442">
        <f t="shared" si="12"/>
        <v>27926.827005000006</v>
      </c>
      <c r="L442">
        <v>5805.7650000000067</v>
      </c>
      <c r="M442">
        <f t="shared" si="13"/>
        <v>-4903.312994999993</v>
      </c>
    </row>
    <row r="443" spans="2:13" x14ac:dyDescent="0.3">
      <c r="B443" t="s">
        <v>965</v>
      </c>
      <c r="C443" t="s">
        <v>29</v>
      </c>
      <c r="D443" t="s">
        <v>64</v>
      </c>
      <c r="E443" t="s">
        <v>78</v>
      </c>
      <c r="F443">
        <v>2627.6239999999998</v>
      </c>
      <c r="G443">
        <v>3841.9</v>
      </c>
      <c r="H443">
        <v>-1214.2760000000003</v>
      </c>
      <c r="I443">
        <f>Staging!Q434*(Staging!T434*(1+QtyUplift))*(1-MIN(Staging!R434,DiscountCap))</f>
        <v>2890.3864000000003</v>
      </c>
      <c r="J443">
        <f>Staging!P434*(1+CostInflation)*Staging!T434*(1+QtyUplift)</f>
        <v>5472.7865500000007</v>
      </c>
      <c r="K443">
        <f t="shared" si="12"/>
        <v>-2582.4001500000004</v>
      </c>
      <c r="L443">
        <v>262.76240000000053</v>
      </c>
      <c r="M443">
        <f t="shared" si="13"/>
        <v>-1368.1241500000001</v>
      </c>
    </row>
    <row r="444" spans="2:13" x14ac:dyDescent="0.3">
      <c r="B444" t="s">
        <v>967</v>
      </c>
      <c r="C444" t="s">
        <v>68</v>
      </c>
      <c r="D444" t="s">
        <v>64</v>
      </c>
      <c r="E444" t="s">
        <v>16</v>
      </c>
      <c r="F444">
        <v>12967.958640000001</v>
      </c>
      <c r="G444">
        <v>6841.52</v>
      </c>
      <c r="H444">
        <v>6126.4386400000003</v>
      </c>
      <c r="I444">
        <f>Staging!Q435*(Staging!T435*(1+QtyUplift))*(1-MIN(Staging!R435,DiscountCap))</f>
        <v>14264.754504000002</v>
      </c>
      <c r="J444">
        <f>Staging!P435*(1+CostInflation)*Staging!T435*(1+QtyUplift)</f>
        <v>9745.745240000002</v>
      </c>
      <c r="K444">
        <f t="shared" si="12"/>
        <v>4519.0092640000003</v>
      </c>
      <c r="L444">
        <v>1296.7958640000015</v>
      </c>
      <c r="M444">
        <f t="shared" si="13"/>
        <v>-1607.429376</v>
      </c>
    </row>
    <row r="445" spans="2:13" x14ac:dyDescent="0.3">
      <c r="B445" t="s">
        <v>969</v>
      </c>
      <c r="C445" t="s">
        <v>68</v>
      </c>
      <c r="D445" t="s">
        <v>35</v>
      </c>
      <c r="E445" t="s">
        <v>45</v>
      </c>
      <c r="F445">
        <v>1950.0031200000001</v>
      </c>
      <c r="G445">
        <v>2362.62</v>
      </c>
      <c r="H445">
        <v>-412.61687999999981</v>
      </c>
      <c r="I445">
        <f>Staging!Q436*(Staging!T436*(1+QtyUplift))*(1-MIN(Staging!R436,DiscountCap))</f>
        <v>2145.0034320000004</v>
      </c>
      <c r="J445">
        <f>Staging!P436*(1+CostInflation)*Staging!T436*(1+QtyUplift)</f>
        <v>3365.5521899999999</v>
      </c>
      <c r="K445">
        <f t="shared" si="12"/>
        <v>-1220.5487579999995</v>
      </c>
      <c r="L445">
        <v>506.1076800000003</v>
      </c>
      <c r="M445">
        <f t="shared" si="13"/>
        <v>-807.93187799999964</v>
      </c>
    </row>
    <row r="446" spans="2:13" x14ac:dyDescent="0.3">
      <c r="B446" t="s">
        <v>971</v>
      </c>
      <c r="C446" t="s">
        <v>29</v>
      </c>
      <c r="D446" t="s">
        <v>42</v>
      </c>
      <c r="E446" t="s">
        <v>16</v>
      </c>
      <c r="F446">
        <v>27249</v>
      </c>
      <c r="G446">
        <v>23223.599999999999</v>
      </c>
      <c r="H446">
        <v>4025.4000000000015</v>
      </c>
      <c r="I446">
        <f>Staging!Q437*(Staging!T437*(1+QtyUplift))*(1-MIN(Staging!R437,DiscountCap))</f>
        <v>29973.899999999998</v>
      </c>
      <c r="J446">
        <f>Staging!P437*(1+CostInflation)*Staging!T437*(1+QtyUplift)</f>
        <v>33082.018199999999</v>
      </c>
      <c r="K446">
        <f t="shared" si="12"/>
        <v>-3108.1182000000008</v>
      </c>
      <c r="L446">
        <v>2724.8999999999978</v>
      </c>
      <c r="M446">
        <f t="shared" si="13"/>
        <v>-7133.5182000000023</v>
      </c>
    </row>
    <row r="447" spans="2:13" x14ac:dyDescent="0.3">
      <c r="B447" t="s">
        <v>973</v>
      </c>
      <c r="C447" t="s">
        <v>145</v>
      </c>
      <c r="D447" t="s">
        <v>35</v>
      </c>
      <c r="E447" t="s">
        <v>45</v>
      </c>
      <c r="F447">
        <v>5546.4642200000008</v>
      </c>
      <c r="G447">
        <v>2775.3</v>
      </c>
      <c r="H447">
        <v>2771.1642200000006</v>
      </c>
      <c r="I447">
        <f>Staging!Q438*(Staging!T438*(1+QtyUplift))*(1-MIN(Staging!R438,DiscountCap))</f>
        <v>6101.1106420000006</v>
      </c>
      <c r="J447">
        <f>Staging!P438*(1+CostInflation)*Staging!T438*(1+QtyUplift)</f>
        <v>3953.4148500000006</v>
      </c>
      <c r="K447">
        <f t="shared" si="12"/>
        <v>2147.695792</v>
      </c>
      <c r="L447">
        <v>644.06518000000051</v>
      </c>
      <c r="M447">
        <f t="shared" si="13"/>
        <v>-623.46842800000059</v>
      </c>
    </row>
    <row r="448" spans="2:13" x14ac:dyDescent="0.3">
      <c r="B448" t="s">
        <v>975</v>
      </c>
      <c r="C448" t="s">
        <v>110</v>
      </c>
      <c r="D448" t="s">
        <v>22</v>
      </c>
      <c r="E448" t="s">
        <v>45</v>
      </c>
      <c r="F448">
        <v>7340.3891399999993</v>
      </c>
      <c r="G448">
        <v>4249.28</v>
      </c>
      <c r="H448">
        <v>3091.1091399999996</v>
      </c>
      <c r="I448">
        <f>Staging!Q439*(Staging!T439*(1+QtyUplift))*(1-MIN(Staging!R439,DiscountCap))</f>
        <v>8074.4280540000009</v>
      </c>
      <c r="J448">
        <f>Staging!P439*(1+CostInflation)*Staging!T439*(1+QtyUplift)</f>
        <v>6053.0993600000002</v>
      </c>
      <c r="K448">
        <f t="shared" si="12"/>
        <v>2021.3286940000007</v>
      </c>
      <c r="L448">
        <v>1178.937060000002</v>
      </c>
      <c r="M448">
        <f t="shared" si="13"/>
        <v>-1069.7804459999988</v>
      </c>
    </row>
    <row r="449" spans="2:13" x14ac:dyDescent="0.3">
      <c r="B449" t="s">
        <v>977</v>
      </c>
      <c r="C449" t="s">
        <v>49</v>
      </c>
      <c r="D449" t="s">
        <v>81</v>
      </c>
      <c r="E449" t="s">
        <v>78</v>
      </c>
      <c r="F449">
        <v>24278.849280000002</v>
      </c>
      <c r="G449">
        <v>20666.400000000001</v>
      </c>
      <c r="H449">
        <v>3612.4492800000007</v>
      </c>
      <c r="I449">
        <f>Staging!Q440*(Staging!T440*(1+QtyUplift))*(1-MIN(Staging!R440,DiscountCap))</f>
        <v>26706.734208000005</v>
      </c>
      <c r="J449">
        <f>Staging!P440*(1+CostInflation)*Staging!T440*(1+QtyUplift)</f>
        <v>29439.286799999998</v>
      </c>
      <c r="K449">
        <f t="shared" si="12"/>
        <v>-2732.5525919999927</v>
      </c>
      <c r="L449">
        <v>4820.4979200000016</v>
      </c>
      <c r="M449">
        <f t="shared" si="13"/>
        <v>-6345.0018719999935</v>
      </c>
    </row>
    <row r="450" spans="2:13" x14ac:dyDescent="0.3">
      <c r="B450" t="s">
        <v>979</v>
      </c>
      <c r="C450" t="s">
        <v>84</v>
      </c>
      <c r="D450" t="s">
        <v>35</v>
      </c>
      <c r="E450" t="s">
        <v>16</v>
      </c>
      <c r="F450">
        <v>2795.6384399999997</v>
      </c>
      <c r="G450">
        <v>2115.8999999999996</v>
      </c>
      <c r="H450">
        <v>679.73844000000008</v>
      </c>
      <c r="I450">
        <f>Staging!Q441*(Staging!T441*(1+QtyUplift))*(1-MIN(Staging!R441,DiscountCap))</f>
        <v>3075.2022840000004</v>
      </c>
      <c r="J450">
        <f>Staging!P441*(1+CostInflation)*Staging!T441*(1+QtyUplift)</f>
        <v>3014.0995499999999</v>
      </c>
      <c r="K450">
        <f t="shared" si="12"/>
        <v>61.10273400000051</v>
      </c>
      <c r="L450">
        <v>279.5638440000007</v>
      </c>
      <c r="M450">
        <f t="shared" si="13"/>
        <v>-618.63570599999957</v>
      </c>
    </row>
    <row r="451" spans="2:13" x14ac:dyDescent="0.3">
      <c r="B451" t="s">
        <v>981</v>
      </c>
      <c r="C451" t="s">
        <v>110</v>
      </c>
      <c r="D451" t="s">
        <v>30</v>
      </c>
      <c r="E451" t="s">
        <v>45</v>
      </c>
      <c r="F451">
        <v>20672.289000000001</v>
      </c>
      <c r="G451">
        <v>10775.49</v>
      </c>
      <c r="H451">
        <v>9896.7990000000009</v>
      </c>
      <c r="I451">
        <f>Staging!Q442*(Staging!T442*(1+QtyUplift))*(1-MIN(Staging!R442,DiscountCap))</f>
        <v>22739.517900000003</v>
      </c>
      <c r="J451">
        <f>Staging!P442*(1+CostInflation)*Staging!T442*(1+QtyUplift)</f>
        <v>15349.685505000001</v>
      </c>
      <c r="K451">
        <f t="shared" si="12"/>
        <v>7389.8323950000013</v>
      </c>
      <c r="L451">
        <v>3404.8476000000046</v>
      </c>
      <c r="M451">
        <f t="shared" si="13"/>
        <v>-2506.9666049999996</v>
      </c>
    </row>
    <row r="452" spans="2:13" x14ac:dyDescent="0.3">
      <c r="B452" t="s">
        <v>983</v>
      </c>
      <c r="C452" t="s">
        <v>41</v>
      </c>
      <c r="D452" t="s">
        <v>42</v>
      </c>
      <c r="E452" t="s">
        <v>45</v>
      </c>
      <c r="F452">
        <v>12668.50728</v>
      </c>
      <c r="G452">
        <v>9937.4599999999991</v>
      </c>
      <c r="H452">
        <v>2731.0472800000007</v>
      </c>
      <c r="I452">
        <f>Staging!Q443*(Staging!T443*(1+QtyUplift))*(1-MIN(Staging!R443,DiscountCap))</f>
        <v>13935.358007999999</v>
      </c>
      <c r="J452">
        <f>Staging!P443*(1+CostInflation)*Staging!T443*(1+QtyUplift)</f>
        <v>14155.911770000001</v>
      </c>
      <c r="K452">
        <f t="shared" si="12"/>
        <v>-220.55376200000137</v>
      </c>
      <c r="L452">
        <v>2051.9413199999999</v>
      </c>
      <c r="M452">
        <f t="shared" si="13"/>
        <v>-2951.6010420000021</v>
      </c>
    </row>
    <row r="453" spans="2:13" x14ac:dyDescent="0.3">
      <c r="B453" t="s">
        <v>985</v>
      </c>
      <c r="C453" t="s">
        <v>56</v>
      </c>
      <c r="D453" t="s">
        <v>81</v>
      </c>
      <c r="E453" t="s">
        <v>45</v>
      </c>
      <c r="F453">
        <v>31513.085009999999</v>
      </c>
      <c r="G453">
        <v>14982.66</v>
      </c>
      <c r="H453">
        <v>16530.425009999999</v>
      </c>
      <c r="I453">
        <f>Staging!Q444*(Staging!T444*(1+QtyUplift))*(1-MIN(Staging!R444,DiscountCap))</f>
        <v>34664.393511000002</v>
      </c>
      <c r="J453">
        <f>Staging!P444*(1+CostInflation)*Staging!T444*(1+QtyUplift)</f>
        <v>21342.799169999998</v>
      </c>
      <c r="K453">
        <f t="shared" si="12"/>
        <v>13321.594341000004</v>
      </c>
      <c r="L453">
        <v>5495.1642900000043</v>
      </c>
      <c r="M453">
        <f t="shared" si="13"/>
        <v>-3208.8306689999954</v>
      </c>
    </row>
    <row r="454" spans="2:13" x14ac:dyDescent="0.3">
      <c r="B454" t="s">
        <v>987</v>
      </c>
      <c r="C454" t="s">
        <v>49</v>
      </c>
      <c r="D454" t="s">
        <v>30</v>
      </c>
      <c r="E454" t="s">
        <v>78</v>
      </c>
      <c r="F454">
        <v>5960.04288</v>
      </c>
      <c r="G454">
        <v>2881.28</v>
      </c>
      <c r="H454">
        <v>3078.7628799999998</v>
      </c>
      <c r="I454">
        <f>Staging!Q445*(Staging!T445*(1+QtyUplift))*(1-MIN(Staging!R445,DiscountCap))</f>
        <v>6556.0471680000001</v>
      </c>
      <c r="J454">
        <f>Staging!P445*(1+CostInflation)*Staging!T445*(1+QtyUplift)</f>
        <v>4104.3833599999998</v>
      </c>
      <c r="K454">
        <f t="shared" si="12"/>
        <v>2451.6638080000002</v>
      </c>
      <c r="L454">
        <v>596.00428800000009</v>
      </c>
      <c r="M454">
        <f t="shared" si="13"/>
        <v>-627.09907199999952</v>
      </c>
    </row>
    <row r="455" spans="2:13" x14ac:dyDescent="0.3">
      <c r="B455" t="s">
        <v>989</v>
      </c>
      <c r="C455" t="s">
        <v>63</v>
      </c>
      <c r="D455" t="s">
        <v>30</v>
      </c>
      <c r="E455" t="s">
        <v>52</v>
      </c>
      <c r="F455">
        <v>21664.440000000002</v>
      </c>
      <c r="G455">
        <v>11721.990000000002</v>
      </c>
      <c r="H455">
        <v>9942.4500000000007</v>
      </c>
      <c r="I455">
        <f>Staging!Q446*(Staging!T446*(1+QtyUplift))*(1-MIN(Staging!R446,DiscountCap))</f>
        <v>23830.884000000005</v>
      </c>
      <c r="J455">
        <f>Staging!P446*(1+CostInflation)*Staging!T446*(1+QtyUplift)</f>
        <v>16697.974754999999</v>
      </c>
      <c r="K455">
        <f t="shared" si="12"/>
        <v>7132.9092450000062</v>
      </c>
      <c r="L455">
        <v>2166.4440000000031</v>
      </c>
      <c r="M455">
        <f t="shared" si="13"/>
        <v>-2809.5407549999945</v>
      </c>
    </row>
    <row r="456" spans="2:13" x14ac:dyDescent="0.3">
      <c r="B456" t="s">
        <v>991</v>
      </c>
      <c r="C456" t="s">
        <v>21</v>
      </c>
      <c r="D456" t="s">
        <v>30</v>
      </c>
      <c r="E456" t="s">
        <v>52</v>
      </c>
      <c r="F456">
        <v>1925.29872</v>
      </c>
      <c r="G456">
        <v>988.28</v>
      </c>
      <c r="H456">
        <v>937.01872000000003</v>
      </c>
      <c r="I456">
        <f>Staging!Q447*(Staging!T447*(1+QtyUplift))*(1-MIN(Staging!R447,DiscountCap))</f>
        <v>2117.8285920000003</v>
      </c>
      <c r="J456">
        <f>Staging!P447*(1+CostInflation)*Staging!T447*(1+QtyUplift)</f>
        <v>1407.8048600000002</v>
      </c>
      <c r="K456">
        <f t="shared" si="12"/>
        <v>710.02373200000011</v>
      </c>
      <c r="L456">
        <v>192.5298720000003</v>
      </c>
      <c r="M456">
        <f t="shared" si="13"/>
        <v>-226.99498799999992</v>
      </c>
    </row>
    <row r="457" spans="2:13" x14ac:dyDescent="0.3">
      <c r="B457" t="s">
        <v>993</v>
      </c>
      <c r="C457" t="s">
        <v>56</v>
      </c>
      <c r="D457" t="s">
        <v>57</v>
      </c>
      <c r="E457" t="s">
        <v>45</v>
      </c>
      <c r="F457">
        <v>9771.4483199999995</v>
      </c>
      <c r="G457">
        <v>5002.96</v>
      </c>
      <c r="H457">
        <v>4768.4883199999995</v>
      </c>
      <c r="I457">
        <f>Staging!Q448*(Staging!T448*(1+QtyUplift))*(1-MIN(Staging!R448,DiscountCap))</f>
        <v>10748.593152000001</v>
      </c>
      <c r="J457">
        <f>Staging!P448*(1+CostInflation)*Staging!T448*(1+QtyUplift)</f>
        <v>7126.7165200000009</v>
      </c>
      <c r="K457">
        <f t="shared" si="12"/>
        <v>3621.8766320000004</v>
      </c>
      <c r="L457">
        <v>977.14483200000177</v>
      </c>
      <c r="M457">
        <f t="shared" si="13"/>
        <v>-1146.611687999999</v>
      </c>
    </row>
    <row r="458" spans="2:13" x14ac:dyDescent="0.3">
      <c r="B458" t="s">
        <v>995</v>
      </c>
      <c r="C458" t="s">
        <v>29</v>
      </c>
      <c r="D458" t="s">
        <v>64</v>
      </c>
      <c r="E458" t="s">
        <v>16</v>
      </c>
      <c r="F458">
        <v>5565.3272500000003</v>
      </c>
      <c r="G458">
        <v>4865</v>
      </c>
      <c r="H458">
        <v>700.32725000000028</v>
      </c>
      <c r="I458">
        <f>Staging!Q449*(Staging!T449*(1+QtyUplift))*(1-MIN(Staging!R449,DiscountCap))</f>
        <v>6494.1937500000004</v>
      </c>
      <c r="J458">
        <f>Staging!P449*(1+CostInflation)*Staging!T449*(1+QtyUplift)</f>
        <v>6930.1925000000001</v>
      </c>
      <c r="K458">
        <f t="shared" si="12"/>
        <v>-435.99874999999975</v>
      </c>
      <c r="L458">
        <v>2227.7052500000009</v>
      </c>
      <c r="M458">
        <f t="shared" si="13"/>
        <v>-1136.326</v>
      </c>
    </row>
    <row r="459" spans="2:13" x14ac:dyDescent="0.3">
      <c r="B459" t="s">
        <v>997</v>
      </c>
      <c r="C459" t="s">
        <v>41</v>
      </c>
      <c r="D459" t="s">
        <v>64</v>
      </c>
      <c r="E459" t="s">
        <v>52</v>
      </c>
      <c r="F459">
        <v>45547.183360000003</v>
      </c>
      <c r="G459">
        <v>27726.5</v>
      </c>
      <c r="H459">
        <v>17820.683360000003</v>
      </c>
      <c r="I459">
        <f>Staging!Q450*(Staging!T450*(1+QtyUplift))*(1-MIN(Staging!R450,DiscountCap))</f>
        <v>50101.901696000008</v>
      </c>
      <c r="J459">
        <f>Staging!P450*(1+CostInflation)*Staging!T450*(1+QtyUplift)</f>
        <v>39496.399250000002</v>
      </c>
      <c r="K459">
        <f t="shared" si="12"/>
        <v>10605.502446000006</v>
      </c>
      <c r="L459">
        <v>4778.3875400000034</v>
      </c>
      <c r="M459">
        <f t="shared" si="13"/>
        <v>-7215.1809139999968</v>
      </c>
    </row>
    <row r="460" spans="2:13" x14ac:dyDescent="0.3">
      <c r="B460" t="s">
        <v>999</v>
      </c>
      <c r="C460" t="s">
        <v>34</v>
      </c>
      <c r="D460" t="s">
        <v>42</v>
      </c>
      <c r="E460" t="s">
        <v>16</v>
      </c>
      <c r="F460">
        <v>12289.2</v>
      </c>
      <c r="G460">
        <v>13433.099999999999</v>
      </c>
      <c r="H460">
        <v>-1143.8999999999978</v>
      </c>
      <c r="I460">
        <f>Staging!Q451*(Staging!T451*(1+QtyUplift))*(1-MIN(Staging!R451,DiscountCap))</f>
        <v>13518.12</v>
      </c>
      <c r="J460">
        <f>Staging!P451*(1+CostInflation)*Staging!T451*(1+QtyUplift)</f>
        <v>19135.450949999999</v>
      </c>
      <c r="K460">
        <f t="shared" ref="K460:K523" si="14">I460-J460</f>
        <v>-5617.3309499999978</v>
      </c>
      <c r="L460">
        <v>3229.0499999999993</v>
      </c>
      <c r="M460">
        <f t="shared" ref="M460:M523" si="15">K460-H460</f>
        <v>-4473.4309499999999</v>
      </c>
    </row>
    <row r="461" spans="2:13" x14ac:dyDescent="0.3">
      <c r="B461" t="s">
        <v>1001</v>
      </c>
      <c r="C461" t="s">
        <v>63</v>
      </c>
      <c r="D461" t="s">
        <v>30</v>
      </c>
      <c r="E461" t="s">
        <v>45</v>
      </c>
      <c r="F461">
        <v>12462.65055</v>
      </c>
      <c r="G461">
        <v>6628.93</v>
      </c>
      <c r="H461">
        <v>5833.72055</v>
      </c>
      <c r="I461">
        <f>Staging!Q452*(Staging!T452*(1+QtyUplift))*(1-MIN(Staging!R452,DiscountCap))</f>
        <v>13708.915605</v>
      </c>
      <c r="J461">
        <f>Staging!P452*(1+CostInflation)*Staging!T452*(1+QtyUplift)</f>
        <v>9442.9107850000019</v>
      </c>
      <c r="K461">
        <f t="shared" si="14"/>
        <v>4266.0048199999983</v>
      </c>
      <c r="L461">
        <v>2313.4261500000011</v>
      </c>
      <c r="M461">
        <f t="shared" si="15"/>
        <v>-1567.7157300000017</v>
      </c>
    </row>
    <row r="462" spans="2:13" x14ac:dyDescent="0.3">
      <c r="B462" t="s">
        <v>1003</v>
      </c>
      <c r="C462" t="s">
        <v>41</v>
      </c>
      <c r="D462" t="s">
        <v>81</v>
      </c>
      <c r="E462" t="s">
        <v>78</v>
      </c>
      <c r="F462">
        <v>19628.476999999999</v>
      </c>
      <c r="G462">
        <v>8730.5999999999985</v>
      </c>
      <c r="H462">
        <v>10897.877</v>
      </c>
      <c r="I462">
        <f>Staging!Q453*(Staging!T453*(1+QtyUplift))*(1-MIN(Staging!R453,DiscountCap))</f>
        <v>21591.324700000001</v>
      </c>
      <c r="J462">
        <f>Staging!P453*(1+CostInflation)*Staging!T453*(1+QtyUplift)</f>
        <v>12436.7397</v>
      </c>
      <c r="K462">
        <f t="shared" si="14"/>
        <v>9154.5850000000009</v>
      </c>
      <c r="L462">
        <v>1962.8477000000021</v>
      </c>
      <c r="M462">
        <f t="shared" si="15"/>
        <v>-1743.2919999999995</v>
      </c>
    </row>
    <row r="463" spans="2:13" x14ac:dyDescent="0.3">
      <c r="B463" t="s">
        <v>1005</v>
      </c>
      <c r="C463" t="s">
        <v>49</v>
      </c>
      <c r="D463" t="s">
        <v>22</v>
      </c>
      <c r="E463" t="s">
        <v>45</v>
      </c>
      <c r="F463">
        <v>23694.405119999999</v>
      </c>
      <c r="G463">
        <v>10814.28</v>
      </c>
      <c r="H463">
        <v>12880.125119999999</v>
      </c>
      <c r="I463">
        <f>Staging!Q454*(Staging!T454*(1+QtyUplift))*(1-MIN(Staging!R454,DiscountCap))</f>
        <v>26063.845632000004</v>
      </c>
      <c r="J463">
        <f>Staging!P454*(1+CostInflation)*Staging!T454*(1+QtyUplift)</f>
        <v>15404.941860000003</v>
      </c>
      <c r="K463">
        <f t="shared" si="14"/>
        <v>10658.903772000001</v>
      </c>
      <c r="L463">
        <v>2369.4405120000047</v>
      </c>
      <c r="M463">
        <f t="shared" si="15"/>
        <v>-2221.2213479999973</v>
      </c>
    </row>
    <row r="464" spans="2:13" x14ac:dyDescent="0.3">
      <c r="B464" t="s">
        <v>1007</v>
      </c>
      <c r="C464" t="s">
        <v>56</v>
      </c>
      <c r="D464" t="s">
        <v>42</v>
      </c>
      <c r="E464" t="s">
        <v>45</v>
      </c>
      <c r="F464">
        <v>11984.891250000001</v>
      </c>
      <c r="G464">
        <v>7607.41</v>
      </c>
      <c r="H464">
        <v>4377.4812500000007</v>
      </c>
      <c r="I464">
        <f>Staging!Q455*(Staging!T455*(1+QtyUplift))*(1-MIN(Staging!R455,DiscountCap))</f>
        <v>13183.380375000002</v>
      </c>
      <c r="J464">
        <f>Staging!P455*(1+CostInflation)*Staging!T455*(1+QtyUplift)</f>
        <v>10836.755545</v>
      </c>
      <c r="K464">
        <f t="shared" si="14"/>
        <v>2346.6248300000025</v>
      </c>
      <c r="L464">
        <v>1421.9362500000025</v>
      </c>
      <c r="M464">
        <f t="shared" si="15"/>
        <v>-2030.8564199999983</v>
      </c>
    </row>
    <row r="465" spans="2:13" x14ac:dyDescent="0.3">
      <c r="B465" t="s">
        <v>1009</v>
      </c>
      <c r="C465" t="s">
        <v>41</v>
      </c>
      <c r="D465" t="s">
        <v>64</v>
      </c>
      <c r="E465" t="s">
        <v>52</v>
      </c>
      <c r="F465">
        <v>23132.398349999996</v>
      </c>
      <c r="G465">
        <v>12209.550000000001</v>
      </c>
      <c r="H465">
        <v>10922.848349999995</v>
      </c>
      <c r="I465">
        <f>Staging!Q456*(Staging!T456*(1+QtyUplift))*(1-MIN(Staging!R456,DiscountCap))</f>
        <v>25445.638185</v>
      </c>
      <c r="J465">
        <f>Staging!P456*(1+CostInflation)*Staging!T456*(1+QtyUplift)</f>
        <v>17392.503975</v>
      </c>
      <c r="K465">
        <f t="shared" si="14"/>
        <v>8053.1342100000002</v>
      </c>
      <c r="L465">
        <v>2313.2398350000039</v>
      </c>
      <c r="M465">
        <f t="shared" si="15"/>
        <v>-2869.7141399999946</v>
      </c>
    </row>
    <row r="466" spans="2:13" x14ac:dyDescent="0.3">
      <c r="B466" t="s">
        <v>1011</v>
      </c>
      <c r="C466" t="s">
        <v>21</v>
      </c>
      <c r="D466" t="s">
        <v>81</v>
      </c>
      <c r="E466" t="s">
        <v>52</v>
      </c>
      <c r="F466">
        <v>14752.706080000002</v>
      </c>
      <c r="G466">
        <v>9173.76</v>
      </c>
      <c r="H466">
        <v>5578.9460800000015</v>
      </c>
      <c r="I466">
        <f>Staging!Q457*(Staging!T457*(1+QtyUplift))*(1-MIN(Staging!R457,DiscountCap))</f>
        <v>16227.976688000002</v>
      </c>
      <c r="J466">
        <f>Staging!P457*(1+CostInflation)*Staging!T457*(1+QtyUplift)</f>
        <v>13068.021119999999</v>
      </c>
      <c r="K466">
        <f t="shared" si="14"/>
        <v>3159.955568000003</v>
      </c>
      <c r="L466">
        <v>1676.0667200000007</v>
      </c>
      <c r="M466">
        <f t="shared" si="15"/>
        <v>-2418.9905119999985</v>
      </c>
    </row>
    <row r="467" spans="2:13" x14ac:dyDescent="0.3">
      <c r="B467" t="s">
        <v>1013</v>
      </c>
      <c r="C467" t="s">
        <v>84</v>
      </c>
      <c r="D467" t="s">
        <v>42</v>
      </c>
      <c r="E467" t="s">
        <v>52</v>
      </c>
      <c r="F467">
        <v>20797.98</v>
      </c>
      <c r="G467">
        <v>12912.06</v>
      </c>
      <c r="H467">
        <v>7885.92</v>
      </c>
      <c r="I467">
        <f>Staging!Q458*(Staging!T458*(1+QtyUplift))*(1-MIN(Staging!R458,DiscountCap))</f>
        <v>22877.778000000002</v>
      </c>
      <c r="J467">
        <f>Staging!P458*(1+CostInflation)*Staging!T458*(1+QtyUplift)</f>
        <v>18393.229470000002</v>
      </c>
      <c r="K467">
        <f t="shared" si="14"/>
        <v>4484.54853</v>
      </c>
      <c r="L467">
        <v>2079.7980000000025</v>
      </c>
      <c r="M467">
        <f t="shared" si="15"/>
        <v>-3401.37147</v>
      </c>
    </row>
    <row r="468" spans="2:13" x14ac:dyDescent="0.3">
      <c r="B468" t="s">
        <v>1015</v>
      </c>
      <c r="C468" t="s">
        <v>29</v>
      </c>
      <c r="D468" t="s">
        <v>64</v>
      </c>
      <c r="E468" t="s">
        <v>45</v>
      </c>
      <c r="F468">
        <v>7854.6931199999999</v>
      </c>
      <c r="G468">
        <v>8571.36</v>
      </c>
      <c r="H468">
        <v>-716.66688000000067</v>
      </c>
      <c r="I468">
        <f>Staging!Q459*(Staging!T459*(1+QtyUplift))*(1-MIN(Staging!R459,DiscountCap))</f>
        <v>8640.162432000001</v>
      </c>
      <c r="J468">
        <f>Staging!P459*(1+CostInflation)*Staging!T459*(1+QtyUplift)</f>
        <v>12209.902319999999</v>
      </c>
      <c r="K468">
        <f t="shared" si="14"/>
        <v>-3569.7398879999982</v>
      </c>
      <c r="L468">
        <v>1145.4760800000022</v>
      </c>
      <c r="M468">
        <f t="shared" si="15"/>
        <v>-2853.0730079999976</v>
      </c>
    </row>
    <row r="469" spans="2:13" x14ac:dyDescent="0.3">
      <c r="B469" t="s">
        <v>1017</v>
      </c>
      <c r="C469" t="s">
        <v>84</v>
      </c>
      <c r="D469" t="s">
        <v>57</v>
      </c>
      <c r="E469" t="s">
        <v>78</v>
      </c>
      <c r="F469">
        <v>7643.2649999999994</v>
      </c>
      <c r="G469">
        <v>3669.54</v>
      </c>
      <c r="H469">
        <v>3973.7249999999995</v>
      </c>
      <c r="I469">
        <f>Staging!Q460*(Staging!T460*(1+QtyUplift))*(1-MIN(Staging!R460,DiscountCap))</f>
        <v>8407.5914999999986</v>
      </c>
      <c r="J469">
        <f>Staging!P460*(1+CostInflation)*Staging!T460*(1+QtyUplift)</f>
        <v>5227.2597299999998</v>
      </c>
      <c r="K469">
        <f t="shared" si="14"/>
        <v>3180.3317699999989</v>
      </c>
      <c r="L469">
        <v>1004.5434000000005</v>
      </c>
      <c r="M469">
        <f t="shared" si="15"/>
        <v>-793.39323000000059</v>
      </c>
    </row>
    <row r="470" spans="2:13" x14ac:dyDescent="0.3">
      <c r="B470" t="s">
        <v>1019</v>
      </c>
      <c r="C470" t="s">
        <v>75</v>
      </c>
      <c r="D470" t="s">
        <v>22</v>
      </c>
      <c r="E470" t="s">
        <v>78</v>
      </c>
      <c r="F470">
        <v>24321.57</v>
      </c>
      <c r="G470">
        <v>16432.52</v>
      </c>
      <c r="H470">
        <v>7889.0499999999993</v>
      </c>
      <c r="I470">
        <f>Staging!Q461*(Staging!T461*(1+QtyUplift))*(1-MIN(Staging!R461,DiscountCap))</f>
        <v>26753.727000000003</v>
      </c>
      <c r="J470">
        <f>Staging!P461*(1+CostInflation)*Staging!T461*(1+QtyUplift)</f>
        <v>23408.124739999999</v>
      </c>
      <c r="K470">
        <f t="shared" si="14"/>
        <v>3345.6022600000033</v>
      </c>
      <c r="L470">
        <v>2432.1570000000029</v>
      </c>
      <c r="M470">
        <f t="shared" si="15"/>
        <v>-4543.447739999996</v>
      </c>
    </row>
    <row r="471" spans="2:13" x14ac:dyDescent="0.3">
      <c r="B471" t="s">
        <v>1021</v>
      </c>
      <c r="C471" t="s">
        <v>126</v>
      </c>
      <c r="D471" t="s">
        <v>22</v>
      </c>
      <c r="E471" t="s">
        <v>45</v>
      </c>
      <c r="F471">
        <v>1662.6945600000001</v>
      </c>
      <c r="G471">
        <v>1271.3399999999999</v>
      </c>
      <c r="H471">
        <v>391.35456000000022</v>
      </c>
      <c r="I471">
        <f>Staging!Q462*(Staging!T462*(1+QtyUplift))*(1-MIN(Staging!R462,DiscountCap))</f>
        <v>1828.9640160000001</v>
      </c>
      <c r="J471">
        <f>Staging!P462*(1+CostInflation)*Staging!T462*(1+QtyUplift)</f>
        <v>1811.0238300000001</v>
      </c>
      <c r="K471">
        <f t="shared" si="14"/>
        <v>17.94018600000004</v>
      </c>
      <c r="L471">
        <v>180.60624000000007</v>
      </c>
      <c r="M471">
        <f t="shared" si="15"/>
        <v>-373.41437400000018</v>
      </c>
    </row>
    <row r="472" spans="2:13" x14ac:dyDescent="0.3">
      <c r="B472" t="s">
        <v>1023</v>
      </c>
      <c r="C472" t="s">
        <v>95</v>
      </c>
      <c r="D472" t="s">
        <v>81</v>
      </c>
      <c r="E472" t="s">
        <v>16</v>
      </c>
      <c r="F472">
        <v>930.17574000000002</v>
      </c>
      <c r="G472">
        <v>695.13</v>
      </c>
      <c r="H472">
        <v>235.04574000000002</v>
      </c>
      <c r="I472">
        <f>Staging!Q463*(Staging!T463*(1+QtyUplift))*(1-MIN(Staging!R463,DiscountCap))</f>
        <v>1023.1933140000001</v>
      </c>
      <c r="J472">
        <f>Staging!P463*(1+CostInflation)*Staging!T463*(1+QtyUplift)</f>
        <v>990.21268499999996</v>
      </c>
      <c r="K472">
        <f t="shared" si="14"/>
        <v>32.980629000000135</v>
      </c>
      <c r="L472">
        <v>127.08486000000005</v>
      </c>
      <c r="M472">
        <f t="shared" si="15"/>
        <v>-202.06511099999989</v>
      </c>
    </row>
    <row r="473" spans="2:13" x14ac:dyDescent="0.3">
      <c r="B473" t="s">
        <v>1025</v>
      </c>
      <c r="C473" t="s">
        <v>110</v>
      </c>
      <c r="D473" t="s">
        <v>30</v>
      </c>
      <c r="E473" t="s">
        <v>78</v>
      </c>
      <c r="F473">
        <v>4055.5175999999997</v>
      </c>
      <c r="G473">
        <v>3690.7999999999997</v>
      </c>
      <c r="H473">
        <v>364.71759999999995</v>
      </c>
      <c r="I473">
        <f>Staging!Q464*(Staging!T464*(1+QtyUplift))*(1-MIN(Staging!R464,DiscountCap))</f>
        <v>4461.0693599999995</v>
      </c>
      <c r="J473">
        <f>Staging!P464*(1+CostInflation)*Staging!T464*(1+QtyUplift)</f>
        <v>5257.5445999999993</v>
      </c>
      <c r="K473">
        <f t="shared" si="14"/>
        <v>-796.47523999999976</v>
      </c>
      <c r="L473">
        <v>679.10790000000043</v>
      </c>
      <c r="M473">
        <f t="shared" si="15"/>
        <v>-1161.1928399999997</v>
      </c>
    </row>
    <row r="474" spans="2:13" x14ac:dyDescent="0.3">
      <c r="B474" t="s">
        <v>1027</v>
      </c>
      <c r="C474" t="s">
        <v>41</v>
      </c>
      <c r="D474" t="s">
        <v>35</v>
      </c>
      <c r="E474" t="s">
        <v>16</v>
      </c>
      <c r="F474">
        <v>1886.9915999999998</v>
      </c>
      <c r="G474">
        <v>1478.62</v>
      </c>
      <c r="H474">
        <v>408.37159999999994</v>
      </c>
      <c r="I474">
        <f>Staging!Q465*(Staging!T465*(1+QtyUplift))*(1-MIN(Staging!R465,DiscountCap))</f>
        <v>2075.69076</v>
      </c>
      <c r="J474">
        <f>Staging!P465*(1+CostInflation)*Staging!T465*(1+QtyUplift)</f>
        <v>2106.2941900000001</v>
      </c>
      <c r="K474">
        <f t="shared" si="14"/>
        <v>-30.603430000000117</v>
      </c>
      <c r="L474">
        <v>245.56739999999991</v>
      </c>
      <c r="M474">
        <f t="shared" si="15"/>
        <v>-438.97503000000006</v>
      </c>
    </row>
    <row r="475" spans="2:13" x14ac:dyDescent="0.3">
      <c r="B475" t="s">
        <v>1029</v>
      </c>
      <c r="C475" t="s">
        <v>29</v>
      </c>
      <c r="D475" t="s">
        <v>22</v>
      </c>
      <c r="E475" t="s">
        <v>45</v>
      </c>
      <c r="F475">
        <v>1808.04592</v>
      </c>
      <c r="G475">
        <v>1101.72</v>
      </c>
      <c r="H475">
        <v>706.32592</v>
      </c>
      <c r="I475">
        <f>Staging!Q466*(Staging!T466*(1+QtyUplift))*(1-MIN(Staging!R466,DiscountCap))</f>
        <v>2007.5880000000002</v>
      </c>
      <c r="J475">
        <f>Staging!P466*(1+CostInflation)*Staging!T466*(1+QtyUplift)</f>
        <v>1569.4001400000002</v>
      </c>
      <c r="K475">
        <f t="shared" si="14"/>
        <v>438.18786</v>
      </c>
      <c r="L475">
        <v>601.0596800000003</v>
      </c>
      <c r="M475">
        <f t="shared" si="15"/>
        <v>-268.13806</v>
      </c>
    </row>
    <row r="476" spans="2:13" x14ac:dyDescent="0.3">
      <c r="B476" t="s">
        <v>1031</v>
      </c>
      <c r="C476" t="s">
        <v>21</v>
      </c>
      <c r="D476" t="s">
        <v>22</v>
      </c>
      <c r="E476" t="s">
        <v>16</v>
      </c>
      <c r="F476">
        <v>84136.119600000005</v>
      </c>
      <c r="G476">
        <v>53430.400000000001</v>
      </c>
      <c r="H476">
        <v>30705.719600000004</v>
      </c>
      <c r="I476">
        <f>Staging!Q467*(Staging!T467*(1+QtyUplift))*(1-MIN(Staging!R467,DiscountCap))</f>
        <v>92549.73156</v>
      </c>
      <c r="J476">
        <f>Staging!P467*(1+CostInflation)*Staging!T467*(1+QtyUplift)</f>
        <v>76111.604800000016</v>
      </c>
      <c r="K476">
        <f t="shared" si="14"/>
        <v>16438.126759999985</v>
      </c>
      <c r="L476">
        <v>21433.916399999987</v>
      </c>
      <c r="M476">
        <f t="shared" si="15"/>
        <v>-14267.592840000019</v>
      </c>
    </row>
    <row r="477" spans="2:13" x14ac:dyDescent="0.3">
      <c r="B477" t="s">
        <v>1033</v>
      </c>
      <c r="C477" t="s">
        <v>110</v>
      </c>
      <c r="D477" t="s">
        <v>81</v>
      </c>
      <c r="E477" t="s">
        <v>16</v>
      </c>
      <c r="F477">
        <v>2719.8567000000003</v>
      </c>
      <c r="G477">
        <v>1453.8600000000001</v>
      </c>
      <c r="H477">
        <v>1265.9967000000001</v>
      </c>
      <c r="I477">
        <f>Staging!Q468*(Staging!T468*(1+QtyUplift))*(1-MIN(Staging!R468,DiscountCap))</f>
        <v>2991.8423700000008</v>
      </c>
      <c r="J477">
        <f>Staging!P468*(1+CostInflation)*Staging!T468*(1+QtyUplift)</f>
        <v>2071.0235700000003</v>
      </c>
      <c r="K477">
        <f t="shared" si="14"/>
        <v>920.81880000000046</v>
      </c>
      <c r="L477">
        <v>772.56630000000041</v>
      </c>
      <c r="M477">
        <f t="shared" si="15"/>
        <v>-345.17789999999968</v>
      </c>
    </row>
    <row r="478" spans="2:13" x14ac:dyDescent="0.3">
      <c r="B478" t="s">
        <v>1035</v>
      </c>
      <c r="C478" t="s">
        <v>145</v>
      </c>
      <c r="D478" t="s">
        <v>35</v>
      </c>
      <c r="E478" t="s">
        <v>45</v>
      </c>
      <c r="F478">
        <v>14261.92439</v>
      </c>
      <c r="G478">
        <v>9858.1</v>
      </c>
      <c r="H478">
        <v>4403.8243899999998</v>
      </c>
      <c r="I478">
        <f>Staging!Q469*(Staging!T469*(1+QtyUplift))*(1-MIN(Staging!R469,DiscountCap))</f>
        <v>15688.116829000002</v>
      </c>
      <c r="J478">
        <f>Staging!P469*(1+CostInflation)*Staging!T469*(1+QtyUplift)</f>
        <v>14042.863450000001</v>
      </c>
      <c r="K478">
        <f t="shared" si="14"/>
        <v>1645.2533790000016</v>
      </c>
      <c r="L478">
        <v>1426.1924390000022</v>
      </c>
      <c r="M478">
        <f t="shared" si="15"/>
        <v>-2758.5710109999982</v>
      </c>
    </row>
    <row r="479" spans="2:13" x14ac:dyDescent="0.3">
      <c r="B479" t="s">
        <v>1037</v>
      </c>
      <c r="C479" t="s">
        <v>110</v>
      </c>
      <c r="D479" t="s">
        <v>22</v>
      </c>
      <c r="E479" t="s">
        <v>78</v>
      </c>
      <c r="F479">
        <v>25269.09</v>
      </c>
      <c r="G479">
        <v>17571.300000000003</v>
      </c>
      <c r="H479">
        <v>7697.7899999999972</v>
      </c>
      <c r="I479">
        <f>Staging!Q470*(Staging!T470*(1+QtyUplift))*(1-MIN(Staging!R470,DiscountCap))</f>
        <v>27795.999000000003</v>
      </c>
      <c r="J479">
        <f>Staging!P470*(1+CostInflation)*Staging!T470*(1+QtyUplift)</f>
        <v>25030.316850000003</v>
      </c>
      <c r="K479">
        <f t="shared" si="14"/>
        <v>2765.6821500000005</v>
      </c>
      <c r="L479">
        <v>7219.7400000000052</v>
      </c>
      <c r="M479">
        <f t="shared" si="15"/>
        <v>-4932.1078499999967</v>
      </c>
    </row>
    <row r="480" spans="2:13" x14ac:dyDescent="0.3">
      <c r="B480" t="s">
        <v>1039</v>
      </c>
      <c r="C480" t="s">
        <v>63</v>
      </c>
      <c r="D480" t="s">
        <v>30</v>
      </c>
      <c r="E480" t="s">
        <v>78</v>
      </c>
      <c r="F480">
        <v>16252.219979999998</v>
      </c>
      <c r="G480">
        <v>11281.37</v>
      </c>
      <c r="H480">
        <v>4970.8499799999972</v>
      </c>
      <c r="I480">
        <f>Staging!Q471*(Staging!T471*(1+QtyUplift))*(1-MIN(Staging!R471,DiscountCap))</f>
        <v>17877.441978000003</v>
      </c>
      <c r="J480">
        <f>Staging!P471*(1+CostInflation)*Staging!T471*(1+QtyUplift)</f>
        <v>16070.311565000002</v>
      </c>
      <c r="K480">
        <f t="shared" si="14"/>
        <v>1807.1304130000008</v>
      </c>
      <c r="L480">
        <v>1625.2219980000045</v>
      </c>
      <c r="M480">
        <f t="shared" si="15"/>
        <v>-3163.7195669999965</v>
      </c>
    </row>
    <row r="481" spans="2:13" x14ac:dyDescent="0.3">
      <c r="B481" t="s">
        <v>1041</v>
      </c>
      <c r="C481" t="s">
        <v>84</v>
      </c>
      <c r="D481" t="s">
        <v>30</v>
      </c>
      <c r="E481" t="s">
        <v>16</v>
      </c>
      <c r="F481">
        <v>10428.057360000001</v>
      </c>
      <c r="G481">
        <v>5184.12</v>
      </c>
      <c r="H481">
        <v>5243.9373600000008</v>
      </c>
      <c r="I481">
        <f>Staging!Q472*(Staging!T472*(1+QtyUplift))*(1-MIN(Staging!R472,DiscountCap))</f>
        <v>11470.863096000001</v>
      </c>
      <c r="J481">
        <f>Staging!P472*(1+CostInflation)*Staging!T472*(1+QtyUplift)</f>
        <v>7384.7789400000011</v>
      </c>
      <c r="K481">
        <f t="shared" si="14"/>
        <v>4086.0841559999999</v>
      </c>
      <c r="L481">
        <v>1042.8057360000003</v>
      </c>
      <c r="M481">
        <f t="shared" si="15"/>
        <v>-1157.8532040000009</v>
      </c>
    </row>
    <row r="482" spans="2:13" x14ac:dyDescent="0.3">
      <c r="B482" t="s">
        <v>1043</v>
      </c>
      <c r="C482" t="s">
        <v>56</v>
      </c>
      <c r="D482" t="s">
        <v>30</v>
      </c>
      <c r="E482" t="s">
        <v>78</v>
      </c>
      <c r="F482">
        <v>36549.429260000004</v>
      </c>
      <c r="G482">
        <v>18042.580000000002</v>
      </c>
      <c r="H482">
        <v>18506.849260000003</v>
      </c>
      <c r="I482">
        <f>Staging!Q473*(Staging!T473*(1+QtyUplift))*(1-MIN(Staging!R473,DiscountCap))</f>
        <v>40204.372186000001</v>
      </c>
      <c r="J482">
        <f>Staging!P473*(1+CostInflation)*Staging!T473*(1+QtyUplift)</f>
        <v>25701.655209999997</v>
      </c>
      <c r="K482">
        <f t="shared" si="14"/>
        <v>14502.716976000003</v>
      </c>
      <c r="L482">
        <v>5427.293439999994</v>
      </c>
      <c r="M482">
        <f t="shared" si="15"/>
        <v>-4004.1322839999993</v>
      </c>
    </row>
    <row r="483" spans="2:13" x14ac:dyDescent="0.3">
      <c r="B483" t="s">
        <v>1045</v>
      </c>
      <c r="C483" t="s">
        <v>110</v>
      </c>
      <c r="D483" t="s">
        <v>22</v>
      </c>
      <c r="E483" t="s">
        <v>45</v>
      </c>
      <c r="F483">
        <v>15374.563199999999</v>
      </c>
      <c r="G483">
        <v>7768.32</v>
      </c>
      <c r="H483">
        <v>7606.243199999999</v>
      </c>
      <c r="I483">
        <f>Staging!Q474*(Staging!T474*(1+QtyUplift))*(1-MIN(Staging!R474,DiscountCap))</f>
        <v>16912.019520000002</v>
      </c>
      <c r="J483">
        <f>Staging!P474*(1+CostInflation)*Staging!T474*(1+QtyUplift)</f>
        <v>11065.97184</v>
      </c>
      <c r="K483">
        <f t="shared" si="14"/>
        <v>5846.0476800000015</v>
      </c>
      <c r="L483">
        <v>1537.456320000003</v>
      </c>
      <c r="M483">
        <f t="shared" si="15"/>
        <v>-1760.1955199999975</v>
      </c>
    </row>
    <row r="484" spans="2:13" x14ac:dyDescent="0.3">
      <c r="B484" t="s">
        <v>1047</v>
      </c>
      <c r="C484" t="s">
        <v>95</v>
      </c>
      <c r="D484" t="s">
        <v>64</v>
      </c>
      <c r="E484" t="s">
        <v>16</v>
      </c>
      <c r="F484">
        <v>8330.2513199999994</v>
      </c>
      <c r="G484">
        <v>5009.58</v>
      </c>
      <c r="H484">
        <v>3320.6713199999995</v>
      </c>
      <c r="I484">
        <f>Staging!Q475*(Staging!T475*(1+QtyUplift))*(1-MIN(Staging!R475,DiscountCap))</f>
        <v>9163.2764520000001</v>
      </c>
      <c r="J484">
        <f>Staging!P475*(1+CostInflation)*Staging!T475*(1+QtyUplift)</f>
        <v>7136.1467100000009</v>
      </c>
      <c r="K484">
        <f t="shared" si="14"/>
        <v>2027.1297419999992</v>
      </c>
      <c r="L484">
        <v>1105.6168800000014</v>
      </c>
      <c r="M484">
        <f t="shared" si="15"/>
        <v>-1293.5415780000003</v>
      </c>
    </row>
    <row r="485" spans="2:13" x14ac:dyDescent="0.3">
      <c r="B485" t="s">
        <v>1049</v>
      </c>
      <c r="C485" t="s">
        <v>34</v>
      </c>
      <c r="D485" t="s">
        <v>42</v>
      </c>
      <c r="E485" t="s">
        <v>78</v>
      </c>
      <c r="F485">
        <v>19233.355499999998</v>
      </c>
      <c r="G485">
        <v>10862.460000000001</v>
      </c>
      <c r="H485">
        <v>8370.8954999999969</v>
      </c>
      <c r="I485">
        <f>Staging!Q476*(Staging!T476*(1+QtyUplift))*(1-MIN(Staging!R476,DiscountCap))</f>
        <v>21156.691050000001</v>
      </c>
      <c r="J485">
        <f>Staging!P476*(1+CostInflation)*Staging!T476*(1+QtyUplift)</f>
        <v>15473.574270000003</v>
      </c>
      <c r="K485">
        <f t="shared" si="14"/>
        <v>5683.1167799999985</v>
      </c>
      <c r="L485">
        <v>4717.6154999999999</v>
      </c>
      <c r="M485">
        <f t="shared" si="15"/>
        <v>-2687.7787199999984</v>
      </c>
    </row>
    <row r="486" spans="2:13" x14ac:dyDescent="0.3">
      <c r="B486" t="s">
        <v>1051</v>
      </c>
      <c r="C486" t="s">
        <v>110</v>
      </c>
      <c r="D486" t="s">
        <v>30</v>
      </c>
      <c r="E486" t="s">
        <v>52</v>
      </c>
      <c r="F486">
        <v>27194.152039999997</v>
      </c>
      <c r="G486">
        <v>15190.78</v>
      </c>
      <c r="H486">
        <v>12003.372039999997</v>
      </c>
      <c r="I486">
        <f>Staging!Q477*(Staging!T477*(1+QtyUplift))*(1-MIN(Staging!R477,DiscountCap))</f>
        <v>29913.567244000002</v>
      </c>
      <c r="J486">
        <f>Staging!P477*(1+CostInflation)*Staging!T477*(1+QtyUplift)</f>
        <v>21639.26611</v>
      </c>
      <c r="K486">
        <f t="shared" si="14"/>
        <v>8274.3011340000012</v>
      </c>
      <c r="L486">
        <v>2719.4152040000045</v>
      </c>
      <c r="M486">
        <f t="shared" si="15"/>
        <v>-3729.0709059999954</v>
      </c>
    </row>
    <row r="487" spans="2:13" x14ac:dyDescent="0.3">
      <c r="B487" t="s">
        <v>1053</v>
      </c>
      <c r="C487" t="s">
        <v>41</v>
      </c>
      <c r="D487" t="s">
        <v>57</v>
      </c>
      <c r="E487" t="s">
        <v>78</v>
      </c>
      <c r="F487">
        <v>1009.2969000000002</v>
      </c>
      <c r="G487">
        <v>1053.8</v>
      </c>
      <c r="H487">
        <v>-44.50309999999979</v>
      </c>
      <c r="I487">
        <f>Staging!Q478*(Staging!T478*(1+QtyUplift))*(1-MIN(Staging!R478,DiscountCap))</f>
        <v>1110.22659</v>
      </c>
      <c r="J487">
        <f>Staging!P478*(1+CostInflation)*Staging!T478*(1+QtyUplift)</f>
        <v>1501.1380999999999</v>
      </c>
      <c r="K487">
        <f t="shared" si="14"/>
        <v>-390.91150999999991</v>
      </c>
      <c r="L487">
        <v>100.92968999999982</v>
      </c>
      <c r="M487">
        <f t="shared" si="15"/>
        <v>-346.40841000000012</v>
      </c>
    </row>
    <row r="488" spans="2:13" x14ac:dyDescent="0.3">
      <c r="B488" t="s">
        <v>1055</v>
      </c>
      <c r="C488" t="s">
        <v>75</v>
      </c>
      <c r="D488" t="s">
        <v>22</v>
      </c>
      <c r="E488" t="s">
        <v>78</v>
      </c>
      <c r="F488">
        <v>4212.3745999999992</v>
      </c>
      <c r="G488">
        <v>6612.62</v>
      </c>
      <c r="H488">
        <v>-2400.2454000000007</v>
      </c>
      <c r="I488">
        <f>Staging!Q479*(Staging!T479*(1+QtyUplift))*(1-MIN(Staging!R479,DiscountCap))</f>
        <v>4633.6120600000004</v>
      </c>
      <c r="J488">
        <f>Staging!P479*(1+CostInflation)*Staging!T479*(1+QtyUplift)</f>
        <v>9419.6771900000003</v>
      </c>
      <c r="K488">
        <f t="shared" si="14"/>
        <v>-4786.06513</v>
      </c>
      <c r="L488">
        <v>781.93780000000152</v>
      </c>
      <c r="M488">
        <f t="shared" si="15"/>
        <v>-2385.8197299999993</v>
      </c>
    </row>
    <row r="489" spans="2:13" x14ac:dyDescent="0.3">
      <c r="B489" t="s">
        <v>1057</v>
      </c>
      <c r="C489" t="s">
        <v>29</v>
      </c>
      <c r="D489" t="s">
        <v>57</v>
      </c>
      <c r="E489" t="s">
        <v>78</v>
      </c>
      <c r="F489">
        <v>41914.215840000004</v>
      </c>
      <c r="G489">
        <v>21819.63</v>
      </c>
      <c r="H489">
        <v>20094.585840000003</v>
      </c>
      <c r="I489">
        <f>Staging!Q480*(Staging!T480*(1+QtyUplift))*(1-MIN(Staging!R480,DiscountCap))</f>
        <v>46105.637424</v>
      </c>
      <c r="J489">
        <f>Staging!P480*(1+CostInflation)*Staging!T480*(1+QtyUplift)</f>
        <v>31082.062934999998</v>
      </c>
      <c r="K489">
        <f t="shared" si="14"/>
        <v>15023.574489000002</v>
      </c>
      <c r="L489">
        <v>11013.174059999998</v>
      </c>
      <c r="M489">
        <f t="shared" si="15"/>
        <v>-5071.011351000001</v>
      </c>
    </row>
    <row r="490" spans="2:13" x14ac:dyDescent="0.3">
      <c r="B490" t="s">
        <v>1059</v>
      </c>
      <c r="C490" t="s">
        <v>56</v>
      </c>
      <c r="D490" t="s">
        <v>81</v>
      </c>
      <c r="E490" t="s">
        <v>78</v>
      </c>
      <c r="F490">
        <v>22620.859800000002</v>
      </c>
      <c r="G490">
        <v>18269.13</v>
      </c>
      <c r="H490">
        <v>4351.729800000001</v>
      </c>
      <c r="I490">
        <f>Staging!Q481*(Staging!T481*(1+QtyUplift))*(1-MIN(Staging!R481,DiscountCap))</f>
        <v>24882.945780000002</v>
      </c>
      <c r="J490">
        <f>Staging!P481*(1+CostInflation)*Staging!T481*(1+QtyUplift)</f>
        <v>26024.375685000003</v>
      </c>
      <c r="K490">
        <f t="shared" si="14"/>
        <v>-1141.4299050000009</v>
      </c>
      <c r="L490">
        <v>2262.0859799999998</v>
      </c>
      <c r="M490">
        <f t="shared" si="15"/>
        <v>-5493.1597050000018</v>
      </c>
    </row>
    <row r="491" spans="2:13" x14ac:dyDescent="0.3">
      <c r="B491" t="s">
        <v>1061</v>
      </c>
      <c r="C491" t="s">
        <v>41</v>
      </c>
      <c r="D491" t="s">
        <v>35</v>
      </c>
      <c r="E491" t="s">
        <v>45</v>
      </c>
      <c r="F491">
        <v>40488.792960000006</v>
      </c>
      <c r="G491">
        <v>19504.96</v>
      </c>
      <c r="H491">
        <v>20983.832960000007</v>
      </c>
      <c r="I491">
        <f>Staging!Q482*(Staging!T482*(1+QtyUplift))*(1-MIN(Staging!R482,DiscountCap))</f>
        <v>44537.672256000005</v>
      </c>
      <c r="J491">
        <f>Staging!P482*(1+CostInflation)*Staging!T482*(1+QtyUplift)</f>
        <v>27784.81552</v>
      </c>
      <c r="K491">
        <f t="shared" si="14"/>
        <v>16752.856736000005</v>
      </c>
      <c r="L491">
        <v>4048.8792959999992</v>
      </c>
      <c r="M491">
        <f t="shared" si="15"/>
        <v>-4230.9762240000018</v>
      </c>
    </row>
    <row r="492" spans="2:13" x14ac:dyDescent="0.3">
      <c r="B492" t="s">
        <v>1063</v>
      </c>
      <c r="C492" t="s">
        <v>126</v>
      </c>
      <c r="D492" t="s">
        <v>30</v>
      </c>
      <c r="E492" t="s">
        <v>45</v>
      </c>
      <c r="F492">
        <v>4738.5261</v>
      </c>
      <c r="G492">
        <v>2377.6499999999996</v>
      </c>
      <c r="H492">
        <v>2360.8761000000004</v>
      </c>
      <c r="I492">
        <f>Staging!Q483*(Staging!T483*(1+QtyUplift))*(1-MIN(Staging!R483,DiscountCap))</f>
        <v>5212.3787100000009</v>
      </c>
      <c r="J492">
        <f>Staging!P483*(1+CostInflation)*Staging!T483*(1+QtyUplift)</f>
        <v>3386.9624250000002</v>
      </c>
      <c r="K492">
        <f t="shared" si="14"/>
        <v>1825.4162850000007</v>
      </c>
      <c r="L492">
        <v>473.85261000000082</v>
      </c>
      <c r="M492">
        <f t="shared" si="15"/>
        <v>-535.45981499999971</v>
      </c>
    </row>
    <row r="493" spans="2:13" x14ac:dyDescent="0.3">
      <c r="B493" t="s">
        <v>1065</v>
      </c>
      <c r="C493" t="s">
        <v>29</v>
      </c>
      <c r="D493" t="s">
        <v>57</v>
      </c>
      <c r="E493" t="s">
        <v>78</v>
      </c>
      <c r="F493">
        <v>36161.097000000002</v>
      </c>
      <c r="G493">
        <v>19298.399999999998</v>
      </c>
      <c r="H493">
        <v>16862.697000000004</v>
      </c>
      <c r="I493">
        <f>Staging!Q484*(Staging!T484*(1+QtyUplift))*(1-MIN(Staging!R484,DiscountCap))</f>
        <v>39777.206700000002</v>
      </c>
      <c r="J493">
        <f>Staging!P484*(1+CostInflation)*Staging!T484*(1+QtyUplift)</f>
        <v>27490.570799999998</v>
      </c>
      <c r="K493">
        <f t="shared" si="14"/>
        <v>12286.635900000005</v>
      </c>
      <c r="L493">
        <v>5082.5504999999976</v>
      </c>
      <c r="M493">
        <f t="shared" si="15"/>
        <v>-4576.061099999999</v>
      </c>
    </row>
    <row r="494" spans="2:13" x14ac:dyDescent="0.3">
      <c r="B494" t="s">
        <v>1067</v>
      </c>
      <c r="C494" t="s">
        <v>56</v>
      </c>
      <c r="D494" t="s">
        <v>42</v>
      </c>
      <c r="E494" t="s">
        <v>78</v>
      </c>
      <c r="F494">
        <v>5127.0390600000001</v>
      </c>
      <c r="G494">
        <v>3858.3599999999997</v>
      </c>
      <c r="H494">
        <v>1268.6790600000004</v>
      </c>
      <c r="I494">
        <f>Staging!Q485*(Staging!T485*(1+QtyUplift))*(1-MIN(Staging!R485,DiscountCap))</f>
        <v>5639.7429660000007</v>
      </c>
      <c r="J494">
        <f>Staging!P485*(1+CostInflation)*Staging!T485*(1+QtyUplift)</f>
        <v>5496.2338199999995</v>
      </c>
      <c r="K494">
        <f t="shared" si="14"/>
        <v>143.50914600000124</v>
      </c>
      <c r="L494">
        <v>512.70390600000064</v>
      </c>
      <c r="M494">
        <f t="shared" si="15"/>
        <v>-1125.1699139999992</v>
      </c>
    </row>
    <row r="495" spans="2:13" x14ac:dyDescent="0.3">
      <c r="B495" t="s">
        <v>1069</v>
      </c>
      <c r="C495" t="s">
        <v>41</v>
      </c>
      <c r="D495" t="s">
        <v>35</v>
      </c>
      <c r="E495" t="s">
        <v>52</v>
      </c>
      <c r="F495">
        <v>21908.731650000002</v>
      </c>
      <c r="G495">
        <v>16997.759999999998</v>
      </c>
      <c r="H495">
        <v>4910.9716500000031</v>
      </c>
      <c r="I495">
        <f>Staging!Q486*(Staging!T486*(1+QtyUplift))*(1-MIN(Staging!R486,DiscountCap))</f>
        <v>24099.604815000002</v>
      </c>
      <c r="J495">
        <f>Staging!P486*(1+CostInflation)*Staging!T486*(1+QtyUplift)</f>
        <v>24213.309120000002</v>
      </c>
      <c r="K495">
        <f t="shared" si="14"/>
        <v>-113.70430499999929</v>
      </c>
      <c r="L495">
        <v>2822.9038499999988</v>
      </c>
      <c r="M495">
        <f t="shared" si="15"/>
        <v>-5024.6759550000024</v>
      </c>
    </row>
    <row r="496" spans="2:13" x14ac:dyDescent="0.3">
      <c r="B496" t="s">
        <v>1071</v>
      </c>
      <c r="C496" t="s">
        <v>92</v>
      </c>
      <c r="D496" t="s">
        <v>22</v>
      </c>
      <c r="E496" t="s">
        <v>78</v>
      </c>
      <c r="F496">
        <v>6063.2517199999993</v>
      </c>
      <c r="G496">
        <v>5921.12</v>
      </c>
      <c r="H496">
        <v>142.1317199999994</v>
      </c>
      <c r="I496">
        <f>Staging!Q487*(Staging!T487*(1+QtyUplift))*(1-MIN(Staging!R487,DiscountCap))</f>
        <v>6669.576892</v>
      </c>
      <c r="J496">
        <f>Staging!P487*(1+CostInflation)*Staging!T487*(1+QtyUplift)</f>
        <v>8434.63544</v>
      </c>
      <c r="K496">
        <f t="shared" si="14"/>
        <v>-1765.058548</v>
      </c>
      <c r="L496">
        <v>606.32517200000075</v>
      </c>
      <c r="M496">
        <f t="shared" si="15"/>
        <v>-1907.1902679999994</v>
      </c>
    </row>
    <row r="497" spans="2:13" x14ac:dyDescent="0.3">
      <c r="B497" t="s">
        <v>1073</v>
      </c>
      <c r="C497" t="s">
        <v>21</v>
      </c>
      <c r="D497" t="s">
        <v>42</v>
      </c>
      <c r="E497" t="s">
        <v>78</v>
      </c>
      <c r="F497">
        <v>5159.7893599999998</v>
      </c>
      <c r="G497">
        <v>3166.3500000000004</v>
      </c>
      <c r="H497">
        <v>1993.4393599999994</v>
      </c>
      <c r="I497">
        <f>Staging!Q488*(Staging!T488*(1+QtyUplift))*(1-MIN(Staging!R488,DiscountCap))</f>
        <v>5675.7682960000002</v>
      </c>
      <c r="J497">
        <f>Staging!P488*(1+CostInflation)*Staging!T488*(1+QtyUplift)</f>
        <v>4510.4655750000002</v>
      </c>
      <c r="K497">
        <f t="shared" si="14"/>
        <v>1165.302721</v>
      </c>
      <c r="L497">
        <v>1406.0094400000007</v>
      </c>
      <c r="M497">
        <f t="shared" si="15"/>
        <v>-828.13663899999938</v>
      </c>
    </row>
    <row r="498" spans="2:13" x14ac:dyDescent="0.3">
      <c r="B498" t="s">
        <v>1075</v>
      </c>
      <c r="C498" t="s">
        <v>75</v>
      </c>
      <c r="D498" t="s">
        <v>30</v>
      </c>
      <c r="E498" t="s">
        <v>52</v>
      </c>
      <c r="F498">
        <v>28856.475000000002</v>
      </c>
      <c r="G498">
        <v>15122.4</v>
      </c>
      <c r="H498">
        <v>13734.075000000003</v>
      </c>
      <c r="I498">
        <f>Staging!Q489*(Staging!T489*(1+QtyUplift))*(1-MIN(Staging!R489,DiscountCap))</f>
        <v>31742.122500000001</v>
      </c>
      <c r="J498">
        <f>Staging!P489*(1+CostInflation)*Staging!T489*(1+QtyUplift)</f>
        <v>21541.858799999998</v>
      </c>
      <c r="K498">
        <f t="shared" si="14"/>
        <v>10200.263700000003</v>
      </c>
      <c r="L498">
        <v>2885.6474999999991</v>
      </c>
      <c r="M498">
        <f t="shared" si="15"/>
        <v>-3533.8112999999994</v>
      </c>
    </row>
    <row r="499" spans="2:13" x14ac:dyDescent="0.3">
      <c r="B499" t="s">
        <v>1077</v>
      </c>
      <c r="C499" t="s">
        <v>95</v>
      </c>
      <c r="D499" t="s">
        <v>30</v>
      </c>
      <c r="E499" t="s">
        <v>78</v>
      </c>
      <c r="F499">
        <v>4025.8565599999993</v>
      </c>
      <c r="G499">
        <v>3219.58</v>
      </c>
      <c r="H499">
        <v>806.27655999999934</v>
      </c>
      <c r="I499">
        <f>Staging!Q490*(Staging!T490*(1+QtyUplift))*(1-MIN(Staging!R490,DiscountCap))</f>
        <v>4428.4422159999995</v>
      </c>
      <c r="J499">
        <f>Staging!P490*(1+CostInflation)*Staging!T490*(1+QtyUplift)</f>
        <v>4586.2917099999995</v>
      </c>
      <c r="K499">
        <f t="shared" si="14"/>
        <v>-157.84949400000005</v>
      </c>
      <c r="L499">
        <v>937.52824000000146</v>
      </c>
      <c r="M499">
        <f t="shared" si="15"/>
        <v>-964.12605399999939</v>
      </c>
    </row>
    <row r="500" spans="2:13" x14ac:dyDescent="0.3">
      <c r="B500" t="s">
        <v>1079</v>
      </c>
      <c r="C500" t="s">
        <v>92</v>
      </c>
      <c r="D500" t="s">
        <v>42</v>
      </c>
      <c r="E500" t="s">
        <v>45</v>
      </c>
      <c r="F500">
        <v>9614.4403999999995</v>
      </c>
      <c r="G500">
        <v>5866</v>
      </c>
      <c r="H500">
        <v>3748.4403999999995</v>
      </c>
      <c r="I500">
        <f>Staging!Q491*(Staging!T491*(1+QtyUplift))*(1-MIN(Staging!R491,DiscountCap))</f>
        <v>10575.88444</v>
      </c>
      <c r="J500">
        <f>Staging!P491*(1+CostInflation)*Staging!T491*(1+QtyUplift)</f>
        <v>8356.1170000000002</v>
      </c>
      <c r="K500">
        <f t="shared" si="14"/>
        <v>2219.7674399999996</v>
      </c>
      <c r="L500">
        <v>1389.3700000000008</v>
      </c>
      <c r="M500">
        <f t="shared" si="15"/>
        <v>-1528.6729599999999</v>
      </c>
    </row>
    <row r="501" spans="2:13" x14ac:dyDescent="0.3">
      <c r="B501" t="s">
        <v>1081</v>
      </c>
      <c r="C501" t="s">
        <v>75</v>
      </c>
      <c r="D501" t="s">
        <v>81</v>
      </c>
      <c r="E501" t="s">
        <v>16</v>
      </c>
      <c r="F501">
        <v>1547.3500000000001</v>
      </c>
      <c r="G501">
        <v>936.1</v>
      </c>
      <c r="H501">
        <v>611.25000000000011</v>
      </c>
      <c r="I501">
        <f>Staging!Q492*(Staging!T492*(1+QtyUplift))*(1-MIN(Staging!R492,DiscountCap))</f>
        <v>1702.085</v>
      </c>
      <c r="J501">
        <f>Staging!P492*(1+CostInflation)*Staging!T492*(1+QtyUplift)</f>
        <v>1333.4744499999999</v>
      </c>
      <c r="K501">
        <f t="shared" si="14"/>
        <v>368.6105500000001</v>
      </c>
      <c r="L501">
        <v>154.7349999999999</v>
      </c>
      <c r="M501">
        <f t="shared" si="15"/>
        <v>-242.63945000000001</v>
      </c>
    </row>
    <row r="502" spans="2:13" x14ac:dyDescent="0.3">
      <c r="B502" t="s">
        <v>1083</v>
      </c>
      <c r="C502" t="s">
        <v>29</v>
      </c>
      <c r="D502" t="s">
        <v>22</v>
      </c>
      <c r="E502" t="s">
        <v>78</v>
      </c>
      <c r="F502">
        <v>6664.0999999999995</v>
      </c>
      <c r="G502">
        <v>2975.8999999999996</v>
      </c>
      <c r="H502">
        <v>3688.2</v>
      </c>
      <c r="I502">
        <f>Staging!Q493*(Staging!T493*(1+QtyUplift))*(1-MIN(Staging!R493,DiscountCap))</f>
        <v>7330.5099999999993</v>
      </c>
      <c r="J502">
        <f>Staging!P493*(1+CostInflation)*Staging!T493*(1+QtyUplift)</f>
        <v>4239.1695499999996</v>
      </c>
      <c r="K502">
        <f t="shared" si="14"/>
        <v>3091.3404499999997</v>
      </c>
      <c r="L502">
        <v>666.40999999999985</v>
      </c>
      <c r="M502">
        <f t="shared" si="15"/>
        <v>-596.85955000000013</v>
      </c>
    </row>
    <row r="503" spans="2:13" x14ac:dyDescent="0.3">
      <c r="B503" t="s">
        <v>1085</v>
      </c>
      <c r="C503" t="s">
        <v>56</v>
      </c>
      <c r="D503" t="s">
        <v>81</v>
      </c>
      <c r="E503" t="s">
        <v>45</v>
      </c>
      <c r="F503">
        <v>7507.4514899999995</v>
      </c>
      <c r="G503">
        <v>9856.99</v>
      </c>
      <c r="H503">
        <v>-2349.5385100000003</v>
      </c>
      <c r="I503">
        <f>Staging!Q494*(Staging!T494*(1+QtyUplift))*(1-MIN(Staging!R494,DiscountCap))</f>
        <v>8258.1966390000016</v>
      </c>
      <c r="J503">
        <f>Staging!P494*(1+CostInflation)*Staging!T494*(1+QtyUplift)</f>
        <v>14041.282255</v>
      </c>
      <c r="K503">
        <f t="shared" si="14"/>
        <v>-5783.0856159999985</v>
      </c>
      <c r="L503">
        <v>750.74514900000213</v>
      </c>
      <c r="M503">
        <f t="shared" si="15"/>
        <v>-3433.5471059999982</v>
      </c>
    </row>
    <row r="504" spans="2:13" x14ac:dyDescent="0.3">
      <c r="B504" t="s">
        <v>1087</v>
      </c>
      <c r="C504" t="s">
        <v>34</v>
      </c>
      <c r="D504" t="s">
        <v>42</v>
      </c>
      <c r="E504" t="s">
        <v>52</v>
      </c>
      <c r="F504">
        <v>110.14919999999999</v>
      </c>
      <c r="G504">
        <v>53.4</v>
      </c>
      <c r="H504">
        <v>56.749199999999995</v>
      </c>
      <c r="I504">
        <f>Staging!Q495*(Staging!T495*(1+QtyUplift))*(1-MIN(Staging!R495,DiscountCap))</f>
        <v>121.16412</v>
      </c>
      <c r="J504">
        <f>Staging!P495*(1+CostInflation)*Staging!T495*(1+QtyUplift)</f>
        <v>76.068299999999994</v>
      </c>
      <c r="K504">
        <f t="shared" si="14"/>
        <v>45.095820000000003</v>
      </c>
      <c r="L504">
        <v>15.481800000000007</v>
      </c>
      <c r="M504">
        <f t="shared" si="15"/>
        <v>-11.653379999999991</v>
      </c>
    </row>
    <row r="505" spans="2:13" x14ac:dyDescent="0.3">
      <c r="B505" t="s">
        <v>1089</v>
      </c>
      <c r="C505" t="s">
        <v>92</v>
      </c>
      <c r="D505" t="s">
        <v>81</v>
      </c>
      <c r="E505" t="s">
        <v>45</v>
      </c>
      <c r="F505">
        <v>11859.695119999998</v>
      </c>
      <c r="G505">
        <v>8835.3799999999992</v>
      </c>
      <c r="H505">
        <v>3024.3151199999993</v>
      </c>
      <c r="I505">
        <f>Staging!Q496*(Staging!T496*(1+QtyUplift))*(1-MIN(Staging!R496,DiscountCap))</f>
        <v>13045.664631999998</v>
      </c>
      <c r="J505">
        <f>Staging!P496*(1+CostInflation)*Staging!T496*(1+QtyUplift)</f>
        <v>12585.998809999999</v>
      </c>
      <c r="K505">
        <f t="shared" si="14"/>
        <v>459.66582199999903</v>
      </c>
      <c r="L505">
        <v>1185.9695119999997</v>
      </c>
      <c r="M505">
        <f t="shared" si="15"/>
        <v>-2564.6492980000003</v>
      </c>
    </row>
    <row r="506" spans="2:13" x14ac:dyDescent="0.3">
      <c r="B506" t="s">
        <v>1091</v>
      </c>
      <c r="C506" t="s">
        <v>145</v>
      </c>
      <c r="D506" t="s">
        <v>64</v>
      </c>
      <c r="E506" t="s">
        <v>52</v>
      </c>
      <c r="F506">
        <v>4682.9519799999998</v>
      </c>
      <c r="G506">
        <v>2469.5300000000002</v>
      </c>
      <c r="H506">
        <v>2213.4219799999996</v>
      </c>
      <c r="I506">
        <f>Staging!Q497*(Staging!T497*(1+QtyUplift))*(1-MIN(Staging!R497,DiscountCap))</f>
        <v>5151.2471780000005</v>
      </c>
      <c r="J506">
        <f>Staging!P497*(1+CostInflation)*Staging!T497*(1+QtyUplift)</f>
        <v>3517.8454850000003</v>
      </c>
      <c r="K506">
        <f t="shared" si="14"/>
        <v>1633.4016930000003</v>
      </c>
      <c r="L506">
        <v>543.79262000000108</v>
      </c>
      <c r="M506">
        <f t="shared" si="15"/>
        <v>-580.02028699999937</v>
      </c>
    </row>
    <row r="507" spans="2:13" x14ac:dyDescent="0.3">
      <c r="B507" t="s">
        <v>1093</v>
      </c>
      <c r="C507" t="s">
        <v>21</v>
      </c>
      <c r="D507" t="s">
        <v>35</v>
      </c>
      <c r="E507" t="s">
        <v>52</v>
      </c>
      <c r="F507">
        <v>30692.47896</v>
      </c>
      <c r="G507">
        <v>15514.32</v>
      </c>
      <c r="H507">
        <v>15178.158960000001</v>
      </c>
      <c r="I507">
        <f>Staging!Q498*(Staging!T498*(1+QtyUplift))*(1-MIN(Staging!R498,DiscountCap))</f>
        <v>33761.726856000008</v>
      </c>
      <c r="J507">
        <f>Staging!P498*(1+CostInflation)*Staging!T498*(1+QtyUplift)</f>
        <v>22100.148840000002</v>
      </c>
      <c r="K507">
        <f t="shared" si="14"/>
        <v>11661.578016000007</v>
      </c>
      <c r="L507">
        <v>4721.9198400000096</v>
      </c>
      <c r="M507">
        <f t="shared" si="15"/>
        <v>-3516.5809439999939</v>
      </c>
    </row>
    <row r="508" spans="2:13" x14ac:dyDescent="0.3">
      <c r="B508" t="s">
        <v>1095</v>
      </c>
      <c r="C508" t="s">
        <v>84</v>
      </c>
      <c r="D508" t="s">
        <v>35</v>
      </c>
      <c r="E508" t="s">
        <v>78</v>
      </c>
      <c r="F508">
        <v>25249.613219999999</v>
      </c>
      <c r="G508">
        <v>30593.159999999996</v>
      </c>
      <c r="H508">
        <v>-5343.5467799999969</v>
      </c>
      <c r="I508">
        <f>Staging!Q499*(Staging!T499*(1+QtyUplift))*(1-MIN(Staging!R499,DiscountCap))</f>
        <v>27774.574541999998</v>
      </c>
      <c r="J508">
        <f>Staging!P499*(1+CostInflation)*Staging!T499*(1+QtyUplift)</f>
        <v>43579.956419999995</v>
      </c>
      <c r="K508">
        <f t="shared" si="14"/>
        <v>-15805.381877999997</v>
      </c>
      <c r="L508">
        <v>2524.9613219999992</v>
      </c>
      <c r="M508">
        <f t="shared" si="15"/>
        <v>-10461.835098</v>
      </c>
    </row>
    <row r="509" spans="2:13" x14ac:dyDescent="0.3">
      <c r="B509" t="s">
        <v>1097</v>
      </c>
      <c r="C509" t="s">
        <v>49</v>
      </c>
      <c r="D509" t="s">
        <v>81</v>
      </c>
      <c r="E509" t="s">
        <v>52</v>
      </c>
      <c r="F509">
        <v>8644.6696000000011</v>
      </c>
      <c r="G509">
        <v>4074.48</v>
      </c>
      <c r="H509">
        <v>4570.1896000000015</v>
      </c>
      <c r="I509">
        <f>Staging!Q500*(Staging!T500*(1+QtyUplift))*(1-MIN(Staging!R500,DiscountCap))</f>
        <v>9509.1365600000008</v>
      </c>
      <c r="J509">
        <f>Staging!P500*(1+CostInflation)*Staging!T500*(1+QtyUplift)</f>
        <v>5804.0967599999994</v>
      </c>
      <c r="K509">
        <f t="shared" si="14"/>
        <v>3705.0398000000014</v>
      </c>
      <c r="L509">
        <v>864.46695999999974</v>
      </c>
      <c r="M509">
        <f t="shared" si="15"/>
        <v>-865.14980000000014</v>
      </c>
    </row>
    <row r="510" spans="2:13" x14ac:dyDescent="0.3">
      <c r="B510" t="s">
        <v>1099</v>
      </c>
      <c r="C510" t="s">
        <v>21</v>
      </c>
      <c r="D510" t="s">
        <v>64</v>
      </c>
      <c r="E510" t="s">
        <v>52</v>
      </c>
      <c r="F510">
        <v>16574.544740000001</v>
      </c>
      <c r="G510">
        <v>8590.14</v>
      </c>
      <c r="H510">
        <v>7984.4047400000018</v>
      </c>
      <c r="I510">
        <f>Staging!Q501*(Staging!T501*(1+QtyUplift))*(1-MIN(Staging!R501,DiscountCap))</f>
        <v>18231.999214000003</v>
      </c>
      <c r="J510">
        <f>Staging!P501*(1+CostInflation)*Staging!T501*(1+QtyUplift)</f>
        <v>12236.654430000001</v>
      </c>
      <c r="K510">
        <f t="shared" si="14"/>
        <v>5995.3447840000026</v>
      </c>
      <c r="L510">
        <v>4408.5745600000009</v>
      </c>
      <c r="M510">
        <f t="shared" si="15"/>
        <v>-1989.0599559999991</v>
      </c>
    </row>
    <row r="511" spans="2:13" x14ac:dyDescent="0.3">
      <c r="B511" t="s">
        <v>1101</v>
      </c>
      <c r="C511" t="s">
        <v>49</v>
      </c>
      <c r="D511" t="s">
        <v>64</v>
      </c>
      <c r="E511" t="s">
        <v>45</v>
      </c>
      <c r="F511">
        <v>20332.775539999999</v>
      </c>
      <c r="G511">
        <v>10458.14</v>
      </c>
      <c r="H511">
        <v>9874.6355399999993</v>
      </c>
      <c r="I511">
        <f>Staging!Q502*(Staging!T502*(1+QtyUplift))*(1-MIN(Staging!R502,DiscountCap))</f>
        <v>22366.053094000003</v>
      </c>
      <c r="J511">
        <f>Staging!P502*(1+CostInflation)*Staging!T502*(1+QtyUplift)</f>
        <v>14897.620430000003</v>
      </c>
      <c r="K511">
        <f t="shared" si="14"/>
        <v>7468.4326639999999</v>
      </c>
      <c r="L511">
        <v>2033.2775540000039</v>
      </c>
      <c r="M511">
        <f t="shared" si="15"/>
        <v>-2406.2028759999994</v>
      </c>
    </row>
    <row r="512" spans="2:13" x14ac:dyDescent="0.3">
      <c r="B512" t="s">
        <v>1103</v>
      </c>
      <c r="C512" t="s">
        <v>126</v>
      </c>
      <c r="D512" t="s">
        <v>42</v>
      </c>
      <c r="E512" t="s">
        <v>78</v>
      </c>
      <c r="F512">
        <v>7428.1108999999988</v>
      </c>
      <c r="G512">
        <v>12327.7</v>
      </c>
      <c r="H512">
        <v>-4899.589100000002</v>
      </c>
      <c r="I512">
        <f>Staging!Q503*(Staging!T503*(1+QtyUplift))*(1-MIN(Staging!R503,DiscountCap))</f>
        <v>8170.9219899999998</v>
      </c>
      <c r="J512">
        <f>Staging!P503*(1+CostInflation)*Staging!T503*(1+QtyUplift)</f>
        <v>17560.808649999999</v>
      </c>
      <c r="K512">
        <f t="shared" si="14"/>
        <v>-9389.8866600000001</v>
      </c>
      <c r="L512">
        <v>1400.0161000000016</v>
      </c>
      <c r="M512">
        <f t="shared" si="15"/>
        <v>-4490.2975599999982</v>
      </c>
    </row>
    <row r="513" spans="2:13" x14ac:dyDescent="0.3">
      <c r="B513" t="s">
        <v>1105</v>
      </c>
      <c r="C513" t="s">
        <v>95</v>
      </c>
      <c r="D513" t="s">
        <v>30</v>
      </c>
      <c r="E513" t="s">
        <v>45</v>
      </c>
      <c r="F513">
        <v>10869.182940000001</v>
      </c>
      <c r="G513">
        <v>5390.77</v>
      </c>
      <c r="H513">
        <v>5478.4129400000002</v>
      </c>
      <c r="I513">
        <f>Staging!Q504*(Staging!T504*(1+QtyUplift))*(1-MIN(Staging!R504,DiscountCap))</f>
        <v>11956.101234000002</v>
      </c>
      <c r="J513">
        <f>Staging!P504*(1+CostInflation)*Staging!T504*(1+QtyUplift)</f>
        <v>7679.1518649999998</v>
      </c>
      <c r="K513">
        <f t="shared" si="14"/>
        <v>4276.9493690000018</v>
      </c>
      <c r="L513">
        <v>1086.918294000001</v>
      </c>
      <c r="M513">
        <f t="shared" si="15"/>
        <v>-1201.4635709999984</v>
      </c>
    </row>
    <row r="514" spans="2:13" x14ac:dyDescent="0.3">
      <c r="B514" t="s">
        <v>1107</v>
      </c>
      <c r="C514" t="s">
        <v>41</v>
      </c>
      <c r="D514" t="s">
        <v>35</v>
      </c>
      <c r="E514" t="s">
        <v>45</v>
      </c>
      <c r="F514">
        <v>8637.1874499999994</v>
      </c>
      <c r="G514">
        <v>5665.15</v>
      </c>
      <c r="H514">
        <v>2972.0374499999998</v>
      </c>
      <c r="I514">
        <f>Staging!Q505*(Staging!T505*(1+QtyUplift))*(1-MIN(Staging!R505,DiscountCap))</f>
        <v>9500.9061950000014</v>
      </c>
      <c r="J514">
        <f>Staging!P505*(1+CostInflation)*Staging!T505*(1+QtyUplift)</f>
        <v>8070.0061749999995</v>
      </c>
      <c r="K514">
        <f t="shared" si="14"/>
        <v>1430.9000200000019</v>
      </c>
      <c r="L514">
        <v>874.28705000000082</v>
      </c>
      <c r="M514">
        <f t="shared" si="15"/>
        <v>-1541.1374299999979</v>
      </c>
    </row>
    <row r="515" spans="2:13" x14ac:dyDescent="0.3">
      <c r="B515" t="s">
        <v>1109</v>
      </c>
      <c r="C515" t="s">
        <v>84</v>
      </c>
      <c r="D515" t="s">
        <v>35</v>
      </c>
      <c r="E515" t="s">
        <v>52</v>
      </c>
      <c r="F515">
        <v>10189.8891</v>
      </c>
      <c r="G515">
        <v>8970.57</v>
      </c>
      <c r="H515">
        <v>1219.3191000000006</v>
      </c>
      <c r="I515">
        <f>Staging!Q506*(Staging!T506*(1+QtyUplift))*(1-MIN(Staging!R506,DiscountCap))</f>
        <v>11208.87801</v>
      </c>
      <c r="J515">
        <f>Staging!P506*(1+CostInflation)*Staging!T506*(1+QtyUplift)</f>
        <v>12778.576965</v>
      </c>
      <c r="K515">
        <f t="shared" si="14"/>
        <v>-1569.6989549999998</v>
      </c>
      <c r="L515">
        <v>1018.98891</v>
      </c>
      <c r="M515">
        <f t="shared" si="15"/>
        <v>-2789.0180550000005</v>
      </c>
    </row>
    <row r="516" spans="2:13" x14ac:dyDescent="0.3">
      <c r="B516" t="s">
        <v>1111</v>
      </c>
      <c r="C516" t="s">
        <v>95</v>
      </c>
      <c r="D516" t="s">
        <v>22</v>
      </c>
      <c r="E516" t="s">
        <v>16</v>
      </c>
      <c r="F516">
        <v>32335.21802</v>
      </c>
      <c r="G516">
        <v>15012.66</v>
      </c>
      <c r="H516">
        <v>17322.55802</v>
      </c>
      <c r="I516">
        <f>Staging!Q507*(Staging!T507*(1+QtyUplift))*(1-MIN(Staging!R507,DiscountCap))</f>
        <v>35568.739822000003</v>
      </c>
      <c r="J516">
        <f>Staging!P507*(1+CostInflation)*Staging!T507*(1+QtyUplift)</f>
        <v>21385.534169999999</v>
      </c>
      <c r="K516">
        <f t="shared" si="14"/>
        <v>14183.205652000004</v>
      </c>
      <c r="L516">
        <v>4166.3393799999976</v>
      </c>
      <c r="M516">
        <f t="shared" si="15"/>
        <v>-3139.3523679999962</v>
      </c>
    </row>
    <row r="517" spans="2:13" x14ac:dyDescent="0.3">
      <c r="B517" t="s">
        <v>1113</v>
      </c>
      <c r="C517" t="s">
        <v>126</v>
      </c>
      <c r="D517" t="s">
        <v>42</v>
      </c>
      <c r="E517" t="s">
        <v>52</v>
      </c>
      <c r="F517">
        <v>34800.431400000001</v>
      </c>
      <c r="G517">
        <v>26103.279999999999</v>
      </c>
      <c r="H517">
        <v>8697.1514000000025</v>
      </c>
      <c r="I517">
        <f>Staging!Q508*(Staging!T508*(1+QtyUplift))*(1-MIN(Staging!R508,DiscountCap))</f>
        <v>38280.47454000001</v>
      </c>
      <c r="J517">
        <f>Staging!P508*(1+CostInflation)*Staging!T508*(1+QtyUplift)</f>
        <v>37184.122360000001</v>
      </c>
      <c r="K517">
        <f t="shared" si="14"/>
        <v>1096.352180000009</v>
      </c>
      <c r="L517">
        <v>10235.421000000009</v>
      </c>
      <c r="M517">
        <f t="shared" si="15"/>
        <v>-7600.7992199999935</v>
      </c>
    </row>
    <row r="518" spans="2:13" x14ac:dyDescent="0.3">
      <c r="B518" t="s">
        <v>1115</v>
      </c>
      <c r="C518" t="s">
        <v>34</v>
      </c>
      <c r="D518" t="s">
        <v>35</v>
      </c>
      <c r="E518" t="s">
        <v>45</v>
      </c>
      <c r="F518">
        <v>15323.926799999999</v>
      </c>
      <c r="G518">
        <v>7990.62</v>
      </c>
      <c r="H518">
        <v>7333.3067999999994</v>
      </c>
      <c r="I518">
        <f>Staging!Q509*(Staging!T509*(1+QtyUplift))*(1-MIN(Staging!R509,DiscountCap))</f>
        <v>16856.319480000002</v>
      </c>
      <c r="J518">
        <f>Staging!P509*(1+CostInflation)*Staging!T509*(1+QtyUplift)</f>
        <v>11382.638190000001</v>
      </c>
      <c r="K518">
        <f t="shared" si="14"/>
        <v>5473.6812900000004</v>
      </c>
      <c r="L518">
        <v>1532.3926800000027</v>
      </c>
      <c r="M518">
        <f t="shared" si="15"/>
        <v>-1859.6255099999989</v>
      </c>
    </row>
    <row r="519" spans="2:13" x14ac:dyDescent="0.3">
      <c r="B519" t="s">
        <v>1117</v>
      </c>
      <c r="C519" t="s">
        <v>75</v>
      </c>
      <c r="D519" t="s">
        <v>57</v>
      </c>
      <c r="E519" t="s">
        <v>78</v>
      </c>
      <c r="F519">
        <v>3921.1744000000008</v>
      </c>
      <c r="G519">
        <v>2270.2000000000003</v>
      </c>
      <c r="H519">
        <v>1650.9744000000005</v>
      </c>
      <c r="I519">
        <f>Staging!Q510*(Staging!T510*(1+QtyUplift))*(1-MIN(Staging!R510,DiscountCap))</f>
        <v>4313.2918399999999</v>
      </c>
      <c r="J519">
        <f>Staging!P510*(1+CostInflation)*Staging!T510*(1+QtyUplift)</f>
        <v>3233.8999000000003</v>
      </c>
      <c r="K519">
        <f t="shared" si="14"/>
        <v>1079.3919399999995</v>
      </c>
      <c r="L519">
        <v>392.11743999999908</v>
      </c>
      <c r="M519">
        <f t="shared" si="15"/>
        <v>-571.58246000000099</v>
      </c>
    </row>
    <row r="520" spans="2:13" x14ac:dyDescent="0.3">
      <c r="B520" t="s">
        <v>1119</v>
      </c>
      <c r="C520" t="s">
        <v>92</v>
      </c>
      <c r="D520" t="s">
        <v>57</v>
      </c>
      <c r="E520" t="s">
        <v>45</v>
      </c>
      <c r="F520">
        <v>8297.4286000000011</v>
      </c>
      <c r="G520">
        <v>4517.05</v>
      </c>
      <c r="H520">
        <v>3780.3786000000009</v>
      </c>
      <c r="I520">
        <f>Staging!Q511*(Staging!T511*(1+QtyUplift))*(1-MIN(Staging!R511,DiscountCap))</f>
        <v>9127.1714600000014</v>
      </c>
      <c r="J520">
        <f>Staging!P511*(1+CostInflation)*Staging!T511*(1+QtyUplift)</f>
        <v>6434.5377249999992</v>
      </c>
      <c r="K520">
        <f t="shared" si="14"/>
        <v>2692.6337350000022</v>
      </c>
      <c r="L520">
        <v>911.60089999999946</v>
      </c>
      <c r="M520">
        <f t="shared" si="15"/>
        <v>-1087.7448649999988</v>
      </c>
    </row>
    <row r="521" spans="2:13" x14ac:dyDescent="0.3">
      <c r="B521" t="s">
        <v>1121</v>
      </c>
      <c r="C521" t="s">
        <v>21</v>
      </c>
      <c r="D521" t="s">
        <v>64</v>
      </c>
      <c r="E521" t="s">
        <v>45</v>
      </c>
      <c r="F521">
        <v>9232.2830599999998</v>
      </c>
      <c r="G521">
        <v>8716.4</v>
      </c>
      <c r="H521">
        <v>515.88306000000011</v>
      </c>
      <c r="I521">
        <f>Staging!Q512*(Staging!T512*(1+QtyUplift))*(1-MIN(Staging!R512,DiscountCap))</f>
        <v>10155.511366000002</v>
      </c>
      <c r="J521">
        <f>Staging!P512*(1+CostInflation)*Staging!T512*(1+QtyUplift)</f>
        <v>12416.5118</v>
      </c>
      <c r="K521">
        <f t="shared" si="14"/>
        <v>-2261.0004339999978</v>
      </c>
      <c r="L521">
        <v>2322.6603400000022</v>
      </c>
      <c r="M521">
        <f t="shared" si="15"/>
        <v>-2776.8834939999979</v>
      </c>
    </row>
    <row r="522" spans="2:13" x14ac:dyDescent="0.3">
      <c r="B522" t="s">
        <v>1123</v>
      </c>
      <c r="C522" t="s">
        <v>84</v>
      </c>
      <c r="D522" t="s">
        <v>22</v>
      </c>
      <c r="E522" t="s">
        <v>52</v>
      </c>
      <c r="F522">
        <v>3525.5505600000001</v>
      </c>
      <c r="G522">
        <v>2700.12</v>
      </c>
      <c r="H522">
        <v>825.43056000000024</v>
      </c>
      <c r="I522">
        <f>Staging!Q513*(Staging!T513*(1+QtyUplift))*(1-MIN(Staging!R513,DiscountCap))</f>
        <v>3878.1056160000007</v>
      </c>
      <c r="J522">
        <f>Staging!P513*(1+CostInflation)*Staging!T513*(1+QtyUplift)</f>
        <v>3846.3209400000001</v>
      </c>
      <c r="K522">
        <f t="shared" si="14"/>
        <v>31.784676000000673</v>
      </c>
      <c r="L522">
        <v>436.19184000000041</v>
      </c>
      <c r="M522">
        <f t="shared" si="15"/>
        <v>-793.64588399999957</v>
      </c>
    </row>
    <row r="523" spans="2:13" x14ac:dyDescent="0.3">
      <c r="B523" t="s">
        <v>1125</v>
      </c>
      <c r="C523" t="s">
        <v>49</v>
      </c>
      <c r="D523" t="s">
        <v>22</v>
      </c>
      <c r="E523" t="s">
        <v>78</v>
      </c>
      <c r="F523">
        <v>50296.415399999998</v>
      </c>
      <c r="G523">
        <v>45852.18</v>
      </c>
      <c r="H523">
        <v>4444.2353999999978</v>
      </c>
      <c r="I523">
        <f>Staging!Q514*(Staging!T514*(1+QtyUplift))*(1-MIN(Staging!R514,DiscountCap))</f>
        <v>55326.056940000002</v>
      </c>
      <c r="J523">
        <f>Staging!P514*(1+CostInflation)*Staging!T514*(1+QtyUplift)</f>
        <v>65316.430410000008</v>
      </c>
      <c r="K523">
        <f t="shared" si="14"/>
        <v>-9990.3734700000059</v>
      </c>
      <c r="L523">
        <v>8009.7336000000068</v>
      </c>
      <c r="M523">
        <f t="shared" si="15"/>
        <v>-14434.608870000004</v>
      </c>
    </row>
    <row r="524" spans="2:13" x14ac:dyDescent="0.3">
      <c r="B524" t="s">
        <v>1127</v>
      </c>
      <c r="C524" t="s">
        <v>75</v>
      </c>
      <c r="D524" t="s">
        <v>42</v>
      </c>
      <c r="E524" t="s">
        <v>78</v>
      </c>
      <c r="F524">
        <v>5189.8836000000001</v>
      </c>
      <c r="G524">
        <v>4020.85</v>
      </c>
      <c r="H524">
        <v>1169.0336000000002</v>
      </c>
      <c r="I524">
        <f>Staging!Q515*(Staging!T515*(1+QtyUplift))*(1-MIN(Staging!R515,DiscountCap))</f>
        <v>5708.8719599999995</v>
      </c>
      <c r="J524">
        <f>Staging!P515*(1+CostInflation)*Staging!T515*(1+QtyUplift)</f>
        <v>5727.7008249999999</v>
      </c>
      <c r="K524">
        <f t="shared" ref="K524:K587" si="16">I524-J524</f>
        <v>-18.828865000000405</v>
      </c>
      <c r="L524">
        <v>518.98835999999937</v>
      </c>
      <c r="M524">
        <f t="shared" ref="M524:M587" si="17">K524-H524</f>
        <v>-1187.8624650000006</v>
      </c>
    </row>
    <row r="525" spans="2:13" x14ac:dyDescent="0.3">
      <c r="B525" t="s">
        <v>1129</v>
      </c>
      <c r="C525" t="s">
        <v>34</v>
      </c>
      <c r="D525" t="s">
        <v>22</v>
      </c>
      <c r="E525" t="s">
        <v>45</v>
      </c>
      <c r="F525">
        <v>33308.550000000003</v>
      </c>
      <c r="G525">
        <v>15711.63</v>
      </c>
      <c r="H525">
        <v>17596.920000000006</v>
      </c>
      <c r="I525">
        <f>Staging!Q516*(Staging!T516*(1+QtyUplift))*(1-MIN(Staging!R516,DiscountCap))</f>
        <v>36639.405000000006</v>
      </c>
      <c r="J525">
        <f>Staging!P516*(1+CostInflation)*Staging!T516*(1+QtyUplift)</f>
        <v>22381.216935</v>
      </c>
      <c r="K525">
        <f t="shared" si="16"/>
        <v>14258.188065000006</v>
      </c>
      <c r="L525">
        <v>3330.8550000000032</v>
      </c>
      <c r="M525">
        <f t="shared" si="17"/>
        <v>-3338.7319349999998</v>
      </c>
    </row>
    <row r="526" spans="2:13" x14ac:dyDescent="0.3">
      <c r="B526" t="s">
        <v>1131</v>
      </c>
      <c r="C526" t="s">
        <v>126</v>
      </c>
      <c r="D526" t="s">
        <v>57</v>
      </c>
      <c r="E526" t="s">
        <v>45</v>
      </c>
      <c r="F526">
        <v>10859.64</v>
      </c>
      <c r="G526">
        <v>7023.94</v>
      </c>
      <c r="H526">
        <v>3835.7</v>
      </c>
      <c r="I526">
        <f>Staging!Q517*(Staging!T517*(1+QtyUplift))*(1-MIN(Staging!R517,DiscountCap))</f>
        <v>11945.604000000001</v>
      </c>
      <c r="J526">
        <f>Staging!P517*(1+CostInflation)*Staging!T517*(1+QtyUplift)</f>
        <v>10005.602529999998</v>
      </c>
      <c r="K526">
        <f t="shared" si="16"/>
        <v>1940.0014700000029</v>
      </c>
      <c r="L526">
        <v>1085.9640000000018</v>
      </c>
      <c r="M526">
        <f t="shared" si="17"/>
        <v>-1895.6985299999969</v>
      </c>
    </row>
    <row r="527" spans="2:13" x14ac:dyDescent="0.3">
      <c r="B527" t="s">
        <v>1133</v>
      </c>
      <c r="C527" t="s">
        <v>145</v>
      </c>
      <c r="D527" t="s">
        <v>30</v>
      </c>
      <c r="E527" t="s">
        <v>45</v>
      </c>
      <c r="F527">
        <v>22201.762229999997</v>
      </c>
      <c r="G527">
        <v>17526.509999999998</v>
      </c>
      <c r="H527">
        <v>4675.2522299999982</v>
      </c>
      <c r="I527">
        <f>Staging!Q518*(Staging!T518*(1+QtyUplift))*(1-MIN(Staging!R518,DiscountCap))</f>
        <v>24421.938452999999</v>
      </c>
      <c r="J527">
        <f>Staging!P518*(1+CostInflation)*Staging!T518*(1+QtyUplift)</f>
        <v>24966.513494999999</v>
      </c>
      <c r="K527">
        <f t="shared" si="16"/>
        <v>-544.57504200000039</v>
      </c>
      <c r="L527">
        <v>3871.4816700000047</v>
      </c>
      <c r="M527">
        <f t="shared" si="17"/>
        <v>-5219.8272719999986</v>
      </c>
    </row>
    <row r="528" spans="2:13" x14ac:dyDescent="0.3">
      <c r="B528" t="s">
        <v>1135</v>
      </c>
      <c r="C528" t="s">
        <v>84</v>
      </c>
      <c r="D528" t="s">
        <v>81</v>
      </c>
      <c r="E528" t="s">
        <v>16</v>
      </c>
      <c r="F528">
        <v>1010.3759200000001</v>
      </c>
      <c r="G528">
        <v>531.20000000000005</v>
      </c>
      <c r="H528">
        <v>479.17592000000002</v>
      </c>
      <c r="I528">
        <f>Staging!Q519*(Staging!T519*(1+QtyUplift))*(1-MIN(Staging!R519,DiscountCap))</f>
        <v>1111.4135120000001</v>
      </c>
      <c r="J528">
        <f>Staging!P519*(1+CostInflation)*Staging!T519*(1+QtyUplift)</f>
        <v>756.69440000000009</v>
      </c>
      <c r="K528">
        <f t="shared" si="16"/>
        <v>354.719112</v>
      </c>
      <c r="L528">
        <v>109.74968000000001</v>
      </c>
      <c r="M528">
        <f t="shared" si="17"/>
        <v>-124.45680800000002</v>
      </c>
    </row>
    <row r="529" spans="2:13" x14ac:dyDescent="0.3">
      <c r="B529" t="s">
        <v>1137</v>
      </c>
      <c r="C529" t="s">
        <v>56</v>
      </c>
      <c r="D529" t="s">
        <v>35</v>
      </c>
      <c r="E529" t="s">
        <v>78</v>
      </c>
      <c r="F529">
        <v>9807.7842799999999</v>
      </c>
      <c r="G529">
        <v>6514.97</v>
      </c>
      <c r="H529">
        <v>3292.8142799999996</v>
      </c>
      <c r="I529">
        <f>Staging!Q520*(Staging!T520*(1+QtyUplift))*(1-MIN(Staging!R520,DiscountCap))</f>
        <v>10788.562708000001</v>
      </c>
      <c r="J529">
        <f>Staging!P520*(1+CostInflation)*Staging!T520*(1+QtyUplift)</f>
        <v>9280.5747650000012</v>
      </c>
      <c r="K529">
        <f t="shared" si="16"/>
        <v>1507.9879430000001</v>
      </c>
      <c r="L529">
        <v>1456.376320000003</v>
      </c>
      <c r="M529">
        <f t="shared" si="17"/>
        <v>-1784.8263369999995</v>
      </c>
    </row>
    <row r="530" spans="2:13" x14ac:dyDescent="0.3">
      <c r="B530" t="s">
        <v>1139</v>
      </c>
      <c r="C530" t="s">
        <v>84</v>
      </c>
      <c r="D530" t="s">
        <v>22</v>
      </c>
      <c r="E530" t="s">
        <v>16</v>
      </c>
      <c r="F530">
        <v>855.72881999999993</v>
      </c>
      <c r="G530">
        <v>983.91000000000008</v>
      </c>
      <c r="H530">
        <v>-128.18118000000015</v>
      </c>
      <c r="I530">
        <f>Staging!Q521*(Staging!T521*(1+QtyUplift))*(1-MIN(Staging!R521,DiscountCap))</f>
        <v>941.30170199999998</v>
      </c>
      <c r="J530">
        <f>Staging!P521*(1+CostInflation)*Staging!T521*(1+QtyUplift)</f>
        <v>1401.5797950000001</v>
      </c>
      <c r="K530">
        <f t="shared" si="16"/>
        <v>-460.27809300000013</v>
      </c>
      <c r="L530">
        <v>85.57288200000005</v>
      </c>
      <c r="M530">
        <f t="shared" si="17"/>
        <v>-332.09691299999997</v>
      </c>
    </row>
    <row r="531" spans="2:13" x14ac:dyDescent="0.3">
      <c r="B531" t="s">
        <v>1141</v>
      </c>
      <c r="C531" t="s">
        <v>29</v>
      </c>
      <c r="D531" t="s">
        <v>22</v>
      </c>
      <c r="E531" t="s">
        <v>78</v>
      </c>
      <c r="F531">
        <v>7399.4832000000006</v>
      </c>
      <c r="G531">
        <v>6374.2800000000007</v>
      </c>
      <c r="H531">
        <v>1025.2031999999999</v>
      </c>
      <c r="I531">
        <f>Staging!Q522*(Staging!T522*(1+QtyUplift))*(1-MIN(Staging!R522,DiscountCap))</f>
        <v>8139.431520000001</v>
      </c>
      <c r="J531">
        <f>Staging!P522*(1+CostInflation)*Staging!T522*(1+QtyUplift)</f>
        <v>9080.161860000002</v>
      </c>
      <c r="K531">
        <f t="shared" si="16"/>
        <v>-940.73034000000098</v>
      </c>
      <c r="L531">
        <v>1534.0391999999993</v>
      </c>
      <c r="M531">
        <f t="shared" si="17"/>
        <v>-1965.9335400000009</v>
      </c>
    </row>
    <row r="532" spans="2:13" x14ac:dyDescent="0.3">
      <c r="B532" t="s">
        <v>1143</v>
      </c>
      <c r="C532" t="s">
        <v>110</v>
      </c>
      <c r="D532" t="s">
        <v>57</v>
      </c>
      <c r="E532" t="s">
        <v>45</v>
      </c>
      <c r="F532">
        <v>64192.976999999999</v>
      </c>
      <c r="G532">
        <v>29581.68</v>
      </c>
      <c r="H532">
        <v>34611.296999999999</v>
      </c>
      <c r="I532">
        <f>Staging!Q523*(Staging!T523*(1+QtyUplift))*(1-MIN(Staging!R523,DiscountCap))</f>
        <v>70612.274699999994</v>
      </c>
      <c r="J532">
        <f>Staging!P523*(1+CostInflation)*Staging!T523*(1+QtyUplift)</f>
        <v>42139.103160000006</v>
      </c>
      <c r="K532">
        <f t="shared" si="16"/>
        <v>28473.171539999988</v>
      </c>
      <c r="L532">
        <v>6419.2976999999955</v>
      </c>
      <c r="M532">
        <f t="shared" si="17"/>
        <v>-6138.1254600000102</v>
      </c>
    </row>
    <row r="533" spans="2:13" x14ac:dyDescent="0.3">
      <c r="B533" t="s">
        <v>1145</v>
      </c>
      <c r="C533" t="s">
        <v>145</v>
      </c>
      <c r="D533" t="s">
        <v>81</v>
      </c>
      <c r="E533" t="s">
        <v>45</v>
      </c>
      <c r="F533">
        <v>22526.66</v>
      </c>
      <c r="G533">
        <v>17212.97</v>
      </c>
      <c r="H533">
        <v>5313.6899999999987</v>
      </c>
      <c r="I533">
        <f>Staging!Q524*(Staging!T524*(1+QtyUplift))*(1-MIN(Staging!R524,DiscountCap))</f>
        <v>24779.326000000001</v>
      </c>
      <c r="J533">
        <f>Staging!P524*(1+CostInflation)*Staging!T524*(1+QtyUplift)</f>
        <v>24519.875765000001</v>
      </c>
      <c r="K533">
        <f t="shared" si="16"/>
        <v>259.45023500000025</v>
      </c>
      <c r="L533">
        <v>2252.6660000000011</v>
      </c>
      <c r="M533">
        <f t="shared" si="17"/>
        <v>-5054.2397649999984</v>
      </c>
    </row>
    <row r="534" spans="2:13" x14ac:dyDescent="0.3">
      <c r="B534" t="s">
        <v>1147</v>
      </c>
      <c r="C534" t="s">
        <v>126</v>
      </c>
      <c r="D534" t="s">
        <v>64</v>
      </c>
      <c r="E534" t="s">
        <v>16</v>
      </c>
      <c r="F534">
        <v>16121.273400000002</v>
      </c>
      <c r="G534">
        <v>7699.65</v>
      </c>
      <c r="H534">
        <v>8421.6234000000022</v>
      </c>
      <c r="I534">
        <f>Staging!Q525*(Staging!T525*(1+QtyUplift))*(1-MIN(Staging!R525,DiscountCap))</f>
        <v>17733.400740000001</v>
      </c>
      <c r="J534">
        <f>Staging!P525*(1+CostInflation)*Staging!T525*(1+QtyUplift)</f>
        <v>10968.151424999998</v>
      </c>
      <c r="K534">
        <f t="shared" si="16"/>
        <v>6765.2493150000028</v>
      </c>
      <c r="L534">
        <v>1612.1273399999991</v>
      </c>
      <c r="M534">
        <f t="shared" si="17"/>
        <v>-1656.3740849999995</v>
      </c>
    </row>
    <row r="535" spans="2:13" x14ac:dyDescent="0.3">
      <c r="B535" t="s">
        <v>1149</v>
      </c>
      <c r="C535" t="s">
        <v>63</v>
      </c>
      <c r="D535" t="s">
        <v>22</v>
      </c>
      <c r="E535" t="s">
        <v>52</v>
      </c>
      <c r="F535">
        <v>6435.2555999999995</v>
      </c>
      <c r="G535">
        <v>4245.4799999999996</v>
      </c>
      <c r="H535">
        <v>2189.7755999999999</v>
      </c>
      <c r="I535">
        <f>Staging!Q526*(Staging!T526*(1+QtyUplift))*(1-MIN(Staging!R526,DiscountCap))</f>
        <v>7078.7811599999995</v>
      </c>
      <c r="J535">
        <f>Staging!P526*(1+CostInflation)*Staging!T526*(1+QtyUplift)</f>
        <v>6047.6862599999995</v>
      </c>
      <c r="K535">
        <f t="shared" si="16"/>
        <v>1031.0949000000001</v>
      </c>
      <c r="L535">
        <v>1240.5312000000004</v>
      </c>
      <c r="M535">
        <f t="shared" si="17"/>
        <v>-1158.6806999999999</v>
      </c>
    </row>
    <row r="536" spans="2:13" x14ac:dyDescent="0.3">
      <c r="B536" t="s">
        <v>1151</v>
      </c>
      <c r="C536" t="s">
        <v>145</v>
      </c>
      <c r="D536" t="s">
        <v>30</v>
      </c>
      <c r="E536" t="s">
        <v>16</v>
      </c>
      <c r="F536">
        <v>8326.6852500000005</v>
      </c>
      <c r="G536">
        <v>5216.9000000000005</v>
      </c>
      <c r="H536">
        <v>3109.7852499999999</v>
      </c>
      <c r="I536">
        <f>Staging!Q527*(Staging!T527*(1+QtyUplift))*(1-MIN(Staging!R527,DiscountCap))</f>
        <v>9159.3537750000014</v>
      </c>
      <c r="J536">
        <f>Staging!P527*(1+CostInflation)*Staging!T527*(1+QtyUplift)</f>
        <v>7431.4740499999998</v>
      </c>
      <c r="K536">
        <f t="shared" si="16"/>
        <v>1727.8797250000016</v>
      </c>
      <c r="L536">
        <v>2309.9836500000001</v>
      </c>
      <c r="M536">
        <f t="shared" si="17"/>
        <v>-1381.9055249999983</v>
      </c>
    </row>
    <row r="537" spans="2:13" x14ac:dyDescent="0.3">
      <c r="B537" t="s">
        <v>1153</v>
      </c>
      <c r="C537" t="s">
        <v>21</v>
      </c>
      <c r="D537" t="s">
        <v>30</v>
      </c>
      <c r="E537" t="s">
        <v>16</v>
      </c>
      <c r="F537">
        <v>2146.5580500000001</v>
      </c>
      <c r="G537">
        <v>1904.2800000000002</v>
      </c>
      <c r="H537">
        <v>242.27804999999989</v>
      </c>
      <c r="I537">
        <f>Staging!Q528*(Staging!T528*(1+QtyUplift))*(1-MIN(Staging!R528,DiscountCap))</f>
        <v>2361.2138550000004</v>
      </c>
      <c r="J537">
        <f>Staging!P528*(1+CostInflation)*Staging!T528*(1+QtyUplift)</f>
        <v>2712.6468599999998</v>
      </c>
      <c r="K537">
        <f t="shared" si="16"/>
        <v>-351.43300499999941</v>
      </c>
      <c r="L537">
        <v>310.19625000000042</v>
      </c>
      <c r="M537">
        <f t="shared" si="17"/>
        <v>-593.71105499999931</v>
      </c>
    </row>
    <row r="538" spans="2:13" x14ac:dyDescent="0.3">
      <c r="B538" t="s">
        <v>1155</v>
      </c>
      <c r="C538" t="s">
        <v>110</v>
      </c>
      <c r="D538" t="s">
        <v>30</v>
      </c>
      <c r="E538" t="s">
        <v>45</v>
      </c>
      <c r="F538">
        <v>11406.96</v>
      </c>
      <c r="G538">
        <v>8664.7199999999993</v>
      </c>
      <c r="H538">
        <v>2742.24</v>
      </c>
      <c r="I538">
        <f>Staging!Q529*(Staging!T529*(1+QtyUplift))*(1-MIN(Staging!R529,DiscountCap))</f>
        <v>12547.656000000001</v>
      </c>
      <c r="J538">
        <f>Staging!P529*(1+CostInflation)*Staging!T529*(1+QtyUplift)</f>
        <v>12342.89364</v>
      </c>
      <c r="K538">
        <f t="shared" si="16"/>
        <v>204.76236000000063</v>
      </c>
      <c r="L538">
        <v>1140.6960000000017</v>
      </c>
      <c r="M538">
        <f t="shared" si="17"/>
        <v>-2537.4776399999992</v>
      </c>
    </row>
    <row r="539" spans="2:13" x14ac:dyDescent="0.3">
      <c r="B539" t="s">
        <v>1157</v>
      </c>
      <c r="C539" t="s">
        <v>145</v>
      </c>
      <c r="D539" t="s">
        <v>57</v>
      </c>
      <c r="E539" t="s">
        <v>16</v>
      </c>
      <c r="F539">
        <v>58526.83122</v>
      </c>
      <c r="G539">
        <v>47140.86</v>
      </c>
      <c r="H539">
        <v>11385.971219999999</v>
      </c>
      <c r="I539">
        <f>Staging!Q530*(Staging!T530*(1+QtyUplift))*(1-MIN(Staging!R530,DiscountCap))</f>
        <v>64379.514342000009</v>
      </c>
      <c r="J539">
        <f>Staging!P530*(1+CostInflation)*Staging!T530*(1+QtyUplift)</f>
        <v>67152.155070000008</v>
      </c>
      <c r="K539">
        <f t="shared" si="16"/>
        <v>-2772.6407279999985</v>
      </c>
      <c r="L539">
        <v>5852.6831220000095</v>
      </c>
      <c r="M539">
        <f t="shared" si="17"/>
        <v>-14158.611947999998</v>
      </c>
    </row>
    <row r="540" spans="2:13" x14ac:dyDescent="0.3">
      <c r="B540" t="s">
        <v>1159</v>
      </c>
      <c r="C540" t="s">
        <v>110</v>
      </c>
      <c r="D540" t="s">
        <v>30</v>
      </c>
      <c r="E540" t="s">
        <v>16</v>
      </c>
      <c r="F540">
        <v>33421.1</v>
      </c>
      <c r="G540">
        <v>13996.400000000001</v>
      </c>
      <c r="H540">
        <v>19424.699999999997</v>
      </c>
      <c r="I540">
        <f>Staging!Q531*(Staging!T531*(1+QtyUplift))*(1-MIN(Staging!R531,DiscountCap))</f>
        <v>36763.21</v>
      </c>
      <c r="J540">
        <f>Staging!P531*(1+CostInflation)*Staging!T531*(1+QtyUplift)</f>
        <v>19937.871800000001</v>
      </c>
      <c r="K540">
        <f t="shared" si="16"/>
        <v>16825.338199999998</v>
      </c>
      <c r="L540">
        <v>3342.1100000000006</v>
      </c>
      <c r="M540">
        <f t="shared" si="17"/>
        <v>-2599.3617999999988</v>
      </c>
    </row>
    <row r="541" spans="2:13" x14ac:dyDescent="0.3">
      <c r="B541" t="s">
        <v>1161</v>
      </c>
      <c r="C541" t="s">
        <v>34</v>
      </c>
      <c r="D541" t="s">
        <v>35</v>
      </c>
      <c r="E541" t="s">
        <v>45</v>
      </c>
      <c r="F541">
        <v>9262.0686600000008</v>
      </c>
      <c r="G541">
        <v>8434.44</v>
      </c>
      <c r="H541">
        <v>827.62866000000031</v>
      </c>
      <c r="I541">
        <f>Staging!Q532*(Staging!T532*(1+QtyUplift))*(1-MIN(Staging!R532,DiscountCap))</f>
        <v>10188.275525999999</v>
      </c>
      <c r="J541">
        <f>Staging!P532*(1+CostInflation)*Staging!T532*(1+QtyUplift)</f>
        <v>12014.859779999999</v>
      </c>
      <c r="K541">
        <f t="shared" si="16"/>
        <v>-1826.5842539999994</v>
      </c>
      <c r="L541">
        <v>926.20686599999863</v>
      </c>
      <c r="M541">
        <f t="shared" si="17"/>
        <v>-2654.2129139999997</v>
      </c>
    </row>
    <row r="542" spans="2:13" x14ac:dyDescent="0.3">
      <c r="B542" t="s">
        <v>1163</v>
      </c>
      <c r="C542" t="s">
        <v>34</v>
      </c>
      <c r="D542" t="s">
        <v>42</v>
      </c>
      <c r="E542" t="s">
        <v>78</v>
      </c>
      <c r="F542">
        <v>618.19979999999987</v>
      </c>
      <c r="G542">
        <v>584.85</v>
      </c>
      <c r="H542">
        <v>33.349799999999846</v>
      </c>
      <c r="I542">
        <f>Staging!Q533*(Staging!T533*(1+QtyUplift))*(1-MIN(Staging!R533,DiscountCap))</f>
        <v>680.01977999999997</v>
      </c>
      <c r="J542">
        <f>Staging!P533*(1+CostInflation)*Staging!T533*(1+QtyUplift)</f>
        <v>833.11882500000002</v>
      </c>
      <c r="K542">
        <f t="shared" si="16"/>
        <v>-153.09904500000005</v>
      </c>
      <c r="L542">
        <v>78.859200000000101</v>
      </c>
      <c r="M542">
        <f t="shared" si="17"/>
        <v>-186.44884499999989</v>
      </c>
    </row>
    <row r="543" spans="2:13" x14ac:dyDescent="0.3">
      <c r="B543" t="s">
        <v>1165</v>
      </c>
      <c r="C543" t="s">
        <v>95</v>
      </c>
      <c r="D543" t="s">
        <v>64</v>
      </c>
      <c r="E543" t="s">
        <v>78</v>
      </c>
      <c r="F543">
        <v>534.57695999999999</v>
      </c>
      <c r="G543">
        <v>535.59</v>
      </c>
      <c r="H543">
        <v>-1.0130400000000463</v>
      </c>
      <c r="I543">
        <f>Staging!Q534*(Staging!T534*(1+QtyUplift))*(1-MIN(Staging!R534,DiscountCap))</f>
        <v>588.03465600000015</v>
      </c>
      <c r="J543">
        <f>Staging!P534*(1+CostInflation)*Staging!T534*(1+QtyUplift)</f>
        <v>762.94795500000009</v>
      </c>
      <c r="K543">
        <f t="shared" si="16"/>
        <v>-174.91329899999994</v>
      </c>
      <c r="L543">
        <v>62.749440000000163</v>
      </c>
      <c r="M543">
        <f t="shared" si="17"/>
        <v>-173.90025899999989</v>
      </c>
    </row>
    <row r="544" spans="2:13" x14ac:dyDescent="0.3">
      <c r="B544" t="s">
        <v>1167</v>
      </c>
      <c r="C544" t="s">
        <v>75</v>
      </c>
      <c r="D544" t="s">
        <v>42</v>
      </c>
      <c r="E544" t="s">
        <v>16</v>
      </c>
      <c r="F544">
        <v>11924.0978</v>
      </c>
      <c r="G544">
        <v>6763.7</v>
      </c>
      <c r="H544">
        <v>5160.3977999999997</v>
      </c>
      <c r="I544">
        <f>Staging!Q535*(Staging!T535*(1+QtyUplift))*(1-MIN(Staging!R535,DiscountCap))</f>
        <v>13116.50758</v>
      </c>
      <c r="J544">
        <f>Staging!P535*(1+CostInflation)*Staging!T535*(1+QtyUplift)</f>
        <v>9634.8906500000012</v>
      </c>
      <c r="K544">
        <f t="shared" si="16"/>
        <v>3481.6169299999983</v>
      </c>
      <c r="L544">
        <v>1192.40978</v>
      </c>
      <c r="M544">
        <f t="shared" si="17"/>
        <v>-1678.7808700000014</v>
      </c>
    </row>
    <row r="545" spans="2:13" x14ac:dyDescent="0.3">
      <c r="B545" t="s">
        <v>1169</v>
      </c>
      <c r="C545" t="s">
        <v>29</v>
      </c>
      <c r="D545" t="s">
        <v>57</v>
      </c>
      <c r="E545" t="s">
        <v>16</v>
      </c>
      <c r="F545">
        <v>42433.254400000005</v>
      </c>
      <c r="G545">
        <v>23021.199999999997</v>
      </c>
      <c r="H545">
        <v>19412.054400000008</v>
      </c>
      <c r="I545">
        <f>Staging!Q536*(Staging!T536*(1+QtyUplift))*(1-MIN(Staging!R536,DiscountCap))</f>
        <v>46676.579840000006</v>
      </c>
      <c r="J545">
        <f>Staging!P536*(1+CostInflation)*Staging!T536*(1+QtyUplift)</f>
        <v>32793.699399999998</v>
      </c>
      <c r="K545">
        <f t="shared" si="16"/>
        <v>13882.880440000008</v>
      </c>
      <c r="L545">
        <v>13429.673600000002</v>
      </c>
      <c r="M545">
        <f t="shared" si="17"/>
        <v>-5529.1739600000001</v>
      </c>
    </row>
    <row r="546" spans="2:13" x14ac:dyDescent="0.3">
      <c r="B546" t="s">
        <v>1171</v>
      </c>
      <c r="C546" t="s">
        <v>56</v>
      </c>
      <c r="D546" t="s">
        <v>57</v>
      </c>
      <c r="E546" t="s">
        <v>52</v>
      </c>
      <c r="F546">
        <v>15155.326800000001</v>
      </c>
      <c r="G546">
        <v>8707.44</v>
      </c>
      <c r="H546">
        <v>6447.8868000000002</v>
      </c>
      <c r="I546">
        <f>Staging!Q537*(Staging!T537*(1+QtyUplift))*(1-MIN(Staging!R537,DiscountCap))</f>
        <v>16670.859480000003</v>
      </c>
      <c r="J546">
        <f>Staging!P537*(1+CostInflation)*Staging!T537*(1+QtyUplift)</f>
        <v>12403.748280000002</v>
      </c>
      <c r="K546">
        <f t="shared" si="16"/>
        <v>4267.1112000000012</v>
      </c>
      <c r="L546">
        <v>3367.8504000000012</v>
      </c>
      <c r="M546">
        <f t="shared" si="17"/>
        <v>-2180.775599999999</v>
      </c>
    </row>
    <row r="547" spans="2:13" x14ac:dyDescent="0.3">
      <c r="B547" t="s">
        <v>1173</v>
      </c>
      <c r="C547" t="s">
        <v>84</v>
      </c>
      <c r="D547" t="s">
        <v>35</v>
      </c>
      <c r="E547" t="s">
        <v>78</v>
      </c>
      <c r="F547">
        <v>7823.4472399999995</v>
      </c>
      <c r="G547">
        <v>6713</v>
      </c>
      <c r="H547">
        <v>1110.4472399999995</v>
      </c>
      <c r="I547">
        <f>Staging!Q538*(Staging!T538*(1+QtyUplift))*(1-MIN(Staging!R538,DiscountCap))</f>
        <v>8605.791964</v>
      </c>
      <c r="J547">
        <f>Staging!P538*(1+CostInflation)*Staging!T538*(1+QtyUplift)</f>
        <v>9562.6684999999998</v>
      </c>
      <c r="K547">
        <f t="shared" si="16"/>
        <v>-956.87653599999976</v>
      </c>
      <c r="L547">
        <v>1277.8603600000006</v>
      </c>
      <c r="M547">
        <f t="shared" si="17"/>
        <v>-2067.3237759999993</v>
      </c>
    </row>
    <row r="548" spans="2:13" x14ac:dyDescent="0.3">
      <c r="B548" t="s">
        <v>1175</v>
      </c>
      <c r="C548" t="s">
        <v>49</v>
      </c>
      <c r="D548" t="s">
        <v>57</v>
      </c>
      <c r="E548" t="s">
        <v>52</v>
      </c>
      <c r="F548">
        <v>50958.766320000002</v>
      </c>
      <c r="G548">
        <v>27125.7</v>
      </c>
      <c r="H548">
        <v>23833.066320000002</v>
      </c>
      <c r="I548">
        <f>Staging!Q539*(Staging!T539*(1+QtyUplift))*(1-MIN(Staging!R539,DiscountCap))</f>
        <v>56054.642952000009</v>
      </c>
      <c r="J548">
        <f>Staging!P539*(1+CostInflation)*Staging!T539*(1+QtyUplift)</f>
        <v>38640.55965000001</v>
      </c>
      <c r="K548">
        <f t="shared" si="16"/>
        <v>17414.083301999999</v>
      </c>
      <c r="L548">
        <v>5095.8766320000068</v>
      </c>
      <c r="M548">
        <f t="shared" si="17"/>
        <v>-6418.9830180000026</v>
      </c>
    </row>
    <row r="549" spans="2:13" x14ac:dyDescent="0.3">
      <c r="B549" t="s">
        <v>1176</v>
      </c>
      <c r="C549" t="s">
        <v>56</v>
      </c>
      <c r="D549" t="s">
        <v>81</v>
      </c>
      <c r="E549" t="s">
        <v>16</v>
      </c>
      <c r="F549">
        <v>20430.771599999996</v>
      </c>
      <c r="G549">
        <v>9188.85</v>
      </c>
      <c r="H549">
        <v>11241.921599999996</v>
      </c>
      <c r="I549">
        <f>Staging!Q540*(Staging!T540*(1+QtyUplift))*(1-MIN(Staging!R540,DiscountCap))</f>
        <v>22473.848759999997</v>
      </c>
      <c r="J549">
        <f>Staging!P540*(1+CostInflation)*Staging!T540*(1+QtyUplift)</f>
        <v>13089.516824999999</v>
      </c>
      <c r="K549">
        <f t="shared" si="16"/>
        <v>9384.3319349999983</v>
      </c>
      <c r="L549">
        <v>2043.0771600000007</v>
      </c>
      <c r="M549">
        <f t="shared" si="17"/>
        <v>-1857.5896649999977</v>
      </c>
    </row>
    <row r="550" spans="2:13" x14ac:dyDescent="0.3">
      <c r="B550" t="s">
        <v>1178</v>
      </c>
      <c r="C550" t="s">
        <v>75</v>
      </c>
      <c r="D550" t="s">
        <v>30</v>
      </c>
      <c r="E550" t="s">
        <v>16</v>
      </c>
      <c r="F550">
        <v>66260.314239999992</v>
      </c>
      <c r="G550">
        <v>36537.599999999999</v>
      </c>
      <c r="H550">
        <v>29722.714239999994</v>
      </c>
      <c r="I550">
        <f>Staging!Q541*(Staging!T541*(1+QtyUplift))*(1-MIN(Staging!R541,DiscountCap))</f>
        <v>72886.345664000008</v>
      </c>
      <c r="J550">
        <f>Staging!P541*(1+CostInflation)*Staging!T541*(1+QtyUplift)</f>
        <v>52047.811199999996</v>
      </c>
      <c r="K550">
        <f t="shared" si="16"/>
        <v>20838.534464000011</v>
      </c>
      <c r="L550">
        <v>7197.3689600000071</v>
      </c>
      <c r="M550">
        <f t="shared" si="17"/>
        <v>-8884.1797759999827</v>
      </c>
    </row>
    <row r="551" spans="2:13" x14ac:dyDescent="0.3">
      <c r="B551" t="s">
        <v>1180</v>
      </c>
      <c r="C551" t="s">
        <v>68</v>
      </c>
      <c r="D551" t="s">
        <v>35</v>
      </c>
      <c r="E551" t="s">
        <v>78</v>
      </c>
      <c r="F551">
        <v>3340.6370000000002</v>
      </c>
      <c r="G551">
        <v>4926.2</v>
      </c>
      <c r="H551">
        <v>-1585.5629999999996</v>
      </c>
      <c r="I551">
        <f>Staging!Q542*(Staging!T542*(1+QtyUplift))*(1-MIN(Staging!R542,DiscountCap))</f>
        <v>3674.7006999999999</v>
      </c>
      <c r="J551">
        <f>Staging!P542*(1+CostInflation)*Staging!T542*(1+QtyUplift)</f>
        <v>7017.371900000001</v>
      </c>
      <c r="K551">
        <f t="shared" si="16"/>
        <v>-3342.6712000000011</v>
      </c>
      <c r="L551">
        <v>334.0636999999997</v>
      </c>
      <c r="M551">
        <f t="shared" si="17"/>
        <v>-1757.1082000000015</v>
      </c>
    </row>
    <row r="552" spans="2:13" x14ac:dyDescent="0.3">
      <c r="B552" t="s">
        <v>1182</v>
      </c>
      <c r="C552" t="s">
        <v>145</v>
      </c>
      <c r="D552" t="s">
        <v>57</v>
      </c>
      <c r="E552" t="s">
        <v>16</v>
      </c>
      <c r="F552">
        <v>19581.87</v>
      </c>
      <c r="G552">
        <v>8811.0400000000009</v>
      </c>
      <c r="H552">
        <v>10770.829999999998</v>
      </c>
      <c r="I552">
        <f>Staging!Q543*(Staging!T543*(1+QtyUplift))*(1-MIN(Staging!R543,DiscountCap))</f>
        <v>21540.057000000001</v>
      </c>
      <c r="J552">
        <f>Staging!P543*(1+CostInflation)*Staging!T543*(1+QtyUplift)</f>
        <v>12551.326480000002</v>
      </c>
      <c r="K552">
        <f t="shared" si="16"/>
        <v>8988.7305199999992</v>
      </c>
      <c r="L552">
        <v>1958.1870000000017</v>
      </c>
      <c r="M552">
        <f t="shared" si="17"/>
        <v>-1782.0994799999989</v>
      </c>
    </row>
    <row r="553" spans="2:13" x14ac:dyDescent="0.3">
      <c r="B553" t="s">
        <v>1184</v>
      </c>
      <c r="C553" t="s">
        <v>68</v>
      </c>
      <c r="D553" t="s">
        <v>64</v>
      </c>
      <c r="E553" t="s">
        <v>45</v>
      </c>
      <c r="F553">
        <v>30652.403519999996</v>
      </c>
      <c r="G553">
        <v>21924.48</v>
      </c>
      <c r="H553">
        <v>8727.9235199999966</v>
      </c>
      <c r="I553">
        <f>Staging!Q544*(Staging!T544*(1+QtyUplift))*(1-MIN(Staging!R544,DiscountCap))</f>
        <v>33717.643872000001</v>
      </c>
      <c r="J553">
        <f>Staging!P544*(1+CostInflation)*Staging!T544*(1+QtyUplift)</f>
        <v>31231.421759999997</v>
      </c>
      <c r="K553">
        <f t="shared" si="16"/>
        <v>2486.2221120000031</v>
      </c>
      <c r="L553">
        <v>4348.6108800000111</v>
      </c>
      <c r="M553">
        <f t="shared" si="17"/>
        <v>-6241.7014079999935</v>
      </c>
    </row>
    <row r="554" spans="2:13" x14ac:dyDescent="0.3">
      <c r="B554" t="s">
        <v>1186</v>
      </c>
      <c r="C554" t="s">
        <v>145</v>
      </c>
      <c r="D554" t="s">
        <v>81</v>
      </c>
      <c r="E554" t="s">
        <v>16</v>
      </c>
      <c r="F554">
        <v>4737.2198399999997</v>
      </c>
      <c r="G554">
        <v>5667.66</v>
      </c>
      <c r="H554">
        <v>-930.44016000000011</v>
      </c>
      <c r="I554">
        <f>Staging!Q545*(Staging!T545*(1+QtyUplift))*(1-MIN(Staging!R545,DiscountCap))</f>
        <v>5210.9418240000005</v>
      </c>
      <c r="J554">
        <f>Staging!P545*(1+CostInflation)*Staging!T545*(1+QtyUplift)</f>
        <v>8073.5816699999996</v>
      </c>
      <c r="K554">
        <f t="shared" si="16"/>
        <v>-2862.6398459999991</v>
      </c>
      <c r="L554">
        <v>473.7219840000007</v>
      </c>
      <c r="M554">
        <f t="shared" si="17"/>
        <v>-1932.199685999999</v>
      </c>
    </row>
    <row r="555" spans="2:13" x14ac:dyDescent="0.3">
      <c r="B555" t="s">
        <v>1188</v>
      </c>
      <c r="C555" t="s">
        <v>126</v>
      </c>
      <c r="D555" t="s">
        <v>57</v>
      </c>
      <c r="E555" t="s">
        <v>78</v>
      </c>
      <c r="F555">
        <v>14114.068500000001</v>
      </c>
      <c r="G555">
        <v>6442.94</v>
      </c>
      <c r="H555">
        <v>7671.1285000000016</v>
      </c>
      <c r="I555">
        <f>Staging!Q546*(Staging!T546*(1+QtyUplift))*(1-MIN(Staging!R546,DiscountCap))</f>
        <v>15525.475350000002</v>
      </c>
      <c r="J555">
        <f>Staging!P546*(1+CostInflation)*Staging!T546*(1+QtyUplift)</f>
        <v>9177.96803</v>
      </c>
      <c r="K555">
        <f t="shared" si="16"/>
        <v>6347.5073200000024</v>
      </c>
      <c r="L555">
        <v>1674.550500000003</v>
      </c>
      <c r="M555">
        <f t="shared" si="17"/>
        <v>-1323.6211799999992</v>
      </c>
    </row>
    <row r="556" spans="2:13" x14ac:dyDescent="0.3">
      <c r="B556" t="s">
        <v>1190</v>
      </c>
      <c r="C556" t="s">
        <v>110</v>
      </c>
      <c r="D556" t="s">
        <v>35</v>
      </c>
      <c r="E556" t="s">
        <v>52</v>
      </c>
      <c r="F556">
        <v>10792.637119999999</v>
      </c>
      <c r="G556">
        <v>10439.6</v>
      </c>
      <c r="H556">
        <v>353.03711999999905</v>
      </c>
      <c r="I556">
        <f>Staging!Q547*(Staging!T547*(1+QtyUplift))*(1-MIN(Staging!R547,DiscountCap))</f>
        <v>11871.900832000001</v>
      </c>
      <c r="J556">
        <f>Staging!P547*(1+CostInflation)*Staging!T547*(1+QtyUplift)</f>
        <v>14871.2102</v>
      </c>
      <c r="K556">
        <f t="shared" si="16"/>
        <v>-2999.3093679999984</v>
      </c>
      <c r="L556">
        <v>2766.6404800000018</v>
      </c>
      <c r="M556">
        <f t="shared" si="17"/>
        <v>-3352.3464879999974</v>
      </c>
    </row>
    <row r="557" spans="2:13" x14ac:dyDescent="0.3">
      <c r="B557" t="s">
        <v>1192</v>
      </c>
      <c r="C557" t="s">
        <v>110</v>
      </c>
      <c r="D557" t="s">
        <v>64</v>
      </c>
      <c r="E557" t="s">
        <v>16</v>
      </c>
      <c r="F557">
        <v>4826.5396199999996</v>
      </c>
      <c r="G557">
        <v>2646.48</v>
      </c>
      <c r="H557">
        <v>2180.0596199999995</v>
      </c>
      <c r="I557">
        <f>Staging!Q548*(Staging!T548*(1+QtyUplift))*(1-MIN(Staging!R548,DiscountCap))</f>
        <v>5309.1935819999999</v>
      </c>
      <c r="J557">
        <f>Staging!P548*(1+CostInflation)*Staging!T548*(1+QtyUplift)</f>
        <v>3769.9107599999998</v>
      </c>
      <c r="K557">
        <f t="shared" si="16"/>
        <v>1539.2828220000001</v>
      </c>
      <c r="L557">
        <v>1435.9429800000007</v>
      </c>
      <c r="M557">
        <f t="shared" si="17"/>
        <v>-640.77679799999942</v>
      </c>
    </row>
    <row r="558" spans="2:13" x14ac:dyDescent="0.3">
      <c r="B558" t="s">
        <v>1194</v>
      </c>
      <c r="C558" t="s">
        <v>75</v>
      </c>
      <c r="D558" t="s">
        <v>81</v>
      </c>
      <c r="E558" t="s">
        <v>52</v>
      </c>
      <c r="F558">
        <v>15530.929919999999</v>
      </c>
      <c r="G558">
        <v>10392.24</v>
      </c>
      <c r="H558">
        <v>5138.6899199999989</v>
      </c>
      <c r="I558">
        <f>Staging!Q549*(Staging!T549*(1+QtyUplift))*(1-MIN(Staging!R549,DiscountCap))</f>
        <v>17084.022912</v>
      </c>
      <c r="J558">
        <f>Staging!P549*(1+CostInflation)*Staging!T549*(1+QtyUplift)</f>
        <v>14803.74588</v>
      </c>
      <c r="K558">
        <f t="shared" si="16"/>
        <v>2280.277032</v>
      </c>
      <c r="L558">
        <v>3882.7324800000024</v>
      </c>
      <c r="M558">
        <f t="shared" si="17"/>
        <v>-2858.4128879999989</v>
      </c>
    </row>
    <row r="559" spans="2:13" x14ac:dyDescent="0.3">
      <c r="B559" t="s">
        <v>1196</v>
      </c>
      <c r="C559" t="s">
        <v>145</v>
      </c>
      <c r="D559" t="s">
        <v>30</v>
      </c>
      <c r="E559" t="s">
        <v>78</v>
      </c>
      <c r="F559">
        <v>31822.023930000003</v>
      </c>
      <c r="G559">
        <v>25520.579999999998</v>
      </c>
      <c r="H559">
        <v>6301.4439300000049</v>
      </c>
      <c r="I559">
        <f>Staging!Q550*(Staging!T550*(1+QtyUplift))*(1-MIN(Staging!R550,DiscountCap))</f>
        <v>35004.226323000003</v>
      </c>
      <c r="J559">
        <f>Staging!P550*(1+CostInflation)*Staging!T550*(1+QtyUplift)</f>
        <v>36354.066210000005</v>
      </c>
      <c r="K559">
        <f t="shared" si="16"/>
        <v>-1349.8398870000019</v>
      </c>
      <c r="L559">
        <v>4100.2151700000031</v>
      </c>
      <c r="M559">
        <f t="shared" si="17"/>
        <v>-7651.2838170000068</v>
      </c>
    </row>
    <row r="560" spans="2:13" x14ac:dyDescent="0.3">
      <c r="B560" t="s">
        <v>1198</v>
      </c>
      <c r="C560" t="s">
        <v>110</v>
      </c>
      <c r="D560" t="s">
        <v>64</v>
      </c>
      <c r="E560" t="s">
        <v>52</v>
      </c>
      <c r="F560">
        <v>10937.519999999999</v>
      </c>
      <c r="G560">
        <v>8435.76</v>
      </c>
      <c r="H560">
        <v>2501.7599999999984</v>
      </c>
      <c r="I560">
        <f>Staging!Q551*(Staging!T551*(1+QtyUplift))*(1-MIN(Staging!R551,DiscountCap))</f>
        <v>12031.271999999999</v>
      </c>
      <c r="J560">
        <f>Staging!P551*(1+CostInflation)*Staging!T551*(1+QtyUplift)</f>
        <v>12016.74012</v>
      </c>
      <c r="K560">
        <f t="shared" si="16"/>
        <v>14.531879999998637</v>
      </c>
      <c r="L560">
        <v>2187.5040000000026</v>
      </c>
      <c r="M560">
        <f t="shared" si="17"/>
        <v>-2487.2281199999998</v>
      </c>
    </row>
    <row r="561" spans="2:13" x14ac:dyDescent="0.3">
      <c r="B561" t="s">
        <v>1200</v>
      </c>
      <c r="C561" t="s">
        <v>145</v>
      </c>
      <c r="D561" t="s">
        <v>35</v>
      </c>
      <c r="E561" t="s">
        <v>78</v>
      </c>
      <c r="F561">
        <v>29673.454499999993</v>
      </c>
      <c r="G561">
        <v>15528.6</v>
      </c>
      <c r="H561">
        <v>14144.854499999992</v>
      </c>
      <c r="I561">
        <f>Staging!Q552*(Staging!T552*(1+QtyUplift))*(1-MIN(Staging!R552,DiscountCap))</f>
        <v>32640.799949999997</v>
      </c>
      <c r="J561">
        <f>Staging!P552*(1+CostInflation)*Staging!T552*(1+QtyUplift)</f>
        <v>22120.490700000002</v>
      </c>
      <c r="K561">
        <f t="shared" si="16"/>
        <v>10520.309249999995</v>
      </c>
      <c r="L561">
        <v>5720.1840000000084</v>
      </c>
      <c r="M561">
        <f t="shared" si="17"/>
        <v>-3624.5452499999974</v>
      </c>
    </row>
    <row r="562" spans="2:13" x14ac:dyDescent="0.3">
      <c r="B562" t="s">
        <v>1202</v>
      </c>
      <c r="C562" t="s">
        <v>75</v>
      </c>
      <c r="D562" t="s">
        <v>64</v>
      </c>
      <c r="E562" t="s">
        <v>52</v>
      </c>
      <c r="F562">
        <v>1846.8040799999999</v>
      </c>
      <c r="G562">
        <v>953.04</v>
      </c>
      <c r="H562">
        <v>893.76407999999992</v>
      </c>
      <c r="I562">
        <f>Staging!Q553*(Staging!T553*(1+QtyUplift))*(1-MIN(Staging!R553,DiscountCap))</f>
        <v>2031.4844880000003</v>
      </c>
      <c r="J562">
        <f>Staging!P553*(1+CostInflation)*Staging!T553*(1+QtyUplift)</f>
        <v>1357.6054799999999</v>
      </c>
      <c r="K562">
        <f t="shared" si="16"/>
        <v>673.87900800000034</v>
      </c>
      <c r="L562">
        <v>473.41932000000043</v>
      </c>
      <c r="M562">
        <f t="shared" si="17"/>
        <v>-219.88507199999958</v>
      </c>
    </row>
    <row r="563" spans="2:13" x14ac:dyDescent="0.3">
      <c r="B563" t="s">
        <v>1204</v>
      </c>
      <c r="C563" t="s">
        <v>145</v>
      </c>
      <c r="D563" t="s">
        <v>35</v>
      </c>
      <c r="E563" t="s">
        <v>45</v>
      </c>
      <c r="F563">
        <v>18830.12472</v>
      </c>
      <c r="G563">
        <v>12882.87</v>
      </c>
      <c r="H563">
        <v>5947.254719999999</v>
      </c>
      <c r="I563">
        <f>Staging!Q554*(Staging!T554*(1+QtyUplift))*(1-MIN(Staging!R554,DiscountCap))</f>
        <v>20713.137192000002</v>
      </c>
      <c r="J563">
        <f>Staging!P554*(1+CostInflation)*Staging!T554*(1+QtyUplift)</f>
        <v>18351.648315000002</v>
      </c>
      <c r="K563">
        <f t="shared" si="16"/>
        <v>2361.4888769999998</v>
      </c>
      <c r="L563">
        <v>3283.5448800000013</v>
      </c>
      <c r="M563">
        <f t="shared" si="17"/>
        <v>-3585.7658429999992</v>
      </c>
    </row>
    <row r="564" spans="2:13" x14ac:dyDescent="0.3">
      <c r="B564" t="s">
        <v>1206</v>
      </c>
      <c r="C564" t="s">
        <v>49</v>
      </c>
      <c r="D564" t="s">
        <v>81</v>
      </c>
      <c r="E564" t="s">
        <v>78</v>
      </c>
      <c r="F564">
        <v>20163.409200000002</v>
      </c>
      <c r="G564">
        <v>16069.24</v>
      </c>
      <c r="H564">
        <v>4094.1692000000021</v>
      </c>
      <c r="I564">
        <f>Staging!Q555*(Staging!T555*(1+QtyUplift))*(1-MIN(Staging!R555,DiscountCap))</f>
        <v>22179.750120000001</v>
      </c>
      <c r="J564">
        <f>Staging!P555*(1+CostInflation)*Staging!T555*(1+QtyUplift)</f>
        <v>22890.632379999999</v>
      </c>
      <c r="K564">
        <f t="shared" si="16"/>
        <v>-710.8822599999985</v>
      </c>
      <c r="L564">
        <v>2016.3409199999987</v>
      </c>
      <c r="M564">
        <f t="shared" si="17"/>
        <v>-4805.0514600000006</v>
      </c>
    </row>
    <row r="565" spans="2:13" x14ac:dyDescent="0.3">
      <c r="B565" t="s">
        <v>1208</v>
      </c>
      <c r="C565" t="s">
        <v>49</v>
      </c>
      <c r="D565" t="s">
        <v>81</v>
      </c>
      <c r="E565" t="s">
        <v>16</v>
      </c>
      <c r="F565">
        <v>15860.782080000001</v>
      </c>
      <c r="G565">
        <v>13954.32</v>
      </c>
      <c r="H565">
        <v>1906.4620800000012</v>
      </c>
      <c r="I565">
        <f>Staging!Q556*(Staging!T556*(1+QtyUplift))*(1-MIN(Staging!R556,DiscountCap))</f>
        <v>17446.860288000003</v>
      </c>
      <c r="J565">
        <f>Staging!P556*(1+CostInflation)*Staging!T556*(1+QtyUplift)</f>
        <v>19877.92884</v>
      </c>
      <c r="K565">
        <f t="shared" si="16"/>
        <v>-2431.068551999997</v>
      </c>
      <c r="L565">
        <v>1586.0782080000026</v>
      </c>
      <c r="M565">
        <f t="shared" si="17"/>
        <v>-4337.5306319999981</v>
      </c>
    </row>
    <row r="566" spans="2:13" x14ac:dyDescent="0.3">
      <c r="B566" t="s">
        <v>1210</v>
      </c>
      <c r="C566" t="s">
        <v>34</v>
      </c>
      <c r="D566" t="s">
        <v>42</v>
      </c>
      <c r="E566" t="s">
        <v>45</v>
      </c>
      <c r="F566">
        <v>33551.927499999998</v>
      </c>
      <c r="G566">
        <v>15457.39</v>
      </c>
      <c r="H566">
        <v>18094.537499999999</v>
      </c>
      <c r="I566">
        <f>Staging!Q557*(Staging!T557*(1+QtyUplift))*(1-MIN(Staging!R557,DiscountCap))</f>
        <v>36907.12025</v>
      </c>
      <c r="J566">
        <f>Staging!P557*(1+CostInflation)*Staging!T557*(1+QtyUplift)</f>
        <v>22019.052055</v>
      </c>
      <c r="K566">
        <f t="shared" si="16"/>
        <v>14888.068195</v>
      </c>
      <c r="L566">
        <v>4409.6819000000032</v>
      </c>
      <c r="M566">
        <f t="shared" si="17"/>
        <v>-3206.4693049999987</v>
      </c>
    </row>
    <row r="567" spans="2:13" x14ac:dyDescent="0.3">
      <c r="B567" t="s">
        <v>1212</v>
      </c>
      <c r="C567" t="s">
        <v>145</v>
      </c>
      <c r="D567" t="s">
        <v>81</v>
      </c>
      <c r="E567" t="s">
        <v>45</v>
      </c>
      <c r="F567">
        <v>46450.26</v>
      </c>
      <c r="G567">
        <v>25979.040000000001</v>
      </c>
      <c r="H567">
        <v>20471.22</v>
      </c>
      <c r="I567">
        <f>Staging!Q558*(Staging!T558*(1+QtyUplift))*(1-MIN(Staging!R558,DiscountCap))</f>
        <v>51095.286000000007</v>
      </c>
      <c r="J567">
        <f>Staging!P558*(1+CostInflation)*Staging!T558*(1+QtyUplift)</f>
        <v>37007.142479999995</v>
      </c>
      <c r="K567">
        <f t="shared" si="16"/>
        <v>14088.143520000012</v>
      </c>
      <c r="L567">
        <v>4645.0260000000053</v>
      </c>
      <c r="M567">
        <f t="shared" si="17"/>
        <v>-6383.0764799999888</v>
      </c>
    </row>
    <row r="568" spans="2:13" x14ac:dyDescent="0.3">
      <c r="B568" t="s">
        <v>1214</v>
      </c>
      <c r="C568" t="s">
        <v>84</v>
      </c>
      <c r="D568" t="s">
        <v>30</v>
      </c>
      <c r="E568" t="s">
        <v>52</v>
      </c>
      <c r="F568">
        <v>50545.319219999998</v>
      </c>
      <c r="G568">
        <v>23854.5</v>
      </c>
      <c r="H568">
        <v>26690.819219999998</v>
      </c>
      <c r="I568">
        <f>Staging!Q559*(Staging!T559*(1+QtyUplift))*(1-MIN(Staging!R559,DiscountCap))</f>
        <v>55599.851142000007</v>
      </c>
      <c r="J568">
        <f>Staging!P559*(1+CostInflation)*Staging!T559*(1+QtyUplift)</f>
        <v>33980.735250000005</v>
      </c>
      <c r="K568">
        <f t="shared" si="16"/>
        <v>21619.115892000002</v>
      </c>
      <c r="L568">
        <v>5054.5319220000092</v>
      </c>
      <c r="M568">
        <f t="shared" si="17"/>
        <v>-5071.703327999996</v>
      </c>
    </row>
    <row r="569" spans="2:13" x14ac:dyDescent="0.3">
      <c r="B569" t="s">
        <v>1216</v>
      </c>
      <c r="C569" t="s">
        <v>110</v>
      </c>
      <c r="D569" t="s">
        <v>64</v>
      </c>
      <c r="E569" t="s">
        <v>52</v>
      </c>
      <c r="F569">
        <v>10519.776450000001</v>
      </c>
      <c r="G569">
        <v>6398.82</v>
      </c>
      <c r="H569">
        <v>4120.9564500000015</v>
      </c>
      <c r="I569">
        <f>Staging!Q560*(Staging!T560*(1+QtyUplift))*(1-MIN(Staging!R560,DiscountCap))</f>
        <v>11571.754095000002</v>
      </c>
      <c r="J569">
        <f>Staging!P560*(1+CostInflation)*Staging!T560*(1+QtyUplift)</f>
        <v>9115.119090000002</v>
      </c>
      <c r="K569">
        <f t="shared" si="16"/>
        <v>2456.6350050000001</v>
      </c>
      <c r="L569">
        <v>2679.9430499999999</v>
      </c>
      <c r="M569">
        <f t="shared" si="17"/>
        <v>-1664.3214450000014</v>
      </c>
    </row>
    <row r="570" spans="2:13" x14ac:dyDescent="0.3">
      <c r="B570" t="s">
        <v>1218</v>
      </c>
      <c r="C570" t="s">
        <v>92</v>
      </c>
      <c r="D570" t="s">
        <v>81</v>
      </c>
      <c r="E570" t="s">
        <v>16</v>
      </c>
      <c r="F570">
        <v>13108.78584</v>
      </c>
      <c r="G570">
        <v>7716.78</v>
      </c>
      <c r="H570">
        <v>5392.0058400000007</v>
      </c>
      <c r="I570">
        <f>Staging!Q561*(Staging!T561*(1+QtyUplift))*(1-MIN(Staging!R561,DiscountCap))</f>
        <v>14419.664424000001</v>
      </c>
      <c r="J570">
        <f>Staging!P561*(1+CostInflation)*Staging!T561*(1+QtyUplift)</f>
        <v>10992.553109999999</v>
      </c>
      <c r="K570">
        <f t="shared" si="16"/>
        <v>3427.1113140000016</v>
      </c>
      <c r="L570">
        <v>1672.1913600000007</v>
      </c>
      <c r="M570">
        <f t="shared" si="17"/>
        <v>-1964.8945259999991</v>
      </c>
    </row>
    <row r="571" spans="2:13" x14ac:dyDescent="0.3">
      <c r="B571" t="s">
        <v>1220</v>
      </c>
      <c r="C571" t="s">
        <v>63</v>
      </c>
      <c r="D571" t="s">
        <v>30</v>
      </c>
      <c r="E571" t="s">
        <v>45</v>
      </c>
      <c r="F571">
        <v>13251.48</v>
      </c>
      <c r="G571">
        <v>20058</v>
      </c>
      <c r="H571">
        <v>-6806.52</v>
      </c>
      <c r="I571">
        <f>Staging!Q562*(Staging!T562*(1+QtyUplift))*(1-MIN(Staging!R562,DiscountCap))</f>
        <v>14576.628000000002</v>
      </c>
      <c r="J571">
        <f>Staging!P562*(1+CostInflation)*Staging!T562*(1+QtyUplift)</f>
        <v>28572.621000000003</v>
      </c>
      <c r="K571">
        <f t="shared" si="16"/>
        <v>-13995.993</v>
      </c>
      <c r="L571">
        <v>1656.4350000000031</v>
      </c>
      <c r="M571">
        <f t="shared" si="17"/>
        <v>-7189.473</v>
      </c>
    </row>
    <row r="572" spans="2:13" x14ac:dyDescent="0.3">
      <c r="B572" t="s">
        <v>1222</v>
      </c>
      <c r="C572" t="s">
        <v>126</v>
      </c>
      <c r="D572" t="s">
        <v>22</v>
      </c>
      <c r="E572" t="s">
        <v>52</v>
      </c>
      <c r="F572">
        <v>6766.9829999999993</v>
      </c>
      <c r="G572">
        <v>6699.9000000000005</v>
      </c>
      <c r="H572">
        <v>67.082999999998719</v>
      </c>
      <c r="I572">
        <f>Staging!Q563*(Staging!T563*(1+QtyUplift))*(1-MIN(Staging!R563,DiscountCap))</f>
        <v>7443.6812999999993</v>
      </c>
      <c r="J572">
        <f>Staging!P563*(1+CostInflation)*Staging!T563*(1+QtyUplift)</f>
        <v>9544.0075500000021</v>
      </c>
      <c r="K572">
        <f t="shared" si="16"/>
        <v>-2100.3262500000028</v>
      </c>
      <c r="L572">
        <v>1068.4710000000005</v>
      </c>
      <c r="M572">
        <f t="shared" si="17"/>
        <v>-2167.4092500000015</v>
      </c>
    </row>
    <row r="573" spans="2:13" x14ac:dyDescent="0.3">
      <c r="B573" t="s">
        <v>1224</v>
      </c>
      <c r="C573" t="s">
        <v>49</v>
      </c>
      <c r="D573" t="s">
        <v>42</v>
      </c>
      <c r="E573" t="s">
        <v>16</v>
      </c>
      <c r="F573">
        <v>33071.3145</v>
      </c>
      <c r="G573">
        <v>22723.62</v>
      </c>
      <c r="H573">
        <v>10347.694500000001</v>
      </c>
      <c r="I573">
        <f>Staging!Q564*(Staging!T564*(1+QtyUplift))*(1-MIN(Staging!R564,DiscountCap))</f>
        <v>36378.445950000001</v>
      </c>
      <c r="J573">
        <f>Staging!P564*(1+CostInflation)*Staging!T564*(1+QtyUplift)</f>
        <v>32369.796690000003</v>
      </c>
      <c r="K573">
        <f t="shared" si="16"/>
        <v>4008.6492599999983</v>
      </c>
      <c r="L573">
        <v>3307.1314500000008</v>
      </c>
      <c r="M573">
        <f t="shared" si="17"/>
        <v>-6339.0452400000031</v>
      </c>
    </row>
    <row r="574" spans="2:13" x14ac:dyDescent="0.3">
      <c r="B574" t="s">
        <v>1226</v>
      </c>
      <c r="C574" t="s">
        <v>63</v>
      </c>
      <c r="D574" t="s">
        <v>64</v>
      </c>
      <c r="E574" t="s">
        <v>52</v>
      </c>
      <c r="F574">
        <v>8520.2954399999999</v>
      </c>
      <c r="G574">
        <v>4026.2999999999997</v>
      </c>
      <c r="H574">
        <v>4493.9954400000006</v>
      </c>
      <c r="I574">
        <f>Staging!Q565*(Staging!T565*(1+QtyUplift))*(1-MIN(Staging!R565,DiscountCap))</f>
        <v>9372.3249840000008</v>
      </c>
      <c r="J574">
        <f>Staging!P565*(1+CostInflation)*Staging!T565*(1+QtyUplift)</f>
        <v>5735.4643499999993</v>
      </c>
      <c r="K574">
        <f t="shared" si="16"/>
        <v>3636.8606340000015</v>
      </c>
      <c r="L574">
        <v>1253.8557600000022</v>
      </c>
      <c r="M574">
        <f t="shared" si="17"/>
        <v>-857.13480599999912</v>
      </c>
    </row>
    <row r="575" spans="2:13" x14ac:dyDescent="0.3">
      <c r="B575" t="s">
        <v>1228</v>
      </c>
      <c r="C575" t="s">
        <v>49</v>
      </c>
      <c r="D575" t="s">
        <v>35</v>
      </c>
      <c r="E575" t="s">
        <v>78</v>
      </c>
      <c r="F575">
        <v>10166.535600000001</v>
      </c>
      <c r="G575">
        <v>8793.1500000000015</v>
      </c>
      <c r="H575">
        <v>1373.3855999999996</v>
      </c>
      <c r="I575">
        <f>Staging!Q566*(Staging!T566*(1+QtyUplift))*(1-MIN(Staging!R566,DiscountCap))</f>
        <v>11183.18916</v>
      </c>
      <c r="J575">
        <f>Staging!P566*(1+CostInflation)*Staging!T566*(1+QtyUplift)</f>
        <v>12525.842175000002</v>
      </c>
      <c r="K575">
        <f t="shared" si="16"/>
        <v>-1342.6530150000017</v>
      </c>
      <c r="L575">
        <v>1016.6535599999988</v>
      </c>
      <c r="M575">
        <f t="shared" si="17"/>
        <v>-2716.0386150000013</v>
      </c>
    </row>
    <row r="576" spans="2:13" x14ac:dyDescent="0.3">
      <c r="B576" t="s">
        <v>1230</v>
      </c>
      <c r="C576" t="s">
        <v>56</v>
      </c>
      <c r="D576" t="s">
        <v>57</v>
      </c>
      <c r="E576" t="s">
        <v>78</v>
      </c>
      <c r="F576">
        <v>4229.4321199999995</v>
      </c>
      <c r="G576">
        <v>2101.36</v>
      </c>
      <c r="H576">
        <v>2128.0721199999994</v>
      </c>
      <c r="I576">
        <f>Staging!Q567*(Staging!T567*(1+QtyUplift))*(1-MIN(Staging!R567,DiscountCap))</f>
        <v>4652.3753320000005</v>
      </c>
      <c r="J576">
        <f>Staging!P567*(1+CostInflation)*Staging!T567*(1+QtyUplift)</f>
        <v>2993.3873200000003</v>
      </c>
      <c r="K576">
        <f t="shared" si="16"/>
        <v>1658.9880120000003</v>
      </c>
      <c r="L576">
        <v>656.37628000000132</v>
      </c>
      <c r="M576">
        <f t="shared" si="17"/>
        <v>-469.08410799999911</v>
      </c>
    </row>
    <row r="577" spans="2:13" x14ac:dyDescent="0.3">
      <c r="B577" t="s">
        <v>1232</v>
      </c>
      <c r="C577" t="s">
        <v>84</v>
      </c>
      <c r="D577" t="s">
        <v>22</v>
      </c>
      <c r="E577" t="s">
        <v>16</v>
      </c>
      <c r="F577">
        <v>17540.201120000002</v>
      </c>
      <c r="G577">
        <v>16035.76</v>
      </c>
      <c r="H577">
        <v>1504.4411200000013</v>
      </c>
      <c r="I577">
        <f>Staging!Q568*(Staging!T568*(1+QtyUplift))*(1-MIN(Staging!R568,DiscountCap))</f>
        <v>19294.221232</v>
      </c>
      <c r="J577">
        <f>Staging!P568*(1+CostInflation)*Staging!T568*(1+QtyUplift)</f>
        <v>22842.940119999999</v>
      </c>
      <c r="K577">
        <f t="shared" si="16"/>
        <v>-3548.7188879999994</v>
      </c>
      <c r="L577">
        <v>2327.9900799999996</v>
      </c>
      <c r="M577">
        <f t="shared" si="17"/>
        <v>-5053.1600080000007</v>
      </c>
    </row>
    <row r="578" spans="2:13" x14ac:dyDescent="0.3">
      <c r="B578" t="s">
        <v>1234</v>
      </c>
      <c r="C578" t="s">
        <v>75</v>
      </c>
      <c r="D578" t="s">
        <v>57</v>
      </c>
      <c r="E578" t="s">
        <v>16</v>
      </c>
      <c r="F578">
        <v>44173.627960000005</v>
      </c>
      <c r="G578">
        <v>26913.45</v>
      </c>
      <c r="H578">
        <v>17260.177960000005</v>
      </c>
      <c r="I578">
        <f>Staging!Q569*(Staging!T569*(1+QtyUplift))*(1-MIN(Staging!R569,DiscountCap))</f>
        <v>48590.990755999999</v>
      </c>
      <c r="J578">
        <f>Staging!P569*(1+CostInflation)*Staging!T569*(1+QtyUplift)</f>
        <v>38338.209525000006</v>
      </c>
      <c r="K578">
        <f t="shared" si="16"/>
        <v>10252.781230999994</v>
      </c>
      <c r="L578">
        <v>4417.362795999994</v>
      </c>
      <c r="M578">
        <f t="shared" si="17"/>
        <v>-7007.396729000011</v>
      </c>
    </row>
    <row r="579" spans="2:13" x14ac:dyDescent="0.3">
      <c r="B579" t="s">
        <v>1236</v>
      </c>
      <c r="C579" t="s">
        <v>68</v>
      </c>
      <c r="D579" t="s">
        <v>64</v>
      </c>
      <c r="E579" t="s">
        <v>78</v>
      </c>
      <c r="F579">
        <v>25079.480689999997</v>
      </c>
      <c r="G579">
        <v>12591.56</v>
      </c>
      <c r="H579">
        <v>12487.920689999997</v>
      </c>
      <c r="I579">
        <f>Staging!Q570*(Staging!T570*(1+QtyUplift))*(1-MIN(Staging!R570,DiscountCap))</f>
        <v>27587.428759000006</v>
      </c>
      <c r="J579">
        <f>Staging!P570*(1+CostInflation)*Staging!T570*(1+QtyUplift)</f>
        <v>17936.677219999998</v>
      </c>
      <c r="K579">
        <f t="shared" si="16"/>
        <v>9650.7515390000081</v>
      </c>
      <c r="L579">
        <v>5840.4270100000103</v>
      </c>
      <c r="M579">
        <f t="shared" si="17"/>
        <v>-2837.1691509999891</v>
      </c>
    </row>
    <row r="580" spans="2:13" x14ac:dyDescent="0.3">
      <c r="B580" t="s">
        <v>1238</v>
      </c>
      <c r="C580" t="s">
        <v>21</v>
      </c>
      <c r="D580" t="s">
        <v>35</v>
      </c>
      <c r="E580" t="s">
        <v>52</v>
      </c>
      <c r="F580">
        <v>34307.159999999996</v>
      </c>
      <c r="G580">
        <v>16884.599999999999</v>
      </c>
      <c r="H580">
        <v>17422.559999999998</v>
      </c>
      <c r="I580">
        <f>Staging!Q571*(Staging!T571*(1+QtyUplift))*(1-MIN(Staging!R571,DiscountCap))</f>
        <v>37737.876000000004</v>
      </c>
      <c r="J580">
        <f>Staging!P571*(1+CostInflation)*Staging!T571*(1+QtyUplift)</f>
        <v>24052.112699999998</v>
      </c>
      <c r="K580">
        <f t="shared" si="16"/>
        <v>13685.763300000006</v>
      </c>
      <c r="L580">
        <v>3430.7160000000076</v>
      </c>
      <c r="M580">
        <f t="shared" si="17"/>
        <v>-3736.7966999999917</v>
      </c>
    </row>
    <row r="581" spans="2:13" x14ac:dyDescent="0.3">
      <c r="B581" t="s">
        <v>1240</v>
      </c>
      <c r="C581" t="s">
        <v>41</v>
      </c>
      <c r="D581" t="s">
        <v>22</v>
      </c>
      <c r="E581" t="s">
        <v>45</v>
      </c>
      <c r="F581">
        <v>3378.1478400000001</v>
      </c>
      <c r="G581">
        <v>1666.8000000000002</v>
      </c>
      <c r="H581">
        <v>1711.3478399999999</v>
      </c>
      <c r="I581">
        <f>Staging!Q572*(Staging!T572*(1+QtyUplift))*(1-MIN(Staging!R572,DiscountCap))</f>
        <v>3715.9626240000002</v>
      </c>
      <c r="J581">
        <f>Staging!P572*(1+CostInflation)*Staging!T572*(1+QtyUplift)</f>
        <v>2374.3566000000001</v>
      </c>
      <c r="K581">
        <f t="shared" si="16"/>
        <v>1341.6060240000002</v>
      </c>
      <c r="L581">
        <v>337.81478400000015</v>
      </c>
      <c r="M581">
        <f t="shared" si="17"/>
        <v>-369.74181599999974</v>
      </c>
    </row>
    <row r="582" spans="2:13" x14ac:dyDescent="0.3">
      <c r="B582" t="s">
        <v>1242</v>
      </c>
      <c r="C582" t="s">
        <v>63</v>
      </c>
      <c r="D582" t="s">
        <v>81</v>
      </c>
      <c r="E582" t="s">
        <v>45</v>
      </c>
      <c r="F582">
        <v>4577.1480000000001</v>
      </c>
      <c r="G582">
        <v>3346.85</v>
      </c>
      <c r="H582">
        <v>1230.2980000000002</v>
      </c>
      <c r="I582">
        <f>Staging!Q573*(Staging!T573*(1+QtyUplift))*(1-MIN(Staging!R573,DiscountCap))</f>
        <v>5034.8628000000008</v>
      </c>
      <c r="J582">
        <f>Staging!P573*(1+CostInflation)*Staging!T573*(1+QtyUplift)</f>
        <v>4767.5878249999996</v>
      </c>
      <c r="K582">
        <f t="shared" si="16"/>
        <v>267.27497500000118</v>
      </c>
      <c r="L582">
        <v>457.71480000000065</v>
      </c>
      <c r="M582">
        <f t="shared" si="17"/>
        <v>-963.02302499999905</v>
      </c>
    </row>
    <row r="583" spans="2:13" x14ac:dyDescent="0.3">
      <c r="B583" t="s">
        <v>1244</v>
      </c>
      <c r="C583" t="s">
        <v>29</v>
      </c>
      <c r="D583" t="s">
        <v>42</v>
      </c>
      <c r="E583" t="s">
        <v>45</v>
      </c>
      <c r="F583">
        <v>841.00536</v>
      </c>
      <c r="G583">
        <v>452.77</v>
      </c>
      <c r="H583">
        <v>388.23536000000001</v>
      </c>
      <c r="I583">
        <f>Staging!Q574*(Staging!T574*(1+QtyUplift))*(1-MIN(Staging!R574,DiscountCap))</f>
        <v>925.10589600000003</v>
      </c>
      <c r="J583">
        <f>Staging!P574*(1+CostInflation)*Staging!T574*(1+QtyUplift)</f>
        <v>644.97086499999989</v>
      </c>
      <c r="K583">
        <f t="shared" si="16"/>
        <v>280.13503100000014</v>
      </c>
      <c r="L583">
        <v>84.100536000000034</v>
      </c>
      <c r="M583">
        <f t="shared" si="17"/>
        <v>-108.10032899999987</v>
      </c>
    </row>
    <row r="584" spans="2:13" x14ac:dyDescent="0.3">
      <c r="B584" t="s">
        <v>1246</v>
      </c>
      <c r="C584" t="s">
        <v>75</v>
      </c>
      <c r="D584" t="s">
        <v>57</v>
      </c>
      <c r="E584" t="s">
        <v>52</v>
      </c>
      <c r="F584">
        <v>19139.594240000002</v>
      </c>
      <c r="G584">
        <v>14221.12</v>
      </c>
      <c r="H584">
        <v>4918.4742400000014</v>
      </c>
      <c r="I584">
        <f>Staging!Q575*(Staging!T575*(1+QtyUplift))*(1-MIN(Staging!R575,DiscountCap))</f>
        <v>21053.553664000003</v>
      </c>
      <c r="J584">
        <f>Staging!P575*(1+CostInflation)*Staging!T575*(1+QtyUplift)</f>
        <v>20257.98544</v>
      </c>
      <c r="K584">
        <f t="shared" si="16"/>
        <v>795.56822400000237</v>
      </c>
      <c r="L584">
        <v>4754.7289600000004</v>
      </c>
      <c r="M584">
        <f t="shared" si="17"/>
        <v>-4122.906015999999</v>
      </c>
    </row>
    <row r="585" spans="2:13" x14ac:dyDescent="0.3">
      <c r="B585" t="s">
        <v>1248</v>
      </c>
      <c r="C585" t="s">
        <v>95</v>
      </c>
      <c r="D585" t="s">
        <v>64</v>
      </c>
      <c r="E585" t="s">
        <v>52</v>
      </c>
      <c r="F585">
        <v>14466.95104</v>
      </c>
      <c r="G585">
        <v>14553.7</v>
      </c>
      <c r="H585">
        <v>-86.748960000000807</v>
      </c>
      <c r="I585">
        <f>Staging!Q576*(Staging!T576*(1+QtyUplift))*(1-MIN(Staging!R576,DiscountCap))</f>
        <v>15913.646144000002</v>
      </c>
      <c r="J585">
        <f>Staging!P576*(1+CostInflation)*Staging!T576*(1+QtyUplift)</f>
        <v>20731.745650000001</v>
      </c>
      <c r="K585">
        <f t="shared" si="16"/>
        <v>-4818.0995059999987</v>
      </c>
      <c r="L585">
        <v>1446.6951040000022</v>
      </c>
      <c r="M585">
        <f t="shared" si="17"/>
        <v>-4731.3505459999978</v>
      </c>
    </row>
    <row r="586" spans="2:13" x14ac:dyDescent="0.3">
      <c r="B586" t="s">
        <v>1250</v>
      </c>
      <c r="C586" t="s">
        <v>110</v>
      </c>
      <c r="D586" t="s">
        <v>22</v>
      </c>
      <c r="E586" t="s">
        <v>78</v>
      </c>
      <c r="F586">
        <v>496.98660000000001</v>
      </c>
      <c r="G586">
        <v>407.45</v>
      </c>
      <c r="H586">
        <v>89.536600000000021</v>
      </c>
      <c r="I586">
        <f>Staging!Q577*(Staging!T577*(1+QtyUplift))*(1-MIN(Staging!R577,DiscountCap))</f>
        <v>546.68525999999997</v>
      </c>
      <c r="J586">
        <f>Staging!P577*(1+CostInflation)*Staging!T577*(1+QtyUplift)</f>
        <v>580.41252500000007</v>
      </c>
      <c r="K586">
        <f t="shared" si="16"/>
        <v>-33.727265000000102</v>
      </c>
      <c r="L586">
        <v>62.759399999999971</v>
      </c>
      <c r="M586">
        <f t="shared" si="17"/>
        <v>-123.26386500000012</v>
      </c>
    </row>
    <row r="587" spans="2:13" x14ac:dyDescent="0.3">
      <c r="B587" t="s">
        <v>1252</v>
      </c>
      <c r="C587" t="s">
        <v>68</v>
      </c>
      <c r="D587" t="s">
        <v>35</v>
      </c>
      <c r="E587" t="s">
        <v>52</v>
      </c>
      <c r="F587">
        <v>12091.190399999999</v>
      </c>
      <c r="G587">
        <v>10479.9</v>
      </c>
      <c r="H587">
        <v>1611.2903999999999</v>
      </c>
      <c r="I587">
        <f>Staging!Q578*(Staging!T578*(1+QtyUplift))*(1-MIN(Staging!R578,DiscountCap))</f>
        <v>13300.309440000001</v>
      </c>
      <c r="J587">
        <f>Staging!P578*(1+CostInflation)*Staging!T578*(1+QtyUplift)</f>
        <v>14928.617550000001</v>
      </c>
      <c r="K587">
        <f t="shared" si="16"/>
        <v>-1628.3081099999999</v>
      </c>
      <c r="L587">
        <v>1209.1190400000014</v>
      </c>
      <c r="M587">
        <f t="shared" si="17"/>
        <v>-3239.5985099999998</v>
      </c>
    </row>
    <row r="588" spans="2:13" x14ac:dyDescent="0.3">
      <c r="B588" t="s">
        <v>1254</v>
      </c>
      <c r="C588" t="s">
        <v>84</v>
      </c>
      <c r="D588" t="s">
        <v>35</v>
      </c>
      <c r="E588" t="s">
        <v>52</v>
      </c>
      <c r="F588">
        <v>13882.6016</v>
      </c>
      <c r="G588">
        <v>7541.34</v>
      </c>
      <c r="H588">
        <v>6341.2615999999998</v>
      </c>
      <c r="I588">
        <f>Staging!Q579*(Staging!T579*(1+QtyUplift))*(1-MIN(Staging!R579,DiscountCap))</f>
        <v>15270.861760000003</v>
      </c>
      <c r="J588">
        <f>Staging!P579*(1+CostInflation)*Staging!T579*(1+QtyUplift)</f>
        <v>10742.63883</v>
      </c>
      <c r="K588">
        <f t="shared" ref="K588:K642" si="18">I588-J588</f>
        <v>4528.2229300000035</v>
      </c>
      <c r="L588">
        <v>1388.2601600000035</v>
      </c>
      <c r="M588">
        <f t="shared" ref="M588:M642" si="19">K588-H588</f>
        <v>-1813.0386699999963</v>
      </c>
    </row>
    <row r="589" spans="2:13" x14ac:dyDescent="0.3">
      <c r="B589" t="s">
        <v>1256</v>
      </c>
      <c r="C589" t="s">
        <v>34</v>
      </c>
      <c r="D589" t="s">
        <v>81</v>
      </c>
      <c r="E589" t="s">
        <v>78</v>
      </c>
      <c r="F589">
        <v>6732.4334000000008</v>
      </c>
      <c r="G589">
        <v>5258.96</v>
      </c>
      <c r="H589">
        <v>1473.4734000000008</v>
      </c>
      <c r="I589">
        <f>Staging!Q580*(Staging!T580*(1+QtyUplift))*(1-MIN(Staging!R580,DiscountCap))</f>
        <v>7405.6767400000017</v>
      </c>
      <c r="J589">
        <f>Staging!P580*(1+CostInflation)*Staging!T580*(1+QtyUplift)</f>
        <v>7491.3885200000004</v>
      </c>
      <c r="K589">
        <f t="shared" si="18"/>
        <v>-85.711779999998726</v>
      </c>
      <c r="L589">
        <v>972.89500000000135</v>
      </c>
      <c r="M589">
        <f t="shared" si="19"/>
        <v>-1559.1851799999995</v>
      </c>
    </row>
    <row r="590" spans="2:13" x14ac:dyDescent="0.3">
      <c r="B590" t="s">
        <v>1258</v>
      </c>
      <c r="C590" t="s">
        <v>63</v>
      </c>
      <c r="D590" t="s">
        <v>35</v>
      </c>
      <c r="E590" t="s">
        <v>78</v>
      </c>
      <c r="F590">
        <v>4280.6786400000001</v>
      </c>
      <c r="G590">
        <v>2303.42</v>
      </c>
      <c r="H590">
        <v>1977.25864</v>
      </c>
      <c r="I590">
        <f>Staging!Q581*(Staging!T581*(1+QtyUplift))*(1-MIN(Staging!R581,DiscountCap))</f>
        <v>4708.7465040000006</v>
      </c>
      <c r="J590">
        <f>Staging!P581*(1+CostInflation)*Staging!T581*(1+QtyUplift)</f>
        <v>3281.2217900000001</v>
      </c>
      <c r="K590">
        <f t="shared" si="18"/>
        <v>1427.5247140000006</v>
      </c>
      <c r="L590">
        <v>428.06786400000055</v>
      </c>
      <c r="M590">
        <f t="shared" si="19"/>
        <v>-549.73392599999943</v>
      </c>
    </row>
    <row r="591" spans="2:13" x14ac:dyDescent="0.3">
      <c r="B591" t="s">
        <v>1260</v>
      </c>
      <c r="C591" t="s">
        <v>21</v>
      </c>
      <c r="D591" t="s">
        <v>42</v>
      </c>
      <c r="E591" t="s">
        <v>16</v>
      </c>
      <c r="F591">
        <v>7173.3342799999991</v>
      </c>
      <c r="G591">
        <v>6628.81</v>
      </c>
      <c r="H591">
        <v>544.52427999999873</v>
      </c>
      <c r="I591">
        <f>Staging!Q582*(Staging!T582*(1+QtyUplift))*(1-MIN(Staging!R582,DiscountCap))</f>
        <v>7890.6677080000009</v>
      </c>
      <c r="J591">
        <f>Staging!P582*(1+CostInflation)*Staging!T582*(1+QtyUplift)</f>
        <v>9442.7398450000001</v>
      </c>
      <c r="K591">
        <f t="shared" si="18"/>
        <v>-1552.0721369999992</v>
      </c>
      <c r="L591">
        <v>1008.2336200000018</v>
      </c>
      <c r="M591">
        <f t="shared" si="19"/>
        <v>-2096.5964169999979</v>
      </c>
    </row>
    <row r="592" spans="2:13" x14ac:dyDescent="0.3">
      <c r="B592" t="s">
        <v>1262</v>
      </c>
      <c r="C592" t="s">
        <v>75</v>
      </c>
      <c r="D592" t="s">
        <v>22</v>
      </c>
      <c r="E592" t="s">
        <v>52</v>
      </c>
      <c r="F592">
        <v>6137.8019999999988</v>
      </c>
      <c r="G592">
        <v>2581.1999999999998</v>
      </c>
      <c r="H592">
        <v>3556.601999999999</v>
      </c>
      <c r="I592">
        <f>Staging!Q583*(Staging!T583*(1+QtyUplift))*(1-MIN(Staging!R583,DiscountCap))</f>
        <v>6751.5822000000007</v>
      </c>
      <c r="J592">
        <f>Staging!P583*(1+CostInflation)*Staging!T583*(1+QtyUplift)</f>
        <v>3676.9193999999998</v>
      </c>
      <c r="K592">
        <f t="shared" si="18"/>
        <v>3074.662800000001</v>
      </c>
      <c r="L592">
        <v>613.78020000000197</v>
      </c>
      <c r="M592">
        <f t="shared" si="19"/>
        <v>-481.93919999999798</v>
      </c>
    </row>
    <row r="593" spans="2:13" x14ac:dyDescent="0.3">
      <c r="B593" t="s">
        <v>1264</v>
      </c>
      <c r="C593" t="s">
        <v>145</v>
      </c>
      <c r="D593" t="s">
        <v>64</v>
      </c>
      <c r="E593" t="s">
        <v>52</v>
      </c>
      <c r="F593">
        <v>1801.4076000000002</v>
      </c>
      <c r="G593">
        <v>1129.68</v>
      </c>
      <c r="H593">
        <v>671.72760000000017</v>
      </c>
      <c r="I593">
        <f>Staging!Q584*(Staging!T584*(1+QtyUplift))*(1-MIN(Staging!R584,DiscountCap))</f>
        <v>1981.5483600000002</v>
      </c>
      <c r="J593">
        <f>Staging!P584*(1+CostInflation)*Staging!T584*(1+QtyUplift)</f>
        <v>1609.2291600000001</v>
      </c>
      <c r="K593">
        <f t="shared" si="18"/>
        <v>372.31920000000014</v>
      </c>
      <c r="L593">
        <v>502.71839999999997</v>
      </c>
      <c r="M593">
        <f t="shared" si="19"/>
        <v>-299.40840000000003</v>
      </c>
    </row>
    <row r="594" spans="2:13" x14ac:dyDescent="0.3">
      <c r="B594" t="s">
        <v>1266</v>
      </c>
      <c r="C594" t="s">
        <v>75</v>
      </c>
      <c r="D594" t="s">
        <v>57</v>
      </c>
      <c r="E594" t="s">
        <v>45</v>
      </c>
      <c r="F594">
        <v>40563.321749999996</v>
      </c>
      <c r="G594">
        <v>28731.57</v>
      </c>
      <c r="H594">
        <v>11831.751749999996</v>
      </c>
      <c r="I594">
        <f>Staging!Q585*(Staging!T585*(1+QtyUplift))*(1-MIN(Staging!R585,DiscountCap))</f>
        <v>44619.653924999999</v>
      </c>
      <c r="J594">
        <f>Staging!P585*(1+CostInflation)*Staging!T585*(1+QtyUplift)</f>
        <v>40928.121465000004</v>
      </c>
      <c r="K594">
        <f t="shared" si="18"/>
        <v>3691.5324599999949</v>
      </c>
      <c r="L594">
        <v>7414.8007500000094</v>
      </c>
      <c r="M594">
        <f t="shared" si="19"/>
        <v>-8140.2192900000009</v>
      </c>
    </row>
    <row r="595" spans="2:13" x14ac:dyDescent="0.3">
      <c r="B595" t="s">
        <v>1268</v>
      </c>
      <c r="C595" t="s">
        <v>92</v>
      </c>
      <c r="D595" t="s">
        <v>57</v>
      </c>
      <c r="E595" t="s">
        <v>16</v>
      </c>
      <c r="F595">
        <v>3823.6151599999998</v>
      </c>
      <c r="G595">
        <v>2572.84</v>
      </c>
      <c r="H595">
        <v>1250.7751599999997</v>
      </c>
      <c r="I595">
        <f>Staging!Q586*(Staging!T586*(1+QtyUplift))*(1-MIN(Staging!R586,DiscountCap))</f>
        <v>4205.9766760000002</v>
      </c>
      <c r="J595">
        <f>Staging!P586*(1+CostInflation)*Staging!T586*(1+QtyUplift)</f>
        <v>3665.0105800000001</v>
      </c>
      <c r="K595">
        <f t="shared" si="18"/>
        <v>540.96609600000011</v>
      </c>
      <c r="L595">
        <v>583.11244000000033</v>
      </c>
      <c r="M595">
        <f t="shared" si="19"/>
        <v>-709.80906399999958</v>
      </c>
    </row>
    <row r="596" spans="2:13" x14ac:dyDescent="0.3">
      <c r="B596" t="s">
        <v>1270</v>
      </c>
      <c r="C596" t="s">
        <v>49</v>
      </c>
      <c r="D596" t="s">
        <v>42</v>
      </c>
      <c r="E596" t="s">
        <v>52</v>
      </c>
      <c r="F596">
        <v>22676.312610000001</v>
      </c>
      <c r="G596">
        <v>15107.609999999999</v>
      </c>
      <c r="H596">
        <v>7568.7026100000021</v>
      </c>
      <c r="I596">
        <f>Staging!Q587*(Staging!T587*(1+QtyUplift))*(1-MIN(Staging!R587,DiscountCap))</f>
        <v>24943.943871000003</v>
      </c>
      <c r="J596">
        <f>Staging!P587*(1+CostInflation)*Staging!T587*(1+QtyUplift)</f>
        <v>21520.790444999999</v>
      </c>
      <c r="K596">
        <f t="shared" si="18"/>
        <v>3423.1534260000044</v>
      </c>
      <c r="L596">
        <v>2267.6312610000023</v>
      </c>
      <c r="M596">
        <f t="shared" si="19"/>
        <v>-4145.5491839999977</v>
      </c>
    </row>
    <row r="597" spans="2:13" x14ac:dyDescent="0.3">
      <c r="B597" t="s">
        <v>1272</v>
      </c>
      <c r="C597" t="s">
        <v>49</v>
      </c>
      <c r="D597" t="s">
        <v>42</v>
      </c>
      <c r="E597" t="s">
        <v>52</v>
      </c>
      <c r="F597">
        <v>370.86</v>
      </c>
      <c r="G597">
        <v>193.5</v>
      </c>
      <c r="H597">
        <v>177.36</v>
      </c>
      <c r="I597">
        <f>Staging!Q588*(Staging!T588*(1+QtyUplift))*(1-MIN(Staging!R588,DiscountCap))</f>
        <v>407.94600000000003</v>
      </c>
      <c r="J597">
        <f>Staging!P588*(1+CostInflation)*Staging!T588*(1+QtyUplift)</f>
        <v>275.64075000000003</v>
      </c>
      <c r="K597">
        <f t="shared" si="18"/>
        <v>132.30525</v>
      </c>
      <c r="L597">
        <v>37.086000000000013</v>
      </c>
      <c r="M597">
        <f t="shared" si="19"/>
        <v>-45.054750000000013</v>
      </c>
    </row>
    <row r="598" spans="2:13" x14ac:dyDescent="0.3">
      <c r="B598" t="s">
        <v>1274</v>
      </c>
      <c r="C598" t="s">
        <v>49</v>
      </c>
      <c r="D598" t="s">
        <v>22</v>
      </c>
      <c r="E598" t="s">
        <v>16</v>
      </c>
      <c r="F598">
        <v>25131.155999999999</v>
      </c>
      <c r="G598">
        <v>19724.48</v>
      </c>
      <c r="H598">
        <v>5406.6759999999995</v>
      </c>
      <c r="I598">
        <f>Staging!Q589*(Staging!T589*(1+QtyUplift))*(1-MIN(Staging!R589,DiscountCap))</f>
        <v>27644.271600000004</v>
      </c>
      <c r="J598">
        <f>Staging!P589*(1+CostInflation)*Staging!T589*(1+QtyUplift)</f>
        <v>28097.52176</v>
      </c>
      <c r="K598">
        <f t="shared" si="18"/>
        <v>-453.25015999999596</v>
      </c>
      <c r="L598">
        <v>2513.1156000000046</v>
      </c>
      <c r="M598">
        <f t="shared" si="19"/>
        <v>-5859.9261599999954</v>
      </c>
    </row>
    <row r="599" spans="2:13" x14ac:dyDescent="0.3">
      <c r="B599" t="s">
        <v>1276</v>
      </c>
      <c r="C599" t="s">
        <v>84</v>
      </c>
      <c r="D599" t="s">
        <v>42</v>
      </c>
      <c r="E599" t="s">
        <v>45</v>
      </c>
      <c r="F599">
        <v>68665.574250000005</v>
      </c>
      <c r="G599">
        <v>34178.25</v>
      </c>
      <c r="H599">
        <v>34487.324250000005</v>
      </c>
      <c r="I599">
        <f>Staging!Q590*(Staging!T590*(1+QtyUplift))*(1-MIN(Staging!R590,DiscountCap))</f>
        <v>75532.131675000026</v>
      </c>
      <c r="J599">
        <f>Staging!P590*(1+CostInflation)*Staging!T590*(1+QtyUplift)</f>
        <v>48686.917125</v>
      </c>
      <c r="K599">
        <f t="shared" si="18"/>
        <v>26845.214550000026</v>
      </c>
      <c r="L599">
        <v>7119.1732500000217</v>
      </c>
      <c r="M599">
        <f t="shared" si="19"/>
        <v>-7642.1096999999791</v>
      </c>
    </row>
    <row r="600" spans="2:13" x14ac:dyDescent="0.3">
      <c r="B600" t="s">
        <v>1278</v>
      </c>
      <c r="C600" t="s">
        <v>95</v>
      </c>
      <c r="D600" t="s">
        <v>81</v>
      </c>
      <c r="E600" t="s">
        <v>78</v>
      </c>
      <c r="F600">
        <v>12040.64352</v>
      </c>
      <c r="G600">
        <v>6163.5599999999995</v>
      </c>
      <c r="H600">
        <v>5877.0835200000001</v>
      </c>
      <c r="I600">
        <f>Staging!Q591*(Staging!T591*(1+QtyUplift))*(1-MIN(Staging!R591,DiscountCap))</f>
        <v>13244.707872000001</v>
      </c>
      <c r="J600">
        <f>Staging!P591*(1+CostInflation)*Staging!T591*(1+QtyUplift)</f>
        <v>8779.9912199999999</v>
      </c>
      <c r="K600">
        <f t="shared" si="18"/>
        <v>4464.716652000001</v>
      </c>
      <c r="L600">
        <v>1204.0643520000012</v>
      </c>
      <c r="M600">
        <f t="shared" si="19"/>
        <v>-1412.3668679999992</v>
      </c>
    </row>
    <row r="601" spans="2:13" x14ac:dyDescent="0.3">
      <c r="B601" t="s">
        <v>1280</v>
      </c>
      <c r="C601" t="s">
        <v>110</v>
      </c>
      <c r="D601" t="s">
        <v>81</v>
      </c>
      <c r="E601" t="s">
        <v>78</v>
      </c>
      <c r="F601">
        <v>9022.35</v>
      </c>
      <c r="G601">
        <v>11858.099999999999</v>
      </c>
      <c r="H601">
        <v>-2835.7499999999982</v>
      </c>
      <c r="I601">
        <f>Staging!Q592*(Staging!T592*(1+QtyUplift))*(1-MIN(Staging!R592,DiscountCap))</f>
        <v>9924.5850000000009</v>
      </c>
      <c r="J601">
        <f>Staging!P592*(1+CostInflation)*Staging!T592*(1+QtyUplift)</f>
        <v>16891.863450000001</v>
      </c>
      <c r="K601">
        <f t="shared" si="18"/>
        <v>-6967.2784499999998</v>
      </c>
      <c r="L601">
        <v>902.23500000000058</v>
      </c>
      <c r="M601">
        <f t="shared" si="19"/>
        <v>-4131.5284500000016</v>
      </c>
    </row>
    <row r="602" spans="2:13" x14ac:dyDescent="0.3">
      <c r="B602" t="s">
        <v>1282</v>
      </c>
      <c r="C602" t="s">
        <v>63</v>
      </c>
      <c r="D602" t="s">
        <v>22</v>
      </c>
      <c r="E602" t="s">
        <v>78</v>
      </c>
      <c r="F602">
        <v>11742.8703</v>
      </c>
      <c r="G602">
        <v>9958.5</v>
      </c>
      <c r="H602">
        <v>1784.3703000000005</v>
      </c>
      <c r="I602">
        <f>Staging!Q593*(Staging!T593*(1+QtyUplift))*(1-MIN(Staging!R593,DiscountCap))</f>
        <v>12917.157330000002</v>
      </c>
      <c r="J602">
        <f>Staging!P593*(1+CostInflation)*Staging!T593*(1+QtyUplift)</f>
        <v>14185.883249999999</v>
      </c>
      <c r="K602">
        <f t="shared" si="18"/>
        <v>-1268.7259199999971</v>
      </c>
      <c r="L602">
        <v>2331.5141999999996</v>
      </c>
      <c r="M602">
        <f t="shared" si="19"/>
        <v>-3053.0962199999976</v>
      </c>
    </row>
    <row r="603" spans="2:13" x14ac:dyDescent="0.3">
      <c r="B603" t="s">
        <v>1284</v>
      </c>
      <c r="C603" t="s">
        <v>49</v>
      </c>
      <c r="D603" t="s">
        <v>35</v>
      </c>
      <c r="E603" t="s">
        <v>52</v>
      </c>
      <c r="F603">
        <v>51768.181920000003</v>
      </c>
      <c r="G603">
        <v>26413.66</v>
      </c>
      <c r="H603">
        <v>25354.521920000003</v>
      </c>
      <c r="I603">
        <f>Staging!Q594*(Staging!T594*(1+QtyUplift))*(1-MIN(Staging!R594,DiscountCap))</f>
        <v>56945.000112000009</v>
      </c>
      <c r="J603">
        <f>Staging!P594*(1+CostInflation)*Staging!T594*(1+QtyUplift)</f>
        <v>37626.258669999996</v>
      </c>
      <c r="K603">
        <f t="shared" si="18"/>
        <v>19318.741442000013</v>
      </c>
      <c r="L603">
        <v>8244.113280000005</v>
      </c>
      <c r="M603">
        <f t="shared" si="19"/>
        <v>-6035.7804779999897</v>
      </c>
    </row>
    <row r="604" spans="2:13" x14ac:dyDescent="0.3">
      <c r="B604" t="s">
        <v>1286</v>
      </c>
      <c r="C604" t="s">
        <v>84</v>
      </c>
      <c r="D604" t="s">
        <v>64</v>
      </c>
      <c r="E604" t="s">
        <v>45</v>
      </c>
      <c r="F604">
        <v>5725.6496000000006</v>
      </c>
      <c r="G604">
        <v>6262.6</v>
      </c>
      <c r="H604">
        <v>-536.95039999999972</v>
      </c>
      <c r="I604">
        <f>Staging!Q595*(Staging!T595*(1+QtyUplift))*(1-MIN(Staging!R595,DiscountCap))</f>
        <v>6298.2145600000003</v>
      </c>
      <c r="J604">
        <f>Staging!P595*(1+CostInflation)*Staging!T595*(1+QtyUplift)</f>
        <v>8921.073699999999</v>
      </c>
      <c r="K604">
        <f t="shared" si="18"/>
        <v>-2622.8591399999987</v>
      </c>
      <c r="L604">
        <v>1289.6883999999991</v>
      </c>
      <c r="M604">
        <f t="shared" si="19"/>
        <v>-2085.9087399999989</v>
      </c>
    </row>
    <row r="605" spans="2:13" x14ac:dyDescent="0.3">
      <c r="B605" t="s">
        <v>1288</v>
      </c>
      <c r="C605" t="s">
        <v>21</v>
      </c>
      <c r="D605" t="s">
        <v>81</v>
      </c>
      <c r="E605" t="s">
        <v>78</v>
      </c>
      <c r="F605">
        <v>8366.02</v>
      </c>
      <c r="G605">
        <v>4144.79</v>
      </c>
      <c r="H605">
        <v>4221.2300000000005</v>
      </c>
      <c r="I605">
        <f>Staging!Q596*(Staging!T596*(1+QtyUplift))*(1-MIN(Staging!R596,DiscountCap))</f>
        <v>9202.6220000000012</v>
      </c>
      <c r="J605">
        <f>Staging!P596*(1+CostInflation)*Staging!T596*(1+QtyUplift)</f>
        <v>5904.2533549999998</v>
      </c>
      <c r="K605">
        <f t="shared" si="18"/>
        <v>3298.3686450000014</v>
      </c>
      <c r="L605">
        <v>836.60200000000077</v>
      </c>
      <c r="M605">
        <f t="shared" si="19"/>
        <v>-922.86135499999909</v>
      </c>
    </row>
    <row r="606" spans="2:13" x14ac:dyDescent="0.3">
      <c r="B606" t="s">
        <v>1290</v>
      </c>
      <c r="C606" t="s">
        <v>95</v>
      </c>
      <c r="D606" t="s">
        <v>57</v>
      </c>
      <c r="E606" t="s">
        <v>16</v>
      </c>
      <c r="F606">
        <v>14910.609600000002</v>
      </c>
      <c r="G606">
        <v>6780.87</v>
      </c>
      <c r="H606">
        <v>8129.7396000000017</v>
      </c>
      <c r="I606">
        <f>Staging!Q597*(Staging!T597*(1+QtyUplift))*(1-MIN(Staging!R597,DiscountCap))</f>
        <v>16401.670560000002</v>
      </c>
      <c r="J606">
        <f>Staging!P597*(1+CostInflation)*Staging!T597*(1+QtyUplift)</f>
        <v>9659.3493149999995</v>
      </c>
      <c r="K606">
        <f t="shared" si="18"/>
        <v>6742.3212450000028</v>
      </c>
      <c r="L606">
        <v>1491.0609600000007</v>
      </c>
      <c r="M606">
        <f t="shared" si="19"/>
        <v>-1387.4183549999989</v>
      </c>
    </row>
    <row r="607" spans="2:13" x14ac:dyDescent="0.3">
      <c r="B607" t="s">
        <v>1292</v>
      </c>
      <c r="C607" t="s">
        <v>145</v>
      </c>
      <c r="D607" t="s">
        <v>22</v>
      </c>
      <c r="E607" t="s">
        <v>52</v>
      </c>
      <c r="F607">
        <v>8128.5187499999993</v>
      </c>
      <c r="G607">
        <v>5667.35</v>
      </c>
      <c r="H607">
        <v>2461.1687499999989</v>
      </c>
      <c r="I607">
        <f>Staging!Q598*(Staging!T598*(1+QtyUplift))*(1-MIN(Staging!R598,DiscountCap))</f>
        <v>8941.3706249999996</v>
      </c>
      <c r="J607">
        <f>Staging!P598*(1+CostInflation)*Staging!T598*(1+QtyUplift)</f>
        <v>8073.1400750000003</v>
      </c>
      <c r="K607">
        <f t="shared" si="18"/>
        <v>868.23054999999931</v>
      </c>
      <c r="L607">
        <v>812.85187500000029</v>
      </c>
      <c r="M607">
        <f t="shared" si="19"/>
        <v>-1592.9381999999996</v>
      </c>
    </row>
    <row r="608" spans="2:13" x14ac:dyDescent="0.3">
      <c r="B608" t="s">
        <v>1294</v>
      </c>
      <c r="C608" t="s">
        <v>75</v>
      </c>
      <c r="D608" t="s">
        <v>30</v>
      </c>
      <c r="E608" t="s">
        <v>16</v>
      </c>
      <c r="F608">
        <v>3116.21</v>
      </c>
      <c r="G608">
        <v>1495.1</v>
      </c>
      <c r="H608">
        <v>1621.1100000000001</v>
      </c>
      <c r="I608">
        <f>Staging!Q599*(Staging!T599*(1+QtyUplift))*(1-MIN(Staging!R599,DiscountCap))</f>
        <v>3427.8310000000001</v>
      </c>
      <c r="J608">
        <f>Staging!P599*(1+CostInflation)*Staging!T599*(1+QtyUplift)</f>
        <v>2129.7699499999999</v>
      </c>
      <c r="K608">
        <f t="shared" si="18"/>
        <v>1298.0610500000003</v>
      </c>
      <c r="L608">
        <v>471.05500000000029</v>
      </c>
      <c r="M608">
        <f t="shared" si="19"/>
        <v>-323.04894999999988</v>
      </c>
    </row>
    <row r="609" spans="2:13" x14ac:dyDescent="0.3">
      <c r="B609" t="s">
        <v>1296</v>
      </c>
      <c r="C609" t="s">
        <v>92</v>
      </c>
      <c r="D609" t="s">
        <v>30</v>
      </c>
      <c r="E609" t="s">
        <v>45</v>
      </c>
      <c r="F609">
        <v>4409.5168800000001</v>
      </c>
      <c r="G609">
        <v>3134.88</v>
      </c>
      <c r="H609">
        <v>1274.63688</v>
      </c>
      <c r="I609">
        <f>Staging!Q600*(Staging!T600*(1+QtyUplift))*(1-MIN(Staging!R600,DiscountCap))</f>
        <v>4850.4685680000002</v>
      </c>
      <c r="J609">
        <f>Staging!P600*(1+CostInflation)*Staging!T600*(1+QtyUplift)</f>
        <v>4465.6365599999999</v>
      </c>
      <c r="K609">
        <f t="shared" si="18"/>
        <v>384.83200800000031</v>
      </c>
      <c r="L609">
        <v>960.00552000000062</v>
      </c>
      <c r="M609">
        <f t="shared" si="19"/>
        <v>-889.8048719999997</v>
      </c>
    </row>
    <row r="610" spans="2:13" x14ac:dyDescent="0.3">
      <c r="B610" t="s">
        <v>1298</v>
      </c>
      <c r="C610" t="s">
        <v>110</v>
      </c>
      <c r="D610" t="s">
        <v>64</v>
      </c>
      <c r="E610" t="s">
        <v>52</v>
      </c>
      <c r="F610">
        <v>5962.1422499999999</v>
      </c>
      <c r="G610">
        <v>4132.5</v>
      </c>
      <c r="H610">
        <v>1829.6422499999999</v>
      </c>
      <c r="I610">
        <f>Staging!Q601*(Staging!T601*(1+QtyUplift))*(1-MIN(Staging!R601,DiscountCap))</f>
        <v>6558.3564750000005</v>
      </c>
      <c r="J610">
        <f>Staging!P601*(1+CostInflation)*Staging!T601*(1+QtyUplift)</f>
        <v>5886.7462500000011</v>
      </c>
      <c r="K610">
        <f t="shared" si="18"/>
        <v>671.61022499999945</v>
      </c>
      <c r="L610">
        <v>845.84025000000111</v>
      </c>
      <c r="M610">
        <f t="shared" si="19"/>
        <v>-1158.0320250000004</v>
      </c>
    </row>
    <row r="611" spans="2:13" x14ac:dyDescent="0.3">
      <c r="B611" t="s">
        <v>1300</v>
      </c>
      <c r="C611" t="s">
        <v>63</v>
      </c>
      <c r="D611" t="s">
        <v>57</v>
      </c>
      <c r="E611" t="s">
        <v>78</v>
      </c>
      <c r="F611">
        <v>33938.142760000002</v>
      </c>
      <c r="G611">
        <v>18723.55</v>
      </c>
      <c r="H611">
        <v>15214.592760000003</v>
      </c>
      <c r="I611">
        <f>Staging!Q602*(Staging!T602*(1+QtyUplift))*(1-MIN(Staging!R602,DiscountCap))</f>
        <v>37331.957036000007</v>
      </c>
      <c r="J611">
        <f>Staging!P602*(1+CostInflation)*Staging!T602*(1+QtyUplift)</f>
        <v>26671.696975000003</v>
      </c>
      <c r="K611">
        <f t="shared" si="18"/>
        <v>10660.260061000004</v>
      </c>
      <c r="L611">
        <v>3393.8142760000046</v>
      </c>
      <c r="M611">
        <f t="shared" si="19"/>
        <v>-4554.3326989999987</v>
      </c>
    </row>
    <row r="612" spans="2:13" x14ac:dyDescent="0.3">
      <c r="B612" t="s">
        <v>1302</v>
      </c>
      <c r="C612" t="s">
        <v>21</v>
      </c>
      <c r="D612" t="s">
        <v>30</v>
      </c>
      <c r="E612" t="s">
        <v>52</v>
      </c>
      <c r="F612">
        <v>7466.3063999999986</v>
      </c>
      <c r="G612">
        <v>9359.07</v>
      </c>
      <c r="H612">
        <v>-1892.7636000000011</v>
      </c>
      <c r="I612">
        <f>Staging!Q603*(Staging!T603*(1+QtyUplift))*(1-MIN(Staging!R603,DiscountCap))</f>
        <v>8212.9370400000007</v>
      </c>
      <c r="J612">
        <f>Staging!P603*(1+CostInflation)*Staging!T603*(1+QtyUplift)</f>
        <v>13331.995214999999</v>
      </c>
      <c r="K612">
        <f t="shared" si="18"/>
        <v>-5119.0581749999983</v>
      </c>
      <c r="L612">
        <v>1333.269000000003</v>
      </c>
      <c r="M612">
        <f t="shared" si="19"/>
        <v>-3226.2945749999972</v>
      </c>
    </row>
    <row r="613" spans="2:13" x14ac:dyDescent="0.3">
      <c r="B613" t="s">
        <v>1304</v>
      </c>
      <c r="C613" t="s">
        <v>84</v>
      </c>
      <c r="D613" t="s">
        <v>35</v>
      </c>
      <c r="E613" t="s">
        <v>78</v>
      </c>
      <c r="F613">
        <v>1062.5902000000001</v>
      </c>
      <c r="G613">
        <v>832.32</v>
      </c>
      <c r="H613">
        <v>230.27020000000005</v>
      </c>
      <c r="I613">
        <f>Staging!Q604*(Staging!T604*(1+QtyUplift))*(1-MIN(Staging!R604,DiscountCap))</f>
        <v>1168.8492200000001</v>
      </c>
      <c r="J613">
        <f>Staging!P604*(1+CostInflation)*Staging!T604*(1+QtyUplift)</f>
        <v>1185.63984</v>
      </c>
      <c r="K613">
        <f t="shared" si="18"/>
        <v>-16.79061999999999</v>
      </c>
      <c r="L613">
        <v>106.25901999999996</v>
      </c>
      <c r="M613">
        <f t="shared" si="19"/>
        <v>-247.06082000000004</v>
      </c>
    </row>
    <row r="614" spans="2:13" x14ac:dyDescent="0.3">
      <c r="B614" t="s">
        <v>1306</v>
      </c>
      <c r="C614" t="s">
        <v>29</v>
      </c>
      <c r="D614" t="s">
        <v>30</v>
      </c>
      <c r="E614" t="s">
        <v>45</v>
      </c>
      <c r="F614">
        <v>39810.328000000001</v>
      </c>
      <c r="G614">
        <v>19454.460000000003</v>
      </c>
      <c r="H614">
        <v>20355.867999999999</v>
      </c>
      <c r="I614">
        <f>Staging!Q605*(Staging!T605*(1+QtyUplift))*(1-MIN(Staging!R605,DiscountCap))</f>
        <v>43791.360800000002</v>
      </c>
      <c r="J614">
        <f>Staging!P605*(1+CostInflation)*Staging!T605*(1+QtyUplift)</f>
        <v>27712.878270000001</v>
      </c>
      <c r="K614">
        <f t="shared" si="18"/>
        <v>16078.482530000001</v>
      </c>
      <c r="L614">
        <v>6556.9952000000048</v>
      </c>
      <c r="M614">
        <f t="shared" si="19"/>
        <v>-4277.3854699999974</v>
      </c>
    </row>
    <row r="615" spans="2:13" x14ac:dyDescent="0.3">
      <c r="B615" t="s">
        <v>1308</v>
      </c>
      <c r="C615" t="s">
        <v>145</v>
      </c>
      <c r="D615" t="s">
        <v>30</v>
      </c>
      <c r="E615" t="s">
        <v>78</v>
      </c>
      <c r="F615">
        <v>5457.4317000000001</v>
      </c>
      <c r="G615">
        <v>2839.6200000000003</v>
      </c>
      <c r="H615">
        <v>2617.8116999999997</v>
      </c>
      <c r="I615">
        <f>Staging!Q606*(Staging!T606*(1+QtyUplift))*(1-MIN(Staging!R606,DiscountCap))</f>
        <v>6003.1748700000016</v>
      </c>
      <c r="J615">
        <f>Staging!P606*(1+CostInflation)*Staging!T606*(1+QtyUplift)</f>
        <v>4045.0386900000003</v>
      </c>
      <c r="K615">
        <f t="shared" si="18"/>
        <v>1958.1361800000013</v>
      </c>
      <c r="L615">
        <v>1212.7626000000009</v>
      </c>
      <c r="M615">
        <f t="shared" si="19"/>
        <v>-659.67551999999841</v>
      </c>
    </row>
    <row r="616" spans="2:13" x14ac:dyDescent="0.3">
      <c r="B616" t="s">
        <v>1310</v>
      </c>
      <c r="C616" t="s">
        <v>56</v>
      </c>
      <c r="D616" t="s">
        <v>57</v>
      </c>
      <c r="E616" t="s">
        <v>52</v>
      </c>
      <c r="F616">
        <v>7071.6331400000008</v>
      </c>
      <c r="G616">
        <v>8961.2900000000009</v>
      </c>
      <c r="H616">
        <v>-1889.6568600000001</v>
      </c>
      <c r="I616">
        <f>Staging!Q607*(Staging!T607*(1+QtyUplift))*(1-MIN(Staging!R607,DiscountCap))</f>
        <v>7778.7964540000012</v>
      </c>
      <c r="J616">
        <f>Staging!P607*(1+CostInflation)*Staging!T607*(1+QtyUplift)</f>
        <v>12765.357605000001</v>
      </c>
      <c r="K616">
        <f t="shared" si="18"/>
        <v>-4986.5611509999999</v>
      </c>
      <c r="L616">
        <v>1529.0017600000001</v>
      </c>
      <c r="M616">
        <f t="shared" si="19"/>
        <v>-3096.9042909999998</v>
      </c>
    </row>
    <row r="617" spans="2:13" x14ac:dyDescent="0.3">
      <c r="B617" t="s">
        <v>1312</v>
      </c>
      <c r="C617" t="s">
        <v>75</v>
      </c>
      <c r="D617" t="s">
        <v>81</v>
      </c>
      <c r="E617" t="s">
        <v>45</v>
      </c>
      <c r="F617">
        <v>13856.52411</v>
      </c>
      <c r="G617">
        <v>13301.42</v>
      </c>
      <c r="H617">
        <v>555.10411000000022</v>
      </c>
      <c r="I617">
        <f>Staging!Q608*(Staging!T608*(1+QtyUplift))*(1-MIN(Staging!R608,DiscountCap))</f>
        <v>15242.176521000001</v>
      </c>
      <c r="J617">
        <f>Staging!P608*(1+CostInflation)*Staging!T608*(1+QtyUplift)</f>
        <v>18947.872790000001</v>
      </c>
      <c r="K617">
        <f t="shared" si="18"/>
        <v>-3705.696269</v>
      </c>
      <c r="L617">
        <v>1436.6295900000005</v>
      </c>
      <c r="M617">
        <f t="shared" si="19"/>
        <v>-4260.8003790000002</v>
      </c>
    </row>
    <row r="618" spans="2:13" x14ac:dyDescent="0.3">
      <c r="B618" t="s">
        <v>1314</v>
      </c>
      <c r="C618" t="s">
        <v>92</v>
      </c>
      <c r="D618" t="s">
        <v>42</v>
      </c>
      <c r="E618" t="s">
        <v>16</v>
      </c>
      <c r="F618">
        <v>29175.036029999999</v>
      </c>
      <c r="G618">
        <v>13196.43</v>
      </c>
      <c r="H618">
        <v>15978.606029999999</v>
      </c>
      <c r="I618">
        <f>Staging!Q609*(Staging!T609*(1+QtyUplift))*(1-MIN(Staging!R609,DiscountCap))</f>
        <v>32092.539633</v>
      </c>
      <c r="J618">
        <f>Staging!P609*(1+CostInflation)*Staging!T609*(1+QtyUplift)</f>
        <v>18798.314535000001</v>
      </c>
      <c r="K618">
        <f t="shared" si="18"/>
        <v>13294.225097999999</v>
      </c>
      <c r="L618">
        <v>2917.503603000001</v>
      </c>
      <c r="M618">
        <f t="shared" si="19"/>
        <v>-2684.380932</v>
      </c>
    </row>
    <row r="619" spans="2:13" x14ac:dyDescent="0.3">
      <c r="B619" t="s">
        <v>1316</v>
      </c>
      <c r="C619" t="s">
        <v>56</v>
      </c>
      <c r="D619" t="s">
        <v>30</v>
      </c>
      <c r="E619" t="s">
        <v>16</v>
      </c>
      <c r="F619">
        <v>2736.27018</v>
      </c>
      <c r="G619">
        <v>2006.6200000000001</v>
      </c>
      <c r="H619">
        <v>729.65017999999986</v>
      </c>
      <c r="I619">
        <f>Staging!Q610*(Staging!T610*(1+QtyUplift))*(1-MIN(Staging!R610,DiscountCap))</f>
        <v>3009.8971980000001</v>
      </c>
      <c r="J619">
        <f>Staging!P610*(1+CostInflation)*Staging!T610*(1+QtyUplift)</f>
        <v>2858.4301900000005</v>
      </c>
      <c r="K619">
        <f t="shared" si="18"/>
        <v>151.46700799999962</v>
      </c>
      <c r="L619">
        <v>500.17842000000064</v>
      </c>
      <c r="M619">
        <f t="shared" si="19"/>
        <v>-578.18317200000024</v>
      </c>
    </row>
    <row r="620" spans="2:13" x14ac:dyDescent="0.3">
      <c r="B620" t="s">
        <v>1318</v>
      </c>
      <c r="C620" t="s">
        <v>68</v>
      </c>
      <c r="D620" t="s">
        <v>22</v>
      </c>
      <c r="E620" t="s">
        <v>16</v>
      </c>
      <c r="F620">
        <v>2077.46</v>
      </c>
      <c r="G620">
        <v>2085.25</v>
      </c>
      <c r="H620">
        <v>-7.7899999999999636</v>
      </c>
      <c r="I620">
        <f>Staging!Q611*(Staging!T611*(1+QtyUplift))*(1-MIN(Staging!R611,DiscountCap))</f>
        <v>2285.2060000000001</v>
      </c>
      <c r="J620">
        <f>Staging!P611*(1+CostInflation)*Staging!T611*(1+QtyUplift)</f>
        <v>2970.4386250000002</v>
      </c>
      <c r="K620">
        <f t="shared" si="18"/>
        <v>-685.2326250000001</v>
      </c>
      <c r="L620">
        <v>259.68250000000035</v>
      </c>
      <c r="M620">
        <f t="shared" si="19"/>
        <v>-677.44262500000013</v>
      </c>
    </row>
    <row r="621" spans="2:13" x14ac:dyDescent="0.3">
      <c r="B621" t="s">
        <v>1320</v>
      </c>
      <c r="C621" t="s">
        <v>68</v>
      </c>
      <c r="D621" t="s">
        <v>30</v>
      </c>
      <c r="E621" t="s">
        <v>52</v>
      </c>
      <c r="F621">
        <v>10260.060159999999</v>
      </c>
      <c r="G621">
        <v>8793.2000000000007</v>
      </c>
      <c r="H621">
        <v>1466.8601599999984</v>
      </c>
      <c r="I621">
        <f>Staging!Q612*(Staging!T612*(1+QtyUplift))*(1-MIN(Staging!R612,DiscountCap))</f>
        <v>11286.066176</v>
      </c>
      <c r="J621">
        <f>Staging!P612*(1+CostInflation)*Staging!T612*(1+QtyUplift)</f>
        <v>12525.913400000001</v>
      </c>
      <c r="K621">
        <f t="shared" si="18"/>
        <v>-1239.847224000001</v>
      </c>
      <c r="L621">
        <v>1076.3902400000024</v>
      </c>
      <c r="M621">
        <f t="shared" si="19"/>
        <v>-2706.7073839999994</v>
      </c>
    </row>
    <row r="622" spans="2:13" x14ac:dyDescent="0.3">
      <c r="B622" t="s">
        <v>1322</v>
      </c>
      <c r="C622" t="s">
        <v>92</v>
      </c>
      <c r="D622" t="s">
        <v>30</v>
      </c>
      <c r="E622" t="s">
        <v>52</v>
      </c>
      <c r="F622">
        <v>18003.847679999999</v>
      </c>
      <c r="G622">
        <v>10002.019999999999</v>
      </c>
      <c r="H622">
        <v>8001.8276800000003</v>
      </c>
      <c r="I622">
        <f>Staging!Q613*(Staging!T613*(1+QtyUplift))*(1-MIN(Staging!R613,DiscountCap))</f>
        <v>19804.232448000002</v>
      </c>
      <c r="J622">
        <f>Staging!P613*(1+CostInflation)*Staging!T613*(1+QtyUplift)</f>
        <v>14247.877490000001</v>
      </c>
      <c r="K622">
        <f t="shared" si="18"/>
        <v>5556.3549580000017</v>
      </c>
      <c r="L622">
        <v>4110.0595200000025</v>
      </c>
      <c r="M622">
        <f t="shared" si="19"/>
        <v>-2445.4727219999986</v>
      </c>
    </row>
    <row r="623" spans="2:13" x14ac:dyDescent="0.3">
      <c r="B623" t="s">
        <v>1324</v>
      </c>
      <c r="C623" t="s">
        <v>21</v>
      </c>
      <c r="D623" t="s">
        <v>64</v>
      </c>
      <c r="E623" t="s">
        <v>52</v>
      </c>
      <c r="F623">
        <v>9256.14</v>
      </c>
      <c r="G623">
        <v>8478.18</v>
      </c>
      <c r="H623">
        <v>777.95999999999913</v>
      </c>
      <c r="I623">
        <f>Staging!Q614*(Staging!T614*(1+QtyUplift))*(1-MIN(Staging!R614,DiscountCap))</f>
        <v>10181.754000000001</v>
      </c>
      <c r="J623">
        <f>Staging!P614*(1+CostInflation)*Staging!T614*(1+QtyUplift)</f>
        <v>12077.16741</v>
      </c>
      <c r="K623">
        <f t="shared" si="18"/>
        <v>-1895.4134099999992</v>
      </c>
      <c r="L623">
        <v>925.6140000000014</v>
      </c>
      <c r="M623">
        <f t="shared" si="19"/>
        <v>-2673.3734099999983</v>
      </c>
    </row>
    <row r="624" spans="2:13" x14ac:dyDescent="0.3">
      <c r="B624" t="s">
        <v>1326</v>
      </c>
      <c r="C624" t="s">
        <v>110</v>
      </c>
      <c r="D624" t="s">
        <v>35</v>
      </c>
      <c r="E624" t="s">
        <v>16</v>
      </c>
      <c r="F624">
        <v>82141.339799999987</v>
      </c>
      <c r="G624">
        <v>34412.299999999996</v>
      </c>
      <c r="H624">
        <v>47729.039799999991</v>
      </c>
      <c r="I624">
        <f>Staging!Q615*(Staging!T615*(1+QtyUplift))*(1-MIN(Staging!R615,DiscountCap))</f>
        <v>90355.47378</v>
      </c>
      <c r="J624">
        <f>Staging!P615*(1+CostInflation)*Staging!T615*(1+QtyUplift)</f>
        <v>49020.321349999998</v>
      </c>
      <c r="K624">
        <f t="shared" si="18"/>
        <v>41335.152430000002</v>
      </c>
      <c r="L624">
        <v>8214.1339800000133</v>
      </c>
      <c r="M624">
        <f t="shared" si="19"/>
        <v>-6393.8873699999895</v>
      </c>
    </row>
    <row r="625" spans="2:13" x14ac:dyDescent="0.3">
      <c r="B625" t="s">
        <v>1328</v>
      </c>
      <c r="C625" t="s">
        <v>41</v>
      </c>
      <c r="D625" t="s">
        <v>35</v>
      </c>
      <c r="E625" t="s">
        <v>78</v>
      </c>
      <c r="F625">
        <v>18500.693520000001</v>
      </c>
      <c r="G625">
        <v>11348.08</v>
      </c>
      <c r="H625">
        <v>7152.6135200000008</v>
      </c>
      <c r="I625">
        <f>Staging!Q616*(Staging!T616*(1+QtyUplift))*(1-MIN(Staging!R616,DiscountCap))</f>
        <v>20350.762872000003</v>
      </c>
      <c r="J625">
        <f>Staging!P616*(1+CostInflation)*Staging!T616*(1+QtyUplift)</f>
        <v>16165.339959999999</v>
      </c>
      <c r="K625">
        <f t="shared" si="18"/>
        <v>4185.4229120000036</v>
      </c>
      <c r="L625">
        <v>3593.0176800000008</v>
      </c>
      <c r="M625">
        <f t="shared" si="19"/>
        <v>-2967.1906079999972</v>
      </c>
    </row>
    <row r="626" spans="2:13" x14ac:dyDescent="0.3">
      <c r="B626" t="s">
        <v>1330</v>
      </c>
      <c r="C626" t="s">
        <v>56</v>
      </c>
      <c r="D626" t="s">
        <v>30</v>
      </c>
      <c r="E626" t="s">
        <v>45</v>
      </c>
      <c r="F626">
        <v>10464.138360000001</v>
      </c>
      <c r="G626">
        <v>7905.48</v>
      </c>
      <c r="H626">
        <v>2558.6583600000013</v>
      </c>
      <c r="I626">
        <f>Staging!Q617*(Staging!T617*(1+QtyUplift))*(1-MIN(Staging!R617,DiscountCap))</f>
        <v>11510.552196000001</v>
      </c>
      <c r="J626">
        <f>Staging!P617*(1+CostInflation)*Staging!T617*(1+QtyUplift)</f>
        <v>11261.35626</v>
      </c>
      <c r="K626">
        <f t="shared" si="18"/>
        <v>249.19593600000007</v>
      </c>
      <c r="L626">
        <v>1046.4138359999997</v>
      </c>
      <c r="M626">
        <f t="shared" si="19"/>
        <v>-2309.4624240000012</v>
      </c>
    </row>
    <row r="627" spans="2:13" x14ac:dyDescent="0.3">
      <c r="B627" t="s">
        <v>1332</v>
      </c>
      <c r="C627" t="s">
        <v>95</v>
      </c>
      <c r="D627" t="s">
        <v>35</v>
      </c>
      <c r="E627" t="s">
        <v>16</v>
      </c>
      <c r="F627">
        <v>10786.32144</v>
      </c>
      <c r="G627">
        <v>4693.92</v>
      </c>
      <c r="H627">
        <v>6092.4014399999996</v>
      </c>
      <c r="I627">
        <f>Staging!Q618*(Staging!T618*(1+QtyUplift))*(1-MIN(Staging!R618,DiscountCap))</f>
        <v>11864.953584000001</v>
      </c>
      <c r="J627">
        <f>Staging!P618*(1+CostInflation)*Staging!T618*(1+QtyUplift)</f>
        <v>6686.4890400000004</v>
      </c>
      <c r="K627">
        <f t="shared" si="18"/>
        <v>5178.4645440000004</v>
      </c>
      <c r="L627">
        <v>1078.6321440000011</v>
      </c>
      <c r="M627">
        <f t="shared" si="19"/>
        <v>-913.93689599999925</v>
      </c>
    </row>
    <row r="628" spans="2:13" x14ac:dyDescent="0.3">
      <c r="B628" t="s">
        <v>1334</v>
      </c>
      <c r="C628" t="s">
        <v>145</v>
      </c>
      <c r="D628" t="s">
        <v>64</v>
      </c>
      <c r="E628" t="s">
        <v>78</v>
      </c>
      <c r="F628">
        <v>846.34703999999988</v>
      </c>
      <c r="G628">
        <v>20240.36</v>
      </c>
      <c r="H628">
        <v>-19394.01296</v>
      </c>
      <c r="I628">
        <f>Staging!Q619*(Staging!T619*(1+QtyUplift))*(1-MIN(Staging!R619,DiscountCap))</f>
        <v>930.98174400000005</v>
      </c>
      <c r="J628">
        <f>Staging!P619*(1+CostInflation)*Staging!T619*(1+QtyUplift)</f>
        <v>28832.392820000001</v>
      </c>
      <c r="K628">
        <f t="shared" si="18"/>
        <v>-27901.411076</v>
      </c>
      <c r="L628">
        <v>86.708160000000248</v>
      </c>
      <c r="M628">
        <f t="shared" si="19"/>
        <v>-8507.3981160000003</v>
      </c>
    </row>
    <row r="629" spans="2:13" x14ac:dyDescent="0.3">
      <c r="B629" t="s">
        <v>1336</v>
      </c>
      <c r="C629" t="s">
        <v>95</v>
      </c>
      <c r="D629" t="s">
        <v>30</v>
      </c>
      <c r="E629" t="s">
        <v>78</v>
      </c>
      <c r="F629">
        <v>25174.028880000002</v>
      </c>
      <c r="G629">
        <v>24180.78</v>
      </c>
      <c r="H629">
        <v>993.24888000000283</v>
      </c>
      <c r="I629">
        <f>Staging!Q620*(Staging!T620*(1+QtyUplift))*(1-MIN(Staging!R620,DiscountCap))</f>
        <v>27691.431768000002</v>
      </c>
      <c r="J629">
        <f>Staging!P620*(1+CostInflation)*Staging!T620*(1+QtyUplift)</f>
        <v>34445.521109999994</v>
      </c>
      <c r="K629">
        <f t="shared" si="18"/>
        <v>-6754.089341999992</v>
      </c>
      <c r="L629">
        <v>2797.1143200000006</v>
      </c>
      <c r="M629">
        <f t="shared" si="19"/>
        <v>-7747.3382219999949</v>
      </c>
    </row>
    <row r="630" spans="2:13" x14ac:dyDescent="0.3">
      <c r="B630" t="s">
        <v>1338</v>
      </c>
      <c r="C630" t="s">
        <v>84</v>
      </c>
      <c r="D630" t="s">
        <v>22</v>
      </c>
      <c r="E630" t="s">
        <v>78</v>
      </c>
      <c r="F630">
        <v>41419.524249999995</v>
      </c>
      <c r="G630">
        <v>35118.1</v>
      </c>
      <c r="H630">
        <v>6301.4242499999964</v>
      </c>
      <c r="I630">
        <f>Staging!Q621*(Staging!T621*(1+QtyUplift))*(1-MIN(Staging!R621,DiscountCap))</f>
        <v>45561.476675000005</v>
      </c>
      <c r="J630">
        <f>Staging!P621*(1+CostInflation)*Staging!T621*(1+QtyUplift)</f>
        <v>50025.733450000007</v>
      </c>
      <c r="K630">
        <f t="shared" si="18"/>
        <v>-4464.2567750000017</v>
      </c>
      <c r="L630">
        <v>4141.9524250000104</v>
      </c>
      <c r="M630">
        <f t="shared" si="19"/>
        <v>-10765.681024999998</v>
      </c>
    </row>
    <row r="631" spans="2:13" x14ac:dyDescent="0.3">
      <c r="B631" t="s">
        <v>1340</v>
      </c>
      <c r="C631" t="s">
        <v>34</v>
      </c>
      <c r="D631" t="s">
        <v>81</v>
      </c>
      <c r="E631" t="s">
        <v>16</v>
      </c>
      <c r="F631">
        <v>1030.7574</v>
      </c>
      <c r="G631">
        <v>753.09</v>
      </c>
      <c r="H631">
        <v>277.66739999999993</v>
      </c>
      <c r="I631">
        <f>Staging!Q622*(Staging!T622*(1+QtyUplift))*(1-MIN(Staging!R622,DiscountCap))</f>
        <v>1133.8331400000002</v>
      </c>
      <c r="J631">
        <f>Staging!P622*(1+CostInflation)*Staging!T622*(1+QtyUplift)</f>
        <v>1072.776705</v>
      </c>
      <c r="K631">
        <f t="shared" si="18"/>
        <v>61.056435000000192</v>
      </c>
      <c r="L631">
        <v>191.33820000000037</v>
      </c>
      <c r="M631">
        <f t="shared" si="19"/>
        <v>-216.61096499999974</v>
      </c>
    </row>
    <row r="632" spans="2:13" x14ac:dyDescent="0.3">
      <c r="B632" t="s">
        <v>1342</v>
      </c>
      <c r="C632" t="s">
        <v>29</v>
      </c>
      <c r="D632" t="s">
        <v>35</v>
      </c>
      <c r="E632" t="s">
        <v>52</v>
      </c>
      <c r="F632">
        <v>2355.2113199999999</v>
      </c>
      <c r="G632">
        <v>1180.76</v>
      </c>
      <c r="H632">
        <v>1174.4513199999999</v>
      </c>
      <c r="I632">
        <f>Staging!Q623*(Staging!T623*(1+QtyUplift))*(1-MIN(Staging!R623,DiscountCap))</f>
        <v>2590.7324520000006</v>
      </c>
      <c r="J632">
        <f>Staging!P623*(1+CostInflation)*Staging!T623*(1+QtyUplift)</f>
        <v>1681.9926200000002</v>
      </c>
      <c r="K632">
        <f t="shared" si="18"/>
        <v>908.73983200000043</v>
      </c>
      <c r="L632">
        <v>509.23488000000043</v>
      </c>
      <c r="M632">
        <f t="shared" si="19"/>
        <v>-265.71148799999946</v>
      </c>
    </row>
    <row r="633" spans="2:13" x14ac:dyDescent="0.3">
      <c r="B633" t="s">
        <v>1344</v>
      </c>
      <c r="C633" t="s">
        <v>29</v>
      </c>
      <c r="D633" t="s">
        <v>35</v>
      </c>
      <c r="E633" t="s">
        <v>45</v>
      </c>
      <c r="F633">
        <v>30229.994880000002</v>
      </c>
      <c r="G633">
        <v>32141.760000000002</v>
      </c>
      <c r="H633">
        <v>-1911.76512</v>
      </c>
      <c r="I633">
        <f>Staging!Q624*(Staging!T624*(1+QtyUplift))*(1-MIN(Staging!R624,DiscountCap))</f>
        <v>33252.994368000007</v>
      </c>
      <c r="J633">
        <f>Staging!P624*(1+CostInflation)*Staging!T624*(1+QtyUplift)</f>
        <v>45785.937119999995</v>
      </c>
      <c r="K633">
        <f t="shared" si="18"/>
        <v>-12532.942751999988</v>
      </c>
      <c r="L633">
        <v>6809.2315200000048</v>
      </c>
      <c r="M633">
        <f t="shared" si="19"/>
        <v>-10621.177631999988</v>
      </c>
    </row>
    <row r="634" spans="2:13" x14ac:dyDescent="0.3">
      <c r="B634" t="s">
        <v>1346</v>
      </c>
      <c r="C634" t="s">
        <v>68</v>
      </c>
      <c r="D634" t="s">
        <v>81</v>
      </c>
      <c r="E634" t="s">
        <v>16</v>
      </c>
      <c r="F634">
        <v>10693.88488</v>
      </c>
      <c r="G634">
        <v>8674.9599999999991</v>
      </c>
      <c r="H634">
        <v>2018.9248800000005</v>
      </c>
      <c r="I634">
        <f>Staging!Q625*(Staging!T625*(1+QtyUplift))*(1-MIN(Staging!R625,DiscountCap))</f>
        <v>11763.273368000002</v>
      </c>
      <c r="J634">
        <f>Staging!P625*(1+CostInflation)*Staging!T625*(1+QtyUplift)</f>
        <v>12357.480519999999</v>
      </c>
      <c r="K634">
        <f t="shared" si="18"/>
        <v>-594.20715199999722</v>
      </c>
      <c r="L634">
        <v>1241.7927200000013</v>
      </c>
      <c r="M634">
        <f t="shared" si="19"/>
        <v>-2613.1320319999977</v>
      </c>
    </row>
    <row r="635" spans="2:13" x14ac:dyDescent="0.3">
      <c r="B635" t="s">
        <v>1348</v>
      </c>
      <c r="C635" t="s">
        <v>29</v>
      </c>
      <c r="D635" t="s">
        <v>35</v>
      </c>
      <c r="E635" t="s">
        <v>45</v>
      </c>
      <c r="F635">
        <v>50090.397499999999</v>
      </c>
      <c r="G635">
        <v>26571.22</v>
      </c>
      <c r="H635">
        <v>23519.177499999998</v>
      </c>
      <c r="I635">
        <f>Staging!Q626*(Staging!T626*(1+QtyUplift))*(1-MIN(Staging!R626,DiscountCap))</f>
        <v>55099.437249999995</v>
      </c>
      <c r="J635">
        <f>Staging!P626*(1+CostInflation)*Staging!T626*(1+QtyUplift)</f>
        <v>37850.70289</v>
      </c>
      <c r="K635">
        <f t="shared" si="18"/>
        <v>17248.734359999995</v>
      </c>
      <c r="L635">
        <v>9015.0774999999994</v>
      </c>
      <c r="M635">
        <f t="shared" si="19"/>
        <v>-6270.443140000003</v>
      </c>
    </row>
    <row r="636" spans="2:13" x14ac:dyDescent="0.3">
      <c r="B636" t="s">
        <v>1350</v>
      </c>
      <c r="C636" t="s">
        <v>21</v>
      </c>
      <c r="D636" t="s">
        <v>35</v>
      </c>
      <c r="E636" t="s">
        <v>45</v>
      </c>
      <c r="F636">
        <v>32704.386400000003</v>
      </c>
      <c r="G636">
        <v>18886.559999999998</v>
      </c>
      <c r="H636">
        <v>13817.826400000005</v>
      </c>
      <c r="I636">
        <f>Staging!Q627*(Staging!T627*(1+QtyUplift))*(1-MIN(Staging!R627,DiscountCap))</f>
        <v>35974.825040000003</v>
      </c>
      <c r="J636">
        <f>Staging!P627*(1+CostInflation)*Staging!T627*(1+QtyUplift)</f>
        <v>26903.904720000002</v>
      </c>
      <c r="K636">
        <f t="shared" si="18"/>
        <v>9070.9203200000011</v>
      </c>
      <c r="L636">
        <v>3838.8896000000022</v>
      </c>
      <c r="M636">
        <f t="shared" si="19"/>
        <v>-4746.9060800000043</v>
      </c>
    </row>
    <row r="637" spans="2:13" x14ac:dyDescent="0.3">
      <c r="B637" t="s">
        <v>1352</v>
      </c>
      <c r="C637" t="s">
        <v>75</v>
      </c>
      <c r="D637" t="s">
        <v>22</v>
      </c>
      <c r="E637" t="s">
        <v>45</v>
      </c>
      <c r="F637">
        <v>13983.752729999998</v>
      </c>
      <c r="G637">
        <v>22895.77</v>
      </c>
      <c r="H637">
        <v>-8912.0172700000021</v>
      </c>
      <c r="I637">
        <f>Staging!Q628*(Staging!T628*(1+QtyUplift))*(1-MIN(Staging!R628,DiscountCap))</f>
        <v>15382.128003000002</v>
      </c>
      <c r="J637">
        <f>Staging!P628*(1+CostInflation)*Staging!T628*(1+QtyUplift)</f>
        <v>32615.024365000001</v>
      </c>
      <c r="K637">
        <f t="shared" si="18"/>
        <v>-17232.896361999999</v>
      </c>
      <c r="L637">
        <v>2477.5019700000066</v>
      </c>
      <c r="M637">
        <f t="shared" si="19"/>
        <v>-8320.8790919999974</v>
      </c>
    </row>
    <row r="638" spans="2:13" x14ac:dyDescent="0.3">
      <c r="B638" t="s">
        <v>1354</v>
      </c>
      <c r="C638" t="s">
        <v>126</v>
      </c>
      <c r="D638" t="s">
        <v>64</v>
      </c>
      <c r="E638" t="s">
        <v>45</v>
      </c>
      <c r="F638">
        <v>5096.4790800000001</v>
      </c>
      <c r="G638">
        <v>2486.44</v>
      </c>
      <c r="H638">
        <v>2610.03908</v>
      </c>
      <c r="I638">
        <f>Staging!Q629*(Staging!T629*(1+QtyUplift))*(1-MIN(Staging!R629,DiscountCap))</f>
        <v>5606.1269880000009</v>
      </c>
      <c r="J638">
        <f>Staging!P629*(1+CostInflation)*Staging!T629*(1+QtyUplift)</f>
        <v>3541.9337799999998</v>
      </c>
      <c r="K638">
        <f t="shared" si="18"/>
        <v>2064.1932080000011</v>
      </c>
      <c r="L638">
        <v>846.41172000000097</v>
      </c>
      <c r="M638">
        <f t="shared" si="19"/>
        <v>-545.84587199999896</v>
      </c>
    </row>
    <row r="639" spans="2:13" x14ac:dyDescent="0.3">
      <c r="B639" t="s">
        <v>1356</v>
      </c>
      <c r="C639" t="s">
        <v>126</v>
      </c>
      <c r="D639" t="s">
        <v>42</v>
      </c>
      <c r="E639" t="s">
        <v>52</v>
      </c>
      <c r="F639">
        <v>33017.42</v>
      </c>
      <c r="G639">
        <v>18561.46</v>
      </c>
      <c r="H639">
        <v>14455.96</v>
      </c>
      <c r="I639">
        <f>Staging!Q630*(Staging!T630*(1+QtyUplift))*(1-MIN(Staging!R630,DiscountCap))</f>
        <v>36319.161999999997</v>
      </c>
      <c r="J639">
        <f>Staging!P630*(1+CostInflation)*Staging!T630*(1+QtyUplift)</f>
        <v>26440.799769999998</v>
      </c>
      <c r="K639">
        <f t="shared" si="18"/>
        <v>9878.3622299999988</v>
      </c>
      <c r="L639">
        <v>3301.7419999999984</v>
      </c>
      <c r="M639">
        <f t="shared" si="19"/>
        <v>-4577.5977700000003</v>
      </c>
    </row>
    <row r="640" spans="2:13" x14ac:dyDescent="0.3">
      <c r="B640" t="s">
        <v>1358</v>
      </c>
      <c r="C640" t="s">
        <v>63</v>
      </c>
      <c r="D640" t="s">
        <v>22</v>
      </c>
      <c r="E640" t="s">
        <v>78</v>
      </c>
      <c r="F640">
        <v>40476.013200000001</v>
      </c>
      <c r="G640">
        <v>19295.82</v>
      </c>
      <c r="H640">
        <v>21180.193200000002</v>
      </c>
      <c r="I640">
        <f>Staging!Q631*(Staging!T631*(1+QtyUplift))*(1-MIN(Staging!R631,DiscountCap))</f>
        <v>44523.614520000003</v>
      </c>
      <c r="J640">
        <f>Staging!P631*(1+CostInflation)*Staging!T631*(1+QtyUplift)</f>
        <v>27486.89559</v>
      </c>
      <c r="K640">
        <f t="shared" si="18"/>
        <v>17036.718930000003</v>
      </c>
      <c r="L640">
        <v>4047.6013200000016</v>
      </c>
      <c r="M640">
        <f t="shared" si="19"/>
        <v>-4143.4742699999988</v>
      </c>
    </row>
    <row r="641" spans="2:13" x14ac:dyDescent="0.3">
      <c r="B641" t="s">
        <v>1360</v>
      </c>
      <c r="C641" t="s">
        <v>29</v>
      </c>
      <c r="D641" t="s">
        <v>42</v>
      </c>
      <c r="E641" t="s">
        <v>45</v>
      </c>
      <c r="F641">
        <v>12769.38768</v>
      </c>
      <c r="G641">
        <v>6456.88</v>
      </c>
      <c r="H641">
        <v>6312.5076799999997</v>
      </c>
      <c r="I641">
        <f>Staging!Q632*(Staging!T632*(1+QtyUplift))*(1-MIN(Staging!R632,DiscountCap))</f>
        <v>14046.326448</v>
      </c>
      <c r="J641">
        <f>Staging!P632*(1+CostInflation)*Staging!T632*(1+QtyUplift)</f>
        <v>9197.8255599999993</v>
      </c>
      <c r="K641">
        <f t="shared" si="18"/>
        <v>4848.5008880000005</v>
      </c>
      <c r="L641">
        <v>1913.1835200000005</v>
      </c>
      <c r="M641">
        <f t="shared" si="19"/>
        <v>-1464.0067919999992</v>
      </c>
    </row>
    <row r="642" spans="2:13" x14ac:dyDescent="0.3">
      <c r="B642" t="s">
        <v>1362</v>
      </c>
      <c r="C642" t="s">
        <v>126</v>
      </c>
      <c r="D642" t="s">
        <v>57</v>
      </c>
      <c r="E642" t="s">
        <v>45</v>
      </c>
      <c r="F642">
        <v>266.17821999999995</v>
      </c>
      <c r="G642">
        <v>363.02</v>
      </c>
      <c r="H642">
        <v>-96.841780000000028</v>
      </c>
      <c r="I642">
        <f>Staging!Q633*(Staging!T633*(1+QtyUplift))*(1-MIN(Staging!R633,DiscountCap))</f>
        <v>292.796042</v>
      </c>
      <c r="J642">
        <f>Staging!P633*(1+CostInflation)*Staging!T633*(1+QtyUplift)</f>
        <v>517.12198999999998</v>
      </c>
      <c r="K642">
        <f t="shared" si="18"/>
        <v>-224.32594799999998</v>
      </c>
      <c r="L642">
        <v>52.463180000000079</v>
      </c>
      <c r="M642">
        <f t="shared" si="19"/>
        <v>-127.48416799999995</v>
      </c>
    </row>
    <row r="644" spans="2:13" x14ac:dyDescent="0.3">
      <c r="B644">
        <v>632</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6C63-FC4F-4E3C-92FB-F30447B0A5F9}">
  <dimension ref="B1"/>
  <sheetViews>
    <sheetView tabSelected="1" zoomScaleNormal="100" workbookViewId="0">
      <selection activeCell="C28" sqref="C28"/>
    </sheetView>
  </sheetViews>
  <sheetFormatPr defaultRowHeight="14.4" x14ac:dyDescent="0.3"/>
  <cols>
    <col min="1" max="1" width="3.21875" customWidth="1"/>
    <col min="2" max="2" width="2.77734375" hidden="1" customWidth="1"/>
    <col min="3" max="3" width="168.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vt:i4>
      </vt:variant>
    </vt:vector>
  </HeadingPairs>
  <TitlesOfParts>
    <vt:vector size="25" baseType="lpstr">
      <vt:lpstr>Data</vt:lpstr>
      <vt:lpstr>Part A</vt:lpstr>
      <vt:lpstr>Standardised Dimension Table</vt:lpstr>
      <vt:lpstr>Analysis</vt:lpstr>
      <vt:lpstr>Pivot Cohort Analysis</vt:lpstr>
      <vt:lpstr>ABC Data</vt:lpstr>
      <vt:lpstr>Pivot ABC Data</vt:lpstr>
      <vt:lpstr>Salesperson Productivity</vt:lpstr>
      <vt:lpstr>Sales person Pivot</vt:lpstr>
      <vt:lpstr>Channel Mix Data</vt:lpstr>
      <vt:lpstr>Channel Mix Pivot</vt:lpstr>
      <vt:lpstr>Cannibalization</vt:lpstr>
      <vt:lpstr>Service Level Data</vt:lpstr>
      <vt:lpstr>Service Level Pivot</vt:lpstr>
      <vt:lpstr>Price Compliance Data</vt:lpstr>
      <vt:lpstr>Price Compliance Pivot</vt:lpstr>
      <vt:lpstr>What IF</vt:lpstr>
      <vt:lpstr>Insights</vt:lpstr>
      <vt:lpstr>Slicers</vt:lpstr>
      <vt:lpstr>Staging</vt:lpstr>
      <vt:lpstr>Scearios(What if)</vt:lpstr>
      <vt:lpstr>Dashboard</vt:lpstr>
      <vt:lpstr>CostInflation</vt:lpstr>
      <vt:lpstr>DiscountCap</vt:lpstr>
      <vt:lpstr>QtyUplift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2026-06-13T03:40:36Z</dcterms:created>
  <dcterms:modified xsi:type="dcterms:W3CDTF">2026-06-23T16:52:22Z</dcterms:modified>
</cp:coreProperties>
</file>